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9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36.xml" ContentType="application/vnd.openxmlformats-officedocument.spreadsheetml.externalLink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externalLinks/externalLink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34.xml" ContentType="application/vnd.openxmlformats-officedocument.spreadsheetml.externalLink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externalLinks/externalLink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32.xml" ContentType="application/vnd.openxmlformats-officedocument.spreadsheetml.externalLink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10.xml" ContentType="application/vnd.openxmlformats-officedocument.spreadsheetml.externalLink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worksheets/sheet18.xml" ContentType="application/vnd.openxmlformats-officedocument.spreadsheetml.worksheet+xml"/>
  <Override PartName="/xl/tables/table5.xml" ContentType="application/vnd.openxmlformats-officedocument.spreadsheetml.table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Default Extension="png" ContentType="image/png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39.xml" ContentType="application/vnd.openxmlformats-officedocument.spreadsheetml.externalLink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37.xml" ContentType="application/vnd.openxmlformats-officedocument.spreadsheetml.externalLink+xml"/>
  <Default Extension="jpeg" ContentType="image/jpeg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35.xml" ContentType="application/vnd.openxmlformats-officedocument.spreadsheetml.externalLink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33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externalLinks/externalLink11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3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Default Extension="gif" ContentType="image/gif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17.xml" ContentType="application/vnd.openxmlformats-officedocument.spreadsheetml.worksheet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-15" yWindow="4095" windowWidth="15600" windowHeight="4140" tabRatio="865" firstSheet="3" activeTab="4"/>
  </bookViews>
  <sheets>
    <sheet name="ARG" sheetId="38" state="hidden" r:id="rId1"/>
    <sheet name="KPR" sheetId="35" state="hidden" r:id="rId2"/>
    <sheet name="KBS" sheetId="39" state="hidden" r:id="rId3"/>
    <sheet name="KB" sheetId="36" r:id="rId4"/>
    <sheet name="REKQR" sheetId="44" r:id="rId5"/>
    <sheet name="Kuitansi" sheetId="1" r:id="rId6"/>
    <sheet name="COVER" sheetId="51" r:id="rId7"/>
    <sheet name="rek-bulanan" sheetId="58" r:id="rId8"/>
    <sheet name="PERBLNR" sheetId="43" r:id="rId9"/>
    <sheet name="PERBLNG" sheetId="47" r:id="rId10"/>
    <sheet name="PERTAHUN" sheetId="45" r:id="rId11"/>
    <sheet name="ISK" sheetId="48" r:id="rId12"/>
    <sheet name="RKP " sheetId="50" r:id="rId13"/>
    <sheet name="ISK(DRT-LAUT)" sheetId="49" r:id="rId14"/>
    <sheet name="RELASI" sheetId="40" r:id="rId15"/>
    <sheet name="CONF" sheetId="42" r:id="rId16"/>
    <sheet name="CATATAN" sheetId="46" state="hidden" r:id="rId17"/>
    <sheet name="Rumus Terbilang" sheetId="2" state="hidden" r:id="rId18"/>
    <sheet name="Sheet1" sheetId="52" state="hidden" r:id="rId19"/>
    <sheet name="FRM-PBL-001-01" sheetId="56" state="hidden" r:id="rId20"/>
    <sheet name="FRM-PBL-002-02" sheetId="53" r:id="rId21"/>
    <sheet name="FRM-PBL-003-01" sheetId="54" r:id="rId22"/>
    <sheet name="FRM-PBL-004-01" sheetId="55" r:id="rId23"/>
    <sheet name="VMR2(3-5,11,13,15-20)" sheetId="57" r:id="rId24"/>
  </sheets>
  <functionGroups/>
  <externalReferences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</externalReferences>
  <definedNames>
    <definedName name="_____________________________________bcs2004" localSheetId="7">#REF!</definedName>
    <definedName name="_____________________________________bcs2004" localSheetId="23">#REF!</definedName>
    <definedName name="_____________________________________bcs2004">#REF!</definedName>
    <definedName name="_____________________________________hal1" localSheetId="7">#REF!</definedName>
    <definedName name="_____________________________________hal1" localSheetId="23">#REF!</definedName>
    <definedName name="_____________________________________hal1">#REF!</definedName>
    <definedName name="_____________________________________hlm4" localSheetId="7">#REF!</definedName>
    <definedName name="_____________________________________hlm4" localSheetId="23">#REF!</definedName>
    <definedName name="_____________________________________hlm4">#REF!</definedName>
    <definedName name="_____________________________________mp2" localSheetId="7">#REF!</definedName>
    <definedName name="_____________________________________mp2" localSheetId="23">#REF!</definedName>
    <definedName name="_____________________________________mp2">#REF!</definedName>
    <definedName name="___________________________________bcs2004" localSheetId="7">#REF!</definedName>
    <definedName name="___________________________________bcs2004" localSheetId="23">#REF!</definedName>
    <definedName name="___________________________________bcs2004">#REF!</definedName>
    <definedName name="___________________________________hal1" localSheetId="7">#REF!</definedName>
    <definedName name="___________________________________hal1" localSheetId="23">#REF!</definedName>
    <definedName name="___________________________________hal1">#REF!</definedName>
    <definedName name="___________________________________hlm4" localSheetId="7">#REF!</definedName>
    <definedName name="___________________________________hlm4" localSheetId="23">#REF!</definedName>
    <definedName name="___________________________________hlm4">#REF!</definedName>
    <definedName name="___________________________________mp2" localSheetId="7">#REF!</definedName>
    <definedName name="___________________________________mp2" localSheetId="23">#REF!</definedName>
    <definedName name="___________________________________mp2">#REF!</definedName>
    <definedName name="__________________________________bcs2004" localSheetId="7">#REF!</definedName>
    <definedName name="__________________________________bcs2004" localSheetId="23">#REF!</definedName>
    <definedName name="__________________________________bcs2004">#REF!</definedName>
    <definedName name="__________________________________hal1" localSheetId="7">#REF!</definedName>
    <definedName name="__________________________________hal1" localSheetId="23">#REF!</definedName>
    <definedName name="__________________________________hal1">#REF!</definedName>
    <definedName name="__________________________________hlm4" localSheetId="7">#REF!</definedName>
    <definedName name="__________________________________hlm4" localSheetId="23">#REF!</definedName>
    <definedName name="__________________________________hlm4">#REF!</definedName>
    <definedName name="__________________________________mp2" localSheetId="7">#REF!</definedName>
    <definedName name="__________________________________mp2" localSheetId="23">#REF!</definedName>
    <definedName name="__________________________________mp2">#REF!</definedName>
    <definedName name="_________________________________bcs2004" localSheetId="7">#REF!</definedName>
    <definedName name="_________________________________bcs2004" localSheetId="23">#REF!</definedName>
    <definedName name="_________________________________bcs2004">#REF!</definedName>
    <definedName name="_________________________________hal1" localSheetId="7">#REF!</definedName>
    <definedName name="_________________________________hal1" localSheetId="23">#REF!</definedName>
    <definedName name="_________________________________hal1">#REF!</definedName>
    <definedName name="_________________________________hlm4" localSheetId="7">#REF!</definedName>
    <definedName name="_________________________________hlm4" localSheetId="23">#REF!</definedName>
    <definedName name="_________________________________hlm4">#REF!</definedName>
    <definedName name="_________________________________mp2" localSheetId="7">#REF!</definedName>
    <definedName name="_________________________________mp2" localSheetId="23">#REF!</definedName>
    <definedName name="_________________________________mp2">#REF!</definedName>
    <definedName name="________________________________Hal100" localSheetId="7">#REF!</definedName>
    <definedName name="________________________________Hal100">#REF!</definedName>
    <definedName name="________________________________mp3">[1]MP3!$A$4:$C$5</definedName>
    <definedName name="________________________________UMP1">[1]MP1!$F$1:$F$65536</definedName>
    <definedName name="________________________________UMP3">[1]MP3!$F$1:$F$65536</definedName>
    <definedName name="_______________________________bcs2004" localSheetId="7">#REF!</definedName>
    <definedName name="_______________________________bcs2004" localSheetId="23">#REF!</definedName>
    <definedName name="_______________________________bcs2004">#REF!</definedName>
    <definedName name="_______________________________hal1" localSheetId="7">#REF!</definedName>
    <definedName name="_______________________________hal1" localSheetId="23">#REF!</definedName>
    <definedName name="_______________________________hal1">#REF!</definedName>
    <definedName name="_______________________________Hal100" localSheetId="7">#REF!</definedName>
    <definedName name="_______________________________Hal100" localSheetId="23">#REF!</definedName>
    <definedName name="_______________________________Hal100">#REF!</definedName>
    <definedName name="_______________________________HCC6" localSheetId="7">[2]!_xlbgnm.HCC6</definedName>
    <definedName name="_______________________________HCC6">[2]!_xlbgnm.HCC6</definedName>
    <definedName name="_______________________________HCP002" localSheetId="7">[3]!_xlbgnm.HCP02</definedName>
    <definedName name="_______________________________HCP002">[3]!_xlbgnm.HCP02</definedName>
    <definedName name="_______________________________HCP004" localSheetId="7">[3]!_xlbgnm.HCP04</definedName>
    <definedName name="_______________________________HCP004">[3]!_xlbgnm.HCP04</definedName>
    <definedName name="_______________________________HCP02" localSheetId="7">[3]!_xlbgnm.HCP02</definedName>
    <definedName name="_______________________________HCP02">[3]!_xlbgnm.HCP02</definedName>
    <definedName name="_______________________________HCP03" localSheetId="7">[3]!_xlbgnm.HCP03</definedName>
    <definedName name="_______________________________HCP03">[3]!_xlbgnm.HCP03</definedName>
    <definedName name="_______________________________HCP04" localSheetId="7">[3]!_xlbgnm.HCP04</definedName>
    <definedName name="_______________________________HCP04">[3]!_xlbgnm.HCP04</definedName>
    <definedName name="_______________________________HCP05" localSheetId="7">[3]!_xlbgnm.HCP05</definedName>
    <definedName name="_______________________________HCP05">[3]!_xlbgnm.HCP05</definedName>
    <definedName name="_______________________________HDC01" localSheetId="7">[3]!_xlbgnm.HDC01</definedName>
    <definedName name="_______________________________HDC01">[3]!_xlbgnm.HDC01</definedName>
    <definedName name="_______________________________hlm4" localSheetId="7">#REF!</definedName>
    <definedName name="_______________________________hlm4" localSheetId="23">#REF!</definedName>
    <definedName name="_______________________________hlm4">#REF!</definedName>
    <definedName name="_______________________________L1" localSheetId="7">#REF!</definedName>
    <definedName name="_______________________________L1" localSheetId="23">#REF!</definedName>
    <definedName name="_______________________________L1">#REF!</definedName>
    <definedName name="_______________________________L2" localSheetId="7">#REF!</definedName>
    <definedName name="_______________________________L2" localSheetId="23">#REF!</definedName>
    <definedName name="_______________________________L2">#REF!</definedName>
    <definedName name="_______________________________mp2" localSheetId="7">#REF!</definedName>
    <definedName name="_______________________________mp2" localSheetId="23">#REF!</definedName>
    <definedName name="_______________________________mp2">#REF!</definedName>
    <definedName name="_______________________________mp3">[1]MP3!$A$4:$C$5</definedName>
    <definedName name="_______________________________UMP1">[1]MP1!$F$1:$F$65536</definedName>
    <definedName name="_______________________________UMP3">[1]MP3!$F$1:$F$65536</definedName>
    <definedName name="______________________________bcs2004" localSheetId="7">#REF!</definedName>
    <definedName name="______________________________bcs2004">#REF!</definedName>
    <definedName name="______________________________hal1" localSheetId="7">#REF!</definedName>
    <definedName name="______________________________hal1">#REF!</definedName>
    <definedName name="______________________________Hal100" localSheetId="7">#REF!</definedName>
    <definedName name="______________________________Hal100" localSheetId="23">#REF!</definedName>
    <definedName name="______________________________Hal100">#REF!</definedName>
    <definedName name="______________________________HCC6" localSheetId="7">[2]!_xlbgnm.HCC6</definedName>
    <definedName name="______________________________HCC6">[2]!_xlbgnm.HCC6</definedName>
    <definedName name="______________________________HCP002" localSheetId="7">[3]!_xlbgnm.HCP02</definedName>
    <definedName name="______________________________HCP002">[3]!_xlbgnm.HCP02</definedName>
    <definedName name="______________________________HCP004" localSheetId="7">[3]!_xlbgnm.HCP04</definedName>
    <definedName name="______________________________HCP004">[3]!_xlbgnm.HCP04</definedName>
    <definedName name="______________________________HCP02" localSheetId="7">[3]!_xlbgnm.HCP02</definedName>
    <definedName name="______________________________HCP02">[3]!_xlbgnm.HCP02</definedName>
    <definedName name="______________________________HCP03" localSheetId="7">[3]!_xlbgnm.HCP03</definedName>
    <definedName name="______________________________HCP03">[3]!_xlbgnm.HCP03</definedName>
    <definedName name="______________________________HCP04" localSheetId="7">[3]!_xlbgnm.HCP04</definedName>
    <definedName name="______________________________HCP04">[3]!_xlbgnm.HCP04</definedName>
    <definedName name="______________________________HCP05" localSheetId="7">[3]!_xlbgnm.HCP05</definedName>
    <definedName name="______________________________HCP05">[3]!_xlbgnm.HCP05</definedName>
    <definedName name="______________________________HDC01" localSheetId="7">[3]!_xlbgnm.HDC01</definedName>
    <definedName name="______________________________HDC01">[3]!_xlbgnm.HDC01</definedName>
    <definedName name="______________________________hlm4" localSheetId="7">#REF!</definedName>
    <definedName name="______________________________hlm4">#REF!</definedName>
    <definedName name="______________________________mp2" localSheetId="7">#REF!</definedName>
    <definedName name="______________________________mp2">#REF!</definedName>
    <definedName name="______________________________mp3">[1]MP3!$A$4:$C$5</definedName>
    <definedName name="______________________________UMP1">[1]MP1!$F$1:$F$65536</definedName>
    <definedName name="______________________________UMP3">[1]MP3!$F$1:$F$65536</definedName>
    <definedName name="_____________________________bcs2004" localSheetId="7">#REF!</definedName>
    <definedName name="_____________________________bcs2004" localSheetId="23">#REF!</definedName>
    <definedName name="_____________________________bcs2004">#REF!</definedName>
    <definedName name="_____________________________hal1" localSheetId="7">#REF!</definedName>
    <definedName name="_____________________________hal1" localSheetId="23">#REF!</definedName>
    <definedName name="_____________________________hal1">#REF!</definedName>
    <definedName name="_____________________________Hal100" localSheetId="7">#REF!</definedName>
    <definedName name="_____________________________Hal100" localSheetId="23">#REF!</definedName>
    <definedName name="_____________________________Hal100">#REF!</definedName>
    <definedName name="_____________________________hlm4" localSheetId="7">#REF!</definedName>
    <definedName name="_____________________________hlm4" localSheetId="23">#REF!</definedName>
    <definedName name="_____________________________hlm4">#REF!</definedName>
    <definedName name="_____________________________L1" localSheetId="7">#REF!</definedName>
    <definedName name="_____________________________L1" localSheetId="23">#REF!</definedName>
    <definedName name="_____________________________L1">#REF!</definedName>
    <definedName name="_____________________________L2" localSheetId="7">#REF!</definedName>
    <definedName name="_____________________________L2" localSheetId="23">#REF!</definedName>
    <definedName name="_____________________________L2">#REF!</definedName>
    <definedName name="_____________________________mp2" localSheetId="7">#REF!</definedName>
    <definedName name="_____________________________mp2" localSheetId="23">#REF!</definedName>
    <definedName name="_____________________________mp2">#REF!</definedName>
    <definedName name="_____________________________mp3">[1]MP3!$A$4:$C$5</definedName>
    <definedName name="_____________________________UMP1">[1]MP1!$F$1:$F$65536</definedName>
    <definedName name="_____________________________UMP3">[1]MP3!$F$1:$F$65536</definedName>
    <definedName name="____________________________bcs2004" localSheetId="7">#REF!</definedName>
    <definedName name="____________________________bcs2004" localSheetId="23">#REF!</definedName>
    <definedName name="____________________________bcs2004">#REF!</definedName>
    <definedName name="____________________________hal1" localSheetId="7">#REF!</definedName>
    <definedName name="____________________________hal1" localSheetId="23">#REF!</definedName>
    <definedName name="____________________________hal1">#REF!</definedName>
    <definedName name="____________________________Hal100" localSheetId="7">#REF!</definedName>
    <definedName name="____________________________Hal100" localSheetId="23">#REF!</definedName>
    <definedName name="____________________________Hal100">#REF!</definedName>
    <definedName name="____________________________HCC6" localSheetId="7">[2]!_xlbgnm.HCC6</definedName>
    <definedName name="____________________________HCC6" localSheetId="23">[2]!_xlbgnm.HCC6</definedName>
    <definedName name="____________________________HCC6">[2]!_xlbgnm.HCC6</definedName>
    <definedName name="____________________________HCP002" localSheetId="7">[3]!_xlbgnm.HCP02</definedName>
    <definedName name="____________________________HCP002" localSheetId="23">[3]!_xlbgnm.HCP02</definedName>
    <definedName name="____________________________HCP002">[3]!_xlbgnm.HCP02</definedName>
    <definedName name="____________________________HCP004" localSheetId="7">[3]!_xlbgnm.HCP04</definedName>
    <definedName name="____________________________HCP004" localSheetId="23">[3]!_xlbgnm.HCP04</definedName>
    <definedName name="____________________________HCP004">[3]!_xlbgnm.HCP04</definedName>
    <definedName name="____________________________HCP02" localSheetId="7">[3]!_xlbgnm.HCP02</definedName>
    <definedName name="____________________________HCP02" localSheetId="23">[3]!_xlbgnm.HCP02</definedName>
    <definedName name="____________________________HCP02">[3]!_xlbgnm.HCP02</definedName>
    <definedName name="____________________________HCP03" localSheetId="7">[3]!_xlbgnm.HCP03</definedName>
    <definedName name="____________________________HCP03" localSheetId="23">[3]!_xlbgnm.HCP03</definedName>
    <definedName name="____________________________HCP03">[3]!_xlbgnm.HCP03</definedName>
    <definedName name="____________________________HCP04" localSheetId="7">[3]!_xlbgnm.HCP04</definedName>
    <definedName name="____________________________HCP04" localSheetId="23">[3]!_xlbgnm.HCP04</definedName>
    <definedName name="____________________________HCP04">[3]!_xlbgnm.HCP04</definedName>
    <definedName name="____________________________HCP05" localSheetId="7">[3]!_xlbgnm.HCP05</definedName>
    <definedName name="____________________________HCP05" localSheetId="23">[3]!_xlbgnm.HCP05</definedName>
    <definedName name="____________________________HCP05">[3]!_xlbgnm.HCP05</definedName>
    <definedName name="____________________________HDC01" localSheetId="7">[3]!_xlbgnm.HDC01</definedName>
    <definedName name="____________________________HDC01" localSheetId="23">[3]!_xlbgnm.HDC01</definedName>
    <definedName name="____________________________HDC01">[3]!_xlbgnm.HDC01</definedName>
    <definedName name="____________________________hlm4" localSheetId="7">#REF!</definedName>
    <definedName name="____________________________hlm4" localSheetId="23">#REF!</definedName>
    <definedName name="____________________________hlm4">#REF!</definedName>
    <definedName name="____________________________L1" localSheetId="7">#REF!</definedName>
    <definedName name="____________________________L1" localSheetId="23">#REF!</definedName>
    <definedName name="____________________________L1">#REF!</definedName>
    <definedName name="____________________________L2" localSheetId="7">#REF!</definedName>
    <definedName name="____________________________L2" localSheetId="23">#REF!</definedName>
    <definedName name="____________________________L2">#REF!</definedName>
    <definedName name="____________________________mp2" localSheetId="7">#REF!</definedName>
    <definedName name="____________________________mp2" localSheetId="23">#REF!</definedName>
    <definedName name="____________________________mp2">#REF!</definedName>
    <definedName name="____________________________mp3">[1]MP3!$A$4:$C$5</definedName>
    <definedName name="____________________________UMP1">[1]MP1!$F$1:$F$65536</definedName>
    <definedName name="____________________________UMP3">[1]MP3!$F$1:$F$65536</definedName>
    <definedName name="___________________________bcs2004" localSheetId="7">#REF!</definedName>
    <definedName name="___________________________bcs2004" localSheetId="23">#REF!</definedName>
    <definedName name="___________________________bcs2004">#REF!</definedName>
    <definedName name="___________________________hal1" localSheetId="7">#REF!</definedName>
    <definedName name="___________________________hal1" localSheetId="23">#REF!</definedName>
    <definedName name="___________________________hal1">#REF!</definedName>
    <definedName name="___________________________Hal100" localSheetId="7">#REF!</definedName>
    <definedName name="___________________________Hal100" localSheetId="23">#REF!</definedName>
    <definedName name="___________________________Hal100">#REF!</definedName>
    <definedName name="___________________________HCC6" localSheetId="7">[2]!_xlbgnm.HCC6</definedName>
    <definedName name="___________________________HCC6" localSheetId="23">[2]!_xlbgnm.HCC6</definedName>
    <definedName name="___________________________HCC6">[2]!_xlbgnm.HCC6</definedName>
    <definedName name="___________________________HCP002" localSheetId="7">[3]!_xlbgnm.HCP02</definedName>
    <definedName name="___________________________HCP002" localSheetId="23">[3]!_xlbgnm.HCP02</definedName>
    <definedName name="___________________________HCP002">[3]!_xlbgnm.HCP02</definedName>
    <definedName name="___________________________HCP004" localSheetId="7">[3]!_xlbgnm.HCP04</definedName>
    <definedName name="___________________________HCP004" localSheetId="23">[3]!_xlbgnm.HCP04</definedName>
    <definedName name="___________________________HCP004">[3]!_xlbgnm.HCP04</definedName>
    <definedName name="___________________________HCP02" localSheetId="7">[3]!_xlbgnm.HCP02</definedName>
    <definedName name="___________________________HCP02" localSheetId="23">[3]!_xlbgnm.HCP02</definedName>
    <definedName name="___________________________HCP02">[3]!_xlbgnm.HCP02</definedName>
    <definedName name="___________________________HCP03" localSheetId="7">[3]!_xlbgnm.HCP03</definedName>
    <definedName name="___________________________HCP03" localSheetId="23">[3]!_xlbgnm.HCP03</definedName>
    <definedName name="___________________________HCP03">[3]!_xlbgnm.HCP03</definedName>
    <definedName name="___________________________HCP04" localSheetId="7">[3]!_xlbgnm.HCP04</definedName>
    <definedName name="___________________________HCP04" localSheetId="23">[3]!_xlbgnm.HCP04</definedName>
    <definedName name="___________________________HCP04">[3]!_xlbgnm.HCP04</definedName>
    <definedName name="___________________________HCP05" localSheetId="7">[3]!_xlbgnm.HCP05</definedName>
    <definedName name="___________________________HCP05" localSheetId="23">[3]!_xlbgnm.HCP05</definedName>
    <definedName name="___________________________HCP05">[3]!_xlbgnm.HCP05</definedName>
    <definedName name="___________________________HDC01" localSheetId="7">[3]!_xlbgnm.HDC01</definedName>
    <definedName name="___________________________HDC01" localSheetId="23">[3]!_xlbgnm.HDC01</definedName>
    <definedName name="___________________________HDC01">[3]!_xlbgnm.HDC01</definedName>
    <definedName name="___________________________hlm4" localSheetId="7">#REF!</definedName>
    <definedName name="___________________________hlm4" localSheetId="23">#REF!</definedName>
    <definedName name="___________________________hlm4">#REF!</definedName>
    <definedName name="___________________________L1" localSheetId="7">#REF!</definedName>
    <definedName name="___________________________L1" localSheetId="23">#REF!</definedName>
    <definedName name="___________________________L1">#REF!</definedName>
    <definedName name="___________________________L2" localSheetId="7">#REF!</definedName>
    <definedName name="___________________________L2" localSheetId="23">#REF!</definedName>
    <definedName name="___________________________L2">#REF!</definedName>
    <definedName name="___________________________mp2" localSheetId="7">#REF!</definedName>
    <definedName name="___________________________mp2" localSheetId="23">#REF!</definedName>
    <definedName name="___________________________mp2">#REF!</definedName>
    <definedName name="___________________________mp3">[1]MP3!$A$4:$C$5</definedName>
    <definedName name="___________________________UMP1">[1]MP1!$F$1:$F$65536</definedName>
    <definedName name="___________________________UMP3">[1]MP3!$F$1:$F$65536</definedName>
    <definedName name="__________________________bcs2004" localSheetId="7">#REF!</definedName>
    <definedName name="__________________________bcs2004" localSheetId="23">#REF!</definedName>
    <definedName name="__________________________bcs2004">#REF!</definedName>
    <definedName name="__________________________hal1" localSheetId="7">#REF!</definedName>
    <definedName name="__________________________hal1" localSheetId="23">#REF!</definedName>
    <definedName name="__________________________hal1">#REF!</definedName>
    <definedName name="__________________________Hal100" localSheetId="7">#REF!</definedName>
    <definedName name="__________________________Hal100" localSheetId="23">#REF!</definedName>
    <definedName name="__________________________Hal100">#REF!</definedName>
    <definedName name="__________________________HCC6" localSheetId="7">[2]!_xlbgnm.HCC6</definedName>
    <definedName name="__________________________HCC6" localSheetId="23">[2]!_xlbgnm.HCC6</definedName>
    <definedName name="__________________________HCC6">[2]!_xlbgnm.HCC6</definedName>
    <definedName name="__________________________HCP002" localSheetId="7">[3]!_xlbgnm.HCP02</definedName>
    <definedName name="__________________________HCP002" localSheetId="23">[3]!_xlbgnm.HCP02</definedName>
    <definedName name="__________________________HCP002">[3]!_xlbgnm.HCP02</definedName>
    <definedName name="__________________________HCP004" localSheetId="7">[3]!_xlbgnm.HCP04</definedName>
    <definedName name="__________________________HCP004" localSheetId="23">[3]!_xlbgnm.HCP04</definedName>
    <definedName name="__________________________HCP004">[3]!_xlbgnm.HCP04</definedName>
    <definedName name="__________________________HCP02" localSheetId="7">[3]!_xlbgnm.HCP02</definedName>
    <definedName name="__________________________HCP02" localSheetId="23">[3]!_xlbgnm.HCP02</definedName>
    <definedName name="__________________________HCP02">[3]!_xlbgnm.HCP02</definedName>
    <definedName name="__________________________HCP03" localSheetId="7">[3]!_xlbgnm.HCP03</definedName>
    <definedName name="__________________________HCP03" localSheetId="23">[3]!_xlbgnm.HCP03</definedName>
    <definedName name="__________________________HCP03">[3]!_xlbgnm.HCP03</definedName>
    <definedName name="__________________________HCP04" localSheetId="7">[3]!_xlbgnm.HCP04</definedName>
    <definedName name="__________________________HCP04" localSheetId="23">[3]!_xlbgnm.HCP04</definedName>
    <definedName name="__________________________HCP04">[3]!_xlbgnm.HCP04</definedName>
    <definedName name="__________________________HCP05" localSheetId="7">[3]!_xlbgnm.HCP05</definedName>
    <definedName name="__________________________HCP05" localSheetId="23">[3]!_xlbgnm.HCP05</definedName>
    <definedName name="__________________________HCP05">[3]!_xlbgnm.HCP05</definedName>
    <definedName name="__________________________HDC01" localSheetId="7">[3]!_xlbgnm.HDC01</definedName>
    <definedName name="__________________________HDC01" localSheetId="23">[3]!_xlbgnm.HDC01</definedName>
    <definedName name="__________________________HDC01">[3]!_xlbgnm.HDC01</definedName>
    <definedName name="__________________________hlm4" localSheetId="7">#REF!</definedName>
    <definedName name="__________________________hlm4" localSheetId="23">#REF!</definedName>
    <definedName name="__________________________hlm4">#REF!</definedName>
    <definedName name="__________________________mp2" localSheetId="7">#REF!</definedName>
    <definedName name="__________________________mp2" localSheetId="23">#REF!</definedName>
    <definedName name="__________________________mp2">#REF!</definedName>
    <definedName name="__________________________mp3">[1]MP3!$A$4:$C$5</definedName>
    <definedName name="__________________________UMP1">[1]MP1!$F$1:$F$65536</definedName>
    <definedName name="__________________________UMP3">[1]MP3!$F$1:$F$65536</definedName>
    <definedName name="_________________________bcs2004" localSheetId="7">#REF!</definedName>
    <definedName name="_________________________bcs2004" localSheetId="23">#REF!</definedName>
    <definedName name="_________________________bcs2004">#REF!</definedName>
    <definedName name="_________________________hal1" localSheetId="7">#REF!</definedName>
    <definedName name="_________________________hal1" localSheetId="23">#REF!</definedName>
    <definedName name="_________________________hal1">#REF!</definedName>
    <definedName name="_________________________Hal100" localSheetId="7">#REF!</definedName>
    <definedName name="_________________________Hal100" localSheetId="23">#REF!</definedName>
    <definedName name="_________________________Hal100">#REF!</definedName>
    <definedName name="_________________________HCC6" localSheetId="7">[2]!_xlbgnm.HCC6</definedName>
    <definedName name="_________________________HCC6" localSheetId="23">[2]!_xlbgnm.HCC6</definedName>
    <definedName name="_________________________HCC6">[2]!_xlbgnm.HCC6</definedName>
    <definedName name="_________________________HCP002" localSheetId="7">[3]!_xlbgnm.HCP02</definedName>
    <definedName name="_________________________HCP002" localSheetId="23">[3]!_xlbgnm.HCP02</definedName>
    <definedName name="_________________________HCP002">[3]!_xlbgnm.HCP02</definedName>
    <definedName name="_________________________HCP004" localSheetId="7">[3]!_xlbgnm.HCP04</definedName>
    <definedName name="_________________________HCP004" localSheetId="23">[3]!_xlbgnm.HCP04</definedName>
    <definedName name="_________________________HCP004">[3]!_xlbgnm.HCP04</definedName>
    <definedName name="_________________________HCP02" localSheetId="7">[3]!_xlbgnm.HCP02</definedName>
    <definedName name="_________________________HCP02" localSheetId="23">[3]!_xlbgnm.HCP02</definedName>
    <definedName name="_________________________HCP02">[3]!_xlbgnm.HCP02</definedName>
    <definedName name="_________________________HCP03" localSheetId="7">[3]!_xlbgnm.HCP03</definedName>
    <definedName name="_________________________HCP03" localSheetId="23">[3]!_xlbgnm.HCP03</definedName>
    <definedName name="_________________________HCP03">[3]!_xlbgnm.HCP03</definedName>
    <definedName name="_________________________HCP04" localSheetId="7">[3]!_xlbgnm.HCP04</definedName>
    <definedName name="_________________________HCP04" localSheetId="23">[3]!_xlbgnm.HCP04</definedName>
    <definedName name="_________________________HCP04">[3]!_xlbgnm.HCP04</definedName>
    <definedName name="_________________________HCP05" localSheetId="7">[3]!_xlbgnm.HCP05</definedName>
    <definedName name="_________________________HCP05" localSheetId="23">[3]!_xlbgnm.HCP05</definedName>
    <definedName name="_________________________HCP05">[3]!_xlbgnm.HCP05</definedName>
    <definedName name="_________________________HDC01" localSheetId="7">[3]!_xlbgnm.HDC01</definedName>
    <definedName name="_________________________HDC01" localSheetId="23">[3]!_xlbgnm.HDC01</definedName>
    <definedName name="_________________________HDC01">[3]!_xlbgnm.HDC01</definedName>
    <definedName name="_________________________hlm4" localSheetId="7">#REF!</definedName>
    <definedName name="_________________________hlm4" localSheetId="23">#REF!</definedName>
    <definedName name="_________________________hlm4">#REF!</definedName>
    <definedName name="_________________________L1" localSheetId="7">#REF!</definedName>
    <definedName name="_________________________L1" localSheetId="23">#REF!</definedName>
    <definedName name="_________________________L1">#REF!</definedName>
    <definedName name="_________________________L2" localSheetId="7">#REF!</definedName>
    <definedName name="_________________________L2" localSheetId="23">#REF!</definedName>
    <definedName name="_________________________L2">#REF!</definedName>
    <definedName name="_________________________mp2" localSheetId="7">#REF!</definedName>
    <definedName name="_________________________mp2" localSheetId="23">#REF!</definedName>
    <definedName name="_________________________mp2">#REF!</definedName>
    <definedName name="_________________________mp3">[1]MP3!$A$4:$C$5</definedName>
    <definedName name="_________________________UMP1">[1]MP1!$F$1:$F$65536</definedName>
    <definedName name="_________________________UMP3">[1]MP3!$F$1:$F$65536</definedName>
    <definedName name="________________________bcs2004" localSheetId="7">#REF!</definedName>
    <definedName name="________________________bcs2004" localSheetId="23">#REF!</definedName>
    <definedName name="________________________bcs2004">#REF!</definedName>
    <definedName name="________________________hal1" localSheetId="7">#REF!</definedName>
    <definedName name="________________________hal1" localSheetId="23">#REF!</definedName>
    <definedName name="________________________hal1">#REF!</definedName>
    <definedName name="________________________Hal100" localSheetId="7">#REF!</definedName>
    <definedName name="________________________Hal100" localSheetId="23">#REF!</definedName>
    <definedName name="________________________Hal100">#REF!</definedName>
    <definedName name="________________________HCC6" localSheetId="7">[2]!_xlbgnm.HCC6</definedName>
    <definedName name="________________________HCC6" localSheetId="23">[2]!_xlbgnm.HCC6</definedName>
    <definedName name="________________________HCC6">[2]!_xlbgnm.HCC6</definedName>
    <definedName name="________________________HCP002" localSheetId="7">[3]!_xlbgnm.HCP02</definedName>
    <definedName name="________________________HCP002" localSheetId="23">[3]!_xlbgnm.HCP02</definedName>
    <definedName name="________________________HCP002">[3]!_xlbgnm.HCP02</definedName>
    <definedName name="________________________HCP004" localSheetId="7">[3]!_xlbgnm.HCP04</definedName>
    <definedName name="________________________HCP004" localSheetId="23">[3]!_xlbgnm.HCP04</definedName>
    <definedName name="________________________HCP004">[3]!_xlbgnm.HCP04</definedName>
    <definedName name="________________________HCP02" localSheetId="7">[3]!_xlbgnm.HCP02</definedName>
    <definedName name="________________________HCP02" localSheetId="23">[3]!_xlbgnm.HCP02</definedName>
    <definedName name="________________________HCP02">[3]!_xlbgnm.HCP02</definedName>
    <definedName name="________________________HCP03" localSheetId="7">[3]!_xlbgnm.HCP03</definedName>
    <definedName name="________________________HCP03" localSheetId="23">[3]!_xlbgnm.HCP03</definedName>
    <definedName name="________________________HCP03">[3]!_xlbgnm.HCP03</definedName>
    <definedName name="________________________HCP04" localSheetId="7">[3]!_xlbgnm.HCP04</definedName>
    <definedName name="________________________HCP04" localSheetId="23">[3]!_xlbgnm.HCP04</definedName>
    <definedName name="________________________HCP04">[3]!_xlbgnm.HCP04</definedName>
    <definedName name="________________________HCP05" localSheetId="7">[3]!_xlbgnm.HCP05</definedName>
    <definedName name="________________________HCP05" localSheetId="23">[3]!_xlbgnm.HCP05</definedName>
    <definedName name="________________________HCP05">[3]!_xlbgnm.HCP05</definedName>
    <definedName name="________________________HDC01" localSheetId="7">[3]!_xlbgnm.HDC01</definedName>
    <definedName name="________________________HDC01" localSheetId="23">[3]!_xlbgnm.HDC01</definedName>
    <definedName name="________________________HDC01">[3]!_xlbgnm.HDC01</definedName>
    <definedName name="________________________hlm4" localSheetId="7">#REF!</definedName>
    <definedName name="________________________hlm4" localSheetId="23">#REF!</definedName>
    <definedName name="________________________hlm4">#REF!</definedName>
    <definedName name="________________________L1" localSheetId="7">#REF!</definedName>
    <definedName name="________________________L1">#REF!</definedName>
    <definedName name="________________________L2" localSheetId="7">#REF!</definedName>
    <definedName name="________________________L2">#REF!</definedName>
    <definedName name="________________________mp2" localSheetId="7">#REF!</definedName>
    <definedName name="________________________mp2" localSheetId="23">#REF!</definedName>
    <definedName name="________________________mp2">#REF!</definedName>
    <definedName name="________________________mp3">[1]MP3!$A$4:$C$5</definedName>
    <definedName name="________________________UMP1">[1]MP1!$F$1:$F$65536</definedName>
    <definedName name="________________________UMP3">[1]MP3!$F$1:$F$65536</definedName>
    <definedName name="_______________________bcs2004" localSheetId="7">#REF!</definedName>
    <definedName name="_______________________bcs2004" localSheetId="23">#REF!</definedName>
    <definedName name="_______________________bcs2004">#REF!</definedName>
    <definedName name="_______________________hal1" localSheetId="7">#REF!</definedName>
    <definedName name="_______________________hal1" localSheetId="23">#REF!</definedName>
    <definedName name="_______________________hal1">#REF!</definedName>
    <definedName name="_______________________Hal100" localSheetId="7">#REF!</definedName>
    <definedName name="_______________________Hal100" localSheetId="23">#REF!</definedName>
    <definedName name="_______________________Hal100">#REF!</definedName>
    <definedName name="_______________________HCC6" localSheetId="7">[2]!_xlbgnm.HCC6</definedName>
    <definedName name="_______________________HCC6" localSheetId="23">[2]!_xlbgnm.HCC6</definedName>
    <definedName name="_______________________HCC6">[2]!_xlbgnm.HCC6</definedName>
    <definedName name="_______________________HCP002" localSheetId="7">[3]!_xlbgnm.HCP02</definedName>
    <definedName name="_______________________HCP002" localSheetId="23">[3]!_xlbgnm.HCP02</definedName>
    <definedName name="_______________________HCP002">[3]!_xlbgnm.HCP02</definedName>
    <definedName name="_______________________HCP004" localSheetId="7">[3]!_xlbgnm.HCP04</definedName>
    <definedName name="_______________________HCP004" localSheetId="23">[3]!_xlbgnm.HCP04</definedName>
    <definedName name="_______________________HCP004">[3]!_xlbgnm.HCP04</definedName>
    <definedName name="_______________________HCP02" localSheetId="7">[3]!_xlbgnm.HCP02</definedName>
    <definedName name="_______________________HCP02" localSheetId="23">[3]!_xlbgnm.HCP02</definedName>
    <definedName name="_______________________HCP02">[3]!_xlbgnm.HCP02</definedName>
    <definedName name="_______________________HCP03" localSheetId="7">[3]!_xlbgnm.HCP03</definedName>
    <definedName name="_______________________HCP03" localSheetId="23">[3]!_xlbgnm.HCP03</definedName>
    <definedName name="_______________________HCP03">[3]!_xlbgnm.HCP03</definedName>
    <definedName name="_______________________HCP04" localSheetId="7">[3]!_xlbgnm.HCP04</definedName>
    <definedName name="_______________________HCP04" localSheetId="23">[3]!_xlbgnm.HCP04</definedName>
    <definedName name="_______________________HCP04">[3]!_xlbgnm.HCP04</definedName>
    <definedName name="_______________________HCP05" localSheetId="7">[3]!_xlbgnm.HCP05</definedName>
    <definedName name="_______________________HCP05" localSheetId="23">[3]!_xlbgnm.HCP05</definedName>
    <definedName name="_______________________HCP05">[3]!_xlbgnm.HCP05</definedName>
    <definedName name="_______________________HDC01" localSheetId="7">[3]!_xlbgnm.HDC01</definedName>
    <definedName name="_______________________HDC01" localSheetId="23">[3]!_xlbgnm.HDC01</definedName>
    <definedName name="_______________________HDC01">[3]!_xlbgnm.HDC01</definedName>
    <definedName name="_______________________hlm4" localSheetId="7">#REF!</definedName>
    <definedName name="_______________________hlm4" localSheetId="23">#REF!</definedName>
    <definedName name="_______________________hlm4">#REF!</definedName>
    <definedName name="_______________________L1" localSheetId="7">#REF!</definedName>
    <definedName name="_______________________L1" localSheetId="23">#REF!</definedName>
    <definedName name="_______________________L1">#REF!</definedName>
    <definedName name="_______________________L2" localSheetId="7">#REF!</definedName>
    <definedName name="_______________________L2" localSheetId="23">#REF!</definedName>
    <definedName name="_______________________L2">#REF!</definedName>
    <definedName name="_______________________mp2" localSheetId="7">#REF!</definedName>
    <definedName name="_______________________mp2" localSheetId="23">#REF!</definedName>
    <definedName name="_______________________mp2">#REF!</definedName>
    <definedName name="_______________________mp3">[1]MP3!$A$4:$C$5</definedName>
    <definedName name="_______________________UMP1">[1]MP1!$F$1:$F$65536</definedName>
    <definedName name="_______________________UMP3">[1]MP3!$F$1:$F$65536</definedName>
    <definedName name="______________________bcs2004" localSheetId="7">#REF!</definedName>
    <definedName name="______________________bcs2004" localSheetId="23">#REF!</definedName>
    <definedName name="______________________bcs2004">#REF!</definedName>
    <definedName name="______________________hal1" localSheetId="7">#REF!</definedName>
    <definedName name="______________________hal1" localSheetId="23">#REF!</definedName>
    <definedName name="______________________hal1">#REF!</definedName>
    <definedName name="______________________Hal100" localSheetId="7">#REF!</definedName>
    <definedName name="______________________Hal100" localSheetId="23">#REF!</definedName>
    <definedName name="______________________Hal100">#REF!</definedName>
    <definedName name="______________________HCC6" localSheetId="7">[2]!_xlbgnm.HCC6</definedName>
    <definedName name="______________________HCC6" localSheetId="23">[2]!_xlbgnm.HCC6</definedName>
    <definedName name="______________________HCC6">[2]!_xlbgnm.HCC6</definedName>
    <definedName name="______________________HCP002" localSheetId="7">[3]!_xlbgnm.HCP02</definedName>
    <definedName name="______________________HCP002" localSheetId="23">[3]!_xlbgnm.HCP02</definedName>
    <definedName name="______________________HCP002">[3]!_xlbgnm.HCP02</definedName>
    <definedName name="______________________HCP004" localSheetId="7">[3]!_xlbgnm.HCP04</definedName>
    <definedName name="______________________HCP004" localSheetId="23">[3]!_xlbgnm.HCP04</definedName>
    <definedName name="______________________HCP004">[3]!_xlbgnm.HCP04</definedName>
    <definedName name="______________________HCP02" localSheetId="7">[3]!_xlbgnm.HCP02</definedName>
    <definedName name="______________________HCP02" localSheetId="23">[3]!_xlbgnm.HCP02</definedName>
    <definedName name="______________________HCP02">[3]!_xlbgnm.HCP02</definedName>
    <definedName name="______________________HCP03" localSheetId="7">[3]!_xlbgnm.HCP03</definedName>
    <definedName name="______________________HCP03" localSheetId="23">[3]!_xlbgnm.HCP03</definedName>
    <definedName name="______________________HCP03">[3]!_xlbgnm.HCP03</definedName>
    <definedName name="______________________HCP04" localSheetId="7">[3]!_xlbgnm.HCP04</definedName>
    <definedName name="______________________HCP04" localSheetId="23">[3]!_xlbgnm.HCP04</definedName>
    <definedName name="______________________HCP04">[3]!_xlbgnm.HCP04</definedName>
    <definedName name="______________________HCP05" localSheetId="7">[3]!_xlbgnm.HCP05</definedName>
    <definedName name="______________________HCP05" localSheetId="23">[3]!_xlbgnm.HCP05</definedName>
    <definedName name="______________________HCP05">[3]!_xlbgnm.HCP05</definedName>
    <definedName name="______________________HDC01" localSheetId="7">[3]!_xlbgnm.HDC01</definedName>
    <definedName name="______________________HDC01" localSheetId="23">[3]!_xlbgnm.HDC01</definedName>
    <definedName name="______________________HDC01">[3]!_xlbgnm.HDC01</definedName>
    <definedName name="______________________hlm4" localSheetId="7">#REF!</definedName>
    <definedName name="______________________hlm4" localSheetId="23">#REF!</definedName>
    <definedName name="______________________hlm4">#REF!</definedName>
    <definedName name="______________________L1" localSheetId="7">#REF!</definedName>
    <definedName name="______________________L1" localSheetId="23">#REF!</definedName>
    <definedName name="______________________L1">#REF!</definedName>
    <definedName name="______________________L2" localSheetId="7">#REF!</definedName>
    <definedName name="______________________L2" localSheetId="23">#REF!</definedName>
    <definedName name="______________________L2">#REF!</definedName>
    <definedName name="______________________mp2" localSheetId="7">#REF!</definedName>
    <definedName name="______________________mp2" localSheetId="23">#REF!</definedName>
    <definedName name="______________________mp2">#REF!</definedName>
    <definedName name="______________________mp3">[1]MP3!$A$4:$C$5</definedName>
    <definedName name="______________________UMP1">[1]MP1!$F$1:$F$65536</definedName>
    <definedName name="______________________UMP3">[1]MP3!$F$1:$F$65536</definedName>
    <definedName name="_____________________bcs2004" localSheetId="7">#REF!</definedName>
    <definedName name="_____________________bcs2004" localSheetId="23">#REF!</definedName>
    <definedName name="_____________________bcs2004">#REF!</definedName>
    <definedName name="_____________________hal1" localSheetId="7">#REF!</definedName>
    <definedName name="_____________________hal1" localSheetId="23">#REF!</definedName>
    <definedName name="_____________________hal1">#REF!</definedName>
    <definedName name="_____________________Hal100" localSheetId="7">#REF!</definedName>
    <definedName name="_____________________Hal100" localSheetId="23">#REF!</definedName>
    <definedName name="_____________________Hal100">#REF!</definedName>
    <definedName name="_____________________HCC6" localSheetId="7">[2]!_xlbgnm.HCC6</definedName>
    <definedName name="_____________________HCC6" localSheetId="23">[2]!_xlbgnm.HCC6</definedName>
    <definedName name="_____________________HCC6">[2]!_xlbgnm.HCC6</definedName>
    <definedName name="_____________________HCP002" localSheetId="7">[3]!_xlbgnm.HCP02</definedName>
    <definedName name="_____________________HCP002" localSheetId="23">[3]!_xlbgnm.HCP02</definedName>
    <definedName name="_____________________HCP002">[3]!_xlbgnm.HCP02</definedName>
    <definedName name="_____________________HCP004" localSheetId="7">[3]!_xlbgnm.HCP04</definedName>
    <definedName name="_____________________HCP004" localSheetId="23">[3]!_xlbgnm.HCP04</definedName>
    <definedName name="_____________________HCP004">[3]!_xlbgnm.HCP04</definedName>
    <definedName name="_____________________HCP02" localSheetId="7">[3]!_xlbgnm.HCP02</definedName>
    <definedName name="_____________________HCP02" localSheetId="23">[3]!_xlbgnm.HCP02</definedName>
    <definedName name="_____________________HCP02">[3]!_xlbgnm.HCP02</definedName>
    <definedName name="_____________________HCP03" localSheetId="7">[3]!_xlbgnm.HCP03</definedName>
    <definedName name="_____________________HCP03" localSheetId="23">[3]!_xlbgnm.HCP03</definedName>
    <definedName name="_____________________HCP03">[3]!_xlbgnm.HCP03</definedName>
    <definedName name="_____________________HCP04" localSheetId="7">[3]!_xlbgnm.HCP04</definedName>
    <definedName name="_____________________HCP04" localSheetId="23">[3]!_xlbgnm.HCP04</definedName>
    <definedName name="_____________________HCP04">[3]!_xlbgnm.HCP04</definedName>
    <definedName name="_____________________HCP05" localSheetId="7">[3]!_xlbgnm.HCP05</definedName>
    <definedName name="_____________________HCP05" localSheetId="23">[3]!_xlbgnm.HCP05</definedName>
    <definedName name="_____________________HCP05">[3]!_xlbgnm.HCP05</definedName>
    <definedName name="_____________________HDC01" localSheetId="7">[3]!_xlbgnm.HDC01</definedName>
    <definedName name="_____________________HDC01" localSheetId="23">[3]!_xlbgnm.HDC01</definedName>
    <definedName name="_____________________HDC01">[3]!_xlbgnm.HDC01</definedName>
    <definedName name="_____________________hlm4" localSheetId="7">#REF!</definedName>
    <definedName name="_____________________hlm4" localSheetId="23">#REF!</definedName>
    <definedName name="_____________________hlm4">#REF!</definedName>
    <definedName name="_____________________L1" localSheetId="7">#REF!</definedName>
    <definedName name="_____________________L1" localSheetId="23">#REF!</definedName>
    <definedName name="_____________________L1">#REF!</definedName>
    <definedName name="_____________________L2" localSheetId="7">#REF!</definedName>
    <definedName name="_____________________L2" localSheetId="23">#REF!</definedName>
    <definedName name="_____________________L2">#REF!</definedName>
    <definedName name="_____________________mp2" localSheetId="7">#REF!</definedName>
    <definedName name="_____________________mp2" localSheetId="23">#REF!</definedName>
    <definedName name="_____________________mp2">#REF!</definedName>
    <definedName name="_____________________mp3">[1]MP3!$A$4:$C$5</definedName>
    <definedName name="_____________________UMP1">[1]MP1!$F$1:$F$65536</definedName>
    <definedName name="_____________________UMP3">[1]MP3!$F$1:$F$65536</definedName>
    <definedName name="____________________bcs2004" localSheetId="7">#REF!</definedName>
    <definedName name="____________________bcs2004" localSheetId="23">#REF!</definedName>
    <definedName name="____________________bcs2004">#REF!</definedName>
    <definedName name="____________________hal1" localSheetId="7">#REF!</definedName>
    <definedName name="____________________hal1" localSheetId="23">#REF!</definedName>
    <definedName name="____________________hal1">#REF!</definedName>
    <definedName name="____________________Hal100" localSheetId="7">#REF!</definedName>
    <definedName name="____________________Hal100" localSheetId="23">#REF!</definedName>
    <definedName name="____________________Hal100">#REF!</definedName>
    <definedName name="____________________HCC6" localSheetId="7">[2]!_xlbgnm.HCC6</definedName>
    <definedName name="____________________HCC6" localSheetId="23">[2]!_xlbgnm.HCC6</definedName>
    <definedName name="____________________HCC6">[2]!_xlbgnm.HCC6</definedName>
    <definedName name="____________________HCP002" localSheetId="7">[3]!_xlbgnm.HCP02</definedName>
    <definedName name="____________________HCP002" localSheetId="23">[3]!_xlbgnm.HCP02</definedName>
    <definedName name="____________________HCP002">[3]!_xlbgnm.HCP02</definedName>
    <definedName name="____________________HCP004" localSheetId="7">[3]!_xlbgnm.HCP04</definedName>
    <definedName name="____________________HCP004" localSheetId="23">[3]!_xlbgnm.HCP04</definedName>
    <definedName name="____________________HCP004">[3]!_xlbgnm.HCP04</definedName>
    <definedName name="____________________HCP02" localSheetId="7">[3]!_xlbgnm.HCP02</definedName>
    <definedName name="____________________HCP02" localSheetId="23">[3]!_xlbgnm.HCP02</definedName>
    <definedName name="____________________HCP02">[3]!_xlbgnm.HCP02</definedName>
    <definedName name="____________________HCP03" localSheetId="7">[3]!_xlbgnm.HCP03</definedName>
    <definedName name="____________________HCP03" localSheetId="23">[3]!_xlbgnm.HCP03</definedName>
    <definedName name="____________________HCP03">[3]!_xlbgnm.HCP03</definedName>
    <definedName name="____________________HCP04" localSheetId="7">[3]!_xlbgnm.HCP04</definedName>
    <definedName name="____________________HCP04" localSheetId="23">[3]!_xlbgnm.HCP04</definedName>
    <definedName name="____________________HCP04">[3]!_xlbgnm.HCP04</definedName>
    <definedName name="____________________HCP05" localSheetId="7">[3]!_xlbgnm.HCP05</definedName>
    <definedName name="____________________HCP05" localSheetId="23">[3]!_xlbgnm.HCP05</definedName>
    <definedName name="____________________HCP05">[3]!_xlbgnm.HCP05</definedName>
    <definedName name="____________________HDC01" localSheetId="7">[3]!_xlbgnm.HDC01</definedName>
    <definedName name="____________________HDC01" localSheetId="23">[3]!_xlbgnm.HDC01</definedName>
    <definedName name="____________________HDC01">[3]!_xlbgnm.HDC01</definedName>
    <definedName name="____________________hlm4" localSheetId="7">#REF!</definedName>
    <definedName name="____________________hlm4" localSheetId="23">#REF!</definedName>
    <definedName name="____________________hlm4">#REF!</definedName>
    <definedName name="____________________L1" localSheetId="7">#REF!</definedName>
    <definedName name="____________________L1" localSheetId="23">#REF!</definedName>
    <definedName name="____________________L1">#REF!</definedName>
    <definedName name="____________________L2" localSheetId="7">#REF!</definedName>
    <definedName name="____________________L2" localSheetId="23">#REF!</definedName>
    <definedName name="____________________L2">#REF!</definedName>
    <definedName name="____________________mp2" localSheetId="7">#REF!</definedName>
    <definedName name="____________________mp2" localSheetId="23">#REF!</definedName>
    <definedName name="____________________mp2">#REF!</definedName>
    <definedName name="____________________mp3">[1]MP3!$A$4:$C$5</definedName>
    <definedName name="____________________UMP1">[1]MP1!$F$1:$F$65536</definedName>
    <definedName name="____________________UMP3">[1]MP3!$F$1:$F$65536</definedName>
    <definedName name="___________________bcs2004" localSheetId="7">#REF!</definedName>
    <definedName name="___________________bcs2004" localSheetId="23">#REF!</definedName>
    <definedName name="___________________bcs2004">#REF!</definedName>
    <definedName name="___________________hal1" localSheetId="7">#REF!</definedName>
    <definedName name="___________________hal1" localSheetId="23">#REF!</definedName>
    <definedName name="___________________hal1">#REF!</definedName>
    <definedName name="___________________Hal100" localSheetId="7">#REF!</definedName>
    <definedName name="___________________Hal100" localSheetId="23">#REF!</definedName>
    <definedName name="___________________Hal100">#REF!</definedName>
    <definedName name="___________________HCC6" localSheetId="7">[2]!_xlbgnm.HCC6</definedName>
    <definedName name="___________________HCC6" localSheetId="23">[2]!_xlbgnm.HCC6</definedName>
    <definedName name="___________________HCC6">[2]!_xlbgnm.HCC6</definedName>
    <definedName name="___________________HCP002" localSheetId="7">[3]!_xlbgnm.HCP02</definedName>
    <definedName name="___________________HCP002" localSheetId="23">[3]!_xlbgnm.HCP02</definedName>
    <definedName name="___________________HCP002">[3]!_xlbgnm.HCP02</definedName>
    <definedName name="___________________HCP004" localSheetId="7">[3]!_xlbgnm.HCP04</definedName>
    <definedName name="___________________HCP004" localSheetId="23">[3]!_xlbgnm.HCP04</definedName>
    <definedName name="___________________HCP004">[3]!_xlbgnm.HCP04</definedName>
    <definedName name="___________________HCP02" localSheetId="7">[3]!_xlbgnm.HCP02</definedName>
    <definedName name="___________________HCP02" localSheetId="23">[3]!_xlbgnm.HCP02</definedName>
    <definedName name="___________________HCP02">[3]!_xlbgnm.HCP02</definedName>
    <definedName name="___________________HCP03" localSheetId="7">[3]!_xlbgnm.HCP03</definedName>
    <definedName name="___________________HCP03" localSheetId="23">[3]!_xlbgnm.HCP03</definedName>
    <definedName name="___________________HCP03">[3]!_xlbgnm.HCP03</definedName>
    <definedName name="___________________HCP04" localSheetId="7">[3]!_xlbgnm.HCP04</definedName>
    <definedName name="___________________HCP04" localSheetId="23">[3]!_xlbgnm.HCP04</definedName>
    <definedName name="___________________HCP04">[3]!_xlbgnm.HCP04</definedName>
    <definedName name="___________________HCP05" localSheetId="7">[3]!_xlbgnm.HCP05</definedName>
    <definedName name="___________________HCP05" localSheetId="23">[3]!_xlbgnm.HCP05</definedName>
    <definedName name="___________________HCP05">[3]!_xlbgnm.HCP05</definedName>
    <definedName name="___________________HDC01" localSheetId="7">[3]!_xlbgnm.HDC01</definedName>
    <definedName name="___________________HDC01" localSheetId="23">[3]!_xlbgnm.HDC01</definedName>
    <definedName name="___________________HDC01">[3]!_xlbgnm.HDC01</definedName>
    <definedName name="___________________hlm4" localSheetId="7">#REF!</definedName>
    <definedName name="___________________hlm4" localSheetId="23">#REF!</definedName>
    <definedName name="___________________hlm4">#REF!</definedName>
    <definedName name="___________________L1" localSheetId="7">#REF!</definedName>
    <definedName name="___________________L1" localSheetId="23">#REF!</definedName>
    <definedName name="___________________L1">#REF!</definedName>
    <definedName name="___________________L2" localSheetId="7">#REF!</definedName>
    <definedName name="___________________L2" localSheetId="23">#REF!</definedName>
    <definedName name="___________________L2">#REF!</definedName>
    <definedName name="___________________mp2" localSheetId="7">#REF!</definedName>
    <definedName name="___________________mp2" localSheetId="23">#REF!</definedName>
    <definedName name="___________________mp2">#REF!</definedName>
    <definedName name="___________________mp3">[1]MP3!$A$4:$C$5</definedName>
    <definedName name="___________________UMP1">[1]MP1!$F$1:$F$65536</definedName>
    <definedName name="___________________UMP3">[1]MP3!$F$1:$F$65536</definedName>
    <definedName name="__________________bcs2004" localSheetId="7">#REF!</definedName>
    <definedName name="__________________bcs2004" localSheetId="23">#REF!</definedName>
    <definedName name="__________________bcs2004">#REF!</definedName>
    <definedName name="__________________hal1" localSheetId="7">#REF!</definedName>
    <definedName name="__________________hal1" localSheetId="23">#REF!</definedName>
    <definedName name="__________________hal1">#REF!</definedName>
    <definedName name="__________________Hal100" localSheetId="7">#REF!</definedName>
    <definedName name="__________________Hal100" localSheetId="23">#REF!</definedName>
    <definedName name="__________________Hal100">#REF!</definedName>
    <definedName name="__________________HCC6" localSheetId="7">[2]!_xlbgnm.HCC6</definedName>
    <definedName name="__________________HCC6" localSheetId="23">[2]!_xlbgnm.HCC6</definedName>
    <definedName name="__________________HCC6">[2]!_xlbgnm.HCC6</definedName>
    <definedName name="__________________HCP002" localSheetId="7">[3]!_xlbgnm.HCP02</definedName>
    <definedName name="__________________HCP002" localSheetId="23">[3]!_xlbgnm.HCP02</definedName>
    <definedName name="__________________HCP002">[3]!_xlbgnm.HCP02</definedName>
    <definedName name="__________________HCP004" localSheetId="7">[3]!_xlbgnm.HCP04</definedName>
    <definedName name="__________________HCP004" localSheetId="23">[3]!_xlbgnm.HCP04</definedName>
    <definedName name="__________________HCP004">[3]!_xlbgnm.HCP04</definedName>
    <definedName name="__________________HCP02" localSheetId="7">[3]!_xlbgnm.HCP02</definedName>
    <definedName name="__________________HCP02" localSheetId="23">[3]!_xlbgnm.HCP02</definedName>
    <definedName name="__________________HCP02">[3]!_xlbgnm.HCP02</definedName>
    <definedName name="__________________HCP03" localSheetId="7">[3]!_xlbgnm.HCP03</definedName>
    <definedName name="__________________HCP03" localSheetId="23">[3]!_xlbgnm.HCP03</definedName>
    <definedName name="__________________HCP03">[3]!_xlbgnm.HCP03</definedName>
    <definedName name="__________________HCP04" localSheetId="7">[3]!_xlbgnm.HCP04</definedName>
    <definedName name="__________________HCP04" localSheetId="23">[3]!_xlbgnm.HCP04</definedName>
    <definedName name="__________________HCP04">[3]!_xlbgnm.HCP04</definedName>
    <definedName name="__________________HCP05" localSheetId="7">[3]!_xlbgnm.HCP05</definedName>
    <definedName name="__________________HCP05" localSheetId="23">[3]!_xlbgnm.HCP05</definedName>
    <definedName name="__________________HCP05">[3]!_xlbgnm.HCP05</definedName>
    <definedName name="__________________HDC01" localSheetId="7">[3]!_xlbgnm.HDC01</definedName>
    <definedName name="__________________HDC01" localSheetId="23">[3]!_xlbgnm.HDC01</definedName>
    <definedName name="__________________HDC01">[3]!_xlbgnm.HDC01</definedName>
    <definedName name="__________________hlm4" localSheetId="7">#REF!</definedName>
    <definedName name="__________________hlm4" localSheetId="23">#REF!</definedName>
    <definedName name="__________________hlm4">#REF!</definedName>
    <definedName name="__________________L1" localSheetId="7">#REF!</definedName>
    <definedName name="__________________L1" localSheetId="23">#REF!</definedName>
    <definedName name="__________________L1">#REF!</definedName>
    <definedName name="__________________L2" localSheetId="7">#REF!</definedName>
    <definedName name="__________________L2" localSheetId="23">#REF!</definedName>
    <definedName name="__________________L2">#REF!</definedName>
    <definedName name="__________________mp2" localSheetId="7">#REF!</definedName>
    <definedName name="__________________mp2" localSheetId="23">#REF!</definedName>
    <definedName name="__________________mp2">#REF!</definedName>
    <definedName name="__________________mp3">[1]MP3!$A$4:$C$5</definedName>
    <definedName name="__________________UMP1">[1]MP1!$F$1:$F$65536</definedName>
    <definedName name="__________________UMP3">[1]MP3!$F$1:$F$65536</definedName>
    <definedName name="_________________bcs2004" localSheetId="7">#REF!</definedName>
    <definedName name="_________________bcs2004" localSheetId="23">#REF!</definedName>
    <definedName name="_________________bcs2004">#REF!</definedName>
    <definedName name="_________________hal1" localSheetId="7">#REF!</definedName>
    <definedName name="_________________hal1" localSheetId="23">#REF!</definedName>
    <definedName name="_________________hal1">#REF!</definedName>
    <definedName name="_________________Hal100" localSheetId="7">#REF!</definedName>
    <definedName name="_________________Hal100" localSheetId="23">#REF!</definedName>
    <definedName name="_________________Hal100">#REF!</definedName>
    <definedName name="_________________HCC6" localSheetId="7">[2]!_xlbgnm.HCC6</definedName>
    <definedName name="_________________HCC6" localSheetId="23">[2]!_xlbgnm.HCC6</definedName>
    <definedName name="_________________HCC6">[2]!_xlbgnm.HCC6</definedName>
    <definedName name="_________________HCP002" localSheetId="7">[3]!_xlbgnm.HCP02</definedName>
    <definedName name="_________________HCP002" localSheetId="23">[3]!_xlbgnm.HCP02</definedName>
    <definedName name="_________________HCP002">[3]!_xlbgnm.HCP02</definedName>
    <definedName name="_________________HCP004" localSheetId="7">[3]!_xlbgnm.HCP04</definedName>
    <definedName name="_________________HCP004" localSheetId="23">[3]!_xlbgnm.HCP04</definedName>
    <definedName name="_________________HCP004">[3]!_xlbgnm.HCP04</definedName>
    <definedName name="_________________HCP02" localSheetId="7">[3]!_xlbgnm.HCP02</definedName>
    <definedName name="_________________HCP02" localSheetId="23">[3]!_xlbgnm.HCP02</definedName>
    <definedName name="_________________HCP02">[3]!_xlbgnm.HCP02</definedName>
    <definedName name="_________________HCP03" localSheetId="7">[3]!_xlbgnm.HCP03</definedName>
    <definedName name="_________________HCP03" localSheetId="23">[3]!_xlbgnm.HCP03</definedName>
    <definedName name="_________________HCP03">[3]!_xlbgnm.HCP03</definedName>
    <definedName name="_________________HCP04" localSheetId="7">[3]!_xlbgnm.HCP04</definedName>
    <definedName name="_________________HCP04" localSheetId="23">[3]!_xlbgnm.HCP04</definedName>
    <definedName name="_________________HCP04">[3]!_xlbgnm.HCP04</definedName>
    <definedName name="_________________HCP05" localSheetId="7">[3]!_xlbgnm.HCP05</definedName>
    <definedName name="_________________HCP05" localSheetId="23">[3]!_xlbgnm.HCP05</definedName>
    <definedName name="_________________HCP05">[3]!_xlbgnm.HCP05</definedName>
    <definedName name="_________________HDC01" localSheetId="7">[3]!_xlbgnm.HDC01</definedName>
    <definedName name="_________________HDC01" localSheetId="23">[3]!_xlbgnm.HDC01</definedName>
    <definedName name="_________________HDC01">[3]!_xlbgnm.HDC01</definedName>
    <definedName name="_________________hlm4" localSheetId="7">#REF!</definedName>
    <definedName name="_________________hlm4" localSheetId="23">#REF!</definedName>
    <definedName name="_________________hlm4">#REF!</definedName>
    <definedName name="_________________L1" localSheetId="7">#REF!</definedName>
    <definedName name="_________________L1" localSheetId="23">#REF!</definedName>
    <definedName name="_________________L1">#REF!</definedName>
    <definedName name="_________________L2" localSheetId="7">#REF!</definedName>
    <definedName name="_________________L2" localSheetId="23">#REF!</definedName>
    <definedName name="_________________L2">#REF!</definedName>
    <definedName name="_________________mp2" localSheetId="7">#REF!</definedName>
    <definedName name="_________________mp2" localSheetId="23">#REF!</definedName>
    <definedName name="_________________mp2">#REF!</definedName>
    <definedName name="_________________mp3">[1]MP3!$A$4:$C$5</definedName>
    <definedName name="_________________UMP1">[1]MP1!$F$1:$F$65536</definedName>
    <definedName name="_________________UMP3">[1]MP3!$F$1:$F$65536</definedName>
    <definedName name="________________bcs2004" localSheetId="7">#REF!</definedName>
    <definedName name="________________bcs2004" localSheetId="23">#REF!</definedName>
    <definedName name="________________bcs2004">#REF!</definedName>
    <definedName name="________________hal1" localSheetId="7">#REF!</definedName>
    <definedName name="________________hal1" localSheetId="23">#REF!</definedName>
    <definedName name="________________hal1">#REF!</definedName>
    <definedName name="________________Hal100" localSheetId="7">#REF!</definedName>
    <definedName name="________________Hal100" localSheetId="23">#REF!</definedName>
    <definedName name="________________Hal100">#REF!</definedName>
    <definedName name="________________HCC6" localSheetId="7">[2]!_xlbgnm.HCC6</definedName>
    <definedName name="________________HCC6" localSheetId="23">[2]!_xlbgnm.HCC6</definedName>
    <definedName name="________________HCC6">[2]!_xlbgnm.HCC6</definedName>
    <definedName name="________________HCP002" localSheetId="7">[3]!_xlbgnm.HCP02</definedName>
    <definedName name="________________HCP002" localSheetId="23">[3]!_xlbgnm.HCP02</definedName>
    <definedName name="________________HCP002">[3]!_xlbgnm.HCP02</definedName>
    <definedName name="________________HCP004" localSheetId="7">[3]!_xlbgnm.HCP04</definedName>
    <definedName name="________________HCP004" localSheetId="23">[3]!_xlbgnm.HCP04</definedName>
    <definedName name="________________HCP004">[3]!_xlbgnm.HCP04</definedName>
    <definedName name="________________HCP02" localSheetId="7">[3]!_xlbgnm.HCP02</definedName>
    <definedName name="________________HCP02" localSheetId="23">[3]!_xlbgnm.HCP02</definedName>
    <definedName name="________________HCP02">[3]!_xlbgnm.HCP02</definedName>
    <definedName name="________________HCP03" localSheetId="7">[3]!_xlbgnm.HCP03</definedName>
    <definedName name="________________HCP03" localSheetId="23">[3]!_xlbgnm.HCP03</definedName>
    <definedName name="________________HCP03">[3]!_xlbgnm.HCP03</definedName>
    <definedName name="________________HCP04" localSheetId="7">[3]!_xlbgnm.HCP04</definedName>
    <definedName name="________________HCP04" localSheetId="23">[3]!_xlbgnm.HCP04</definedName>
    <definedName name="________________HCP04">[3]!_xlbgnm.HCP04</definedName>
    <definedName name="________________HCP05" localSheetId="7">[3]!_xlbgnm.HCP05</definedName>
    <definedName name="________________HCP05" localSheetId="23">[3]!_xlbgnm.HCP05</definedName>
    <definedName name="________________HCP05">[3]!_xlbgnm.HCP05</definedName>
    <definedName name="________________HDC01" localSheetId="7">[3]!_xlbgnm.HDC01</definedName>
    <definedName name="________________HDC01" localSheetId="23">[3]!_xlbgnm.HDC01</definedName>
    <definedName name="________________HDC01">[3]!_xlbgnm.HDC01</definedName>
    <definedName name="________________hlm4" localSheetId="7">#REF!</definedName>
    <definedName name="________________hlm4" localSheetId="23">#REF!</definedName>
    <definedName name="________________hlm4">#REF!</definedName>
    <definedName name="________________L1" localSheetId="7">#REF!</definedName>
    <definedName name="________________L1" localSheetId="23">#REF!</definedName>
    <definedName name="________________L1">#REF!</definedName>
    <definedName name="________________L2" localSheetId="7">#REF!</definedName>
    <definedName name="________________L2" localSheetId="23">#REF!</definedName>
    <definedName name="________________L2">#REF!</definedName>
    <definedName name="________________mp2" localSheetId="7">#REF!</definedName>
    <definedName name="________________mp2" localSheetId="23">#REF!</definedName>
    <definedName name="________________mp2">#REF!</definedName>
    <definedName name="________________mp3">[1]MP3!$A$4:$C$5</definedName>
    <definedName name="________________UMP1">[1]MP1!$F$1:$F$65536</definedName>
    <definedName name="________________UMP3">[1]MP3!$F$1:$F$65536</definedName>
    <definedName name="_______________bcs2004" localSheetId="7">#REF!</definedName>
    <definedName name="_______________bcs2004" localSheetId="23">#REF!</definedName>
    <definedName name="_______________bcs2004">#REF!</definedName>
    <definedName name="_______________hal1" localSheetId="7">#REF!</definedName>
    <definedName name="_______________hal1" localSheetId="23">#REF!</definedName>
    <definedName name="_______________hal1">#REF!</definedName>
    <definedName name="_______________Hal100" localSheetId="7">#REF!</definedName>
    <definedName name="_______________Hal100" localSheetId="23">#REF!</definedName>
    <definedName name="_______________Hal100">#REF!</definedName>
    <definedName name="_______________HCC6" localSheetId="7">[2]!_xlbgnm.HCC6</definedName>
    <definedName name="_______________HCC6" localSheetId="23">[2]!_xlbgnm.HCC6</definedName>
    <definedName name="_______________HCC6">[2]!_xlbgnm.HCC6</definedName>
    <definedName name="_______________HCP002" localSheetId="7">[3]!_xlbgnm.HCP02</definedName>
    <definedName name="_______________HCP002" localSheetId="23">[3]!_xlbgnm.HCP02</definedName>
    <definedName name="_______________HCP002">[3]!_xlbgnm.HCP02</definedName>
    <definedName name="_______________HCP004" localSheetId="7">[3]!_xlbgnm.HCP04</definedName>
    <definedName name="_______________HCP004" localSheetId="23">[3]!_xlbgnm.HCP04</definedName>
    <definedName name="_______________HCP004">[3]!_xlbgnm.HCP04</definedName>
    <definedName name="_______________HCP02" localSheetId="7">[3]!_xlbgnm.HCP02</definedName>
    <definedName name="_______________HCP02" localSheetId="23">[3]!_xlbgnm.HCP02</definedName>
    <definedName name="_______________HCP02">[3]!_xlbgnm.HCP02</definedName>
    <definedName name="_______________HCP03" localSheetId="7">[3]!_xlbgnm.HCP03</definedName>
    <definedName name="_______________HCP03" localSheetId="23">[3]!_xlbgnm.HCP03</definedName>
    <definedName name="_______________HCP03">[3]!_xlbgnm.HCP03</definedName>
    <definedName name="_______________HCP04" localSheetId="7">[3]!_xlbgnm.HCP04</definedName>
    <definedName name="_______________HCP04" localSheetId="23">[3]!_xlbgnm.HCP04</definedName>
    <definedName name="_______________HCP04">[3]!_xlbgnm.HCP04</definedName>
    <definedName name="_______________HCP05" localSheetId="7">[3]!_xlbgnm.HCP05</definedName>
    <definedName name="_______________HCP05" localSheetId="23">[3]!_xlbgnm.HCP05</definedName>
    <definedName name="_______________HCP05">[3]!_xlbgnm.HCP05</definedName>
    <definedName name="_______________HDC01" localSheetId="7">[3]!_xlbgnm.HDC01</definedName>
    <definedName name="_______________HDC01" localSheetId="23">[3]!_xlbgnm.HDC01</definedName>
    <definedName name="_______________HDC01">[3]!_xlbgnm.HDC01</definedName>
    <definedName name="_______________hlm4" localSheetId="7">#REF!</definedName>
    <definedName name="_______________hlm4" localSheetId="23">#REF!</definedName>
    <definedName name="_______________hlm4">#REF!</definedName>
    <definedName name="_______________L1" localSheetId="7">#REF!</definedName>
    <definedName name="_______________L1" localSheetId="23">#REF!</definedName>
    <definedName name="_______________L1">#REF!</definedName>
    <definedName name="_______________L2" localSheetId="7">#REF!</definedName>
    <definedName name="_______________L2" localSheetId="23">#REF!</definedName>
    <definedName name="_______________L2">#REF!</definedName>
    <definedName name="_______________mp2" localSheetId="7">#REF!</definedName>
    <definedName name="_______________mp2" localSheetId="23">#REF!</definedName>
    <definedName name="_______________mp2">#REF!</definedName>
    <definedName name="_______________mp3">[1]MP3!$A$4:$C$5</definedName>
    <definedName name="_______________UMP1">[1]MP1!$F$1:$F$65536</definedName>
    <definedName name="_______________UMP3">[1]MP3!$F$1:$F$65536</definedName>
    <definedName name="______________hal1" localSheetId="7">#REF!</definedName>
    <definedName name="______________hal1" localSheetId="23">#REF!</definedName>
    <definedName name="______________hal1">#REF!</definedName>
    <definedName name="______________Hal100" localSheetId="7">#REF!</definedName>
    <definedName name="______________Hal100" localSheetId="23">#REF!</definedName>
    <definedName name="______________Hal100">#REF!</definedName>
    <definedName name="______________HCC6" localSheetId="7">[2]!_xlbgnm.HCC6</definedName>
    <definedName name="______________HCC6" localSheetId="23">[2]!_xlbgnm.HCC6</definedName>
    <definedName name="______________HCC6">[2]!_xlbgnm.HCC6</definedName>
    <definedName name="______________HCP002" localSheetId="7">[3]!_xlbgnm.HCP02</definedName>
    <definedName name="______________HCP002" localSheetId="23">[3]!_xlbgnm.HCP02</definedName>
    <definedName name="______________HCP002">[3]!_xlbgnm.HCP02</definedName>
    <definedName name="______________HCP004" localSheetId="7">[3]!_xlbgnm.HCP04</definedName>
    <definedName name="______________HCP004" localSheetId="23">[3]!_xlbgnm.HCP04</definedName>
    <definedName name="______________HCP004">[3]!_xlbgnm.HCP04</definedName>
    <definedName name="______________HCP02" localSheetId="7">[3]!_xlbgnm.HCP02</definedName>
    <definedName name="______________HCP02" localSheetId="23">[3]!_xlbgnm.HCP02</definedName>
    <definedName name="______________HCP02">[3]!_xlbgnm.HCP02</definedName>
    <definedName name="______________HCP03" localSheetId="7">[3]!_xlbgnm.HCP03</definedName>
    <definedName name="______________HCP03" localSheetId="23">[3]!_xlbgnm.HCP03</definedName>
    <definedName name="______________HCP03">[3]!_xlbgnm.HCP03</definedName>
    <definedName name="______________HCP04" localSheetId="7">[3]!_xlbgnm.HCP04</definedName>
    <definedName name="______________HCP04" localSheetId="23">[3]!_xlbgnm.HCP04</definedName>
    <definedName name="______________HCP04">[3]!_xlbgnm.HCP04</definedName>
    <definedName name="______________HCP05" localSheetId="7">[3]!_xlbgnm.HCP05</definedName>
    <definedName name="______________HCP05" localSheetId="23">[3]!_xlbgnm.HCP05</definedName>
    <definedName name="______________HCP05">[3]!_xlbgnm.HCP05</definedName>
    <definedName name="______________HDC01" localSheetId="7">[3]!_xlbgnm.HDC01</definedName>
    <definedName name="______________HDC01" localSheetId="23">[3]!_xlbgnm.HDC01</definedName>
    <definedName name="______________HDC01">[3]!_xlbgnm.HDC01</definedName>
    <definedName name="______________L1" localSheetId="7">#REF!</definedName>
    <definedName name="______________L1" localSheetId="23">#REF!</definedName>
    <definedName name="______________L1">#REF!</definedName>
    <definedName name="______________L2" localSheetId="7">#REF!</definedName>
    <definedName name="______________L2" localSheetId="23">#REF!</definedName>
    <definedName name="______________L2">#REF!</definedName>
    <definedName name="______________mp3">[1]MP3!$A$4:$C$5</definedName>
    <definedName name="______________UMP1">[1]MP1!$F$1:$F$65536</definedName>
    <definedName name="______________UMP3">[1]MP3!$F$1:$F$65536</definedName>
    <definedName name="_____________bcs2004" localSheetId="7">#REF!</definedName>
    <definedName name="_____________bcs2004" localSheetId="23">#REF!</definedName>
    <definedName name="_____________bcs2004">#REF!</definedName>
    <definedName name="_____________Hal100" localSheetId="7">#REF!</definedName>
    <definedName name="_____________Hal100" localSheetId="23">#REF!</definedName>
    <definedName name="_____________Hal100">#REF!</definedName>
    <definedName name="_____________HCC6" localSheetId="7">[2]!_xlbgnm.HCC6</definedName>
    <definedName name="_____________HCC6" localSheetId="23">[2]!_xlbgnm.HCC6</definedName>
    <definedName name="_____________HCC6">[2]!_xlbgnm.HCC6</definedName>
    <definedName name="_____________HCP002" localSheetId="7">[3]!_xlbgnm.HCP02</definedName>
    <definedName name="_____________HCP002" localSheetId="23">[3]!_xlbgnm.HCP02</definedName>
    <definedName name="_____________HCP002">[3]!_xlbgnm.HCP02</definedName>
    <definedName name="_____________HCP004" localSheetId="7">[3]!_xlbgnm.HCP04</definedName>
    <definedName name="_____________HCP004" localSheetId="23">[3]!_xlbgnm.HCP04</definedName>
    <definedName name="_____________HCP004">[3]!_xlbgnm.HCP04</definedName>
    <definedName name="_____________HCP02" localSheetId="7">[3]!_xlbgnm.HCP02</definedName>
    <definedName name="_____________HCP02" localSheetId="23">[3]!_xlbgnm.HCP02</definedName>
    <definedName name="_____________HCP02">[3]!_xlbgnm.HCP02</definedName>
    <definedName name="_____________HCP03" localSheetId="7">[3]!_xlbgnm.HCP03</definedName>
    <definedName name="_____________HCP03" localSheetId="23">[3]!_xlbgnm.HCP03</definedName>
    <definedName name="_____________HCP03">[3]!_xlbgnm.HCP03</definedName>
    <definedName name="_____________HCP04" localSheetId="7">[3]!_xlbgnm.HCP04</definedName>
    <definedName name="_____________HCP04" localSheetId="23">[3]!_xlbgnm.HCP04</definedName>
    <definedName name="_____________HCP04">[3]!_xlbgnm.HCP04</definedName>
    <definedName name="_____________HCP05" localSheetId="7">[3]!_xlbgnm.HCP05</definedName>
    <definedName name="_____________HCP05" localSheetId="23">[3]!_xlbgnm.HCP05</definedName>
    <definedName name="_____________HCP05">[3]!_xlbgnm.HCP05</definedName>
    <definedName name="_____________HDC01" localSheetId="7">[3]!_xlbgnm.HDC01</definedName>
    <definedName name="_____________HDC01" localSheetId="23">[3]!_xlbgnm.HDC01</definedName>
    <definedName name="_____________HDC01">[3]!_xlbgnm.HDC01</definedName>
    <definedName name="_____________hlm4" localSheetId="7">#REF!</definedName>
    <definedName name="_____________hlm4" localSheetId="23">#REF!</definedName>
    <definedName name="_____________hlm4">#REF!</definedName>
    <definedName name="_____________L1" localSheetId="7">#REF!</definedName>
    <definedName name="_____________L1" localSheetId="23">#REF!</definedName>
    <definedName name="_____________L1">#REF!</definedName>
    <definedName name="_____________L2" localSheetId="7">#REF!</definedName>
    <definedName name="_____________L2" localSheetId="23">#REF!</definedName>
    <definedName name="_____________L2">#REF!</definedName>
    <definedName name="_____________mp2" localSheetId="7">#REF!</definedName>
    <definedName name="_____________mp2" localSheetId="23">#REF!</definedName>
    <definedName name="_____________mp2">#REF!</definedName>
    <definedName name="_____________mp3">[1]MP3!$A$4:$C$5</definedName>
    <definedName name="_____________UMP1">[1]MP1!$F:$F</definedName>
    <definedName name="_____________UMP3">[1]MP3!$F:$F</definedName>
    <definedName name="____________bcs2004" localSheetId="7">#REF!</definedName>
    <definedName name="____________bcs2004" localSheetId="23">#REF!</definedName>
    <definedName name="____________bcs2004">#REF!</definedName>
    <definedName name="____________hal1" localSheetId="7">#REF!</definedName>
    <definedName name="____________hal1" localSheetId="23">#REF!</definedName>
    <definedName name="____________hal1">#REF!</definedName>
    <definedName name="____________Hal100" localSheetId="7">#REF!</definedName>
    <definedName name="____________Hal100" localSheetId="23">#REF!</definedName>
    <definedName name="____________Hal100">#REF!</definedName>
    <definedName name="____________HCC6" localSheetId="7">[2]!_xlbgnm.HCC6</definedName>
    <definedName name="____________HCC6" localSheetId="23">[2]!_xlbgnm.HCC6</definedName>
    <definedName name="____________HCC6">[2]!_xlbgnm.HCC6</definedName>
    <definedName name="____________HCP002" localSheetId="7">[3]!_xlbgnm.HCP02</definedName>
    <definedName name="____________HCP002" localSheetId="23">[3]!_xlbgnm.HCP02</definedName>
    <definedName name="____________HCP002">[3]!_xlbgnm.HCP02</definedName>
    <definedName name="____________HCP004" localSheetId="7">[3]!_xlbgnm.HCP04</definedName>
    <definedName name="____________HCP004" localSheetId="23">[3]!_xlbgnm.HCP04</definedName>
    <definedName name="____________HCP004">[3]!_xlbgnm.HCP04</definedName>
    <definedName name="____________HCP02" localSheetId="7">[3]!_xlbgnm.HCP02</definedName>
    <definedName name="____________HCP02" localSheetId="23">[3]!_xlbgnm.HCP02</definedName>
    <definedName name="____________HCP02">[3]!_xlbgnm.HCP02</definedName>
    <definedName name="____________HCP03" localSheetId="7">[3]!_xlbgnm.HCP03</definedName>
    <definedName name="____________HCP03" localSheetId="23">[3]!_xlbgnm.HCP03</definedName>
    <definedName name="____________HCP03">[3]!_xlbgnm.HCP03</definedName>
    <definedName name="____________HCP04" localSheetId="7">[3]!_xlbgnm.HCP04</definedName>
    <definedName name="____________HCP04" localSheetId="23">[3]!_xlbgnm.HCP04</definedName>
    <definedName name="____________HCP04">[3]!_xlbgnm.HCP04</definedName>
    <definedName name="____________HCP05" localSheetId="7">[3]!_xlbgnm.HCP05</definedName>
    <definedName name="____________HCP05" localSheetId="23">[3]!_xlbgnm.HCP05</definedName>
    <definedName name="____________HCP05">[3]!_xlbgnm.HCP05</definedName>
    <definedName name="____________HDC01" localSheetId="7">[3]!_xlbgnm.HDC01</definedName>
    <definedName name="____________HDC01" localSheetId="23">[3]!_xlbgnm.HDC01</definedName>
    <definedName name="____________HDC01">[3]!_xlbgnm.HDC01</definedName>
    <definedName name="____________hlm4" localSheetId="7">#REF!</definedName>
    <definedName name="____________hlm4" localSheetId="23">#REF!</definedName>
    <definedName name="____________hlm4">#REF!</definedName>
    <definedName name="____________L1" localSheetId="7">#REF!</definedName>
    <definedName name="____________L1" localSheetId="23">#REF!</definedName>
    <definedName name="____________L1">#REF!</definedName>
    <definedName name="____________L2" localSheetId="7">#REF!</definedName>
    <definedName name="____________L2" localSheetId="23">#REF!</definedName>
    <definedName name="____________L2">#REF!</definedName>
    <definedName name="____________mp2" localSheetId="7">#REF!</definedName>
    <definedName name="____________mp2" localSheetId="23">#REF!</definedName>
    <definedName name="____________mp2">#REF!</definedName>
    <definedName name="____________mp3">[1]MP3!$A$4:$C$5</definedName>
    <definedName name="____________UMP1">[1]MP1!$F:$F</definedName>
    <definedName name="____________UMP3">[1]MP3!$F:$F</definedName>
    <definedName name="___________bcs2004" localSheetId="7">#REF!</definedName>
    <definedName name="___________bcs2004" localSheetId="23">#REF!</definedName>
    <definedName name="___________bcs2004">#REF!</definedName>
    <definedName name="___________hal1" localSheetId="7">#REF!</definedName>
    <definedName name="___________hal1" localSheetId="23">#REF!</definedName>
    <definedName name="___________hal1">#REF!</definedName>
    <definedName name="___________Hal100" localSheetId="7">#REF!</definedName>
    <definedName name="___________Hal100" localSheetId="23">#REF!</definedName>
    <definedName name="___________Hal100">#REF!</definedName>
    <definedName name="___________HCC6" localSheetId="7">[2]!_xlbgnm.HCC6</definedName>
    <definedName name="___________HCC6" localSheetId="23">[2]!_xlbgnm.HCC6</definedName>
    <definedName name="___________HCC6">[2]!_xlbgnm.HCC6</definedName>
    <definedName name="___________HCP002" localSheetId="7">[3]!_xlbgnm.HCP02</definedName>
    <definedName name="___________HCP002" localSheetId="23">[3]!_xlbgnm.HCP02</definedName>
    <definedName name="___________HCP002">[3]!_xlbgnm.HCP02</definedName>
    <definedName name="___________HCP004" localSheetId="7">[3]!_xlbgnm.HCP04</definedName>
    <definedName name="___________HCP004" localSheetId="23">[3]!_xlbgnm.HCP04</definedName>
    <definedName name="___________HCP004">[3]!_xlbgnm.HCP04</definedName>
    <definedName name="___________HCP02" localSheetId="7">[3]!_xlbgnm.HCP02</definedName>
    <definedName name="___________HCP02" localSheetId="23">[3]!_xlbgnm.HCP02</definedName>
    <definedName name="___________HCP02">[3]!_xlbgnm.HCP02</definedName>
    <definedName name="___________HCP03" localSheetId="7">[3]!_xlbgnm.HCP03</definedName>
    <definedName name="___________HCP03" localSheetId="23">[3]!_xlbgnm.HCP03</definedName>
    <definedName name="___________HCP03">[3]!_xlbgnm.HCP03</definedName>
    <definedName name="___________HCP04" localSheetId="7">[3]!_xlbgnm.HCP04</definedName>
    <definedName name="___________HCP04" localSheetId="23">[3]!_xlbgnm.HCP04</definedName>
    <definedName name="___________HCP04">[3]!_xlbgnm.HCP04</definedName>
    <definedName name="___________HCP05" localSheetId="7">[3]!_xlbgnm.HCP05</definedName>
    <definedName name="___________HCP05" localSheetId="23">[3]!_xlbgnm.HCP05</definedName>
    <definedName name="___________HCP05">[3]!_xlbgnm.HCP05</definedName>
    <definedName name="___________HDC01" localSheetId="7">[3]!_xlbgnm.HDC01</definedName>
    <definedName name="___________HDC01" localSheetId="23">[3]!_xlbgnm.HDC01</definedName>
    <definedName name="___________HDC01">[3]!_xlbgnm.HDC01</definedName>
    <definedName name="___________hlm4" localSheetId="7">#REF!</definedName>
    <definedName name="___________hlm4" localSheetId="23">#REF!</definedName>
    <definedName name="___________hlm4">#REF!</definedName>
    <definedName name="___________L1" localSheetId="7">#REF!</definedName>
    <definedName name="___________L1" localSheetId="23">#REF!</definedName>
    <definedName name="___________L1">#REF!</definedName>
    <definedName name="___________L2" localSheetId="7">#REF!</definedName>
    <definedName name="___________L2" localSheetId="23">#REF!</definedName>
    <definedName name="___________L2">#REF!</definedName>
    <definedName name="___________mp2" localSheetId="7">#REF!</definedName>
    <definedName name="___________mp2" localSheetId="23">#REF!</definedName>
    <definedName name="___________mp2">#REF!</definedName>
    <definedName name="___________mp3">[1]MP3!$A$4:$C$5</definedName>
    <definedName name="___________UMP1">[1]MP1!$F$1:$F$65536</definedName>
    <definedName name="___________UMP3">[1]MP3!$F$1:$F$65536</definedName>
    <definedName name="__________bcs2004" localSheetId="7">#REF!</definedName>
    <definedName name="__________bcs2004" localSheetId="23">#REF!</definedName>
    <definedName name="__________bcs2004">#REF!</definedName>
    <definedName name="__________hal1" localSheetId="7">#REF!</definedName>
    <definedName name="__________hal1" localSheetId="23">#REF!</definedName>
    <definedName name="__________hal1">#REF!</definedName>
    <definedName name="__________Hal100" localSheetId="7">#REF!</definedName>
    <definedName name="__________Hal100" localSheetId="23">#REF!</definedName>
    <definedName name="__________Hal100">#REF!</definedName>
    <definedName name="__________HCC6" localSheetId="7">[2]!_xlbgnm.HCC6</definedName>
    <definedName name="__________HCC6" localSheetId="23">[2]!_xlbgnm.HCC6</definedName>
    <definedName name="__________HCC6">[2]!_xlbgnm.HCC6</definedName>
    <definedName name="__________HCP002" localSheetId="7">[3]!_xlbgnm.HCP02</definedName>
    <definedName name="__________HCP002" localSheetId="23">[3]!_xlbgnm.HCP02</definedName>
    <definedName name="__________HCP002">[3]!_xlbgnm.HCP02</definedName>
    <definedName name="__________HCP004" localSheetId="7">[3]!_xlbgnm.HCP04</definedName>
    <definedName name="__________HCP004" localSheetId="23">[3]!_xlbgnm.HCP04</definedName>
    <definedName name="__________HCP004">[3]!_xlbgnm.HCP04</definedName>
    <definedName name="__________HCP02" localSheetId="7">[3]!_xlbgnm.HCP02</definedName>
    <definedName name="__________HCP02" localSheetId="23">[3]!_xlbgnm.HCP02</definedName>
    <definedName name="__________HCP02">[3]!_xlbgnm.HCP02</definedName>
    <definedName name="__________HCP03" localSheetId="7">[3]!_xlbgnm.HCP03</definedName>
    <definedName name="__________HCP03" localSheetId="23">[3]!_xlbgnm.HCP03</definedName>
    <definedName name="__________HCP03">[3]!_xlbgnm.HCP03</definedName>
    <definedName name="__________HCP04" localSheetId="7">[3]!_xlbgnm.HCP04</definedName>
    <definedName name="__________HCP04" localSheetId="23">[3]!_xlbgnm.HCP04</definedName>
    <definedName name="__________HCP04">[3]!_xlbgnm.HCP04</definedName>
    <definedName name="__________HCP05" localSheetId="7">[3]!_xlbgnm.HCP05</definedName>
    <definedName name="__________HCP05" localSheetId="23">[3]!_xlbgnm.HCP05</definedName>
    <definedName name="__________HCP05">[3]!_xlbgnm.HCP05</definedName>
    <definedName name="__________HDC01" localSheetId="7">[3]!_xlbgnm.HDC01</definedName>
    <definedName name="__________HDC01" localSheetId="23">[3]!_xlbgnm.HDC01</definedName>
    <definedName name="__________HDC01">[3]!_xlbgnm.HDC01</definedName>
    <definedName name="__________hlm4" localSheetId="7">#REF!</definedName>
    <definedName name="__________hlm4" localSheetId="23">#REF!</definedName>
    <definedName name="__________hlm4">#REF!</definedName>
    <definedName name="__________L1" localSheetId="7">#REF!</definedName>
    <definedName name="__________L1" localSheetId="23">#REF!</definedName>
    <definedName name="__________L1">#REF!</definedName>
    <definedName name="__________L2" localSheetId="7">#REF!</definedName>
    <definedName name="__________L2" localSheetId="23">#REF!</definedName>
    <definedName name="__________L2">#REF!</definedName>
    <definedName name="__________mp2" localSheetId="7">#REF!</definedName>
    <definedName name="__________mp2" localSheetId="23">#REF!</definedName>
    <definedName name="__________mp2">#REF!</definedName>
    <definedName name="__________mp3">[1]MP3!$A$4:$C$5</definedName>
    <definedName name="__________UMP1">[1]MP1!$F$1:$F$65536</definedName>
    <definedName name="__________UMP3">[1]MP3!$F$1:$F$65536</definedName>
    <definedName name="_________bcs2004" localSheetId="7">#REF!</definedName>
    <definedName name="_________bcs2004" localSheetId="23">#REF!</definedName>
    <definedName name="_________bcs2004">#REF!</definedName>
    <definedName name="_________hal1" localSheetId="7">#REF!</definedName>
    <definedName name="_________hal1" localSheetId="23">#REF!</definedName>
    <definedName name="_________hal1">#REF!</definedName>
    <definedName name="_________Hal100" localSheetId="7">#REF!</definedName>
    <definedName name="_________Hal100" localSheetId="23">#REF!</definedName>
    <definedName name="_________Hal100">#REF!</definedName>
    <definedName name="_________HCC6" localSheetId="7">[2]!_xlbgnm.HCC6</definedName>
    <definedName name="_________HCC6" localSheetId="23">[2]!_xlbgnm.HCC6</definedName>
    <definedName name="_________HCC6">[2]!_xlbgnm.HCC6</definedName>
    <definedName name="_________HCP002" localSheetId="7">[3]!_xlbgnm.HCP02</definedName>
    <definedName name="_________HCP002" localSheetId="23">[3]!_xlbgnm.HCP02</definedName>
    <definedName name="_________HCP002">[3]!_xlbgnm.HCP02</definedName>
    <definedName name="_________HCP004" localSheetId="7">[3]!_xlbgnm.HCP04</definedName>
    <definedName name="_________HCP004" localSheetId="23">[3]!_xlbgnm.HCP04</definedName>
    <definedName name="_________HCP004">[3]!_xlbgnm.HCP04</definedName>
    <definedName name="_________HCP02" localSheetId="7">[3]!_xlbgnm.HCP02</definedName>
    <definedName name="_________HCP02" localSheetId="23">[3]!_xlbgnm.HCP02</definedName>
    <definedName name="_________HCP02">[3]!_xlbgnm.HCP02</definedName>
    <definedName name="_________HCP03" localSheetId="7">[3]!_xlbgnm.HCP03</definedName>
    <definedName name="_________HCP03" localSheetId="23">[3]!_xlbgnm.HCP03</definedName>
    <definedName name="_________HCP03">[3]!_xlbgnm.HCP03</definedName>
    <definedName name="_________HCP04" localSheetId="7">[3]!_xlbgnm.HCP04</definedName>
    <definedName name="_________HCP04" localSheetId="23">[3]!_xlbgnm.HCP04</definedName>
    <definedName name="_________HCP04">[3]!_xlbgnm.HCP04</definedName>
    <definedName name="_________HCP05" localSheetId="7">[3]!_xlbgnm.HCP05</definedName>
    <definedName name="_________HCP05" localSheetId="23">[3]!_xlbgnm.HCP05</definedName>
    <definedName name="_________HCP05">[3]!_xlbgnm.HCP05</definedName>
    <definedName name="_________HDC01" localSheetId="7">[3]!_xlbgnm.HDC01</definedName>
    <definedName name="_________HDC01" localSheetId="23">[3]!_xlbgnm.HDC01</definedName>
    <definedName name="_________HDC01">[3]!_xlbgnm.HDC01</definedName>
    <definedName name="_________hlm4" localSheetId="7">#REF!</definedName>
    <definedName name="_________hlm4" localSheetId="23">#REF!</definedName>
    <definedName name="_________hlm4">#REF!</definedName>
    <definedName name="_________L1" localSheetId="7">#REF!</definedName>
    <definedName name="_________L1" localSheetId="23">#REF!</definedName>
    <definedName name="_________L1">#REF!</definedName>
    <definedName name="_________L2" localSheetId="7">#REF!</definedName>
    <definedName name="_________L2" localSheetId="23">#REF!</definedName>
    <definedName name="_________L2">#REF!</definedName>
    <definedName name="_________mp2" localSheetId="7">#REF!</definedName>
    <definedName name="_________mp2" localSheetId="23">#REF!</definedName>
    <definedName name="_________mp2">#REF!</definedName>
    <definedName name="_________mp3">[1]MP3!$A$4:$C$5</definedName>
    <definedName name="_________UMP1">[1]MP1!$F$1:$F$65536</definedName>
    <definedName name="_________UMP3">[1]MP3!$F$1:$F$65536</definedName>
    <definedName name="________bcs2004" localSheetId="7">#REF!</definedName>
    <definedName name="________bcs2004" localSheetId="23">#REF!</definedName>
    <definedName name="________bcs2004">#REF!</definedName>
    <definedName name="________hal1" localSheetId="7">#REF!</definedName>
    <definedName name="________hal1" localSheetId="23">#REF!</definedName>
    <definedName name="________hal1">#REF!</definedName>
    <definedName name="________Hal100" localSheetId="7">#REF!</definedName>
    <definedName name="________Hal100" localSheetId="23">#REF!</definedName>
    <definedName name="________Hal100">#REF!</definedName>
    <definedName name="________HCC6" localSheetId="7">[2]!_xlbgnm.HCC6</definedName>
    <definedName name="________HCC6" localSheetId="23">[2]!_xlbgnm.HCC6</definedName>
    <definedName name="________HCC6">[2]!_xlbgnm.HCC6</definedName>
    <definedName name="________HCP002" localSheetId="7">[3]!_xlbgnm.HCP02</definedName>
    <definedName name="________HCP002" localSheetId="23">[3]!_xlbgnm.HCP02</definedName>
    <definedName name="________HCP002">[3]!_xlbgnm.HCP02</definedName>
    <definedName name="________HCP004" localSheetId="7">[3]!_xlbgnm.HCP04</definedName>
    <definedName name="________HCP004" localSheetId="23">[3]!_xlbgnm.HCP04</definedName>
    <definedName name="________HCP004">[3]!_xlbgnm.HCP04</definedName>
    <definedName name="________HCP02" localSheetId="7">[3]!_xlbgnm.HCP02</definedName>
    <definedName name="________HCP02" localSheetId="23">[3]!_xlbgnm.HCP02</definedName>
    <definedName name="________HCP02">[3]!_xlbgnm.HCP02</definedName>
    <definedName name="________HCP03" localSheetId="7">[3]!_xlbgnm.HCP03</definedName>
    <definedName name="________HCP03" localSheetId="23">[3]!_xlbgnm.HCP03</definedName>
    <definedName name="________HCP03">[3]!_xlbgnm.HCP03</definedName>
    <definedName name="________HCP04" localSheetId="7">[3]!_xlbgnm.HCP04</definedName>
    <definedName name="________HCP04" localSheetId="23">[3]!_xlbgnm.HCP04</definedName>
    <definedName name="________HCP04">[3]!_xlbgnm.HCP04</definedName>
    <definedName name="________HCP05" localSheetId="7">[3]!_xlbgnm.HCP05</definedName>
    <definedName name="________HCP05" localSheetId="23">[3]!_xlbgnm.HCP05</definedName>
    <definedName name="________HCP05">[3]!_xlbgnm.HCP05</definedName>
    <definedName name="________HDC01" localSheetId="7">[3]!_xlbgnm.HDC01</definedName>
    <definedName name="________HDC01" localSheetId="23">[3]!_xlbgnm.HDC01</definedName>
    <definedName name="________HDC01">[3]!_xlbgnm.HDC01</definedName>
    <definedName name="________hlm4" localSheetId="7">#REF!</definedName>
    <definedName name="________hlm4" localSheetId="23">#REF!</definedName>
    <definedName name="________hlm4">#REF!</definedName>
    <definedName name="________L1" localSheetId="7">#REF!</definedName>
    <definedName name="________L1" localSheetId="23">#REF!</definedName>
    <definedName name="________L1">#REF!</definedName>
    <definedName name="________L2" localSheetId="7">#REF!</definedName>
    <definedName name="________L2" localSheetId="23">#REF!</definedName>
    <definedName name="________L2">#REF!</definedName>
    <definedName name="________mp2" localSheetId="7">#REF!</definedName>
    <definedName name="________mp2" localSheetId="23">#REF!</definedName>
    <definedName name="________mp2">#REF!</definedName>
    <definedName name="________mp3">[1]MP3!$A$4:$C$5</definedName>
    <definedName name="________UMP1">[1]MP1!$F$1:$F$65536</definedName>
    <definedName name="________UMP3">[1]MP3!$F$1:$F$65536</definedName>
    <definedName name="_______bcs2004" localSheetId="7">#REF!</definedName>
    <definedName name="_______bcs2004" localSheetId="23">#REF!</definedName>
    <definedName name="_______bcs2004">#REF!</definedName>
    <definedName name="_______hal1" localSheetId="7">#REF!</definedName>
    <definedName name="_______hal1" localSheetId="23">#REF!</definedName>
    <definedName name="_______hal1">#REF!</definedName>
    <definedName name="_______Hal100" localSheetId="7">#REF!</definedName>
    <definedName name="_______Hal100" localSheetId="23">#REF!</definedName>
    <definedName name="_______Hal100">#REF!</definedName>
    <definedName name="_______HCC6" localSheetId="7">[2]!_xlbgnm.HCC6</definedName>
    <definedName name="_______HCC6" localSheetId="23">[2]!_xlbgnm.HCC6</definedName>
    <definedName name="_______HCC6">[2]!_xlbgnm.HCC6</definedName>
    <definedName name="_______HCP002" localSheetId="7">[3]!_xlbgnm.HCP02</definedName>
    <definedName name="_______HCP002" localSheetId="23">[3]!_xlbgnm.HCP02</definedName>
    <definedName name="_______HCP002">[3]!_xlbgnm.HCP02</definedName>
    <definedName name="_______HCP004" localSheetId="7">[3]!_xlbgnm.HCP04</definedName>
    <definedName name="_______HCP004" localSheetId="23">[3]!_xlbgnm.HCP04</definedName>
    <definedName name="_______HCP004">[3]!_xlbgnm.HCP04</definedName>
    <definedName name="_______HCP02" localSheetId="7">[3]!_xlbgnm.HCP02</definedName>
    <definedName name="_______HCP02" localSheetId="23">[3]!_xlbgnm.HCP02</definedName>
    <definedName name="_______HCP02">[3]!_xlbgnm.HCP02</definedName>
    <definedName name="_______HCP03" localSheetId="7">[3]!_xlbgnm.HCP03</definedName>
    <definedName name="_______HCP03" localSheetId="23">[3]!_xlbgnm.HCP03</definedName>
    <definedName name="_______HCP03">[3]!_xlbgnm.HCP03</definedName>
    <definedName name="_______HCP04" localSheetId="7">[3]!_xlbgnm.HCP04</definedName>
    <definedName name="_______HCP04" localSheetId="23">[3]!_xlbgnm.HCP04</definedName>
    <definedName name="_______HCP04">[3]!_xlbgnm.HCP04</definedName>
    <definedName name="_______HCP05" localSheetId="7">[3]!_xlbgnm.HCP05</definedName>
    <definedName name="_______HCP05" localSheetId="23">[3]!_xlbgnm.HCP05</definedName>
    <definedName name="_______HCP05">[3]!_xlbgnm.HCP05</definedName>
    <definedName name="_______HDC01" localSheetId="7">[3]!_xlbgnm.HDC01</definedName>
    <definedName name="_______HDC01" localSheetId="23">[3]!_xlbgnm.HDC01</definedName>
    <definedName name="_______HDC01">[3]!_xlbgnm.HDC01</definedName>
    <definedName name="_______hlm4" localSheetId="7">#REF!</definedName>
    <definedName name="_______hlm4" localSheetId="23">#REF!</definedName>
    <definedName name="_______hlm4">#REF!</definedName>
    <definedName name="_______L1" localSheetId="7">#REF!</definedName>
    <definedName name="_______L1" localSheetId="23">#REF!</definedName>
    <definedName name="_______L1">#REF!</definedName>
    <definedName name="_______L2" localSheetId="7">#REF!</definedName>
    <definedName name="_______L2" localSheetId="23">#REF!</definedName>
    <definedName name="_______L2">#REF!</definedName>
    <definedName name="_______mp2" localSheetId="7">#REF!</definedName>
    <definedName name="_______mp2" localSheetId="23">#REF!</definedName>
    <definedName name="_______mp2">#REF!</definedName>
    <definedName name="_______mp3">[1]MP3!$A$4:$C$5</definedName>
    <definedName name="_______UMP1">[1]MP1!$F$1:$F$65536</definedName>
    <definedName name="_______UMP3">[1]MP3!$F$1:$F$65536</definedName>
    <definedName name="______bcs2004" localSheetId="7">#REF!</definedName>
    <definedName name="______bcs2004" localSheetId="23">#REF!</definedName>
    <definedName name="______bcs2004">#REF!</definedName>
    <definedName name="______hal1" localSheetId="7">#REF!</definedName>
    <definedName name="______hal1" localSheetId="23">#REF!</definedName>
    <definedName name="______hal1">#REF!</definedName>
    <definedName name="______Hal100" localSheetId="7">#REF!</definedName>
    <definedName name="______Hal100" localSheetId="23">#REF!</definedName>
    <definedName name="______Hal100">#REF!</definedName>
    <definedName name="______HCC6" localSheetId="7">[2]!_xlbgnm.HCC6</definedName>
    <definedName name="______HCC6" localSheetId="23">[2]!_xlbgnm.HCC6</definedName>
    <definedName name="______HCC6">[2]!_xlbgnm.HCC6</definedName>
    <definedName name="______HCP002" localSheetId="7">[3]!_xlbgnm.HCP02</definedName>
    <definedName name="______HCP002" localSheetId="23">[3]!_xlbgnm.HCP02</definedName>
    <definedName name="______HCP002">[3]!_xlbgnm.HCP02</definedName>
    <definedName name="______HCP004" localSheetId="7">[3]!_xlbgnm.HCP04</definedName>
    <definedName name="______HCP004" localSheetId="23">[3]!_xlbgnm.HCP04</definedName>
    <definedName name="______HCP004">[3]!_xlbgnm.HCP04</definedName>
    <definedName name="______HCP02" localSheetId="7">[3]!_xlbgnm.HCP02</definedName>
    <definedName name="______HCP02" localSheetId="23">[3]!_xlbgnm.HCP02</definedName>
    <definedName name="______HCP02">[3]!_xlbgnm.HCP02</definedName>
    <definedName name="______HCP03" localSheetId="7">[3]!_xlbgnm.HCP03</definedName>
    <definedName name="______HCP03" localSheetId="23">[3]!_xlbgnm.HCP03</definedName>
    <definedName name="______HCP03">[3]!_xlbgnm.HCP03</definedName>
    <definedName name="______HCP04" localSheetId="7">[3]!_xlbgnm.HCP04</definedName>
    <definedName name="______HCP04" localSheetId="23">[3]!_xlbgnm.HCP04</definedName>
    <definedName name="______HCP04">[3]!_xlbgnm.HCP04</definedName>
    <definedName name="______HCP05" localSheetId="7">[3]!_xlbgnm.HCP05</definedName>
    <definedName name="______HCP05" localSheetId="23">[3]!_xlbgnm.HCP05</definedName>
    <definedName name="______HCP05">[3]!_xlbgnm.HCP05</definedName>
    <definedName name="______HDC01" localSheetId="7">[3]!_xlbgnm.HDC01</definedName>
    <definedName name="______HDC01" localSheetId="23">[3]!_xlbgnm.HDC01</definedName>
    <definedName name="______HDC01">[3]!_xlbgnm.HDC01</definedName>
    <definedName name="______hlm4" localSheetId="7">#REF!</definedName>
    <definedName name="______hlm4" localSheetId="23">#REF!</definedName>
    <definedName name="______hlm4">#REF!</definedName>
    <definedName name="______L1" localSheetId="7">#REF!</definedName>
    <definedName name="______L1" localSheetId="23">#REF!</definedName>
    <definedName name="______L1">#REF!</definedName>
    <definedName name="______L2" localSheetId="7">#REF!</definedName>
    <definedName name="______L2" localSheetId="23">#REF!</definedName>
    <definedName name="______L2">#REF!</definedName>
    <definedName name="______mp2" localSheetId="7">#REF!</definedName>
    <definedName name="______mp2" localSheetId="23">#REF!</definedName>
    <definedName name="______mp2">#REF!</definedName>
    <definedName name="______mp3">[1]MP3!$A$4:$C$5</definedName>
    <definedName name="______UMP1">[1]MP1!$F$1:$F$65536</definedName>
    <definedName name="______UMP3">[1]MP3!$F$1:$F$65536</definedName>
    <definedName name="_____bcs2004" localSheetId="7">#REF!</definedName>
    <definedName name="_____bcs2004" localSheetId="23">#REF!</definedName>
    <definedName name="_____bcs2004">#REF!</definedName>
    <definedName name="_____hal1" localSheetId="7">#REF!</definedName>
    <definedName name="_____hal1" localSheetId="23">#REF!</definedName>
    <definedName name="_____hal1">#REF!</definedName>
    <definedName name="_____Hal100" localSheetId="7">#REF!</definedName>
    <definedName name="_____Hal100" localSheetId="23">#REF!</definedName>
    <definedName name="_____Hal100">#REF!</definedName>
    <definedName name="_____HCC6" localSheetId="7">[2]!_xlbgnm.HCC6</definedName>
    <definedName name="_____HCC6" localSheetId="23">[2]!_xlbgnm.HCC6</definedName>
    <definedName name="_____HCC6">[2]!_xlbgnm.HCC6</definedName>
    <definedName name="_____HCP002" localSheetId="7">[3]!_xlbgnm.HCP02</definedName>
    <definedName name="_____HCP002" localSheetId="23">[3]!_xlbgnm.HCP02</definedName>
    <definedName name="_____HCP002">[3]!_xlbgnm.HCP02</definedName>
    <definedName name="_____HCP004" localSheetId="7">[3]!_xlbgnm.HCP04</definedName>
    <definedName name="_____HCP004" localSheetId="23">[3]!_xlbgnm.HCP04</definedName>
    <definedName name="_____HCP004">[3]!_xlbgnm.HCP04</definedName>
    <definedName name="_____HCP02" localSheetId="7">[3]!_xlbgnm.HCP02</definedName>
    <definedName name="_____HCP02" localSheetId="23">[3]!_xlbgnm.HCP02</definedName>
    <definedName name="_____HCP02">[3]!_xlbgnm.HCP02</definedName>
    <definedName name="_____HCP03" localSheetId="7">[3]!_xlbgnm.HCP03</definedName>
    <definedName name="_____HCP03" localSheetId="23">[3]!_xlbgnm.HCP03</definedName>
    <definedName name="_____HCP03">[3]!_xlbgnm.HCP03</definedName>
    <definedName name="_____HCP04" localSheetId="7">[3]!_xlbgnm.HCP04</definedName>
    <definedName name="_____HCP04" localSheetId="23">[3]!_xlbgnm.HCP04</definedName>
    <definedName name="_____HCP04">[3]!_xlbgnm.HCP04</definedName>
    <definedName name="_____HCP05" localSheetId="7">[3]!_xlbgnm.HCP05</definedName>
    <definedName name="_____HCP05" localSheetId="23">[3]!_xlbgnm.HCP05</definedName>
    <definedName name="_____HCP05">[3]!_xlbgnm.HCP05</definedName>
    <definedName name="_____HDC01" localSheetId="7">[3]!_xlbgnm.HDC01</definedName>
    <definedName name="_____HDC01" localSheetId="23">[3]!_xlbgnm.HDC01</definedName>
    <definedName name="_____HDC01">[3]!_xlbgnm.HDC01</definedName>
    <definedName name="_____hlm4" localSheetId="7">#REF!</definedName>
    <definedName name="_____hlm4" localSheetId="23">#REF!</definedName>
    <definedName name="_____hlm4">#REF!</definedName>
    <definedName name="_____L1" localSheetId="7">#REF!</definedName>
    <definedName name="_____L1" localSheetId="23">#REF!</definedName>
    <definedName name="_____L1">#REF!</definedName>
    <definedName name="_____L2" localSheetId="7">#REF!</definedName>
    <definedName name="_____L2" localSheetId="23">#REF!</definedName>
    <definedName name="_____L2">#REF!</definedName>
    <definedName name="_____mp2" localSheetId="7">#REF!</definedName>
    <definedName name="_____mp2" localSheetId="23">#REF!</definedName>
    <definedName name="_____mp2">#REF!</definedName>
    <definedName name="_____mp3">[1]MP3!$A$4:$C$5</definedName>
    <definedName name="_____UMP1">[1]MP1!$F$1:$F$65536</definedName>
    <definedName name="_____UMP3">[1]MP3!$F$1:$F$65536</definedName>
    <definedName name="____bcs2004" localSheetId="7">#REF!</definedName>
    <definedName name="____bcs2004" localSheetId="23">#REF!</definedName>
    <definedName name="____bcs2004">#REF!</definedName>
    <definedName name="____hal1" localSheetId="7">#REF!</definedName>
    <definedName name="____hal1" localSheetId="23">#REF!</definedName>
    <definedName name="____hal1">#REF!</definedName>
    <definedName name="____Hal100" localSheetId="7">#REF!</definedName>
    <definedName name="____Hal100" localSheetId="23">#REF!</definedName>
    <definedName name="____Hal100">#REF!</definedName>
    <definedName name="____HCC6" localSheetId="7">[2]!_xlbgnm.HCC6</definedName>
    <definedName name="____HCC6" localSheetId="23">[2]!_xlbgnm.HCC6</definedName>
    <definedName name="____HCC6">[2]!_xlbgnm.HCC6</definedName>
    <definedName name="____HCP002" localSheetId="7">[3]!_xlbgnm.HCP02</definedName>
    <definedName name="____HCP002" localSheetId="23">[3]!_xlbgnm.HCP02</definedName>
    <definedName name="____HCP002">[3]!_xlbgnm.HCP02</definedName>
    <definedName name="____HCP004" localSheetId="7">[3]!_xlbgnm.HCP04</definedName>
    <definedName name="____HCP004" localSheetId="23">[3]!_xlbgnm.HCP04</definedName>
    <definedName name="____HCP004">[3]!_xlbgnm.HCP04</definedName>
    <definedName name="____HCP02" localSheetId="7">[3]!_xlbgnm.HCP02</definedName>
    <definedName name="____HCP02" localSheetId="23">[3]!_xlbgnm.HCP02</definedName>
    <definedName name="____HCP02">[3]!_xlbgnm.HCP02</definedName>
    <definedName name="____HCP03" localSheetId="7">[3]!_xlbgnm.HCP03</definedName>
    <definedName name="____HCP03" localSheetId="23">[3]!_xlbgnm.HCP03</definedName>
    <definedName name="____HCP03">[3]!_xlbgnm.HCP03</definedName>
    <definedName name="____HCP04" localSheetId="7">[3]!_xlbgnm.HCP04</definedName>
    <definedName name="____HCP04" localSheetId="23">[3]!_xlbgnm.HCP04</definedName>
    <definedName name="____HCP04">[3]!_xlbgnm.HCP04</definedName>
    <definedName name="____HCP05" localSheetId="7">[3]!_xlbgnm.HCP05</definedName>
    <definedName name="____HCP05" localSheetId="23">[3]!_xlbgnm.HCP05</definedName>
    <definedName name="____HCP05">[3]!_xlbgnm.HCP05</definedName>
    <definedName name="____HDC01" localSheetId="7">[3]!_xlbgnm.HDC01</definedName>
    <definedName name="____HDC01" localSheetId="23">[3]!_xlbgnm.HDC01</definedName>
    <definedName name="____HDC01">[3]!_xlbgnm.HDC01</definedName>
    <definedName name="____hlm4" localSheetId="7">#REF!</definedName>
    <definedName name="____hlm4" localSheetId="23">#REF!</definedName>
    <definedName name="____hlm4">#REF!</definedName>
    <definedName name="____L1" localSheetId="7">#REF!</definedName>
    <definedName name="____L1" localSheetId="23">#REF!</definedName>
    <definedName name="____L1">#REF!</definedName>
    <definedName name="____L2" localSheetId="7">#REF!</definedName>
    <definedName name="____L2" localSheetId="23">#REF!</definedName>
    <definedName name="____L2">#REF!</definedName>
    <definedName name="____mp2" localSheetId="7">#REF!</definedName>
    <definedName name="____mp2" localSheetId="23">#REF!</definedName>
    <definedName name="____mp2">#REF!</definedName>
    <definedName name="____mp3">[1]MP3!$A$4:$C$5</definedName>
    <definedName name="____UMP1">[1]MP1!$F$1:$F$65536</definedName>
    <definedName name="____UMP3">[1]MP3!$F$1:$F$65536</definedName>
    <definedName name="___bcs2004" localSheetId="7">#REF!</definedName>
    <definedName name="___bcs2004" localSheetId="23">#REF!</definedName>
    <definedName name="___bcs2004">#REF!</definedName>
    <definedName name="___hal1" localSheetId="7">#REF!</definedName>
    <definedName name="___hal1" localSheetId="23">#REF!</definedName>
    <definedName name="___hal1">#REF!</definedName>
    <definedName name="___Hal100" localSheetId="7">#REF!</definedName>
    <definedName name="___Hal100" localSheetId="23">#REF!</definedName>
    <definedName name="___Hal100">#REF!</definedName>
    <definedName name="___HCC6" localSheetId="7">[2]!_xlbgnm.HCC6</definedName>
    <definedName name="___HCC6" localSheetId="23">[2]!_xlbgnm.HCC6</definedName>
    <definedName name="___HCC6">[2]!_xlbgnm.HCC6</definedName>
    <definedName name="___HCP002" localSheetId="7">[3]!_xlbgnm.HCP02</definedName>
    <definedName name="___HCP002" localSheetId="23">[3]!_xlbgnm.HCP02</definedName>
    <definedName name="___HCP002">[3]!_xlbgnm.HCP02</definedName>
    <definedName name="___HCP004" localSheetId="7">[3]!_xlbgnm.HCP04</definedName>
    <definedName name="___HCP004" localSheetId="23">[3]!_xlbgnm.HCP04</definedName>
    <definedName name="___HCP004">[3]!_xlbgnm.HCP04</definedName>
    <definedName name="___HCP02" localSheetId="7">[3]!_xlbgnm.HCP02</definedName>
    <definedName name="___HCP02" localSheetId="23">[3]!_xlbgnm.HCP02</definedName>
    <definedName name="___HCP02">[3]!_xlbgnm.HCP02</definedName>
    <definedName name="___HCP03" localSheetId="7">[3]!_xlbgnm.HCP03</definedName>
    <definedName name="___HCP03" localSheetId="23">[3]!_xlbgnm.HCP03</definedName>
    <definedName name="___HCP03">[3]!_xlbgnm.HCP03</definedName>
    <definedName name="___HCP04" localSheetId="7">[3]!_xlbgnm.HCP04</definedName>
    <definedName name="___HCP04" localSheetId="23">[3]!_xlbgnm.HCP04</definedName>
    <definedName name="___HCP04">[3]!_xlbgnm.HCP04</definedName>
    <definedName name="___HCP05" localSheetId="7">[3]!_xlbgnm.HCP05</definedName>
    <definedName name="___HCP05" localSheetId="23">[3]!_xlbgnm.HCP05</definedName>
    <definedName name="___HCP05">[3]!_xlbgnm.HCP05</definedName>
    <definedName name="___HDC01" localSheetId="7">[3]!_xlbgnm.HDC01</definedName>
    <definedName name="___HDC01" localSheetId="23">[3]!_xlbgnm.HDC01</definedName>
    <definedName name="___HDC01">[3]!_xlbgnm.HDC01</definedName>
    <definedName name="___hlm4" localSheetId="7">#REF!</definedName>
    <definedName name="___hlm4" localSheetId="23">#REF!</definedName>
    <definedName name="___hlm4">#REF!</definedName>
    <definedName name="___L1" localSheetId="7">#REF!</definedName>
    <definedName name="___L1" localSheetId="23">#REF!</definedName>
    <definedName name="___L1">#REF!</definedName>
    <definedName name="___L2" localSheetId="7">#REF!</definedName>
    <definedName name="___L2" localSheetId="23">#REF!</definedName>
    <definedName name="___L2">#REF!</definedName>
    <definedName name="___mp2" localSheetId="7">#REF!</definedName>
    <definedName name="___mp2" localSheetId="23">#REF!</definedName>
    <definedName name="___mp2">#REF!</definedName>
    <definedName name="___mp3">[1]MP3!$A$4:$C$5</definedName>
    <definedName name="___UMP1">[1]MP1!$F$1:$F$65536</definedName>
    <definedName name="___UMP3">[1]MP3!$F$1:$F$65536</definedName>
    <definedName name="__bcs2004" localSheetId="7">#REF!</definedName>
    <definedName name="__bcs2004" localSheetId="23">#REF!</definedName>
    <definedName name="__bcs2004">#REF!</definedName>
    <definedName name="__hal1" localSheetId="7">#REF!</definedName>
    <definedName name="__hal1" localSheetId="23">#REF!</definedName>
    <definedName name="__hal1">#REF!</definedName>
    <definedName name="__Hal100" localSheetId="7">#REF!</definedName>
    <definedName name="__Hal100" localSheetId="23">#REF!</definedName>
    <definedName name="__Hal100">#REF!</definedName>
    <definedName name="__HCC6" localSheetId="7">[2]!_xlbgnm.HCC6</definedName>
    <definedName name="__HCC6" localSheetId="23">[2]!_xlbgnm.HCC6</definedName>
    <definedName name="__HCC6">[2]!_xlbgnm.HCC6</definedName>
    <definedName name="__HCP002" localSheetId="7">[3]!_xlbgnm.HCP02</definedName>
    <definedName name="__HCP002" localSheetId="23">[3]!_xlbgnm.HCP02</definedName>
    <definedName name="__HCP002">[3]!_xlbgnm.HCP02</definedName>
    <definedName name="__HCP004" localSheetId="7">[3]!_xlbgnm.HCP04</definedName>
    <definedName name="__HCP004" localSheetId="23">[3]!_xlbgnm.HCP04</definedName>
    <definedName name="__HCP004">[3]!_xlbgnm.HCP04</definedName>
    <definedName name="__HCP02" localSheetId="7">[3]!_xlbgnm.HCP02</definedName>
    <definedName name="__HCP02" localSheetId="23">[3]!_xlbgnm.HCP02</definedName>
    <definedName name="__HCP02">[3]!_xlbgnm.HCP02</definedName>
    <definedName name="__HCP03" localSheetId="7">[3]!_xlbgnm.HCP03</definedName>
    <definedName name="__HCP03" localSheetId="23">[3]!_xlbgnm.HCP03</definedName>
    <definedName name="__HCP03">[3]!_xlbgnm.HCP03</definedName>
    <definedName name="__HCP04" localSheetId="7">[3]!_xlbgnm.HCP04</definedName>
    <definedName name="__HCP04" localSheetId="23">[3]!_xlbgnm.HCP04</definedName>
    <definedName name="__HCP04">[3]!_xlbgnm.HCP04</definedName>
    <definedName name="__HCP05" localSheetId="7">[3]!_xlbgnm.HCP05</definedName>
    <definedName name="__HCP05" localSheetId="23">[3]!_xlbgnm.HCP05</definedName>
    <definedName name="__HCP05">[3]!_xlbgnm.HCP05</definedName>
    <definedName name="__HDC01" localSheetId="7">[3]!_xlbgnm.HDC01</definedName>
    <definedName name="__HDC01" localSheetId="23">[3]!_xlbgnm.HDC01</definedName>
    <definedName name="__HDC01">[3]!_xlbgnm.HDC01</definedName>
    <definedName name="__hlm4" localSheetId="7">#REF!</definedName>
    <definedName name="__hlm4" localSheetId="23">#REF!</definedName>
    <definedName name="__hlm4">#REF!</definedName>
    <definedName name="__L1" localSheetId="7">#REF!</definedName>
    <definedName name="__L1" localSheetId="23">#REF!</definedName>
    <definedName name="__L1">#REF!</definedName>
    <definedName name="__L2" localSheetId="7">#REF!</definedName>
    <definedName name="__L2" localSheetId="23">#REF!</definedName>
    <definedName name="__L2">#REF!</definedName>
    <definedName name="__mp2" localSheetId="7">#REF!</definedName>
    <definedName name="__mp2" localSheetId="23">#REF!</definedName>
    <definedName name="__mp2">#REF!</definedName>
    <definedName name="__mp3">[1]MP3!$A$4:$C$5</definedName>
    <definedName name="__UMP1">[1]MP1!$F$1:$F$65536</definedName>
    <definedName name="__UMP3">[1]MP3!$F$1:$F$65536</definedName>
    <definedName name="_bcs2004" localSheetId="7">#REF!</definedName>
    <definedName name="_bcs2004" localSheetId="23">#REF!</definedName>
    <definedName name="_bcs2004">#REF!</definedName>
    <definedName name="_Fill" localSheetId="11" hidden="1">#REF!</definedName>
    <definedName name="_Fill" localSheetId="13" hidden="1">#REF!</definedName>
    <definedName name="_Fill" localSheetId="2" hidden="1">#REF!</definedName>
    <definedName name="_Fill" localSheetId="9" hidden="1">#REF!</definedName>
    <definedName name="_Fill" localSheetId="10" hidden="1">#REF!</definedName>
    <definedName name="_Fill" localSheetId="7" hidden="1">#REF!</definedName>
    <definedName name="_Fill" localSheetId="12" hidden="1">#REF!</definedName>
    <definedName name="_Fill" localSheetId="23" hidden="1">#REF!</definedName>
    <definedName name="_Fill" hidden="1">#REF!</definedName>
    <definedName name="_xlnm._FilterDatabase" localSheetId="9" hidden="1">PERBLNG!$B$6:$B$57</definedName>
    <definedName name="_xlnm._FilterDatabase" localSheetId="10" hidden="1">PERTAHUN!$B$5:$B$56</definedName>
    <definedName name="_hal1" localSheetId="7">#REF!</definedName>
    <definedName name="_hal1" localSheetId="23">#REF!</definedName>
    <definedName name="_hal1">#REF!</definedName>
    <definedName name="_Hal100" localSheetId="7">#REF!</definedName>
    <definedName name="_Hal100" localSheetId="23">#REF!</definedName>
    <definedName name="_Hal100">#REF!</definedName>
    <definedName name="_HCC6" localSheetId="7">[2]!_xlbgnm.HCC6</definedName>
    <definedName name="_HCC6" localSheetId="23">[2]!_xlbgnm.HCC6</definedName>
    <definedName name="_HCC6">[2]!_xlbgnm.HCC6</definedName>
    <definedName name="_HCP002" localSheetId="7">[3]!_xlbgnm.HCP02</definedName>
    <definedName name="_HCP002" localSheetId="23">[3]!_xlbgnm.HCP02</definedName>
    <definedName name="_HCP002">[3]!_xlbgnm.HCP02</definedName>
    <definedName name="_HCP004" localSheetId="7">[3]!_xlbgnm.HCP04</definedName>
    <definedName name="_HCP004" localSheetId="23">[3]!_xlbgnm.HCP04</definedName>
    <definedName name="_HCP004">[3]!_xlbgnm.HCP04</definedName>
    <definedName name="_HCP02" localSheetId="7">[3]!_xlbgnm.HCP02</definedName>
    <definedName name="_HCP02" localSheetId="23">[3]!_xlbgnm.HCP02</definedName>
    <definedName name="_HCP02">[3]!_xlbgnm.HCP02</definedName>
    <definedName name="_HCP03" localSheetId="7">[3]!_xlbgnm.HCP03</definedName>
    <definedName name="_HCP03" localSheetId="23">[3]!_xlbgnm.HCP03</definedName>
    <definedName name="_HCP03">[3]!_xlbgnm.HCP03</definedName>
    <definedName name="_HCP04" localSheetId="7">[3]!_xlbgnm.HCP04</definedName>
    <definedName name="_HCP04" localSheetId="23">[3]!_xlbgnm.HCP04</definedName>
    <definedName name="_HCP04">[3]!_xlbgnm.HCP04</definedName>
    <definedName name="_HCP05" localSheetId="7">[3]!_xlbgnm.HCP05</definedName>
    <definedName name="_HCP05" localSheetId="23">[3]!_xlbgnm.HCP05</definedName>
    <definedName name="_HCP05">[3]!_xlbgnm.HCP05</definedName>
    <definedName name="_HDC01" localSheetId="7">[3]!_xlbgnm.HDC01</definedName>
    <definedName name="_HDC01" localSheetId="23">[3]!_xlbgnm.HDC01</definedName>
    <definedName name="_HDC01">[3]!_xlbgnm.HDC01</definedName>
    <definedName name="_hlm4" localSheetId="7">#REF!</definedName>
    <definedName name="_hlm4" localSheetId="23">#REF!</definedName>
    <definedName name="_hlm4">#REF!</definedName>
    <definedName name="_L1" localSheetId="7">#REF!</definedName>
    <definedName name="_L1" localSheetId="23">#REF!</definedName>
    <definedName name="_L1">#REF!</definedName>
    <definedName name="_L2" localSheetId="7">#REF!</definedName>
    <definedName name="_L2" localSheetId="23">#REF!</definedName>
    <definedName name="_L2">#REF!</definedName>
    <definedName name="_MP1">[4]MP1!$A$6:$AW$36</definedName>
    <definedName name="_mp2" localSheetId="7">#REF!</definedName>
    <definedName name="_mp2" localSheetId="23">#REF!</definedName>
    <definedName name="_mp2">#REF!</definedName>
    <definedName name="_mp3">[1]MP3!$A$4:$C$5</definedName>
    <definedName name="_UMP1">[1]MP1!$F$1:$F$65536</definedName>
    <definedName name="_UMP3">[1]MP3!$F$1:$F$65536</definedName>
    <definedName name="a" localSheetId="7">[5]!Macro6</definedName>
    <definedName name="A" localSheetId="23">[5]!Macro6</definedName>
    <definedName name="a">[5]!Macro6</definedName>
    <definedName name="AAA" localSheetId="7">[6]!Macro9</definedName>
    <definedName name="AAA" localSheetId="23">[6]!Macro9</definedName>
    <definedName name="AAA">[6]!Macro9</definedName>
    <definedName name="ABC" localSheetId="7">#REF!</definedName>
    <definedName name="ABC" localSheetId="23">#REF!</definedName>
    <definedName name="ABC">#REF!</definedName>
    <definedName name="abs" localSheetId="7">[7]!Macro7</definedName>
    <definedName name="abs" localSheetId="23">[7]!Macro7</definedName>
    <definedName name="abs">[7]!Macro7</definedName>
    <definedName name="acc">[1]ACC!$C$1:$C$5</definedName>
    <definedName name="adb" localSheetId="7">[8]!Macro2</definedName>
    <definedName name="adb" localSheetId="23">[8]!Macro2</definedName>
    <definedName name="adb">[8]!Macro2</definedName>
    <definedName name="ADM" localSheetId="7">'[9]KB-WKB'!#REF!</definedName>
    <definedName name="ADM" localSheetId="23">'[9]KB-WKB'!#REF!</definedName>
    <definedName name="ADM">'[9]KB-WKB'!#REF!</definedName>
    <definedName name="adn" localSheetId="7">'[9]KB-WKB'!#REF!</definedName>
    <definedName name="adn" localSheetId="23">'[9]KB-WKB'!#REF!</definedName>
    <definedName name="adn">'[9]KB-WKB'!#REF!</definedName>
    <definedName name="ags" localSheetId="7">#REF!</definedName>
    <definedName name="ags" localSheetId="23">#REF!</definedName>
    <definedName name="ags">#REF!</definedName>
    <definedName name="aliyas" localSheetId="7">#REF!</definedName>
    <definedName name="aliyas" localSheetId="23">#REF!</definedName>
    <definedName name="aliyas">#REF!</definedName>
    <definedName name="ANL.EFF" localSheetId="7">#REF!</definedName>
    <definedName name="ANL.EFF" localSheetId="23">#REF!</definedName>
    <definedName name="ANL.EFF">#REF!</definedName>
    <definedName name="APD" localSheetId="7">#REF!</definedName>
    <definedName name="APD" localSheetId="23">#REF!</definedName>
    <definedName name="APD">#REF!</definedName>
    <definedName name="as">[1]ASES!$C$7</definedName>
    <definedName name="ASD" localSheetId="7">[10]!Macro7</definedName>
    <definedName name="ASD" localSheetId="23">[10]!Macro7</definedName>
    <definedName name="ASD">[10]!Macro7</definedName>
    <definedName name="ATANG" localSheetId="19" hidden="1">{"'Entry-SOUNDING'!$M$46"}</definedName>
    <definedName name="ATANG" localSheetId="20" hidden="1">{"'Entry-SOUNDING'!$M$46"}</definedName>
    <definedName name="ATANG" localSheetId="21" hidden="1">{"'Entry-SOUNDING'!$M$46"}</definedName>
    <definedName name="ATANG" localSheetId="22" hidden="1">{"'Entry-SOUNDING'!$M$46"}</definedName>
    <definedName name="ATANG" localSheetId="23" hidden="1">{"'Entry-SOUNDING'!$M$46"}</definedName>
    <definedName name="ATANG" hidden="1">{"'Entry-SOUNDING'!$M$46"}</definedName>
    <definedName name="ba">[1]BAB!$A$4:$C$6</definedName>
    <definedName name="BAIK" localSheetId="23">'[11]2004'!$BK$24:$BL$31</definedName>
    <definedName name="BAIK">'[11]2004'!$BK$24:$BL$31</definedName>
    <definedName name="BB">CONF!$R$5:$R$8</definedName>
    <definedName name="BBNN" localSheetId="7">[12]!Macro9</definedName>
    <definedName name="BBNN" localSheetId="23">[12]!Macro9</definedName>
    <definedName name="BBNN">[12]!Macro9</definedName>
    <definedName name="BELI" localSheetId="7">#REF!</definedName>
    <definedName name="BELI" localSheetId="23">#REF!</definedName>
    <definedName name="BELI">#REF!</definedName>
    <definedName name="berguna" localSheetId="7">#REF!</definedName>
    <definedName name="berguna" localSheetId="23">#REF!</definedName>
    <definedName name="berguna">#REF!</definedName>
    <definedName name="biaya_langsung_lab" localSheetId="7">#REF!</definedName>
    <definedName name="biaya_langsung_lab" localSheetId="23">#REF!</definedName>
    <definedName name="biaya_langsung_lab">#REF!</definedName>
    <definedName name="BLR" localSheetId="7">#REF!</definedName>
    <definedName name="BLR" localSheetId="23">#REF!</definedName>
    <definedName name="BLR">#REF!</definedName>
    <definedName name="BM_8018_GA" localSheetId="7">#REF!</definedName>
    <definedName name="BM_8018_GA" localSheetId="23">#REF!</definedName>
    <definedName name="BM_8018_GA">#REF!</definedName>
    <definedName name="BM_8851_G" localSheetId="7">#REF!</definedName>
    <definedName name="BM_8851_G" localSheetId="23">#REF!</definedName>
    <definedName name="BM_8851_G">#REF!</definedName>
    <definedName name="boi">[1]Boiler!$A$1:$C$5</definedName>
    <definedName name="bum">[1]B.UMUM!$A$1:$C$4</definedName>
    <definedName name="CAD">[13]Sheet1!$B$1:$AJ$174</definedName>
    <definedName name="CAL" localSheetId="7">#REF!</definedName>
    <definedName name="CAL" localSheetId="23">#REF!</definedName>
    <definedName name="CAL">#REF!</definedName>
    <definedName name="CAN">[4]CAN!$A$6:$CD$36</definedName>
    <definedName name="CAT" localSheetId="7">#REF!</definedName>
    <definedName name="CAT" localSheetId="23">#REF!</definedName>
    <definedName name="CAT">#REF!</definedName>
    <definedName name="catru" localSheetId="7">#REF!</definedName>
    <definedName name="catru" localSheetId="23">#REF!</definedName>
    <definedName name="catru">#REF!</definedName>
    <definedName name="CC" localSheetId="7">#REF!</definedName>
    <definedName name="CC" localSheetId="23">#REF!</definedName>
    <definedName name="CC">#REF!</definedName>
    <definedName name="CNO">[4]PMK!$A$6:$CP$36</definedName>
    <definedName name="cov" localSheetId="7">#REF!</definedName>
    <definedName name="cov" localSheetId="23">#REF!</definedName>
    <definedName name="cov">#REF!</definedName>
    <definedName name="CTRL___F3______________________" localSheetId="7">#REF!</definedName>
    <definedName name="CTRL___F3______________________" localSheetId="23">#REF!</definedName>
    <definedName name="CTRL___F3______________________">#REF!</definedName>
    <definedName name="CV" localSheetId="7">[14]!Macro8</definedName>
    <definedName name="CV" localSheetId="23">[14]!Macro8</definedName>
    <definedName name="CV">[14]!Macro8</definedName>
    <definedName name="CW">[4]CW!$A$6:$DN$36</definedName>
    <definedName name="d" localSheetId="7">#REF!</definedName>
    <definedName name="d" localSheetId="23">#REF!</definedName>
    <definedName name="d">#REF!</definedName>
    <definedName name="DAFTAR" localSheetId="7">#REF!</definedName>
    <definedName name="DAFTAR" localSheetId="23">#REF!</definedName>
    <definedName name="DAFTAR">#REF!</definedName>
    <definedName name="_xlnm.Database" localSheetId="7">#REF!</definedName>
    <definedName name="_xlnm.Database" localSheetId="23">#REF!</definedName>
    <definedName name="_xlnm.Database">#REF!</definedName>
    <definedName name="DC" localSheetId="7">#REF!</definedName>
    <definedName name="DC" localSheetId="23">#REF!</definedName>
    <definedName name="DC">#REF!</definedName>
    <definedName name="DD" localSheetId="7">#REF!</definedName>
    <definedName name="DD" localSheetId="23">#REF!</definedName>
    <definedName name="DD">#REF!</definedName>
    <definedName name="DEF" localSheetId="7">#REF!</definedName>
    <definedName name="DEF" localSheetId="23">#REF!</definedName>
    <definedName name="DEF">#REF!</definedName>
    <definedName name="dep" localSheetId="23">'[15]Sheet1 (2)'!$H$2:$L$40</definedName>
    <definedName name="dep">'[15]Sheet1 (2)'!$H$2:$L$40</definedName>
    <definedName name="dept">[1]ABK!$J$86:$K$120</definedName>
    <definedName name="des" localSheetId="7">#REF!</definedName>
    <definedName name="des" localSheetId="23">#REF!</definedName>
    <definedName name="des">#REF!</definedName>
    <definedName name="DEWI" localSheetId="7">[16]Cover!#REF!</definedName>
    <definedName name="DEWI" localSheetId="23">[16]Cover!#REF!</definedName>
    <definedName name="DEWI">[16]Cover!#REF!</definedName>
    <definedName name="DOC" localSheetId="7">KB[DOC]</definedName>
    <definedName name="DOC">KB[DOC]</definedName>
    <definedName name="drp">[1]drp!$B$198</definedName>
    <definedName name="DUA" localSheetId="7">#REF!</definedName>
    <definedName name="DUA" localSheetId="23">#REF!</definedName>
    <definedName name="DUA">#REF!</definedName>
    <definedName name="DW" localSheetId="7">#REF!</definedName>
    <definedName name="DW" localSheetId="23">#REF!</definedName>
    <definedName name="DW">#REF!</definedName>
    <definedName name="dwi" localSheetId="7">#REF!</definedName>
    <definedName name="dwi" localSheetId="23">#REF!</definedName>
    <definedName name="dwi">#REF!</definedName>
    <definedName name="E" hidden="1">{"'Entry-SOUNDING'!$M$46"}</definedName>
    <definedName name="ee" localSheetId="7">#REF!</definedName>
    <definedName name="ee" localSheetId="23">#REF!</definedName>
    <definedName name="ee">#REF!</definedName>
    <definedName name="EMAIL" localSheetId="7">[17]!Macro6</definedName>
    <definedName name="EMAIL" localSheetId="23">[18]!Macro6</definedName>
    <definedName name="EMAIL">[17]!Macro6</definedName>
    <definedName name="F" localSheetId="7">#REF!</definedName>
    <definedName name="F" localSheetId="23">#REF!</definedName>
    <definedName name="F">#REF!</definedName>
    <definedName name="FF" localSheetId="19" hidden="1">{"'Entry-SOUNDING'!$M$46"}</definedName>
    <definedName name="FF" localSheetId="20" hidden="1">{"'Entry-SOUNDING'!$M$46"}</definedName>
    <definedName name="FF" localSheetId="21" hidden="1">{"'Entry-SOUNDING'!$M$46"}</definedName>
    <definedName name="FF" localSheetId="22" hidden="1">{"'Entry-SOUNDING'!$M$46"}</definedName>
    <definedName name="FF" localSheetId="11" hidden="1">{"'Entry-SOUNDING'!$M$46"}</definedName>
    <definedName name="FF" localSheetId="13" hidden="1">{"'Entry-SOUNDING'!$M$46"}</definedName>
    <definedName name="FF" localSheetId="12" hidden="1">{"'Entry-SOUNDING'!$M$46"}</definedName>
    <definedName name="FF" localSheetId="23" hidden="1">{"'Entry-SOUNDING'!$M$46"}</definedName>
    <definedName name="FF" hidden="1">{"'Entry-SOUNDING'!$M$46"}</definedName>
    <definedName name="FG" localSheetId="7">#REF!</definedName>
    <definedName name="FG" localSheetId="23">#REF!</definedName>
    <definedName name="FG">#REF!</definedName>
    <definedName name="fin">[1]FIN!$A$1:$C$4</definedName>
    <definedName name="flowchart2" localSheetId="7">#REF!</definedName>
    <definedName name="flowchart2" localSheetId="23">#REF!</definedName>
    <definedName name="flowchart2">#REF!</definedName>
    <definedName name="Formulir" localSheetId="7">[3]!_xlbgnm.HCP03</definedName>
    <definedName name="Formulir" localSheetId="23">[3]!_xlbgnm.HCP03</definedName>
    <definedName name="Formulir">[3]!_xlbgnm.HCP03</definedName>
    <definedName name="from" localSheetId="7">[3]!_xlbgnm.HCP05</definedName>
    <definedName name="from" localSheetId="23">[3]!_xlbgnm.HCP05</definedName>
    <definedName name="from">[3]!_xlbgnm.HCP05</definedName>
    <definedName name="fromm" localSheetId="7">[3]!_xlbgnm.HCP02</definedName>
    <definedName name="fromm" localSheetId="23">[3]!_xlbgnm.HCP02</definedName>
    <definedName name="fromm">[3]!_xlbgnm.HCP02</definedName>
    <definedName name="FSD">[4]FSD!$A$6:$AQ$36</definedName>
    <definedName name="ga">[1]GA!$A$1:$C$3</definedName>
    <definedName name="gen">[1]Genset!$A$1:$C$3</definedName>
    <definedName name="GF" localSheetId="7">'[19]Pindah Bagian ABC'!#REF!</definedName>
    <definedName name="GF" localSheetId="23">'[19]Pindah Bagian ABC'!#REF!</definedName>
    <definedName name="GF">'[19]Pindah Bagian ABC'!#REF!</definedName>
    <definedName name="GFGFDG" localSheetId="7">'[19]Pindah Bagian ABC'!#REF!</definedName>
    <definedName name="GFGFDG" localSheetId="23">'[19]Pindah Bagian ABC'!#REF!</definedName>
    <definedName name="GFGFDG">'[19]Pindah Bagian ABC'!#REF!</definedName>
    <definedName name="GHI" localSheetId="7">#REF!</definedName>
    <definedName name="GHI" localSheetId="23">#REF!</definedName>
    <definedName name="GHI">#REF!</definedName>
    <definedName name="GRD" localSheetId="23">'[11]2004'!$BI$24:$BL$31</definedName>
    <definedName name="GRD">'[11]2004'!$BI$24:$BL$31</definedName>
    <definedName name="HARGA">IFERROR(Kuitansi!H1/Kuitansi!XEV1,"")</definedName>
    <definedName name="hlm.5" localSheetId="7">#REF!</definedName>
    <definedName name="hlm.5" localSheetId="23">#REF!</definedName>
    <definedName name="hlm.5">#REF!</definedName>
    <definedName name="HTML_CodePage" hidden="1">1252</definedName>
    <definedName name="HTML_Control" localSheetId="19" hidden="1">{"'Entry-SOUNDING'!$M$46"}</definedName>
    <definedName name="HTML_Control" localSheetId="20" hidden="1">{"'Entry-SOUNDING'!$M$46"}</definedName>
    <definedName name="HTML_Control" localSheetId="21" hidden="1">{"'Entry-SOUNDING'!$M$46"}</definedName>
    <definedName name="HTML_Control" localSheetId="22" hidden="1">{"'Entry-SOUNDING'!$M$46"}</definedName>
    <definedName name="HTML_Control" localSheetId="11" hidden="1">{"'Entry-SOUNDING'!$M$46"}</definedName>
    <definedName name="HTML_Control" localSheetId="13" hidden="1">{"'Entry-SOUNDING'!$M$46"}</definedName>
    <definedName name="HTML_Control" localSheetId="12" hidden="1">{"'Entry-SOUNDING'!$M$46"}</definedName>
    <definedName name="HTML_Control" localSheetId="23" hidden="1">{"'Entry-SOUNDING'!$M$46"}</definedName>
    <definedName name="HTML_Control" hidden="1">{"'Entry-SOUNDING'!$M$46"}</definedName>
    <definedName name="HTML_Description" hidden="1">"Coconut Oil Mill Daily Sounding Report"</definedName>
    <definedName name="HTML_Email" hidden="1">""</definedName>
    <definedName name="HTML_Header" hidden="1">"Entry-SOUNDING"</definedName>
    <definedName name="HTML_LastUpdate" hidden="1">"2/28/01"</definedName>
    <definedName name="HTML_LineAfter" hidden="1">FALSE</definedName>
    <definedName name="HTML_LineBefore" hidden="1">FALSE</definedName>
    <definedName name="HTML_Name" hidden="1">"Dept. PMK"</definedName>
    <definedName name="HTML_OBDlg2" hidden="1">TRUE</definedName>
    <definedName name="HTML_OBDlg4" hidden="1">TRUE</definedName>
    <definedName name="HTML_OS" hidden="1">0</definedName>
    <definedName name="HTML_PathFile" hidden="1">"C:\My Documents\sounding pmk.htm"</definedName>
    <definedName name="HTML_Title" hidden="1">"SOUND"</definedName>
    <definedName name="Hygiene" localSheetId="7">#REF!</definedName>
    <definedName name="Hygiene" localSheetId="23">#REF!</definedName>
    <definedName name="Hygiene">#REF!</definedName>
    <definedName name="INACC">[1]ACC!$N$1:$N$65536</definedName>
    <definedName name="INACC1">[1]ACC!$J$1:$J$65536</definedName>
    <definedName name="INACC2">[1]ACC!$K$1:$K$65536</definedName>
    <definedName name="INACC3">[1]ACC!$L$1:$L$65536</definedName>
    <definedName name="INACC4">[1]ACC!$M$1:$M$65536</definedName>
    <definedName name="INASES">[1]ASES!$N$1:$N$65536</definedName>
    <definedName name="INASES1">[1]ASES!$J$1:$J$65536</definedName>
    <definedName name="INASES2">[1]ASES!$K$1:$K$65536</definedName>
    <definedName name="INASES3">[1]ASES!$L$1:$L$65536</definedName>
    <definedName name="INASES4">[1]ASES!$M$1:$M$65536</definedName>
    <definedName name="INBAB">[1]BAB!$N$1:$N$65536</definedName>
    <definedName name="INBAB1">[1]BAB!$J$1:$J$65536</definedName>
    <definedName name="INBAB2">[1]BAB!$K$1:$K$65536</definedName>
    <definedName name="INBAB3">[1]BAB!$L$1:$L$65536</definedName>
    <definedName name="INBAB4">[1]BAB!$M$1:$M$65536</definedName>
    <definedName name="INBLR">[1]Boiler!$N$1:$N$65536</definedName>
    <definedName name="INBOILER1">[1]Boiler!$J$1:$J$65536</definedName>
    <definedName name="INBOILER2">[1]Boiler!$K$1:$K$65536</definedName>
    <definedName name="INBOILER3">[1]Boiler!$L$1:$L$65536</definedName>
    <definedName name="INBOILER4">[1]Boiler!$M$1:$M$65536</definedName>
    <definedName name="INBUM">[1]B.UMUM!$N$1:$N$65536</definedName>
    <definedName name="INBUM1">[1]B.UMUM!$J$1:$J$65536</definedName>
    <definedName name="INBUM2">[1]B.UMUM!$K$1:$K$65536</definedName>
    <definedName name="INBUM3">[1]B.UMUM!$L$1:$L$65536</definedName>
    <definedName name="INBUM4">[1]B.UMUM!$M$1:$M$65536</definedName>
    <definedName name="INCST">[1]CST!$N$1:$N$65536</definedName>
    <definedName name="INCST1">[1]CST!$J$1:$J$65536</definedName>
    <definedName name="INCST2">[1]CST!$K$1:$K$65536</definedName>
    <definedName name="INCST3">[1]CST!$L$1:$L$65536</definedName>
    <definedName name="INCST4">[1]CST!$M$1:$M$65536</definedName>
    <definedName name="INDRP">[1]drp!$N$1:$N$65536</definedName>
    <definedName name="INDRP1">[1]drp!$J$1:$J$65536</definedName>
    <definedName name="INDRP2">[1]drp!$K$1:$K$65536</definedName>
    <definedName name="INDRP3">[1]drp!$L$1:$L$65536</definedName>
    <definedName name="INDRP4">[1]drp!$M$1:$M$65536</definedName>
    <definedName name="INESM">[1]ESM!$N$1:$N$65536</definedName>
    <definedName name="INESM1">[1]ESM!$J$1:$J$65536</definedName>
    <definedName name="INESM2">[1]ESM!$K$1:$K$65536</definedName>
    <definedName name="INESM3">[1]ESM!$L$1:$L$65536</definedName>
    <definedName name="INESM4">[1]ESM!$M$1:$M$65536</definedName>
    <definedName name="INFIN">[1]FIN!$N$1:$N$65536</definedName>
    <definedName name="INFIN1">[1]FIN!$J$1:$J$65536</definedName>
    <definedName name="INFIN2">[1]FIN!$K$1:$K$65536</definedName>
    <definedName name="INFIN3">[1]FIN!$L$1:$L$65536</definedName>
    <definedName name="INFIN4">[1]FIN!$M$1:$M$65536</definedName>
    <definedName name="INGA">[1]GA!$N$1:$N$65536</definedName>
    <definedName name="INGA1">[1]GA!$J$1:$J$65536</definedName>
    <definedName name="INGA2">[1]GA!$K$1:$K$65536</definedName>
    <definedName name="INGA3">[1]GA!$L$1:$L$65536</definedName>
    <definedName name="INGA4">[1]GA!$M$1:$M$65536</definedName>
    <definedName name="INGENSET1">[1]Genset!$J$1:$J$65536</definedName>
    <definedName name="INGENSET2">[1]Genset!$K$1:$K$65536</definedName>
    <definedName name="INGENSET3">[1]Genset!$L$1:$L$65536</definedName>
    <definedName name="INGENSET4">[1]Genset!$M$1:$M$65536</definedName>
    <definedName name="INGST">[1]Genset!$N$1:$N$65536</definedName>
    <definedName name="INHIL1">[1]prj!$J$1:$J$65536</definedName>
    <definedName name="INITD">[1]ITD!$N$1:$N$65536</definedName>
    <definedName name="INITD1">[1]ITD!$J$1:$J$65536</definedName>
    <definedName name="INITD2">[1]ITD!$K$1:$K$65536</definedName>
    <definedName name="INITD3">[1]ITD!$L$1:$L$65536</definedName>
    <definedName name="INITD4">[1]ITD!$M$1:$M$65536</definedName>
    <definedName name="INKLIN">[1]KLINIK!$N$1:$N$65536</definedName>
    <definedName name="INKLINIK1">[1]KLINIK!$J$1:$J$65536</definedName>
    <definedName name="INKLINIK2">[1]KLINIK!$K$1:$K$65536</definedName>
    <definedName name="INKLINIK3">[1]KLINIK!$L$1:$L$65536</definedName>
    <definedName name="INKLINIK4">[1]KLINIK!$M$1:$M$65536</definedName>
    <definedName name="INKOP">[1]kop!$N$1:$N$65536</definedName>
    <definedName name="INKOP1">[1]kop!$J$1:$J$65536</definedName>
    <definedName name="INKOP2">[1]kop!$K$1:$K$65536</definedName>
    <definedName name="INKOP3">[1]kop!$L$1:$L$65536</definedName>
    <definedName name="INKOP4">[1]kop!$M$1:$M$65536</definedName>
    <definedName name="INLFD">[20]LFDC!$N$1:$N$65536</definedName>
    <definedName name="INLFDC">[1]LFDC!$N$1:$N$65536</definedName>
    <definedName name="INLFDC1">[1]LFDC!$J$1:$J$65536</definedName>
    <definedName name="INLFDC2">[1]LFDC!$K$1:$K$65536</definedName>
    <definedName name="INLFDC3">[1]LFDC!$L$1:$L$65536</definedName>
    <definedName name="INLFDC4">[1]LFDC!$M$1:$M$65536</definedName>
    <definedName name="INLISTRIK1">[1]listrik!$J$1:$J$65536</definedName>
    <definedName name="INLISTRIK2">[1]listrik!$K$1:$K$65536</definedName>
    <definedName name="INLISTRIK3">[1]listrik!$L$1:$L$65536</definedName>
    <definedName name="INLISTRIK4">[1]listrik!$M$1:$M$65536</definedName>
    <definedName name="INLOG">[1]LOG!$N$1:$N$65536</definedName>
    <definedName name="INLOG1">[1]LOG!$J$1:$J$65536</definedName>
    <definedName name="INLOG2">[1]LOG!$K$1:$K$65536</definedName>
    <definedName name="INLOG3">[1]LOG!$L$1:$L$65536</definedName>
    <definedName name="INLOG4">[1]LOG!$M$1:$M$65536</definedName>
    <definedName name="INLST">[1]listrik!$N$1:$N$65536</definedName>
    <definedName name="INMP1">[1]MP1!$N$1:$N$65536</definedName>
    <definedName name="INMP11">[1]MP1!$J$1:$J$65536</definedName>
    <definedName name="INMP12">[1]MP1!$K$1:$K$65536</definedName>
    <definedName name="INMP13">[1]MP1!$L$1:$L$65536</definedName>
    <definedName name="INMP14">[1]MP1!$M$1:$M$65536</definedName>
    <definedName name="INMP2">[1]MP2!$O$1:$O$65536</definedName>
    <definedName name="INMP21" localSheetId="7">#REF!</definedName>
    <definedName name="INMP21" localSheetId="23">#REF!</definedName>
    <definedName name="INMP21">#REF!</definedName>
    <definedName name="INMP22" localSheetId="7">#REF!</definedName>
    <definedName name="INMP22" localSheetId="23">#REF!</definedName>
    <definedName name="INMP22">#REF!</definedName>
    <definedName name="INMP23" localSheetId="7">#REF!</definedName>
    <definedName name="INMP23" localSheetId="23">#REF!</definedName>
    <definedName name="INMP23">#REF!</definedName>
    <definedName name="INMP24" localSheetId="7">#REF!</definedName>
    <definedName name="INMP24" localSheetId="23">#REF!</definedName>
    <definedName name="INMP24">#REF!</definedName>
    <definedName name="INMP3">[1]MP3!$N$1:$N$65536</definedName>
    <definedName name="INMP31">[1]MP3!$J$1:$J$65536</definedName>
    <definedName name="INMP32">[1]MP3!$K$1:$K$65536</definedName>
    <definedName name="INMP33">[1]MP3!$L$1:$L$65536</definedName>
    <definedName name="INMP34">[1]MP3!$M$1:$M$65536</definedName>
    <definedName name="INOF">[1]OFFICE!$N$1:$N$65536</definedName>
    <definedName name="INOFFICE1">[1]OFFICE!$J$1:$J$65536</definedName>
    <definedName name="INOFFICE2">[1]OFFICE!$K$1:$K$65536</definedName>
    <definedName name="INOFFICE3">[1]OFFICE!$L$1:$L$65536</definedName>
    <definedName name="INOFFICE4">[1]OFFICE!$M$1:$M$65536</definedName>
    <definedName name="INPBL">[20]RMP!$O$1:$O$65536</definedName>
    <definedName name="INPIC">[1]PIC!$N$1:$N$65536</definedName>
    <definedName name="INPIC1">[1]PIC!$J$1:$J$65536</definedName>
    <definedName name="INPIC2">[1]PIC!$K$1:$K$65536</definedName>
    <definedName name="INPIC3">[1]PIC!$L$1:$L$65536</definedName>
    <definedName name="INPIC4">[1]PIC!$M$1:$M$65536</definedName>
    <definedName name="INPMK">[1]PMK!$N$1:$N$65536</definedName>
    <definedName name="INPMK1">[1]PMK!$J$1:$J$65536</definedName>
    <definedName name="INPMK2">[1]PMK!$K$1:$K$65536</definedName>
    <definedName name="INPMK3">[1]PMK!$L$1:$L$65536</definedName>
    <definedName name="INPMK4">[1]PMK!$M$1:$M$65536</definedName>
    <definedName name="INPRJ">[1]prj!$N$1:$N$65536</definedName>
    <definedName name="INPRJ1">[1]prj!$J$1:$J$65536</definedName>
    <definedName name="INPRJ2">[1]prj!$K$1:$K$65536</definedName>
    <definedName name="INPRJ3">[1]prj!$L$1:$L$65536</definedName>
    <definedName name="INPRJ4">[1]prj!$M$1:$M$65536</definedName>
    <definedName name="INPRU">[1]PRU!$N$1:$N$65536</definedName>
    <definedName name="INPRU1">[1]PRU!$J$1:$J$65536</definedName>
    <definedName name="INPRU2">[1]PRU!$K$1:$K$65536</definedName>
    <definedName name="INPRU3">[1]PRU!$L$1:$L$65536</definedName>
    <definedName name="INPRU4">[1]PRU!$M$1:$M$65536</definedName>
    <definedName name="INPSN">[1]psn!$N$1:$N$65536</definedName>
    <definedName name="INPSN1">[1]psn!$J$1:$J$65536</definedName>
    <definedName name="INPSN2">[1]psn!$K$1:$K$65536</definedName>
    <definedName name="INPSN3">[1]psn!$L$1:$L$65536</definedName>
    <definedName name="INPSN4">[1]psn!$M$1:$M$65536</definedName>
    <definedName name="INPUT" localSheetId="7">#REF!</definedName>
    <definedName name="INPUT" localSheetId="23">#REF!</definedName>
    <definedName name="INPUT">#REF!</definedName>
    <definedName name="INQAD">[1]QAD!$N$1:$N$65536</definedName>
    <definedName name="INQAD1">[1]QAD!$J$1:$J$65536</definedName>
    <definedName name="INQAD2">[1]QAD!$K$1:$K$65536</definedName>
    <definedName name="INQAD3">[1]QAD!$L$1:$L$65536</definedName>
    <definedName name="INQAD4">[1]QAD!$M$1:$M$65536</definedName>
    <definedName name="INQSD">[1]QSD!$N$1:$N$65536</definedName>
    <definedName name="INQSD1">[1]QSD!$J$1:$J$65536</definedName>
    <definedName name="INQSD2">[1]QSD!$K$1:$K$65536</definedName>
    <definedName name="INQSD3">[1]QSD!$L$1:$L$65536</definedName>
    <definedName name="INQSD4">[1]QSD!$M$1:$M$65536</definedName>
    <definedName name="INRMP">[1]RMP!$N$1:$N$65536</definedName>
    <definedName name="INRMP1">[1]RMP!$J$1:$J$65536</definedName>
    <definedName name="INRMP2">[1]RMP!$K$1:$K$65536</definedName>
    <definedName name="INRMP3">[1]RMP!$L$1:$L$65536</definedName>
    <definedName name="INRMP4">[1]RMP!$M$1:$M$65536</definedName>
    <definedName name="INWET">[1]wet!$N$1:$N$65536</definedName>
    <definedName name="INWET1">[1]wet!$J$1:$J$65536</definedName>
    <definedName name="INWET2">[1]wet!$L$1:$L$65536</definedName>
    <definedName name="INWET3">[1]wet!$M$1:$M$65536</definedName>
    <definedName name="INWET4">[1]wet!$N$1:$N$65536</definedName>
    <definedName name="INWHS">[1]WHS!$N$1:$N$65536</definedName>
    <definedName name="INWHS1">[1]WHS!$J$1:$J$65536</definedName>
    <definedName name="INWHS2">[1]WHS!$K$1:$K$65536</definedName>
    <definedName name="INWHS3">[1]WHS!$L$1:$L$65536</definedName>
    <definedName name="INWHS4">[1]WHS!$M$1:$M$65536</definedName>
    <definedName name="INWTR">[1]WTR!$N$1:$N$65536</definedName>
    <definedName name="INWTR1">[1]WTR!$J$1:$J$65536</definedName>
    <definedName name="INWTR2">[1]WTR!$K$1:$K$65536</definedName>
    <definedName name="INWTR3">[1]WTR!$L$1:$L$65536</definedName>
    <definedName name="INWTR4">[1]WTR!$M$1:$M$65536</definedName>
    <definedName name="it">[1]ITD!$E$6</definedName>
    <definedName name="ITEM" localSheetId="7">#REF!</definedName>
    <definedName name="ITEM" localSheetId="23">#REF!</definedName>
    <definedName name="ITEM">#REF!</definedName>
    <definedName name="jabatan">[1]ABK!$J$2:$K$83</definedName>
    <definedName name="jan_feb_mar" localSheetId="7">#REF!</definedName>
    <definedName name="jan_feb_mar" localSheetId="23">#REF!</definedName>
    <definedName name="jan_feb_mar">#REF!</definedName>
    <definedName name="jas" localSheetId="7">#REF!</definedName>
    <definedName name="jas" localSheetId="23">#REF!</definedName>
    <definedName name="jas">#REF!</definedName>
    <definedName name="jasa" localSheetId="7">#REF!</definedName>
    <definedName name="jasa" localSheetId="23">#REF!</definedName>
    <definedName name="jasa">#REF!</definedName>
    <definedName name="js" localSheetId="7">#REF!</definedName>
    <definedName name="js" localSheetId="23">#REF!</definedName>
    <definedName name="js">#REF!</definedName>
    <definedName name="JUKA" localSheetId="7">#REF!</definedName>
    <definedName name="JUKA" localSheetId="23">#REF!</definedName>
    <definedName name="JUKA">#REF!</definedName>
    <definedName name="jun_jul" localSheetId="7">#REF!</definedName>
    <definedName name="jun_jul" localSheetId="23">#REF!</definedName>
    <definedName name="jun_jul">#REF!</definedName>
    <definedName name="JUS">[4]JUICE!$A$6:$CD$36</definedName>
    <definedName name="KAL" localSheetId="7">#REF!</definedName>
    <definedName name="KAL" localSheetId="23">#REF!</definedName>
    <definedName name="KAL">#REF!</definedName>
    <definedName name="KAS" localSheetId="19" hidden="1">{"'Entry-SOUNDING'!$M$46"}</definedName>
    <definedName name="KAS" localSheetId="20" hidden="1">{"'Entry-SOUNDING'!$M$46"}</definedName>
    <definedName name="KAS" localSheetId="21" hidden="1">{"'Entry-SOUNDING'!$M$46"}</definedName>
    <definedName name="KAS" localSheetId="22" hidden="1">{"'Entry-SOUNDING'!$M$46"}</definedName>
    <definedName name="KAS" localSheetId="11" hidden="1">{"'Entry-SOUNDING'!$M$46"}</definedName>
    <definedName name="KAS" localSheetId="13" hidden="1">{"'Entry-SOUNDING'!$M$46"}</definedName>
    <definedName name="KAS" localSheetId="12" hidden="1">{"'Entry-SOUNDING'!$M$46"}</definedName>
    <definedName name="KAS" localSheetId="23" hidden="1">{"'Entry-SOUNDING'!$M$46"}</definedName>
    <definedName name="KAS" hidden="1">{"'Entry-SOUNDING'!$M$46"}</definedName>
    <definedName name="Kb.2281" localSheetId="7">[21]Hari.A!#REF!</definedName>
    <definedName name="Kb.2281" localSheetId="23">[21]Hari.A!#REF!</definedName>
    <definedName name="Kb.2281">[21]Hari.A!#REF!</definedName>
    <definedName name="kehadiran_karyawan" localSheetId="7">#REF!</definedName>
    <definedName name="kehadiran_karyawan" localSheetId="23">#REF!</definedName>
    <definedName name="kehadiran_karyawan">#REF!</definedName>
    <definedName name="KIRIMBAB" localSheetId="7">#REF!</definedName>
    <definedName name="KIRIMBAB" localSheetId="23">#REF!</definedName>
    <definedName name="KIRIMBAB">#REF!</definedName>
    <definedName name="KIRIMBOILER" localSheetId="7">#REF!</definedName>
    <definedName name="KIRIMBOILER" localSheetId="23">#REF!</definedName>
    <definedName name="KIRIMBOILER">#REF!</definedName>
    <definedName name="KIRIMBUM" localSheetId="7">#REF!</definedName>
    <definedName name="KIRIMBUM" localSheetId="23">#REF!</definedName>
    <definedName name="KIRIMBUM">#REF!</definedName>
    <definedName name="KIRIMLISTRIK" localSheetId="7">#REF!</definedName>
    <definedName name="KIRIMLISTRIK" localSheetId="23">#REF!</definedName>
    <definedName name="KIRIMLISTRIK">#REF!</definedName>
    <definedName name="KIRIMPRU" localSheetId="7">#REF!</definedName>
    <definedName name="KIRIMPRU" localSheetId="23">#REF!</definedName>
    <definedName name="KIRIMPRU">#REF!</definedName>
    <definedName name="KIRIMPWH" localSheetId="7">#REF!</definedName>
    <definedName name="KIRIMPWH" localSheetId="23">#REF!</definedName>
    <definedName name="KIRIMPWH">#REF!</definedName>
    <definedName name="KIRIMWTD" localSheetId="7">#REF!</definedName>
    <definedName name="KIRIMWTD" localSheetId="23">#REF!</definedName>
    <definedName name="KIRIMWTD">#REF!</definedName>
    <definedName name="KKK" localSheetId="7">#REF!</definedName>
    <definedName name="KKK" localSheetId="23">#REF!</definedName>
    <definedName name="KKK">#REF!</definedName>
    <definedName name="kl" localSheetId="7">#REF!</definedName>
    <definedName name="kl" localSheetId="23">#REF!</definedName>
    <definedName name="kl">#REF!</definedName>
    <definedName name="klr">[1]Keluar!$A$9:$C$10</definedName>
    <definedName name="kop">[1]kop!$A$1:$C$4</definedName>
    <definedName name="L" localSheetId="7">[18]!Macro6</definedName>
    <definedName name="L" localSheetId="23">[18]!Macro6</definedName>
    <definedName name="L">[18]!Macro6</definedName>
    <definedName name="lamp4" localSheetId="7">#REF!</definedName>
    <definedName name="lamp4" localSheetId="23">#REF!</definedName>
    <definedName name="lamp4">#REF!</definedName>
    <definedName name="lfd">[1]LFDC!$A$4:$C$6</definedName>
    <definedName name="LH" localSheetId="7">[22]!Macro2</definedName>
    <definedName name="LH" localSheetId="23">[22]!Macro2</definedName>
    <definedName name="LH">[22]!Macro2</definedName>
    <definedName name="lis">[1]listrik!$A$1:$C$6</definedName>
    <definedName name="lk" localSheetId="7">#REF!</definedName>
    <definedName name="lk" localSheetId="23">#REF!</definedName>
    <definedName name="lk">#REF!</definedName>
    <definedName name="LKKG" localSheetId="7">#REF!</definedName>
    <definedName name="LKKG" localSheetId="23">#REF!</definedName>
    <definedName name="LKKG">#REF!</definedName>
    <definedName name="LL" localSheetId="7">#REF!</definedName>
    <definedName name="LL" localSheetId="23">#REF!</definedName>
    <definedName name="LL">#REF!</definedName>
    <definedName name="lok" localSheetId="7">#REF!</definedName>
    <definedName name="lok" localSheetId="23">#REF!</definedName>
    <definedName name="lok">#REF!</definedName>
    <definedName name="lokal" localSheetId="7">#REF!</definedName>
    <definedName name="lokal" localSheetId="23">#REF!</definedName>
    <definedName name="lokal">#REF!</definedName>
    <definedName name="m" localSheetId="7">#REF!</definedName>
    <definedName name="m" localSheetId="23">#REF!</definedName>
    <definedName name="m">#REF!</definedName>
    <definedName name="M.YUNUS" localSheetId="19" hidden="1">{"'Entry-SOUNDING'!$M$46"}</definedName>
    <definedName name="M.YUNUS" localSheetId="20" hidden="1">{"'Entry-SOUNDING'!$M$46"}</definedName>
    <definedName name="M.YUNUS" localSheetId="21" hidden="1">{"'Entry-SOUNDING'!$M$46"}</definedName>
    <definedName name="M.YUNUS" localSheetId="22" hidden="1">{"'Entry-SOUNDING'!$M$46"}</definedName>
    <definedName name="M.YUNUS" localSheetId="11" hidden="1">{"'Entry-SOUNDING'!$M$46"}</definedName>
    <definedName name="M.YUNUS" localSheetId="13" hidden="1">{"'Entry-SOUNDING'!$M$46"}</definedName>
    <definedName name="M.YUNUS" localSheetId="12" hidden="1">{"'Entry-SOUNDING'!$M$46"}</definedName>
    <definedName name="M.YUNUS" localSheetId="23" hidden="1">{"'Entry-SOUNDING'!$M$46"}</definedName>
    <definedName name="M.YUNUS" hidden="1">{"'Entry-SOUNDING'!$M$46"}</definedName>
    <definedName name="Macro1" localSheetId="7">[23]!Macro1</definedName>
    <definedName name="Macro1" localSheetId="23">[23]!Macro1</definedName>
    <definedName name="Macro1">[23]!Macro1</definedName>
    <definedName name="Macro15" localSheetId="7">[24]!Macro15</definedName>
    <definedName name="Macro15" localSheetId="23">[24]!Macro15</definedName>
    <definedName name="Macro15">[24]!Macro15</definedName>
    <definedName name="Macro16" localSheetId="7">[24]!Macro16</definedName>
    <definedName name="Macro16" localSheetId="23">[24]!Macro16</definedName>
    <definedName name="Macro16">[24]!Macro16</definedName>
    <definedName name="Macro2" localSheetId="7">[22]!Macro2</definedName>
    <definedName name="Macro2" localSheetId="23">[22]!Macro2</definedName>
    <definedName name="Macro2">[22]!Macro2</definedName>
    <definedName name="Macro3" localSheetId="7">[23]!Macro3</definedName>
    <definedName name="Macro3" localSheetId="23">[23]!Macro3</definedName>
    <definedName name="Macro3">[23]!Macro3</definedName>
    <definedName name="Macro4" localSheetId="7">[10]!Macro4</definedName>
    <definedName name="Macro4" localSheetId="23">[10]!Macro4</definedName>
    <definedName name="Macro4">[10]!Macro4</definedName>
    <definedName name="Macro5" localSheetId="7">[10]!Macro5</definedName>
    <definedName name="Macro5" localSheetId="23">[10]!Macro5</definedName>
    <definedName name="Macro5">[10]!Macro5</definedName>
    <definedName name="Macro6" localSheetId="7">[10]!Macro6</definedName>
    <definedName name="Macro6" localSheetId="23">[10]!Macro6</definedName>
    <definedName name="Macro6">[10]!Macro6</definedName>
    <definedName name="Macro7" localSheetId="7">[10]!Macro7</definedName>
    <definedName name="Macro7" localSheetId="23">[10]!Macro7</definedName>
    <definedName name="Macro7">[10]!Macro7</definedName>
    <definedName name="Macro8" localSheetId="7">[10]!Macro8</definedName>
    <definedName name="Macro8" localSheetId="23">[10]!Macro8</definedName>
    <definedName name="Macro8">[10]!Macro8</definedName>
    <definedName name="Macro9" localSheetId="7">[10]!Macro9</definedName>
    <definedName name="Macro9" localSheetId="23">[10]!Macro9</definedName>
    <definedName name="Macro9">[10]!Macro9</definedName>
    <definedName name="MAFTUH" localSheetId="7">#REF!</definedName>
    <definedName name="MAFTUH" localSheetId="23">#REF!</definedName>
    <definedName name="MAFTUH">#REF!</definedName>
    <definedName name="mar_apr" localSheetId="7">#REF!</definedName>
    <definedName name="mar_apr" localSheetId="23">#REF!</definedName>
    <definedName name="mar_apr">#REF!</definedName>
    <definedName name="may_juni" localSheetId="7">#REF!</definedName>
    <definedName name="may_juni" localSheetId="23">#REF!</definedName>
    <definedName name="may_juni">#REF!</definedName>
    <definedName name="mk" localSheetId="7">#REF!</definedName>
    <definedName name="mk" localSheetId="23">#REF!</definedName>
    <definedName name="mk">#REF!</definedName>
    <definedName name="mp">[1]MP1!$A$1:$C$5</definedName>
    <definedName name="mpww" localSheetId="23">[25]MP1!$A$4:$AO$34</definedName>
    <definedName name="mpww">[25]MP1!$A$4:$AO$34</definedName>
    <definedName name="mrq" localSheetId="7">#REF!</definedName>
    <definedName name="mrq" localSheetId="23">#REF!</definedName>
    <definedName name="mrq">#REF!</definedName>
    <definedName name="mts" localSheetId="7">#REF!</definedName>
    <definedName name="mts" localSheetId="23">#REF!</definedName>
    <definedName name="mts">#REF!</definedName>
    <definedName name="na" localSheetId="7">#REF!</definedName>
    <definedName name="na" localSheetId="23">#REF!</definedName>
    <definedName name="na">#REF!</definedName>
    <definedName name="ncHCR" localSheetId="7">#REF!</definedName>
    <definedName name="ncHCR" localSheetId="23">#REF!</definedName>
    <definedName name="ncHCR">#REF!</definedName>
    <definedName name="NIK">"DATA"</definedName>
    <definedName name="nilai">Kuitansi!$H$26</definedName>
    <definedName name="no" localSheetId="7">[26]!_xlbgnm.HCP04</definedName>
    <definedName name="no" localSheetId="23">[26]!_xlbgnm.HCP04</definedName>
    <definedName name="no">[26]!_xlbgnm.HCP04</definedName>
    <definedName name="non" localSheetId="7">#REF!</definedName>
    <definedName name="non" localSheetId="23">#REF!</definedName>
    <definedName name="non">#REF!</definedName>
    <definedName name="OBJTC" localSheetId="7">#REF!</definedName>
    <definedName name="OBJTC" localSheetId="23">#REF!</definedName>
    <definedName name="OBJTC">#REF!</definedName>
    <definedName name="off">[1]OFFICE!$A$1:$C$5</definedName>
    <definedName name="okt" localSheetId="7">#REF!</definedName>
    <definedName name="okt" localSheetId="23">#REF!</definedName>
    <definedName name="okt">#REF!</definedName>
    <definedName name="p" localSheetId="23">[27]data!$A$2:$AH$16</definedName>
    <definedName name="p">[27]data!$A$2:$AH$16</definedName>
    <definedName name="PBL" localSheetId="7">#REF!</definedName>
    <definedName name="PBL" localSheetId="23">#REF!</definedName>
    <definedName name="PBL">#REF!</definedName>
    <definedName name="perisai">'[28]Lamp-3'!$AI$11:$AI$21</definedName>
    <definedName name="PETANI">[29]NM_PTN!$D$5:$AJ$139</definedName>
    <definedName name="ph" localSheetId="7">#REF!</definedName>
    <definedName name="ph" localSheetId="23">#REF!</definedName>
    <definedName name="ph">#REF!</definedName>
    <definedName name="pic">[1]PIC!$A$11</definedName>
    <definedName name="pmk">[1]PMK!$A$1:$C$4</definedName>
    <definedName name="Pranot" localSheetId="7">#REF!</definedName>
    <definedName name="Pranot" localSheetId="23">#REF!</definedName>
    <definedName name="Pranot">#REF!</definedName>
    <definedName name="_xlnm.Print_Area" localSheetId="6">COVER!$A$1:$A$6</definedName>
    <definedName name="_xlnm.Print_Area" localSheetId="5">Kuitansi!$B$7:$BW$30</definedName>
    <definedName name="_xlnm.Print_Area" localSheetId="7">#REF!</definedName>
    <definedName name="_xlnm.Print_Area" localSheetId="14">DBRELASI[[NO]:[CABANG]]</definedName>
    <definedName name="_xlnm.Print_Area" localSheetId="23">'VMR2(3-5,11,13,15-20)'!$A$388:$AM$422</definedName>
    <definedName name="_xlnm.Print_Area">#REF!</definedName>
    <definedName name="pru">[1]PRU!$A$1:$C$2</definedName>
    <definedName name="pry">[1]prj!$A$1:$C$4</definedName>
    <definedName name="psn">[1]psn!$A$1:$C$6</definedName>
    <definedName name="q" localSheetId="23">[30]psn!$C$4:$DE$51</definedName>
    <definedName name="q">[30]psn!$C$4:$DE$51</definedName>
    <definedName name="qad">[1]QAD!$A$1:$C$4</definedName>
    <definedName name="QFD" localSheetId="7">#REF!</definedName>
    <definedName name="QFD" localSheetId="23">#REF!</definedName>
    <definedName name="QFD">#REF!</definedName>
    <definedName name="qsd">[1]KLINIK!$A$1:$C$4</definedName>
    <definedName name="REKAP" localSheetId="19" hidden="1">{"'Entry-SOUNDING'!$M$46"}</definedName>
    <definedName name="REKAP" localSheetId="20" hidden="1">{"'Entry-SOUNDING'!$M$46"}</definedName>
    <definedName name="REKAP" localSheetId="21" hidden="1">{"'Entry-SOUNDING'!$M$46"}</definedName>
    <definedName name="REKAP" localSheetId="22" hidden="1">{"'Entry-SOUNDING'!$M$46"}</definedName>
    <definedName name="REKAP" localSheetId="11" hidden="1">{"'Entry-SOUNDING'!$M$46"}</definedName>
    <definedName name="REKAP" localSheetId="13" hidden="1">{"'Entry-SOUNDING'!$M$46"}</definedName>
    <definedName name="REKAP" localSheetId="12" hidden="1">{"'Entry-SOUNDING'!$M$46"}</definedName>
    <definedName name="REKAP" localSheetId="23" hidden="1">{"'Entry-SOUNDING'!$M$46"}</definedName>
    <definedName name="REKAP" hidden="1">{"'Entry-SOUNDING'!$M$46"}</definedName>
    <definedName name="REL" localSheetId="9">DBRELASI[[#All],[RELASI]]</definedName>
    <definedName name="REL" localSheetId="10">DBRELASI[[#All],[RELASI]]</definedName>
    <definedName name="REL" localSheetId="7">DBRELASI[[#All],[RELASI]]</definedName>
    <definedName name="REL">DBRELASI[[#All],[RELASI]]</definedName>
    <definedName name="revisi" localSheetId="7">[26]!_xlbgnm.HCP02</definedName>
    <definedName name="revisi" localSheetId="23">[26]!_xlbgnm.HCP02</definedName>
    <definedName name="revisi">[26]!_xlbgnm.HCP02</definedName>
    <definedName name="RKP" localSheetId="7">'[31]QMS-85'!#REF!</definedName>
    <definedName name="RKP" localSheetId="23">'[31]QMS-85'!#REF!</definedName>
    <definedName name="RKP">'[31]QMS-85'!#REF!</definedName>
    <definedName name="rmp">[1]RMP!$A$1:$B$3</definedName>
    <definedName name="rr" localSheetId="7">#REF!</definedName>
    <definedName name="rr" localSheetId="23">#REF!</definedName>
    <definedName name="rr">#REF!</definedName>
    <definedName name="RT" localSheetId="7">[6]!Macro4</definedName>
    <definedName name="RT" localSheetId="23">[6]!Macro4</definedName>
    <definedName name="RT">[6]!Macro4</definedName>
    <definedName name="sampul" localSheetId="7">#REF!</definedName>
    <definedName name="sampul" localSheetId="23">#REF!</definedName>
    <definedName name="sampul">#REF!</definedName>
    <definedName name="SATU" localSheetId="7">#REF!</definedName>
    <definedName name="SATU" localSheetId="23">#REF!</definedName>
    <definedName name="SATU">#REF!</definedName>
    <definedName name="SEP" localSheetId="7">#REF!</definedName>
    <definedName name="SEP" localSheetId="23">#REF!</definedName>
    <definedName name="SEP">#REF!</definedName>
    <definedName name="sept" localSheetId="7">#REF!</definedName>
    <definedName name="sept" localSheetId="23">#REF!</definedName>
    <definedName name="sept">#REF!</definedName>
    <definedName name="serti" localSheetId="23">[32]Lemhas!$E$19:$U$31</definedName>
    <definedName name="serti">[33]Lemhas!$E$19:$U$31</definedName>
    <definedName name="SHOIM" localSheetId="7">#REF!</definedName>
    <definedName name="SHOIM" localSheetId="23">#REF!</definedName>
    <definedName name="SHOIM">#REF!</definedName>
    <definedName name="SKMP2">[1]MP2!$Q$1:$Q$65536</definedName>
    <definedName name="SM" localSheetId="7">#REF!</definedName>
    <definedName name="SM" localSheetId="23">#REF!</definedName>
    <definedName name="SM">#REF!</definedName>
    <definedName name="srt">[34]Lemhas!$E$19:$U$31</definedName>
    <definedName name="ss" localSheetId="7">#REF!</definedName>
    <definedName name="ss" localSheetId="23">#REF!</definedName>
    <definedName name="ss">#REF!</definedName>
    <definedName name="suk" localSheetId="7">#REF!</definedName>
    <definedName name="suk" localSheetId="23">#REF!</definedName>
    <definedName name="suk">#REF!</definedName>
    <definedName name="SUPPLIER" localSheetId="7">DBRELASI[RELASI]</definedName>
    <definedName name="SUPPLIER">DBRELASI[RELASI]</definedName>
    <definedName name="TABEL" localSheetId="7">#REF!</definedName>
    <definedName name="TABEL" localSheetId="23">#REF!</definedName>
    <definedName name="TABEL">#REF!</definedName>
    <definedName name="TBL" localSheetId="7">#REF!</definedName>
    <definedName name="TBL" localSheetId="23">#REF!</definedName>
    <definedName name="TBL">#REF!</definedName>
    <definedName name="TPRJ">[35]prj!$F$1:$F$65536</definedName>
    <definedName name="trn_blm_jun98" localSheetId="7">#REF!</definedName>
    <definedName name="trn_blm_jun98" localSheetId="23">#REF!</definedName>
    <definedName name="trn_blm_jun98">#REF!</definedName>
    <definedName name="tt" localSheetId="19" hidden="1">{"'Entry-SOUNDING'!$M$46"}</definedName>
    <definedName name="tt" localSheetId="20" hidden="1">{"'Entry-SOUNDING'!$M$46"}</definedName>
    <definedName name="tt" localSheetId="21" hidden="1">{"'Entry-SOUNDING'!$M$46"}</definedName>
    <definedName name="tt" localSheetId="22" hidden="1">{"'Entry-SOUNDING'!$M$46"}</definedName>
    <definedName name="tt" localSheetId="11" hidden="1">{"'Entry-SOUNDING'!$M$46"}</definedName>
    <definedName name="tt" localSheetId="13" hidden="1">{"'Entry-SOUNDING'!$M$46"}</definedName>
    <definedName name="tt" localSheetId="12" hidden="1">{"'Entry-SOUNDING'!$M$46"}</definedName>
    <definedName name="tt" localSheetId="23" hidden="1">{"'Entry-SOUNDING'!$M$46"}</definedName>
    <definedName name="tt" hidden="1">{"'Entry-SOUNDING'!$M$46"}</definedName>
    <definedName name="TTTT" localSheetId="7">[6]!Macro9</definedName>
    <definedName name="TTTT" localSheetId="23">[6]!Macro9</definedName>
    <definedName name="TTTT">[6]!Macro9</definedName>
    <definedName name="TYPE" localSheetId="7">IF(OR(KB[[#This Row],[POT]]&lt;&gt;0,KB[[#This Row],[TPOT]]&lt;&gt;0),"A","B")</definedName>
    <definedName name="TYPE">IF(OR(KB[[#This Row],[POT]]&lt;&gt;0,KB[[#This Row],[TPOT]]&lt;&gt;0),"A","B")</definedName>
    <definedName name="UACC">[1]ACC!$F$1:$F$65536</definedName>
    <definedName name="UBAB">[1]BAB!$F$1:$F$65536</definedName>
    <definedName name="UBLR">[1]Boiler!$F$1:$F$65536</definedName>
    <definedName name="UBUM">[1]B.UMUM!$F$1:$F$65536</definedName>
    <definedName name="UCST">[1]CST!$F$1:$F$65536</definedName>
    <definedName name="UDRP">[1]drp!$F$1:$F$65536</definedName>
    <definedName name="UDWP">[1]ASES!$F$1:$F$65536</definedName>
    <definedName name="UESM">[1]ESM!$F$1:$F$65536</definedName>
    <definedName name="UFIN">[1]FIN!$F$1:$F$65536</definedName>
    <definedName name="UFSD">[1]LFDC!$F$1:$F$65536</definedName>
    <definedName name="UGAD">[1]GA!$F$1:$F$65536</definedName>
    <definedName name="UGST">[1]Genset!$F$1:$F$65536</definedName>
    <definedName name="UITD">[1]ITD!$F$1:$F$65536</definedName>
    <definedName name="UKLN">[1]KLINIK!$F$1:$F$65536</definedName>
    <definedName name="UKOP">[1]kop!$F$1:$F$65536</definedName>
    <definedName name="ULOG">[1]LOG!$F$1:$F$65536</definedName>
    <definedName name="ULST">[1]listrik!$F$1:$F$65536</definedName>
    <definedName name="UMJ" localSheetId="7">#REF!</definedName>
    <definedName name="UMJ" localSheetId="23">#REF!</definedName>
    <definedName name="UMJ">#REF!</definedName>
    <definedName name="UOFC">[1]OFFICE!$F$1:$F$65536</definedName>
    <definedName name="UPIC">[1]PIC!$F$1:$F$65536</definedName>
    <definedName name="UPMK">[1]PMK!$F$1:$F$65536</definedName>
    <definedName name="UPRJ">[1]prj!$F$1:$F$65536</definedName>
    <definedName name="UPRU">[1]PRU!$F$1:$F$65536</definedName>
    <definedName name="UPSN">[1]psn!$F$1:$F$65536</definedName>
    <definedName name="UQAD">[1]QAD!$F$1:$F$65536</definedName>
    <definedName name="UQSD">[1]QSD!$F$1:$F$65536</definedName>
    <definedName name="URMP">[1]RMP!$F$1:$F$65536</definedName>
    <definedName name="USAH" localSheetId="7">#REF!</definedName>
    <definedName name="USAH" localSheetId="23">#REF!</definedName>
    <definedName name="USAH">#REF!</definedName>
    <definedName name="USMAN" localSheetId="19" hidden="1">{"'Entry-SOUNDING'!$M$46"}</definedName>
    <definedName name="USMAN" localSheetId="20" hidden="1">{"'Entry-SOUNDING'!$M$46"}</definedName>
    <definedName name="USMAN" localSheetId="21" hidden="1">{"'Entry-SOUNDING'!$M$46"}</definedName>
    <definedName name="USMAN" localSheetId="22" hidden="1">{"'Entry-SOUNDING'!$M$46"}</definedName>
    <definedName name="USMAN" localSheetId="23" hidden="1">{"'Entry-SOUNDING'!$M$46"}</definedName>
    <definedName name="USMAN" hidden="1">{"'Entry-SOUNDING'!$M$46"}</definedName>
    <definedName name="UUMP2">[1]MP2!$F$1:$F$65536</definedName>
    <definedName name="UWHS">[1]WHS!$F$1:$F$65536</definedName>
    <definedName name="UWTD">[1]WTR!$F$1:$F$65536</definedName>
    <definedName name="UWTP">[1]wet!$F$1:$F$65536</definedName>
    <definedName name="WEEE" localSheetId="7">[36]!Macro15</definedName>
    <definedName name="WEEE" localSheetId="23">[36]!Macro15</definedName>
    <definedName name="WEEE">[36]!Macro15</definedName>
    <definedName name="wet">[1]wet!$A$1:$C$5</definedName>
    <definedName name="WHSDC" localSheetId="7">#REF!</definedName>
    <definedName name="WHSDC" localSheetId="23">#REF!</definedName>
    <definedName name="WHSDC">#REF!</definedName>
    <definedName name="WIN" localSheetId="7">#REF!</definedName>
    <definedName name="WIN" localSheetId="23">#REF!</definedName>
    <definedName name="WIN">#REF!</definedName>
    <definedName name="wt">[1]WTR!$E$1</definedName>
    <definedName name="WTP">[4]WTP!$A$6:$ET$36</definedName>
    <definedName name="ye" localSheetId="7">[37]Cover!#REF!</definedName>
    <definedName name="ye" localSheetId="23">[37]Cover!#REF!</definedName>
    <definedName name="ye">[37]Cover!#REF!</definedName>
    <definedName name="Yes" localSheetId="7">#REF!</definedName>
    <definedName name="Yes" localSheetId="23">#REF!</definedName>
    <definedName name="Yes">#REF!</definedName>
    <definedName name="zdfjkxdfkzdff" localSheetId="7">[38]PSN!#REF!</definedName>
    <definedName name="zdfjkxdfkzdff" localSheetId="23">[38]PSN!#REF!</definedName>
    <definedName name="zdfjkxdfkzdff">[38]PSN!#REF!</definedName>
  </definedNames>
  <calcPr calcId="124519"/>
</workbook>
</file>

<file path=xl/calcChain.xml><?xml version="1.0" encoding="utf-8"?>
<calcChain xmlns="http://schemas.openxmlformats.org/spreadsheetml/2006/main">
  <c r="B674" i="36"/>
  <c r="E674"/>
  <c r="G674"/>
  <c r="Y674"/>
  <c r="B672"/>
  <c r="B673"/>
  <c r="E672"/>
  <c r="E673" s="1"/>
  <c r="G672"/>
  <c r="G673"/>
  <c r="Y672"/>
  <c r="Y673"/>
  <c r="B662" l="1"/>
  <c r="B663"/>
  <c r="B664"/>
  <c r="B665"/>
  <c r="B666"/>
  <c r="B667"/>
  <c r="B668"/>
  <c r="B669"/>
  <c r="B670"/>
  <c r="B671"/>
  <c r="E662"/>
  <c r="E663"/>
  <c r="E664"/>
  <c r="E665"/>
  <c r="E666"/>
  <c r="E667"/>
  <c r="E668" s="1"/>
  <c r="E669"/>
  <c r="E670" s="1"/>
  <c r="E671" s="1"/>
  <c r="G662"/>
  <c r="G663"/>
  <c r="G664"/>
  <c r="G665"/>
  <c r="G666"/>
  <c r="G667"/>
  <c r="G668"/>
  <c r="G669"/>
  <c r="G670"/>
  <c r="G671"/>
  <c r="Y662"/>
  <c r="Y663"/>
  <c r="Y664"/>
  <c r="Y665"/>
  <c r="Y666"/>
  <c r="Y667"/>
  <c r="Y668"/>
  <c r="Y669"/>
  <c r="Y670"/>
  <c r="Y671"/>
  <c r="B657" l="1"/>
  <c r="B658"/>
  <c r="B659"/>
  <c r="B660"/>
  <c r="B661"/>
  <c r="E657"/>
  <c r="E658"/>
  <c r="E659"/>
  <c r="E660"/>
  <c r="E661"/>
  <c r="G657"/>
  <c r="G658"/>
  <c r="G659"/>
  <c r="G660"/>
  <c r="G661"/>
  <c r="Y657"/>
  <c r="Y658"/>
  <c r="Y659"/>
  <c r="Y660"/>
  <c r="Y661"/>
  <c r="B653"/>
  <c r="B654"/>
  <c r="B655"/>
  <c r="B656"/>
  <c r="E653"/>
  <c r="E654"/>
  <c r="E655"/>
  <c r="E656" s="1"/>
  <c r="G653"/>
  <c r="G654"/>
  <c r="G655"/>
  <c r="G656"/>
  <c r="Y653"/>
  <c r="Y654"/>
  <c r="Y655"/>
  <c r="Y656"/>
  <c r="B648"/>
  <c r="B649"/>
  <c r="B650"/>
  <c r="B651"/>
  <c r="B652"/>
  <c r="E648"/>
  <c r="E649"/>
  <c r="E650"/>
  <c r="E651"/>
  <c r="E652"/>
  <c r="G648"/>
  <c r="G649"/>
  <c r="G650"/>
  <c r="G651"/>
  <c r="G652"/>
  <c r="Y648"/>
  <c r="Y649"/>
  <c r="Y650"/>
  <c r="Y651"/>
  <c r="Y652"/>
  <c r="B641"/>
  <c r="B642"/>
  <c r="B643"/>
  <c r="B644"/>
  <c r="B645"/>
  <c r="B646"/>
  <c r="B647"/>
  <c r="E641"/>
  <c r="E642"/>
  <c r="E643"/>
  <c r="E644"/>
  <c r="E645"/>
  <c r="E646" s="1"/>
  <c r="E647"/>
  <c r="G641"/>
  <c r="G642"/>
  <c r="G643"/>
  <c r="G644"/>
  <c r="G645"/>
  <c r="G646"/>
  <c r="G647"/>
  <c r="Y641"/>
  <c r="Y642"/>
  <c r="Y643"/>
  <c r="Y644"/>
  <c r="Y645"/>
  <c r="Y646"/>
  <c r="Y647"/>
  <c r="B635"/>
  <c r="B636"/>
  <c r="B637"/>
  <c r="B638"/>
  <c r="B639"/>
  <c r="B640"/>
  <c r="E635"/>
  <c r="E636"/>
  <c r="E637"/>
  <c r="E638"/>
  <c r="E639" s="1"/>
  <c r="E640"/>
  <c r="G635"/>
  <c r="G636"/>
  <c r="G637"/>
  <c r="G638"/>
  <c r="G639"/>
  <c r="G640"/>
  <c r="Y635"/>
  <c r="Y636"/>
  <c r="Y637"/>
  <c r="Y638"/>
  <c r="Y639"/>
  <c r="Y640"/>
  <c r="B632"/>
  <c r="B633"/>
  <c r="B634"/>
  <c r="E632"/>
  <c r="E633"/>
  <c r="E634"/>
  <c r="G632"/>
  <c r="G633"/>
  <c r="G634"/>
  <c r="Y632"/>
  <c r="Y633"/>
  <c r="Y634"/>
  <c r="B628"/>
  <c r="B629"/>
  <c r="B630"/>
  <c r="B631"/>
  <c r="E628"/>
  <c r="E629"/>
  <c r="E630"/>
  <c r="E631"/>
  <c r="G628"/>
  <c r="G629"/>
  <c r="G630"/>
  <c r="G631"/>
  <c r="Y628"/>
  <c r="Y629"/>
  <c r="Y630"/>
  <c r="Y631"/>
  <c r="B624"/>
  <c r="B625"/>
  <c r="B626"/>
  <c r="B627"/>
  <c r="E624"/>
  <c r="E625"/>
  <c r="E626"/>
  <c r="E627"/>
  <c r="G624"/>
  <c r="G625"/>
  <c r="G626"/>
  <c r="G627"/>
  <c r="Y624"/>
  <c r="Y625"/>
  <c r="Y626"/>
  <c r="Y627"/>
  <c r="B617" l="1"/>
  <c r="B618"/>
  <c r="B619"/>
  <c r="B620"/>
  <c r="B621"/>
  <c r="B622"/>
  <c r="B623"/>
  <c r="E617"/>
  <c r="E618" s="1"/>
  <c r="E619"/>
  <c r="E620"/>
  <c r="E621"/>
  <c r="E622"/>
  <c r="E623" s="1"/>
  <c r="G617"/>
  <c r="G618"/>
  <c r="G619"/>
  <c r="G620"/>
  <c r="G621"/>
  <c r="G622"/>
  <c r="G623"/>
  <c r="Y617"/>
  <c r="Y618"/>
  <c r="Y619"/>
  <c r="Y620"/>
  <c r="Y621"/>
  <c r="Y622"/>
  <c r="Y623"/>
  <c r="B613" l="1"/>
  <c r="B614"/>
  <c r="B615"/>
  <c r="B616"/>
  <c r="E613"/>
  <c r="E614"/>
  <c r="E615"/>
  <c r="E616"/>
  <c r="G613"/>
  <c r="G614"/>
  <c r="G615"/>
  <c r="G616"/>
  <c r="Y613"/>
  <c r="Y614"/>
  <c r="Y615"/>
  <c r="Y616"/>
  <c r="B604"/>
  <c r="B605"/>
  <c r="B606"/>
  <c r="B607"/>
  <c r="B608"/>
  <c r="B609"/>
  <c r="B610"/>
  <c r="B611"/>
  <c r="B612"/>
  <c r="E604"/>
  <c r="E605"/>
  <c r="E606"/>
  <c r="E607"/>
  <c r="E608"/>
  <c r="E609" s="1"/>
  <c r="E610" s="1"/>
  <c r="E611"/>
  <c r="E612" s="1"/>
  <c r="G604"/>
  <c r="G605"/>
  <c r="G606"/>
  <c r="G607"/>
  <c r="G608"/>
  <c r="G609"/>
  <c r="G610"/>
  <c r="G611"/>
  <c r="G612"/>
  <c r="Y604"/>
  <c r="Y605"/>
  <c r="Y606"/>
  <c r="Y607"/>
  <c r="Y608"/>
  <c r="Y609"/>
  <c r="Y610"/>
  <c r="Y611"/>
  <c r="Y612"/>
  <c r="B600" l="1"/>
  <c r="B601"/>
  <c r="B602"/>
  <c r="B603"/>
  <c r="E600"/>
  <c r="E601"/>
  <c r="E602"/>
  <c r="E603"/>
  <c r="G600"/>
  <c r="G601"/>
  <c r="G602"/>
  <c r="G603"/>
  <c r="Y600"/>
  <c r="Y601"/>
  <c r="Y602"/>
  <c r="Y603"/>
  <c r="T8" i="54"/>
  <c r="AD8" s="1"/>
  <c r="AN8" s="1"/>
  <c r="AX8" s="1"/>
  <c r="BH8" s="1"/>
  <c r="BR8" s="1"/>
  <c r="CB8" s="1"/>
  <c r="CL8" s="1"/>
  <c r="CV8" s="1"/>
  <c r="DF8" s="1"/>
  <c r="DP8" s="1"/>
  <c r="DZ8" s="1"/>
  <c r="G60"/>
  <c r="C60"/>
  <c r="G59"/>
  <c r="C59"/>
  <c r="G58"/>
  <c r="C58"/>
  <c r="G57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B593" i="36" l="1"/>
  <c r="B594"/>
  <c r="B595"/>
  <c r="B596"/>
  <c r="B597"/>
  <c r="B598"/>
  <c r="B599"/>
  <c r="E593"/>
  <c r="E594"/>
  <c r="E595"/>
  <c r="E596"/>
  <c r="E597" s="1"/>
  <c r="E598" s="1"/>
  <c r="E599"/>
  <c r="G593"/>
  <c r="G594"/>
  <c r="G595"/>
  <c r="G596"/>
  <c r="G597"/>
  <c r="G598"/>
  <c r="G599"/>
  <c r="Y593"/>
  <c r="Y594"/>
  <c r="Y595"/>
  <c r="Y596"/>
  <c r="Y597"/>
  <c r="Y598"/>
  <c r="Y599"/>
  <c r="B586"/>
  <c r="B587"/>
  <c r="B588"/>
  <c r="B589"/>
  <c r="B590"/>
  <c r="B591"/>
  <c r="B592"/>
  <c r="E586"/>
  <c r="E587"/>
  <c r="E588"/>
  <c r="E589"/>
  <c r="E590"/>
  <c r="E591"/>
  <c r="E592" s="1"/>
  <c r="G586"/>
  <c r="G587"/>
  <c r="G588"/>
  <c r="G589"/>
  <c r="G590"/>
  <c r="G591"/>
  <c r="G592"/>
  <c r="Y586"/>
  <c r="Y587"/>
  <c r="Y588"/>
  <c r="Y589"/>
  <c r="Y590"/>
  <c r="Y591"/>
  <c r="Y592"/>
  <c r="B578"/>
  <c r="B579"/>
  <c r="B580"/>
  <c r="B581"/>
  <c r="B582"/>
  <c r="B583"/>
  <c r="B584"/>
  <c r="B585"/>
  <c r="E578"/>
  <c r="E579"/>
  <c r="E580"/>
  <c r="E581"/>
  <c r="E582" s="1"/>
  <c r="E583"/>
  <c r="E584" s="1"/>
  <c r="E585"/>
  <c r="G578"/>
  <c r="G579"/>
  <c r="G580"/>
  <c r="G581"/>
  <c r="G582"/>
  <c r="G583"/>
  <c r="G584"/>
  <c r="G585"/>
  <c r="Y578"/>
  <c r="Y579"/>
  <c r="Y580"/>
  <c r="Y581"/>
  <c r="Y582"/>
  <c r="Y583"/>
  <c r="Y584"/>
  <c r="Y585"/>
  <c r="B570"/>
  <c r="B571"/>
  <c r="B572"/>
  <c r="B573"/>
  <c r="B574"/>
  <c r="B575"/>
  <c r="B576"/>
  <c r="B577"/>
  <c r="E570"/>
  <c r="E571"/>
  <c r="E572"/>
  <c r="E573"/>
  <c r="E574"/>
  <c r="E575"/>
  <c r="E576" s="1"/>
  <c r="E577"/>
  <c r="G570"/>
  <c r="G571"/>
  <c r="G572"/>
  <c r="G573"/>
  <c r="G574"/>
  <c r="G575"/>
  <c r="G576"/>
  <c r="G577"/>
  <c r="Y570"/>
  <c r="Y571"/>
  <c r="Y572"/>
  <c r="Y573"/>
  <c r="Y574"/>
  <c r="Y575"/>
  <c r="Y576"/>
  <c r="Y577"/>
  <c r="B569" l="1"/>
  <c r="E569"/>
  <c r="G569"/>
  <c r="Y569"/>
  <c r="B562" l="1"/>
  <c r="B563"/>
  <c r="B564"/>
  <c r="B565"/>
  <c r="B566"/>
  <c r="B567"/>
  <c r="B568"/>
  <c r="E562"/>
  <c r="E563"/>
  <c r="E564"/>
  <c r="E565"/>
  <c r="E566" s="1"/>
  <c r="E567" s="1"/>
  <c r="E568"/>
  <c r="G562"/>
  <c r="G563"/>
  <c r="G564"/>
  <c r="G565"/>
  <c r="G566"/>
  <c r="G567"/>
  <c r="G568"/>
  <c r="Y562"/>
  <c r="Y563"/>
  <c r="Y564"/>
  <c r="Y565"/>
  <c r="Y566"/>
  <c r="Y567"/>
  <c r="Y568"/>
  <c r="B559" l="1"/>
  <c r="B560"/>
  <c r="B561"/>
  <c r="E559"/>
  <c r="E560"/>
  <c r="E561"/>
  <c r="G559"/>
  <c r="G560"/>
  <c r="G561"/>
  <c r="Y559"/>
  <c r="Y560"/>
  <c r="Y561"/>
  <c r="B552" l="1"/>
  <c r="B553"/>
  <c r="B554"/>
  <c r="B555"/>
  <c r="B556"/>
  <c r="B557"/>
  <c r="B558"/>
  <c r="E552"/>
  <c r="E553"/>
  <c r="E554"/>
  <c r="E555"/>
  <c r="E556" s="1"/>
  <c r="E557"/>
  <c r="E558"/>
  <c r="G552"/>
  <c r="G553"/>
  <c r="G554"/>
  <c r="G555"/>
  <c r="G556"/>
  <c r="G557"/>
  <c r="G558"/>
  <c r="Y552"/>
  <c r="Y553"/>
  <c r="Y554"/>
  <c r="Y555"/>
  <c r="Y556"/>
  <c r="Y557"/>
  <c r="Y558"/>
  <c r="B544"/>
  <c r="B545"/>
  <c r="B546"/>
  <c r="B547"/>
  <c r="B548"/>
  <c r="B549"/>
  <c r="B550"/>
  <c r="B551"/>
  <c r="E544"/>
  <c r="E545"/>
  <c r="E546"/>
  <c r="E547"/>
  <c r="E548" s="1"/>
  <c r="E549"/>
  <c r="E550"/>
  <c r="E551" s="1"/>
  <c r="G544"/>
  <c r="G545"/>
  <c r="G546"/>
  <c r="G547"/>
  <c r="G548"/>
  <c r="G549"/>
  <c r="G550"/>
  <c r="G551"/>
  <c r="Y544"/>
  <c r="Y545"/>
  <c r="Y546"/>
  <c r="Y547"/>
  <c r="Y548"/>
  <c r="Y549"/>
  <c r="Y550"/>
  <c r="Y551"/>
  <c r="B538"/>
  <c r="B539"/>
  <c r="B540"/>
  <c r="B541"/>
  <c r="B542"/>
  <c r="B543"/>
  <c r="E538"/>
  <c r="E539"/>
  <c r="E540"/>
  <c r="E541"/>
  <c r="E542"/>
  <c r="E543"/>
  <c r="G538"/>
  <c r="G539"/>
  <c r="G540"/>
  <c r="G541"/>
  <c r="G542"/>
  <c r="G543"/>
  <c r="Y538"/>
  <c r="Y539"/>
  <c r="Y540"/>
  <c r="Y541"/>
  <c r="Y542"/>
  <c r="Y543"/>
  <c r="B532"/>
  <c r="B533"/>
  <c r="B534"/>
  <c r="B535"/>
  <c r="B536"/>
  <c r="B537"/>
  <c r="E532"/>
  <c r="E533"/>
  <c r="E534"/>
  <c r="E535"/>
  <c r="E536"/>
  <c r="E537"/>
  <c r="G532"/>
  <c r="G533"/>
  <c r="G534"/>
  <c r="G535"/>
  <c r="G536"/>
  <c r="G537"/>
  <c r="Y532"/>
  <c r="Y533"/>
  <c r="Y534"/>
  <c r="Y535"/>
  <c r="Y536"/>
  <c r="Y537"/>
  <c r="B522"/>
  <c r="B523"/>
  <c r="B524"/>
  <c r="B525"/>
  <c r="B526"/>
  <c r="B527"/>
  <c r="B528"/>
  <c r="B529"/>
  <c r="B530"/>
  <c r="B531"/>
  <c r="E522"/>
  <c r="E523"/>
  <c r="E524"/>
  <c r="E525"/>
  <c r="E526"/>
  <c r="E527"/>
  <c r="E528"/>
  <c r="E529" s="1"/>
  <c r="E530" s="1"/>
  <c r="E531" s="1"/>
  <c r="G522"/>
  <c r="G523"/>
  <c r="G524"/>
  <c r="G525"/>
  <c r="G526"/>
  <c r="G527"/>
  <c r="G528"/>
  <c r="G529"/>
  <c r="G530"/>
  <c r="G531"/>
  <c r="Y522"/>
  <c r="Y523"/>
  <c r="Y524"/>
  <c r="Y525"/>
  <c r="Y526"/>
  <c r="Y527"/>
  <c r="Y528"/>
  <c r="Y529"/>
  <c r="Y530"/>
  <c r="Y531"/>
  <c r="B515" l="1"/>
  <c r="B516"/>
  <c r="B517"/>
  <c r="B518"/>
  <c r="B519"/>
  <c r="B520"/>
  <c r="B521"/>
  <c r="E515"/>
  <c r="E516"/>
  <c r="E517"/>
  <c r="E518"/>
  <c r="E519" s="1"/>
  <c r="E520"/>
  <c r="E521"/>
  <c r="G515"/>
  <c r="G516"/>
  <c r="G517"/>
  <c r="G518"/>
  <c r="G519"/>
  <c r="G520"/>
  <c r="G521"/>
  <c r="Y515"/>
  <c r="Y516"/>
  <c r="Y517"/>
  <c r="Y518"/>
  <c r="Y519"/>
  <c r="Y520"/>
  <c r="Y521"/>
  <c r="B508" l="1"/>
  <c r="B509"/>
  <c r="B510"/>
  <c r="B511"/>
  <c r="B512"/>
  <c r="B513"/>
  <c r="B514"/>
  <c r="E508"/>
  <c r="E509"/>
  <c r="E510"/>
  <c r="E511"/>
  <c r="E512"/>
  <c r="E513" s="1"/>
  <c r="E514" s="1"/>
  <c r="G508"/>
  <c r="G509"/>
  <c r="G510"/>
  <c r="G511"/>
  <c r="G512"/>
  <c r="G513"/>
  <c r="G514"/>
  <c r="Y508"/>
  <c r="Y509"/>
  <c r="Y510"/>
  <c r="Y511"/>
  <c r="Y512"/>
  <c r="Y513"/>
  <c r="Y514"/>
  <c r="B498"/>
  <c r="B499"/>
  <c r="B500"/>
  <c r="B501"/>
  <c r="B502"/>
  <c r="B503"/>
  <c r="B504"/>
  <c r="B505"/>
  <c r="B506"/>
  <c r="B507"/>
  <c r="E498"/>
  <c r="E499"/>
  <c r="E500"/>
  <c r="E501"/>
  <c r="E502" s="1"/>
  <c r="E503"/>
  <c r="E504" s="1"/>
  <c r="E505"/>
  <c r="E506" s="1"/>
  <c r="E507" s="1"/>
  <c r="G498"/>
  <c r="G499"/>
  <c r="G500"/>
  <c r="G501"/>
  <c r="G502"/>
  <c r="G503"/>
  <c r="G504"/>
  <c r="G505"/>
  <c r="G506"/>
  <c r="G507"/>
  <c r="Y498"/>
  <c r="Y499"/>
  <c r="Y500"/>
  <c r="Y501"/>
  <c r="Y502"/>
  <c r="Y503"/>
  <c r="Y504"/>
  <c r="Y505"/>
  <c r="Y506"/>
  <c r="Y507"/>
  <c r="B489"/>
  <c r="B490"/>
  <c r="B491"/>
  <c r="B492"/>
  <c r="B493"/>
  <c r="B494"/>
  <c r="B495"/>
  <c r="B496"/>
  <c r="B497"/>
  <c r="E489"/>
  <c r="E490"/>
  <c r="E491"/>
  <c r="E492"/>
  <c r="E493" s="1"/>
  <c r="E494"/>
  <c r="E495"/>
  <c r="E496"/>
  <c r="E497"/>
  <c r="G489"/>
  <c r="G490"/>
  <c r="G491"/>
  <c r="G492"/>
  <c r="G493"/>
  <c r="G494"/>
  <c r="G495"/>
  <c r="G496"/>
  <c r="G497"/>
  <c r="Y489"/>
  <c r="Y490"/>
  <c r="Y491"/>
  <c r="Y492"/>
  <c r="Y493"/>
  <c r="Y494"/>
  <c r="Y495"/>
  <c r="Y496"/>
  <c r="Y497"/>
  <c r="B477"/>
  <c r="B478"/>
  <c r="B479"/>
  <c r="B480"/>
  <c r="B481"/>
  <c r="B482"/>
  <c r="B483"/>
  <c r="B484"/>
  <c r="B485"/>
  <c r="B486"/>
  <c r="B487"/>
  <c r="B488"/>
  <c r="E477"/>
  <c r="E478" s="1"/>
  <c r="E479"/>
  <c r="E480"/>
  <c r="E481"/>
  <c r="E482"/>
  <c r="E483" s="1"/>
  <c r="E484"/>
  <c r="E485"/>
  <c r="E486" s="1"/>
  <c r="E487" s="1"/>
  <c r="E488" s="1"/>
  <c r="G477"/>
  <c r="G478"/>
  <c r="G479"/>
  <c r="G480"/>
  <c r="G481"/>
  <c r="G482"/>
  <c r="G483"/>
  <c r="G484"/>
  <c r="G485"/>
  <c r="G486"/>
  <c r="G487"/>
  <c r="G488"/>
  <c r="Y477"/>
  <c r="Y478"/>
  <c r="Y479"/>
  <c r="Y480"/>
  <c r="Y481"/>
  <c r="Y482"/>
  <c r="Y483"/>
  <c r="Y484"/>
  <c r="Y485"/>
  <c r="Y486"/>
  <c r="Y487"/>
  <c r="Y488"/>
  <c r="B471"/>
  <c r="B472"/>
  <c r="B473"/>
  <c r="B474"/>
  <c r="B475"/>
  <c r="B476"/>
  <c r="E471"/>
  <c r="E472"/>
  <c r="E473"/>
  <c r="E474"/>
  <c r="E475"/>
  <c r="E476"/>
  <c r="G471"/>
  <c r="G472"/>
  <c r="G473"/>
  <c r="G474"/>
  <c r="G475"/>
  <c r="G476"/>
  <c r="Y471"/>
  <c r="Y472"/>
  <c r="Y473"/>
  <c r="Y474"/>
  <c r="Y475"/>
  <c r="Y476"/>
  <c r="B461"/>
  <c r="B462"/>
  <c r="B463"/>
  <c r="B464"/>
  <c r="B465"/>
  <c r="B466"/>
  <c r="B467"/>
  <c r="B468"/>
  <c r="B469"/>
  <c r="B470"/>
  <c r="E461"/>
  <c r="E462"/>
  <c r="E463"/>
  <c r="E464"/>
  <c r="E465"/>
  <c r="E466" s="1"/>
  <c r="E467"/>
  <c r="E468"/>
  <c r="E469"/>
  <c r="E470" s="1"/>
  <c r="G461"/>
  <c r="G462"/>
  <c r="G463"/>
  <c r="G464"/>
  <c r="G465"/>
  <c r="G466"/>
  <c r="G467"/>
  <c r="G468"/>
  <c r="G469"/>
  <c r="G470"/>
  <c r="Y461"/>
  <c r="Y462"/>
  <c r="Y463"/>
  <c r="Y464"/>
  <c r="Y465"/>
  <c r="Y466"/>
  <c r="Y467"/>
  <c r="Y468"/>
  <c r="Y469"/>
  <c r="Y470"/>
  <c r="B453" l="1"/>
  <c r="B454"/>
  <c r="B455"/>
  <c r="B456"/>
  <c r="B457"/>
  <c r="B458"/>
  <c r="B459"/>
  <c r="B460"/>
  <c r="E453"/>
  <c r="E454"/>
  <c r="E455"/>
  <c r="E456"/>
  <c r="E457" s="1"/>
  <c r="E458" s="1"/>
  <c r="E459" s="1"/>
  <c r="E460"/>
  <c r="G453"/>
  <c r="G454"/>
  <c r="G455"/>
  <c r="G456"/>
  <c r="G457"/>
  <c r="G458"/>
  <c r="G459"/>
  <c r="G460"/>
  <c r="Y453"/>
  <c r="Y454"/>
  <c r="Y455"/>
  <c r="Y456"/>
  <c r="Y457"/>
  <c r="Y458"/>
  <c r="Y459"/>
  <c r="Y460"/>
  <c r="B439"/>
  <c r="B440"/>
  <c r="B441"/>
  <c r="B442"/>
  <c r="B443"/>
  <c r="B444"/>
  <c r="B445"/>
  <c r="B446"/>
  <c r="B447"/>
  <c r="B448"/>
  <c r="B449"/>
  <c r="B450"/>
  <c r="B451"/>
  <c r="B452"/>
  <c r="E439"/>
  <c r="E440"/>
  <c r="E441"/>
  <c r="E442"/>
  <c r="E443"/>
  <c r="E444"/>
  <c r="E445" s="1"/>
  <c r="E446" s="1"/>
  <c r="E447" s="1"/>
  <c r="E448"/>
  <c r="E449" s="1"/>
  <c r="E450"/>
  <c r="E451"/>
  <c r="E452"/>
  <c r="G439"/>
  <c r="G440"/>
  <c r="G441"/>
  <c r="G442"/>
  <c r="G443"/>
  <c r="G444"/>
  <c r="G445"/>
  <c r="G446"/>
  <c r="G447"/>
  <c r="G448"/>
  <c r="G449"/>
  <c r="G450"/>
  <c r="G451"/>
  <c r="G452"/>
  <c r="Y439"/>
  <c r="Y440"/>
  <c r="Y441"/>
  <c r="Y442"/>
  <c r="Y443"/>
  <c r="Y444"/>
  <c r="Y445"/>
  <c r="Y446"/>
  <c r="Y447"/>
  <c r="Y448"/>
  <c r="Y449"/>
  <c r="Y450"/>
  <c r="Y451"/>
  <c r="Y452"/>
  <c r="B435"/>
  <c r="B436"/>
  <c r="B437"/>
  <c r="B438"/>
  <c r="E435"/>
  <c r="E436"/>
  <c r="E437"/>
  <c r="E438"/>
  <c r="G435"/>
  <c r="G436"/>
  <c r="G437"/>
  <c r="G438"/>
  <c r="Y435"/>
  <c r="Y436"/>
  <c r="Y437"/>
  <c r="Y438"/>
  <c r="B428"/>
  <c r="B429"/>
  <c r="B430"/>
  <c r="B431"/>
  <c r="B432"/>
  <c r="B433"/>
  <c r="B434"/>
  <c r="E428"/>
  <c r="E429"/>
  <c r="E430"/>
  <c r="E431"/>
  <c r="E432"/>
  <c r="E433" s="1"/>
  <c r="E434"/>
  <c r="G428"/>
  <c r="G429"/>
  <c r="G430"/>
  <c r="G431"/>
  <c r="G432"/>
  <c r="G433"/>
  <c r="G434"/>
  <c r="Y428"/>
  <c r="Y429"/>
  <c r="Y430"/>
  <c r="Y431"/>
  <c r="Y432"/>
  <c r="Y433"/>
  <c r="Y434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E411"/>
  <c r="E412" s="1"/>
  <c r="E413"/>
  <c r="E414"/>
  <c r="E415"/>
  <c r="E416"/>
  <c r="E417" s="1"/>
  <c r="E418"/>
  <c r="E419"/>
  <c r="E420" s="1"/>
  <c r="E421" s="1"/>
  <c r="E422" s="1"/>
  <c r="E423" s="1"/>
  <c r="E424"/>
  <c r="E425"/>
  <c r="E426"/>
  <c r="E427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Y411"/>
  <c r="Y412"/>
  <c r="Y413"/>
  <c r="Y414"/>
  <c r="Y415"/>
  <c r="Y416"/>
  <c r="Y417"/>
  <c r="Y418"/>
  <c r="Y419"/>
  <c r="Y420"/>
  <c r="Y421"/>
  <c r="Y422"/>
  <c r="Y423"/>
  <c r="Y424"/>
  <c r="Y425"/>
  <c r="Y426"/>
  <c r="Y427"/>
  <c r="B397"/>
  <c r="B398"/>
  <c r="B399"/>
  <c r="B400"/>
  <c r="B401"/>
  <c r="B402"/>
  <c r="B403"/>
  <c r="B404"/>
  <c r="B405"/>
  <c r="B406"/>
  <c r="B407"/>
  <c r="B408"/>
  <c r="B409"/>
  <c r="B410"/>
  <c r="E397"/>
  <c r="E398"/>
  <c r="E399"/>
  <c r="E400"/>
  <c r="E401"/>
  <c r="E402" s="1"/>
  <c r="E403"/>
  <c r="E404" s="1"/>
  <c r="E405" s="1"/>
  <c r="E406" s="1"/>
  <c r="E407" s="1"/>
  <c r="E408"/>
  <c r="E409"/>
  <c r="E410"/>
  <c r="G397"/>
  <c r="G398"/>
  <c r="G399"/>
  <c r="G400"/>
  <c r="G401"/>
  <c r="G402"/>
  <c r="G403"/>
  <c r="G404"/>
  <c r="G405"/>
  <c r="G406"/>
  <c r="G407"/>
  <c r="G408"/>
  <c r="G409"/>
  <c r="G410"/>
  <c r="Y397"/>
  <c r="Y398"/>
  <c r="Y399"/>
  <c r="Y400"/>
  <c r="Y401"/>
  <c r="Y402"/>
  <c r="Y403"/>
  <c r="Y404"/>
  <c r="Y405"/>
  <c r="Y406"/>
  <c r="Y407"/>
  <c r="Y408"/>
  <c r="Y409"/>
  <c r="Y410"/>
  <c r="B382" l="1"/>
  <c r="B383"/>
  <c r="B384"/>
  <c r="B385"/>
  <c r="B386"/>
  <c r="B387"/>
  <c r="B388"/>
  <c r="B389"/>
  <c r="B390"/>
  <c r="B391"/>
  <c r="B392"/>
  <c r="B393"/>
  <c r="B394"/>
  <c r="B395"/>
  <c r="B396"/>
  <c r="E382"/>
  <c r="E383"/>
  <c r="E384"/>
  <c r="E385"/>
  <c r="E386" s="1"/>
  <c r="E387"/>
  <c r="E388" s="1"/>
  <c r="E389"/>
  <c r="E390" s="1"/>
  <c r="E391" s="1"/>
  <c r="E392" s="1"/>
  <c r="E393"/>
  <c r="E394"/>
  <c r="E395"/>
  <c r="E396" s="1"/>
  <c r="G382"/>
  <c r="G383"/>
  <c r="G384"/>
  <c r="G385"/>
  <c r="G386"/>
  <c r="G387"/>
  <c r="G388"/>
  <c r="G389"/>
  <c r="G390"/>
  <c r="G391"/>
  <c r="G392"/>
  <c r="G393"/>
  <c r="G394"/>
  <c r="G395"/>
  <c r="G396"/>
  <c r="Y382"/>
  <c r="Y383"/>
  <c r="Y384"/>
  <c r="Y385"/>
  <c r="Y386"/>
  <c r="Y387"/>
  <c r="Y388"/>
  <c r="Y389"/>
  <c r="Y390"/>
  <c r="Y391"/>
  <c r="Y392"/>
  <c r="Y393"/>
  <c r="Y394"/>
  <c r="Y395"/>
  <c r="Y396"/>
  <c r="B49" i="40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358" i="36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E358"/>
  <c r="E359"/>
  <c r="E360"/>
  <c r="E361"/>
  <c r="E362"/>
  <c r="E363" s="1"/>
  <c r="E364"/>
  <c r="E365" s="1"/>
  <c r="E366" s="1"/>
  <c r="E367" s="1"/>
  <c r="E368"/>
  <c r="E369" s="1"/>
  <c r="E370" s="1"/>
  <c r="E371" s="1"/>
  <c r="E372" s="1"/>
  <c r="E373"/>
  <c r="E374" s="1"/>
  <c r="E375" s="1"/>
  <c r="E376" s="1"/>
  <c r="E377" s="1"/>
  <c r="E378"/>
  <c r="E379" s="1"/>
  <c r="E380" s="1"/>
  <c r="E381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Y358"/>
  <c r="Y359"/>
  <c r="Y360"/>
  <c r="Y361"/>
  <c r="Y362"/>
  <c r="Y363"/>
  <c r="Y364"/>
  <c r="Y365"/>
  <c r="Y366"/>
  <c r="Y367"/>
  <c r="Y368"/>
  <c r="Y369"/>
  <c r="Y370"/>
  <c r="Y371"/>
  <c r="Y372"/>
  <c r="Y373"/>
  <c r="Y374"/>
  <c r="Y375"/>
  <c r="Y376"/>
  <c r="Y377"/>
  <c r="Y378"/>
  <c r="Y379"/>
  <c r="Y380"/>
  <c r="Y381"/>
  <c r="B347"/>
  <c r="B348"/>
  <c r="B349"/>
  <c r="B350"/>
  <c r="B351"/>
  <c r="B352"/>
  <c r="B353"/>
  <c r="B354"/>
  <c r="B355"/>
  <c r="B356"/>
  <c r="B357"/>
  <c r="E347"/>
  <c r="E348"/>
  <c r="E349"/>
  <c r="E350"/>
  <c r="E351"/>
  <c r="E352"/>
  <c r="E353"/>
  <c r="E354" s="1"/>
  <c r="E355" s="1"/>
  <c r="E356" s="1"/>
  <c r="E357"/>
  <c r="G347"/>
  <c r="G348"/>
  <c r="G349"/>
  <c r="G350"/>
  <c r="G351"/>
  <c r="G352"/>
  <c r="G353"/>
  <c r="G354"/>
  <c r="G355"/>
  <c r="G356"/>
  <c r="G357"/>
  <c r="Y347"/>
  <c r="Y348"/>
  <c r="Y349"/>
  <c r="Y350"/>
  <c r="Y351"/>
  <c r="Y352"/>
  <c r="Y353"/>
  <c r="Y354"/>
  <c r="Y355"/>
  <c r="Y356"/>
  <c r="Y357"/>
  <c r="B337"/>
  <c r="B338"/>
  <c r="B339"/>
  <c r="B340"/>
  <c r="B341"/>
  <c r="B342"/>
  <c r="B343"/>
  <c r="B344"/>
  <c r="B345"/>
  <c r="B346"/>
  <c r="E337"/>
  <c r="E338"/>
  <c r="E339"/>
  <c r="E340"/>
  <c r="E341" s="1"/>
  <c r="E342"/>
  <c r="E343" s="1"/>
  <c r="E344" s="1"/>
  <c r="E345" s="1"/>
  <c r="E346" s="1"/>
  <c r="G337"/>
  <c r="G338"/>
  <c r="G339"/>
  <c r="G340"/>
  <c r="G341"/>
  <c r="G342"/>
  <c r="G343"/>
  <c r="G344"/>
  <c r="G345"/>
  <c r="G346"/>
  <c r="Y337"/>
  <c r="Y338"/>
  <c r="Y339"/>
  <c r="Y340"/>
  <c r="Y341"/>
  <c r="Y342"/>
  <c r="Y343"/>
  <c r="Y344"/>
  <c r="Y345"/>
  <c r="Y346"/>
  <c r="B323" l="1"/>
  <c r="B324"/>
  <c r="B325"/>
  <c r="B326"/>
  <c r="B327"/>
  <c r="B328"/>
  <c r="B329"/>
  <c r="B330"/>
  <c r="B331"/>
  <c r="B332"/>
  <c r="B333"/>
  <c r="B334"/>
  <c r="B335"/>
  <c r="B336"/>
  <c r="E323"/>
  <c r="E324" s="1"/>
  <c r="E325"/>
  <c r="E326"/>
  <c r="E327"/>
  <c r="E328"/>
  <c r="E329"/>
  <c r="E330"/>
  <c r="E331"/>
  <c r="E332"/>
  <c r="E333" s="1"/>
  <c r="E334" s="1"/>
  <c r="E335" s="1"/>
  <c r="E336"/>
  <c r="G323"/>
  <c r="G324"/>
  <c r="G325"/>
  <c r="G326"/>
  <c r="G327"/>
  <c r="G328"/>
  <c r="G329"/>
  <c r="G330"/>
  <c r="G331"/>
  <c r="G332"/>
  <c r="G333"/>
  <c r="G334"/>
  <c r="G335"/>
  <c r="G336"/>
  <c r="Y323"/>
  <c r="Y324"/>
  <c r="Y325"/>
  <c r="Y326"/>
  <c r="Y327"/>
  <c r="Y328"/>
  <c r="Y329"/>
  <c r="Y330"/>
  <c r="Y331"/>
  <c r="Y332"/>
  <c r="Y333"/>
  <c r="Y334"/>
  <c r="Y335"/>
  <c r="Y336"/>
  <c r="B310" l="1"/>
  <c r="B311"/>
  <c r="B312"/>
  <c r="B313"/>
  <c r="B314"/>
  <c r="B315"/>
  <c r="B316"/>
  <c r="B317"/>
  <c r="B318"/>
  <c r="B319"/>
  <c r="B320"/>
  <c r="B321"/>
  <c r="B322"/>
  <c r="E310"/>
  <c r="E311"/>
  <c r="E312"/>
  <c r="E313" s="1"/>
  <c r="E314" s="1"/>
  <c r="E315"/>
  <c r="E316"/>
  <c r="E317" s="1"/>
  <c r="E318"/>
  <c r="E319"/>
  <c r="E320" s="1"/>
  <c r="E321" s="1"/>
  <c r="E322"/>
  <c r="G310"/>
  <c r="G311"/>
  <c r="G312"/>
  <c r="G313"/>
  <c r="G314"/>
  <c r="G315"/>
  <c r="G316"/>
  <c r="G317"/>
  <c r="G318"/>
  <c r="G319"/>
  <c r="G320"/>
  <c r="G321"/>
  <c r="G322"/>
  <c r="Y310"/>
  <c r="Y311"/>
  <c r="Y312"/>
  <c r="Y313"/>
  <c r="Y314"/>
  <c r="Y315"/>
  <c r="Y316"/>
  <c r="Y317"/>
  <c r="Y318"/>
  <c r="Y319"/>
  <c r="Y320"/>
  <c r="Y321"/>
  <c r="Y322"/>
  <c r="B297"/>
  <c r="B298"/>
  <c r="B299"/>
  <c r="B300"/>
  <c r="B301"/>
  <c r="B302"/>
  <c r="B303"/>
  <c r="B304"/>
  <c r="B305"/>
  <c r="B306"/>
  <c r="B307"/>
  <c r="B308"/>
  <c r="B309"/>
  <c r="E297"/>
  <c r="E298"/>
  <c r="E299"/>
  <c r="E300"/>
  <c r="E301"/>
  <c r="E302"/>
  <c r="E303" s="1"/>
  <c r="E304" s="1"/>
  <c r="E305"/>
  <c r="E306"/>
  <c r="E307"/>
  <c r="E308"/>
  <c r="E309"/>
  <c r="G297"/>
  <c r="G298"/>
  <c r="G299"/>
  <c r="G300"/>
  <c r="G301"/>
  <c r="G302"/>
  <c r="G303"/>
  <c r="G304"/>
  <c r="G305"/>
  <c r="G306"/>
  <c r="G307"/>
  <c r="G308"/>
  <c r="G309"/>
  <c r="Y297"/>
  <c r="Y298"/>
  <c r="Y299"/>
  <c r="Y300"/>
  <c r="Y301"/>
  <c r="Y302"/>
  <c r="Y303"/>
  <c r="Y304"/>
  <c r="Y305"/>
  <c r="Y306"/>
  <c r="Y307"/>
  <c r="Y308"/>
  <c r="Y309"/>
  <c r="B283" l="1"/>
  <c r="B284"/>
  <c r="B285"/>
  <c r="B286"/>
  <c r="B287"/>
  <c r="B288"/>
  <c r="B289"/>
  <c r="B290"/>
  <c r="B291"/>
  <c r="B292"/>
  <c r="B293"/>
  <c r="B294"/>
  <c r="B295"/>
  <c r="B296"/>
  <c r="E283"/>
  <c r="E284"/>
  <c r="E285"/>
  <c r="E286"/>
  <c r="E287"/>
  <c r="E288"/>
  <c r="E289" s="1"/>
  <c r="E290"/>
  <c r="E291" s="1"/>
  <c r="E292"/>
  <c r="E293"/>
  <c r="E294"/>
  <c r="E295"/>
  <c r="E296"/>
  <c r="G283"/>
  <c r="G284"/>
  <c r="G285"/>
  <c r="G286"/>
  <c r="G287"/>
  <c r="G288"/>
  <c r="G289"/>
  <c r="G290"/>
  <c r="G291"/>
  <c r="G292"/>
  <c r="G293"/>
  <c r="G294"/>
  <c r="G295"/>
  <c r="G296"/>
  <c r="Y283"/>
  <c r="Y284"/>
  <c r="Y285"/>
  <c r="Y286"/>
  <c r="Y287"/>
  <c r="Y288"/>
  <c r="Y289"/>
  <c r="Y290"/>
  <c r="Y291"/>
  <c r="Y292"/>
  <c r="Y293"/>
  <c r="Y294"/>
  <c r="Y295"/>
  <c r="Y296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E259"/>
  <c r="E260"/>
  <c r="E261"/>
  <c r="E262"/>
  <c r="E263"/>
  <c r="E264"/>
  <c r="E265" s="1"/>
  <c r="E266"/>
  <c r="E267" s="1"/>
  <c r="E268"/>
  <c r="E269" s="1"/>
  <c r="E270" s="1"/>
  <c r="E271" s="1"/>
  <c r="E272"/>
  <c r="E273" s="1"/>
  <c r="E274"/>
  <c r="E275"/>
  <c r="E276" s="1"/>
  <c r="E277" s="1"/>
  <c r="E278" s="1"/>
  <c r="E279" s="1"/>
  <c r="E280" s="1"/>
  <c r="E281"/>
  <c r="E282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B249"/>
  <c r="B250"/>
  <c r="B251"/>
  <c r="B252"/>
  <c r="B253"/>
  <c r="B254"/>
  <c r="B255"/>
  <c r="B256"/>
  <c r="B257"/>
  <c r="B258"/>
  <c r="E249"/>
  <c r="E250"/>
  <c r="E251"/>
  <c r="E252"/>
  <c r="E253" s="1"/>
  <c r="E254" s="1"/>
  <c r="E255" s="1"/>
  <c r="E256"/>
  <c r="E257"/>
  <c r="E258" s="1"/>
  <c r="G249"/>
  <c r="G250"/>
  <c r="G251"/>
  <c r="G252"/>
  <c r="G253"/>
  <c r="G254"/>
  <c r="G255"/>
  <c r="G256"/>
  <c r="G257"/>
  <c r="G258"/>
  <c r="Y249"/>
  <c r="Y250"/>
  <c r="Y251"/>
  <c r="Y252"/>
  <c r="Y253"/>
  <c r="Y254"/>
  <c r="Y255"/>
  <c r="Y256"/>
  <c r="Y257"/>
  <c r="Y258"/>
  <c r="B226" l="1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E226"/>
  <c r="E227"/>
  <c r="E228"/>
  <c r="E229"/>
  <c r="E230"/>
  <c r="E231" s="1"/>
  <c r="E232"/>
  <c r="E233" s="1"/>
  <c r="E234"/>
  <c r="E235" s="1"/>
  <c r="E236"/>
  <c r="E237" s="1"/>
  <c r="E238"/>
  <c r="E239"/>
  <c r="E240"/>
  <c r="E241" s="1"/>
  <c r="E242" s="1"/>
  <c r="E243" s="1"/>
  <c r="E244" s="1"/>
  <c r="E245" s="1"/>
  <c r="E246" s="1"/>
  <c r="E247"/>
  <c r="E248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E198"/>
  <c r="E199"/>
  <c r="E200"/>
  <c r="E201"/>
  <c r="E202"/>
  <c r="E203" s="1"/>
  <c r="E204"/>
  <c r="E205"/>
  <c r="E206" s="1"/>
  <c r="E207" s="1"/>
  <c r="E208"/>
  <c r="E209" s="1"/>
  <c r="E210" s="1"/>
  <c r="E211" s="1"/>
  <c r="E212"/>
  <c r="E213"/>
  <c r="E214" s="1"/>
  <c r="E215" s="1"/>
  <c r="E216" s="1"/>
  <c r="E217" s="1"/>
  <c r="E218" s="1"/>
  <c r="E219" s="1"/>
  <c r="E220" s="1"/>
  <c r="E221" s="1"/>
  <c r="E222"/>
  <c r="E223" s="1"/>
  <c r="E224" s="1"/>
  <c r="E225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B182"/>
  <c r="B183"/>
  <c r="B184"/>
  <c r="B185"/>
  <c r="B186"/>
  <c r="B187"/>
  <c r="B188"/>
  <c r="B189"/>
  <c r="B190"/>
  <c r="B191"/>
  <c r="B192"/>
  <c r="B193"/>
  <c r="B194"/>
  <c r="B195"/>
  <c r="B196"/>
  <c r="B197"/>
  <c r="E182"/>
  <c r="E183" s="1"/>
  <c r="E184" s="1"/>
  <c r="E185"/>
  <c r="E186"/>
  <c r="E187"/>
  <c r="E188"/>
  <c r="E189"/>
  <c r="E190" s="1"/>
  <c r="E191"/>
  <c r="E192"/>
  <c r="E193"/>
  <c r="E194"/>
  <c r="E195"/>
  <c r="E196" s="1"/>
  <c r="E197" s="1"/>
  <c r="G182"/>
  <c r="G183"/>
  <c r="G184"/>
  <c r="G185"/>
  <c r="G186"/>
  <c r="G187"/>
  <c r="G188"/>
  <c r="G189"/>
  <c r="G190"/>
  <c r="G191"/>
  <c r="G192"/>
  <c r="G193"/>
  <c r="G194"/>
  <c r="G195"/>
  <c r="G196"/>
  <c r="G197"/>
  <c r="Y182"/>
  <c r="Y183"/>
  <c r="Y184"/>
  <c r="Y185"/>
  <c r="Y186"/>
  <c r="Y187"/>
  <c r="Y188"/>
  <c r="Y189"/>
  <c r="Y190"/>
  <c r="Y191"/>
  <c r="Y192"/>
  <c r="Y193"/>
  <c r="Y194"/>
  <c r="Y195"/>
  <c r="Y196"/>
  <c r="Y197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E164"/>
  <c r="E165"/>
  <c r="E166"/>
  <c r="E167"/>
  <c r="E168"/>
  <c r="E169" s="1"/>
  <c r="E170"/>
  <c r="E171" s="1"/>
  <c r="E172"/>
  <c r="E173"/>
  <c r="E174" s="1"/>
  <c r="E175" s="1"/>
  <c r="E176" s="1"/>
  <c r="E177"/>
  <c r="E178"/>
  <c r="E179" s="1"/>
  <c r="E180"/>
  <c r="E181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B37" i="58"/>
  <c r="AR37" s="1"/>
  <c r="B36"/>
  <c r="AP36" s="1"/>
  <c r="B35"/>
  <c r="AR35" s="1"/>
  <c r="B34"/>
  <c r="AP34" s="1"/>
  <c r="B33"/>
  <c r="AR33" s="1"/>
  <c r="B32"/>
  <c r="AP32" s="1"/>
  <c r="B31"/>
  <c r="AR31" s="1"/>
  <c r="B30"/>
  <c r="AP30" s="1"/>
  <c r="B29"/>
  <c r="AR29" s="1"/>
  <c r="B28"/>
  <c r="AR28" s="1"/>
  <c r="B27"/>
  <c r="AR27" s="1"/>
  <c r="B26"/>
  <c r="AR26" s="1"/>
  <c r="B25"/>
  <c r="AR25" s="1"/>
  <c r="B24"/>
  <c r="AR24" s="1"/>
  <c r="B23"/>
  <c r="AR23" s="1"/>
  <c r="B22"/>
  <c r="AR22" s="1"/>
  <c r="B21"/>
  <c r="AR21" s="1"/>
  <c r="B20"/>
  <c r="AR20" s="1"/>
  <c r="AA19"/>
  <c r="B19"/>
  <c r="AR19" s="1"/>
  <c r="B18"/>
  <c r="AR18" s="1"/>
  <c r="B17"/>
  <c r="AR17" s="1"/>
  <c r="B16"/>
  <c r="AR16" s="1"/>
  <c r="B15"/>
  <c r="AR15" s="1"/>
  <c r="B14"/>
  <c r="AR14" s="1"/>
  <c r="B13"/>
  <c r="AR13" s="1"/>
  <c r="B12"/>
  <c r="AR12" s="1"/>
  <c r="B11"/>
  <c r="AR11" s="1"/>
  <c r="B10"/>
  <c r="AO10" s="1"/>
  <c r="B146" i="3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E146"/>
  <c r="E147" s="1"/>
  <c r="E148"/>
  <c r="E149"/>
  <c r="E150"/>
  <c r="E151"/>
  <c r="E152" s="1"/>
  <c r="E153"/>
  <c r="E154" s="1"/>
  <c r="E155"/>
  <c r="E156" s="1"/>
  <c r="E157" s="1"/>
  <c r="E158" s="1"/>
  <c r="E159" s="1"/>
  <c r="E160"/>
  <c r="E161" s="1"/>
  <c r="E162" s="1"/>
  <c r="E163" s="1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B135"/>
  <c r="B136"/>
  <c r="B137"/>
  <c r="B138"/>
  <c r="B139"/>
  <c r="B140"/>
  <c r="B141"/>
  <c r="B142"/>
  <c r="B143"/>
  <c r="B144"/>
  <c r="B145"/>
  <c r="E135"/>
  <c r="E136" s="1"/>
  <c r="E137"/>
  <c r="E138"/>
  <c r="E139"/>
  <c r="E140"/>
  <c r="E141"/>
  <c r="E142"/>
  <c r="E143" s="1"/>
  <c r="E144"/>
  <c r="E145"/>
  <c r="G135"/>
  <c r="G136"/>
  <c r="G137"/>
  <c r="G138"/>
  <c r="G139"/>
  <c r="G140"/>
  <c r="G141"/>
  <c r="G142"/>
  <c r="G143"/>
  <c r="G144"/>
  <c r="G145"/>
  <c r="Y135"/>
  <c r="Y136"/>
  <c r="Y137"/>
  <c r="Y138"/>
  <c r="Y139"/>
  <c r="Y140"/>
  <c r="Y141"/>
  <c r="Y142"/>
  <c r="Y143"/>
  <c r="Y144"/>
  <c r="Y145"/>
  <c r="B123"/>
  <c r="B124"/>
  <c r="B125"/>
  <c r="B126"/>
  <c r="B127"/>
  <c r="B128"/>
  <c r="B129"/>
  <c r="B130"/>
  <c r="B131"/>
  <c r="B132"/>
  <c r="B133"/>
  <c r="B134"/>
  <c r="E123"/>
  <c r="E124" s="1"/>
  <c r="E125"/>
  <c r="E126"/>
  <c r="E127"/>
  <c r="E128"/>
  <c r="E129" s="1"/>
  <c r="E130"/>
  <c r="E131"/>
  <c r="E132"/>
  <c r="E133" s="1"/>
  <c r="E134"/>
  <c r="G123"/>
  <c r="G124"/>
  <c r="G125"/>
  <c r="G126"/>
  <c r="G127"/>
  <c r="G128"/>
  <c r="G129"/>
  <c r="G130"/>
  <c r="G131"/>
  <c r="G132"/>
  <c r="G133"/>
  <c r="G134"/>
  <c r="Y123"/>
  <c r="Y124"/>
  <c r="Y125"/>
  <c r="Y126"/>
  <c r="Y127"/>
  <c r="Y128"/>
  <c r="Y129"/>
  <c r="Y130"/>
  <c r="Y131"/>
  <c r="Y132"/>
  <c r="Y133"/>
  <c r="Y134"/>
  <c r="B107"/>
  <c r="B108"/>
  <c r="B109"/>
  <c r="B110"/>
  <c r="B111"/>
  <c r="B112"/>
  <c r="B113"/>
  <c r="B114"/>
  <c r="B115"/>
  <c r="B116"/>
  <c r="B117"/>
  <c r="B118"/>
  <c r="B119"/>
  <c r="B120"/>
  <c r="B121"/>
  <c r="B122"/>
  <c r="E107"/>
  <c r="E108" s="1"/>
  <c r="E109"/>
  <c r="E110"/>
  <c r="E111"/>
  <c r="E112" s="1"/>
  <c r="E113"/>
  <c r="E114" s="1"/>
  <c r="E115" s="1"/>
  <c r="E116"/>
  <c r="E117" s="1"/>
  <c r="E118" s="1"/>
  <c r="E119"/>
  <c r="E120"/>
  <c r="E121"/>
  <c r="E122"/>
  <c r="G107"/>
  <c r="G108"/>
  <c r="G109"/>
  <c r="G110"/>
  <c r="G111"/>
  <c r="G112"/>
  <c r="G113"/>
  <c r="G114"/>
  <c r="G115"/>
  <c r="G116"/>
  <c r="G117"/>
  <c r="G118"/>
  <c r="G119"/>
  <c r="G120"/>
  <c r="G121"/>
  <c r="G122"/>
  <c r="Y107"/>
  <c r="Y108"/>
  <c r="Y109"/>
  <c r="Y110"/>
  <c r="Y111"/>
  <c r="Y112"/>
  <c r="Y113"/>
  <c r="Y114"/>
  <c r="Y115"/>
  <c r="Y116"/>
  <c r="Y117"/>
  <c r="Y118"/>
  <c r="Y119"/>
  <c r="Y120"/>
  <c r="Y121"/>
  <c r="Y122"/>
  <c r="B92"/>
  <c r="B93"/>
  <c r="B94"/>
  <c r="B95"/>
  <c r="B96"/>
  <c r="B97"/>
  <c r="B98"/>
  <c r="B99"/>
  <c r="B100"/>
  <c r="B101"/>
  <c r="B102"/>
  <c r="B103"/>
  <c r="B104"/>
  <c r="B105"/>
  <c r="B106"/>
  <c r="E92"/>
  <c r="E93"/>
  <c r="E94"/>
  <c r="E95"/>
  <c r="E96"/>
  <c r="E97" s="1"/>
  <c r="E98"/>
  <c r="E99" s="1"/>
  <c r="E100" s="1"/>
  <c r="E101"/>
  <c r="E102" s="1"/>
  <c r="E103" s="1"/>
  <c r="E104" s="1"/>
  <c r="E105"/>
  <c r="E106"/>
  <c r="G92"/>
  <c r="G93"/>
  <c r="G94"/>
  <c r="G95"/>
  <c r="G96"/>
  <c r="G97"/>
  <c r="G98"/>
  <c r="G99"/>
  <c r="G100"/>
  <c r="G101"/>
  <c r="G102"/>
  <c r="G103"/>
  <c r="G104"/>
  <c r="G105"/>
  <c r="G106"/>
  <c r="Y92"/>
  <c r="Y93"/>
  <c r="Y94"/>
  <c r="Y95"/>
  <c r="Y96"/>
  <c r="Y97"/>
  <c r="Y98"/>
  <c r="Y99"/>
  <c r="Y100"/>
  <c r="Y101"/>
  <c r="Y102"/>
  <c r="Y103"/>
  <c r="Y104"/>
  <c r="Y105"/>
  <c r="Y106"/>
  <c r="B87"/>
  <c r="B88"/>
  <c r="B89"/>
  <c r="B90"/>
  <c r="B91"/>
  <c r="E87"/>
  <c r="E88" s="1"/>
  <c r="E89"/>
  <c r="E90"/>
  <c r="E91"/>
  <c r="G87"/>
  <c r="G88"/>
  <c r="G89"/>
  <c r="G90"/>
  <c r="G91"/>
  <c r="Y87"/>
  <c r="Y88"/>
  <c r="Y89"/>
  <c r="Y90"/>
  <c r="Y91"/>
  <c r="B83"/>
  <c r="B84"/>
  <c r="B85"/>
  <c r="B86"/>
  <c r="E83"/>
  <c r="E84" s="1"/>
  <c r="E85"/>
  <c r="E86"/>
  <c r="G83"/>
  <c r="G84"/>
  <c r="G85"/>
  <c r="G86"/>
  <c r="Y83"/>
  <c r="Y84"/>
  <c r="Y85"/>
  <c r="Y86"/>
  <c r="B80"/>
  <c r="B81"/>
  <c r="B82"/>
  <c r="E80"/>
  <c r="E81"/>
  <c r="E82"/>
  <c r="G80"/>
  <c r="G81"/>
  <c r="G82"/>
  <c r="Y80"/>
  <c r="Y81"/>
  <c r="Y82"/>
  <c r="AA15" i="58" l="1"/>
  <c r="AA13"/>
  <c r="AA17"/>
  <c r="V21" a="1"/>
  <c r="V21" s="1"/>
  <c r="V25" a="1"/>
  <c r="V25" s="1"/>
  <c r="AA29"/>
  <c r="AA33"/>
  <c r="AG21" a="1"/>
  <c r="AG21" s="1"/>
  <c r="AG25" a="1"/>
  <c r="AG25" s="1"/>
  <c r="AG29" a="1"/>
  <c r="AG29" s="1"/>
  <c r="AG33" a="1"/>
  <c r="AG33" s="1"/>
  <c r="AA27"/>
  <c r="V31" a="1"/>
  <c r="V31" s="1"/>
  <c r="AD31"/>
  <c r="AI31"/>
  <c r="AP31"/>
  <c r="AA35"/>
  <c r="AG35" a="1"/>
  <c r="AG35" s="1"/>
  <c r="AA37"/>
  <c r="AG37" a="1"/>
  <c r="AG37" s="1"/>
  <c r="W10" a="1"/>
  <c r="W10" s="1"/>
  <c r="AH10"/>
  <c r="AA23"/>
  <c r="AF10" a="1"/>
  <c r="AF10" s="1"/>
  <c r="V13" a="1"/>
  <c r="V13" s="1"/>
  <c r="AG13" a="1"/>
  <c r="AG13" s="1"/>
  <c r="V15" a="1"/>
  <c r="V15" s="1"/>
  <c r="AG15" a="1"/>
  <c r="AG15" s="1"/>
  <c r="V17" a="1"/>
  <c r="V17" s="1"/>
  <c r="AG17" a="1"/>
  <c r="AG17" s="1"/>
  <c r="V19" a="1"/>
  <c r="V19" s="1"/>
  <c r="AG19" a="1"/>
  <c r="AG19" s="1"/>
  <c r="AA21"/>
  <c r="V23" a="1"/>
  <c r="V23" s="1"/>
  <c r="AG23" a="1"/>
  <c r="AG23" s="1"/>
  <c r="AA25"/>
  <c r="V27" a="1"/>
  <c r="V27" s="1"/>
  <c r="AG27" a="1"/>
  <c r="AG27" s="1"/>
  <c r="V29" a="1"/>
  <c r="V29" s="1"/>
  <c r="AD29"/>
  <c r="AC29" s="1"/>
  <c r="AI29"/>
  <c r="AP29"/>
  <c r="AA31"/>
  <c r="AC31" s="1"/>
  <c r="AG31" a="1"/>
  <c r="AG31" s="1"/>
  <c r="V33" a="1"/>
  <c r="V33" s="1"/>
  <c r="AD33"/>
  <c r="AC33" s="1"/>
  <c r="AI33"/>
  <c r="AP33"/>
  <c r="V35" a="1"/>
  <c r="V35" s="1"/>
  <c r="AD35"/>
  <c r="AI35"/>
  <c r="AP35"/>
  <c r="V37" a="1"/>
  <c r="V37" s="1"/>
  <c r="AD37"/>
  <c r="AI37"/>
  <c r="AP37"/>
  <c r="V11" a="1"/>
  <c r="V11" s="1"/>
  <c r="AA11"/>
  <c r="AG11" a="1"/>
  <c r="AG11" s="1"/>
  <c r="W22" a="1"/>
  <c r="W22" s="1"/>
  <c r="AF22" a="1"/>
  <c r="AF22" s="1"/>
  <c r="AH22"/>
  <c r="AO22"/>
  <c r="AQ22" s="1"/>
  <c r="W26" a="1"/>
  <c r="W26" s="1"/>
  <c r="AF26" a="1"/>
  <c r="AF26" s="1"/>
  <c r="AH26"/>
  <c r="AO26"/>
  <c r="AQ26" s="1"/>
  <c r="W28" a="1"/>
  <c r="W28" s="1"/>
  <c r="AF28" a="1"/>
  <c r="AF28" s="1"/>
  <c r="AH28"/>
  <c r="AO28"/>
  <c r="AQ28" s="1"/>
  <c r="W30" a="1"/>
  <c r="W30" s="1"/>
  <c r="AB30"/>
  <c r="AF30" a="1"/>
  <c r="AF30" s="1"/>
  <c r="AH30"/>
  <c r="AK30"/>
  <c r="AO30"/>
  <c r="AR30"/>
  <c r="W32" a="1"/>
  <c r="W32" s="1"/>
  <c r="AB32"/>
  <c r="AF32" a="1"/>
  <c r="AF32" s="1"/>
  <c r="AH32"/>
  <c r="AK32"/>
  <c r="AO32"/>
  <c r="AR32"/>
  <c r="W34" a="1"/>
  <c r="W34" s="1"/>
  <c r="AB34"/>
  <c r="AF34" a="1"/>
  <c r="AF34" s="1"/>
  <c r="AH34"/>
  <c r="AK34"/>
  <c r="AO34"/>
  <c r="AR34"/>
  <c r="W36" a="1"/>
  <c r="W36" s="1"/>
  <c r="AB36"/>
  <c r="AF36" a="1"/>
  <c r="AF36" s="1"/>
  <c r="AH36"/>
  <c r="AK36"/>
  <c r="AO36"/>
  <c r="AR36"/>
  <c r="W12" a="1"/>
  <c r="W12" s="1"/>
  <c r="AF12" a="1"/>
  <c r="AF12" s="1"/>
  <c r="AH12"/>
  <c r="AO12"/>
  <c r="AQ12" s="1"/>
  <c r="W14" a="1"/>
  <c r="W14" s="1"/>
  <c r="AF14" a="1"/>
  <c r="AF14" s="1"/>
  <c r="AH14"/>
  <c r="AO14"/>
  <c r="AQ14" s="1"/>
  <c r="W16" a="1"/>
  <c r="W16" s="1"/>
  <c r="AF16" a="1"/>
  <c r="AF16" s="1"/>
  <c r="AH16"/>
  <c r="AO16"/>
  <c r="AQ16" s="1"/>
  <c r="W18" a="1"/>
  <c r="W18" s="1"/>
  <c r="AF18" a="1"/>
  <c r="AF18" s="1"/>
  <c r="AH18"/>
  <c r="AO18"/>
  <c r="AQ18" s="1"/>
  <c r="W20" a="1"/>
  <c r="W20" s="1"/>
  <c r="AF20" a="1"/>
  <c r="AF20" s="1"/>
  <c r="AH20"/>
  <c r="AO20"/>
  <c r="AQ20" s="1"/>
  <c r="W24" a="1"/>
  <c r="W24" s="1"/>
  <c r="AF24" a="1"/>
  <c r="AF24" s="1"/>
  <c r="AH24"/>
  <c r="AO24"/>
  <c r="AQ24" s="1"/>
  <c r="V10" a="1"/>
  <c r="V10" s="1"/>
  <c r="AA10"/>
  <c r="AG10" a="1"/>
  <c r="AG10" s="1"/>
  <c r="W11" a="1"/>
  <c r="W11" s="1"/>
  <c r="AF11" a="1"/>
  <c r="AF11" s="1"/>
  <c r="AH11"/>
  <c r="AO11"/>
  <c r="AQ11" s="1"/>
  <c r="V12" a="1"/>
  <c r="V12" s="1"/>
  <c r="AA12"/>
  <c r="AG12" a="1"/>
  <c r="AG12" s="1"/>
  <c r="W13" a="1"/>
  <c r="W13" s="1"/>
  <c r="AF13" a="1"/>
  <c r="AF13" s="1"/>
  <c r="AH13"/>
  <c r="AO13"/>
  <c r="V14" a="1"/>
  <c r="V14" s="1"/>
  <c r="AA14"/>
  <c r="AG14" a="1"/>
  <c r="AG14" s="1"/>
  <c r="W15" a="1"/>
  <c r="W15" s="1"/>
  <c r="AF15" a="1"/>
  <c r="AF15" s="1"/>
  <c r="AH15"/>
  <c r="AO15"/>
  <c r="V16" a="1"/>
  <c r="V16" s="1"/>
  <c r="AA16"/>
  <c r="AG16" a="1"/>
  <c r="AG16" s="1"/>
  <c r="W17" a="1"/>
  <c r="W17" s="1"/>
  <c r="AF17" a="1"/>
  <c r="AF17" s="1"/>
  <c r="AH17"/>
  <c r="AO17"/>
  <c r="V18" a="1"/>
  <c r="V18" s="1"/>
  <c r="AA18"/>
  <c r="AG18" a="1"/>
  <c r="AG18" s="1"/>
  <c r="W19" a="1"/>
  <c r="W19" s="1"/>
  <c r="AF19" a="1"/>
  <c r="AF19" s="1"/>
  <c r="AH19"/>
  <c r="AO19"/>
  <c r="AQ19" s="1"/>
  <c r="V20" a="1"/>
  <c r="V20" s="1"/>
  <c r="AA20"/>
  <c r="AG20" a="1"/>
  <c r="AG20" s="1"/>
  <c r="W21" a="1"/>
  <c r="W21" s="1"/>
  <c r="AF21" a="1"/>
  <c r="AF21" s="1"/>
  <c r="AH21"/>
  <c r="AO21"/>
  <c r="V22" a="1"/>
  <c r="V22" s="1"/>
  <c r="AA22"/>
  <c r="AG22" a="1"/>
  <c r="AG22" s="1"/>
  <c r="W23" a="1"/>
  <c r="W23" s="1"/>
  <c r="AF23" a="1"/>
  <c r="AF23" s="1"/>
  <c r="AH23"/>
  <c r="AO23"/>
  <c r="AQ23" s="1"/>
  <c r="V24" a="1"/>
  <c r="V24" s="1"/>
  <c r="AA24"/>
  <c r="AG24" a="1"/>
  <c r="AG24" s="1"/>
  <c r="W25" a="1"/>
  <c r="W25" s="1"/>
  <c r="AF25" a="1"/>
  <c r="AF25" s="1"/>
  <c r="AH25"/>
  <c r="AO25"/>
  <c r="V26" a="1"/>
  <c r="V26" s="1"/>
  <c r="AA26"/>
  <c r="AG26" a="1"/>
  <c r="AG26" s="1"/>
  <c r="W27" a="1"/>
  <c r="W27" s="1"/>
  <c r="AF27" a="1"/>
  <c r="AF27" s="1"/>
  <c r="AH27"/>
  <c r="AO27"/>
  <c r="V28" a="1"/>
  <c r="V28" s="1"/>
  <c r="AA28"/>
  <c r="AG28" a="1"/>
  <c r="AG28" s="1"/>
  <c r="W29" a="1"/>
  <c r="W29" s="1"/>
  <c r="AB29"/>
  <c r="AF29" a="1"/>
  <c r="AF29" s="1"/>
  <c r="AH29"/>
  <c r="AK29"/>
  <c r="AO29"/>
  <c r="AQ29" s="1"/>
  <c r="V30" a="1"/>
  <c r="V30" s="1"/>
  <c r="AA30"/>
  <c r="AD30"/>
  <c r="AG30" a="1"/>
  <c r="AG30" s="1"/>
  <c r="AI30"/>
  <c r="W31" a="1"/>
  <c r="W31" s="1"/>
  <c r="AB31"/>
  <c r="AF31" a="1"/>
  <c r="AF31" s="1"/>
  <c r="AH31"/>
  <c r="AK31"/>
  <c r="AO31"/>
  <c r="AQ31" s="1"/>
  <c r="V32" a="1"/>
  <c r="V32" s="1"/>
  <c r="AA32"/>
  <c r="AD32"/>
  <c r="AG32" a="1"/>
  <c r="AG32" s="1"/>
  <c r="AI32"/>
  <c r="W33" a="1"/>
  <c r="W33" s="1"/>
  <c r="AB33"/>
  <c r="AF33" a="1"/>
  <c r="AF33" s="1"/>
  <c r="AH33"/>
  <c r="AK33"/>
  <c r="AO33"/>
  <c r="AQ33" s="1"/>
  <c r="V34" a="1"/>
  <c r="V34" s="1"/>
  <c r="AA34"/>
  <c r="AD34"/>
  <c r="AG34" a="1"/>
  <c r="AG34" s="1"/>
  <c r="AI34"/>
  <c r="W35" a="1"/>
  <c r="W35" s="1"/>
  <c r="AB35"/>
  <c r="AF35" a="1"/>
  <c r="AF35" s="1"/>
  <c r="AH35"/>
  <c r="AK35"/>
  <c r="AO35"/>
  <c r="AQ35" s="1"/>
  <c r="V36" a="1"/>
  <c r="V36" s="1"/>
  <c r="AA36"/>
  <c r="AD36"/>
  <c r="AG36" a="1"/>
  <c r="AG36" s="1"/>
  <c r="AI36"/>
  <c r="W37" a="1"/>
  <c r="W37" s="1"/>
  <c r="AB37"/>
  <c r="AF37" a="1"/>
  <c r="AF37" s="1"/>
  <c r="AH37"/>
  <c r="AK37"/>
  <c r="AO37"/>
  <c r="AQ37" s="1"/>
  <c r="AQ13"/>
  <c r="AQ15"/>
  <c r="AQ17"/>
  <c r="AQ21"/>
  <c r="AQ25"/>
  <c r="AQ27"/>
  <c r="B38"/>
  <c r="AR10"/>
  <c r="AP10"/>
  <c r="AB10"/>
  <c r="AD10"/>
  <c r="AI10"/>
  <c r="AK10"/>
  <c r="AB11"/>
  <c r="AD11"/>
  <c r="AC11" s="1"/>
  <c r="AI11"/>
  <c r="AK11"/>
  <c r="AJ11" s="1"/>
  <c r="AP11"/>
  <c r="AB12"/>
  <c r="AD12"/>
  <c r="AC12" s="1"/>
  <c r="AI12"/>
  <c r="AK12"/>
  <c r="AP12"/>
  <c r="AB13"/>
  <c r="AD13"/>
  <c r="AC13" s="1"/>
  <c r="AI13"/>
  <c r="AK13"/>
  <c r="AJ13" s="1"/>
  <c r="AP13"/>
  <c r="AB14"/>
  <c r="AD14"/>
  <c r="AC14" s="1"/>
  <c r="AI14"/>
  <c r="AK14"/>
  <c r="AP14"/>
  <c r="AB15"/>
  <c r="AD15"/>
  <c r="AC15" s="1"/>
  <c r="AI15"/>
  <c r="AK15"/>
  <c r="AJ15" s="1"/>
  <c r="AP15"/>
  <c r="AB16"/>
  <c r="AD16"/>
  <c r="AC16" s="1"/>
  <c r="AI16"/>
  <c r="AK16"/>
  <c r="AP16"/>
  <c r="AB17"/>
  <c r="AD17"/>
  <c r="AC17" s="1"/>
  <c r="AI17"/>
  <c r="AK17"/>
  <c r="AJ17" s="1"/>
  <c r="AP17"/>
  <c r="AB18"/>
  <c r="AD18"/>
  <c r="AI18"/>
  <c r="AK18"/>
  <c r="AP18"/>
  <c r="AB19"/>
  <c r="AD19"/>
  <c r="AC19" s="1"/>
  <c r="AI19"/>
  <c r="AK19"/>
  <c r="AJ19" s="1"/>
  <c r="AP19"/>
  <c r="AB20"/>
  <c r="AD20"/>
  <c r="AI20"/>
  <c r="AK20"/>
  <c r="AP20"/>
  <c r="AB21"/>
  <c r="AD21"/>
  <c r="AC21" s="1"/>
  <c r="AI21"/>
  <c r="AK21"/>
  <c r="AJ21" s="1"/>
  <c r="AP21"/>
  <c r="AB22"/>
  <c r="AD22"/>
  <c r="AC22" s="1"/>
  <c r="AI22"/>
  <c r="AK22"/>
  <c r="AP22"/>
  <c r="AB23"/>
  <c r="AD23"/>
  <c r="AC23" s="1"/>
  <c r="AI23"/>
  <c r="AK23"/>
  <c r="AJ23" s="1"/>
  <c r="AP23"/>
  <c r="AB24"/>
  <c r="AD24"/>
  <c r="AC24" s="1"/>
  <c r="AI24"/>
  <c r="AK24"/>
  <c r="AJ24" s="1"/>
  <c r="AP24"/>
  <c r="AB25"/>
  <c r="AD25"/>
  <c r="AC25" s="1"/>
  <c r="AI25"/>
  <c r="AK25"/>
  <c r="AJ25" s="1"/>
  <c r="AP25"/>
  <c r="AB26"/>
  <c r="AD26"/>
  <c r="AC26" s="1"/>
  <c r="AI26"/>
  <c r="AK26"/>
  <c r="AJ26" s="1"/>
  <c r="AP26"/>
  <c r="AB27"/>
  <c r="AD27"/>
  <c r="AC27" s="1"/>
  <c r="AI27"/>
  <c r="AK27"/>
  <c r="AJ27" s="1"/>
  <c r="AP27"/>
  <c r="AB28"/>
  <c r="AD28"/>
  <c r="AI28"/>
  <c r="AK28"/>
  <c r="AJ28" s="1"/>
  <c r="AP28"/>
  <c r="B73" i="36"/>
  <c r="B74"/>
  <c r="B75"/>
  <c r="B76"/>
  <c r="B77"/>
  <c r="B78"/>
  <c r="B79"/>
  <c r="E73"/>
  <c r="E74"/>
  <c r="E75"/>
  <c r="E76"/>
  <c r="E77"/>
  <c r="E78" s="1"/>
  <c r="E79"/>
  <c r="G73"/>
  <c r="G74"/>
  <c r="G75"/>
  <c r="G76"/>
  <c r="G77"/>
  <c r="G78"/>
  <c r="G79"/>
  <c r="Y73"/>
  <c r="Y74"/>
  <c r="Y75"/>
  <c r="Y76"/>
  <c r="Y77"/>
  <c r="Y78"/>
  <c r="Y79"/>
  <c r="B67"/>
  <c r="B68"/>
  <c r="B69"/>
  <c r="B70"/>
  <c r="B71"/>
  <c r="B72"/>
  <c r="E67"/>
  <c r="E68"/>
  <c r="E69"/>
  <c r="E70" s="1"/>
  <c r="E71"/>
  <c r="E72"/>
  <c r="G67"/>
  <c r="G68"/>
  <c r="G69"/>
  <c r="G70"/>
  <c r="G71"/>
  <c r="G72"/>
  <c r="Y67"/>
  <c r="Y68"/>
  <c r="Y69"/>
  <c r="Y70"/>
  <c r="Y71"/>
  <c r="Y72"/>
  <c r="B61"/>
  <c r="B62"/>
  <c r="B63"/>
  <c r="B64"/>
  <c r="B65"/>
  <c r="B66"/>
  <c r="E61"/>
  <c r="E62" s="1"/>
  <c r="E63"/>
  <c r="E64"/>
  <c r="E65"/>
  <c r="E66"/>
  <c r="G61"/>
  <c r="G62"/>
  <c r="G63"/>
  <c r="G64"/>
  <c r="G65"/>
  <c r="G66"/>
  <c r="Y61"/>
  <c r="Y62"/>
  <c r="Y63"/>
  <c r="Y64"/>
  <c r="Y65"/>
  <c r="Y66"/>
  <c r="B55"/>
  <c r="B56"/>
  <c r="B57"/>
  <c r="B58"/>
  <c r="B59"/>
  <c r="B60"/>
  <c r="E55"/>
  <c r="E56"/>
  <c r="E57"/>
  <c r="E58" s="1"/>
  <c r="E59"/>
  <c r="E60"/>
  <c r="G55"/>
  <c r="G56"/>
  <c r="G57"/>
  <c r="G58"/>
  <c r="G59"/>
  <c r="G60"/>
  <c r="Y55"/>
  <c r="Y56"/>
  <c r="Y57"/>
  <c r="Y58"/>
  <c r="Y59"/>
  <c r="Y60"/>
  <c r="B53"/>
  <c r="B54"/>
  <c r="E53"/>
  <c r="E54"/>
  <c r="G53"/>
  <c r="G54"/>
  <c r="Y53"/>
  <c r="Y54"/>
  <c r="B46"/>
  <c r="B47"/>
  <c r="B48"/>
  <c r="B49"/>
  <c r="B50"/>
  <c r="B51"/>
  <c r="B52"/>
  <c r="E46"/>
  <c r="E47" s="1"/>
  <c r="E48"/>
  <c r="E49"/>
  <c r="E50"/>
  <c r="E51"/>
  <c r="E52"/>
  <c r="G46"/>
  <c r="G47"/>
  <c r="G48"/>
  <c r="G49"/>
  <c r="G50"/>
  <c r="G51"/>
  <c r="G52"/>
  <c r="Y46"/>
  <c r="Y47"/>
  <c r="Y48"/>
  <c r="Y49"/>
  <c r="Y50"/>
  <c r="Y51"/>
  <c r="Y52"/>
  <c r="B41"/>
  <c r="B42"/>
  <c r="B43"/>
  <c r="B44"/>
  <c r="B45"/>
  <c r="E41"/>
  <c r="E42"/>
  <c r="E43"/>
  <c r="E44"/>
  <c r="E45" s="1"/>
  <c r="G41"/>
  <c r="G42"/>
  <c r="G43"/>
  <c r="G44"/>
  <c r="G45"/>
  <c r="Y41"/>
  <c r="Y42"/>
  <c r="Y43"/>
  <c r="Y44"/>
  <c r="Y45"/>
  <c r="G56" i="54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C12"/>
  <c r="C11"/>
  <c r="B12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AO408" i="57"/>
  <c r="AG408"/>
  <c r="AE408"/>
  <c r="AC408"/>
  <c r="AA408"/>
  <c r="Y408"/>
  <c r="W408"/>
  <c r="U408"/>
  <c r="S408"/>
  <c r="Q408"/>
  <c r="O408"/>
  <c r="M408"/>
  <c r="K408"/>
  <c r="AI408" s="1"/>
  <c r="AJ407"/>
  <c r="AL407" s="1"/>
  <c r="AJ406"/>
  <c r="AL406" s="1"/>
  <c r="AJ405"/>
  <c r="AL405" s="1"/>
  <c r="AJ404"/>
  <c r="AL404" s="1"/>
  <c r="AJ403"/>
  <c r="AL403" s="1"/>
  <c r="AK408" s="1"/>
  <c r="AJ402"/>
  <c r="AI402"/>
  <c r="AK402" s="1"/>
  <c r="AJ401"/>
  <c r="AI401"/>
  <c r="AK401" s="1"/>
  <c r="AJ400"/>
  <c r="AI400"/>
  <c r="AK400" s="1"/>
  <c r="AO395"/>
  <c r="AG390"/>
  <c r="AH385"/>
  <c r="AO372"/>
  <c r="AG372"/>
  <c r="AE372"/>
  <c r="AC372"/>
  <c r="AA372"/>
  <c r="Y372"/>
  <c r="W372"/>
  <c r="U372"/>
  <c r="S372"/>
  <c r="Q372"/>
  <c r="O372"/>
  <c r="M372"/>
  <c r="K372"/>
  <c r="AI372" s="1"/>
  <c r="AJ371"/>
  <c r="AL371" s="1"/>
  <c r="AP371" s="1"/>
  <c r="AJ370"/>
  <c r="AL370" s="1"/>
  <c r="AP370" s="1"/>
  <c r="AJ369"/>
  <c r="AL369" s="1"/>
  <c r="AP369" s="1"/>
  <c r="AJ368"/>
  <c r="AL368" s="1"/>
  <c r="AP368" s="1"/>
  <c r="AJ367"/>
  <c r="AL367" s="1"/>
  <c r="AP367" s="1"/>
  <c r="AP366"/>
  <c r="AJ366"/>
  <c r="AI366"/>
  <c r="AK366" s="1"/>
  <c r="AP365"/>
  <c r="AJ365"/>
  <c r="AI365"/>
  <c r="AK365" s="1"/>
  <c r="AP364"/>
  <c r="AJ364"/>
  <c r="AI364"/>
  <c r="AK364" s="1"/>
  <c r="AO359"/>
  <c r="AG354"/>
  <c r="AH348"/>
  <c r="AO335"/>
  <c r="AG335"/>
  <c r="AE335"/>
  <c r="AC335"/>
  <c r="AA335"/>
  <c r="Y335"/>
  <c r="W335"/>
  <c r="U335"/>
  <c r="S335"/>
  <c r="Q335"/>
  <c r="O335"/>
  <c r="M335"/>
  <c r="K335"/>
  <c r="AI335" s="1"/>
  <c r="AJ334"/>
  <c r="AL334" s="1"/>
  <c r="AJ333"/>
  <c r="AL333" s="1"/>
  <c r="AJ332"/>
  <c r="AL332" s="1"/>
  <c r="AJ331"/>
  <c r="AL331" s="1"/>
  <c r="AJ330"/>
  <c r="AL330" s="1"/>
  <c r="AJ329"/>
  <c r="AI329"/>
  <c r="AK329" s="1"/>
  <c r="AJ328"/>
  <c r="AI328"/>
  <c r="AK328" s="1"/>
  <c r="AJ327"/>
  <c r="AI327"/>
  <c r="AK327" s="1"/>
  <c r="AO322"/>
  <c r="AG317"/>
  <c r="AH311"/>
  <c r="AO301"/>
  <c r="AG301"/>
  <c r="AE301"/>
  <c r="AC301"/>
  <c r="AA301"/>
  <c r="Y301"/>
  <c r="W301"/>
  <c r="U301"/>
  <c r="S301"/>
  <c r="Q301"/>
  <c r="O301"/>
  <c r="M301"/>
  <c r="K301"/>
  <c r="AI301" s="1"/>
  <c r="AL300"/>
  <c r="AP300" s="1"/>
  <c r="AJ300"/>
  <c r="AJ299"/>
  <c r="AL299" s="1"/>
  <c r="AP299" s="1"/>
  <c r="AL298"/>
  <c r="AP298" s="1"/>
  <c r="AJ298"/>
  <c r="AJ297"/>
  <c r="AL297" s="1"/>
  <c r="AP297" s="1"/>
  <c r="AL296"/>
  <c r="AP296" s="1"/>
  <c r="AJ296"/>
  <c r="AP295"/>
  <c r="AJ295"/>
  <c r="AI295"/>
  <c r="AK295" s="1"/>
  <c r="AP294"/>
  <c r="AJ294"/>
  <c r="AI294"/>
  <c r="AK294" s="1"/>
  <c r="AP293"/>
  <c r="AJ293"/>
  <c r="AI293"/>
  <c r="AK293" s="1"/>
  <c r="AO288"/>
  <c r="AG283"/>
  <c r="AH277"/>
  <c r="AO267"/>
  <c r="AG267"/>
  <c r="AE267"/>
  <c r="AC267"/>
  <c r="AA267"/>
  <c r="Y267"/>
  <c r="W267"/>
  <c r="U267"/>
  <c r="S267"/>
  <c r="Q267"/>
  <c r="O267"/>
  <c r="M267"/>
  <c r="K267"/>
  <c r="AI267" s="1"/>
  <c r="AL266"/>
  <c r="AJ266"/>
  <c r="AL265"/>
  <c r="AJ265"/>
  <c r="AJ264"/>
  <c r="AL264" s="1"/>
  <c r="AJ263"/>
  <c r="AL263" s="1"/>
  <c r="AJ262"/>
  <c r="AL262" s="1"/>
  <c r="AJ261"/>
  <c r="AI261"/>
  <c r="AK261" s="1"/>
  <c r="AJ260"/>
  <c r="AI260"/>
  <c r="AK260" s="1"/>
  <c r="AJ259"/>
  <c r="AI259"/>
  <c r="AK259" s="1"/>
  <c r="AO254"/>
  <c r="AG249"/>
  <c r="AH244"/>
  <c r="AO234"/>
  <c r="AG234"/>
  <c r="AE234"/>
  <c r="AC234"/>
  <c r="AA234"/>
  <c r="Y234"/>
  <c r="W234"/>
  <c r="U234"/>
  <c r="S234"/>
  <c r="Q234"/>
  <c r="O234"/>
  <c r="M234"/>
  <c r="K234"/>
  <c r="AI234" s="1"/>
  <c r="AJ233"/>
  <c r="AL233" s="1"/>
  <c r="AP233" s="1"/>
  <c r="AJ232"/>
  <c r="AL232" s="1"/>
  <c r="AP232" s="1"/>
  <c r="AJ231"/>
  <c r="AL231" s="1"/>
  <c r="AP231" s="1"/>
  <c r="AJ230"/>
  <c r="AL230" s="1"/>
  <c r="AP230" s="1"/>
  <c r="AJ229"/>
  <c r="AL229" s="1"/>
  <c r="AP229" s="1"/>
  <c r="AP228"/>
  <c r="AJ228"/>
  <c r="AI228"/>
  <c r="AK228" s="1"/>
  <c r="AP227"/>
  <c r="AJ227"/>
  <c r="AI227"/>
  <c r="AK227" s="1"/>
  <c r="AP226"/>
  <c r="AJ226"/>
  <c r="AI226"/>
  <c r="AK226" s="1"/>
  <c r="AO221"/>
  <c r="AG216"/>
  <c r="AH209"/>
  <c r="AO199"/>
  <c r="AG199"/>
  <c r="AE199"/>
  <c r="AC199"/>
  <c r="AA199"/>
  <c r="Y199"/>
  <c r="W199"/>
  <c r="U199"/>
  <c r="S199"/>
  <c r="Q199"/>
  <c r="O199"/>
  <c r="M199"/>
  <c r="K199"/>
  <c r="AI199" s="1"/>
  <c r="AJ198"/>
  <c r="AL198" s="1"/>
  <c r="AJ197"/>
  <c r="AL197" s="1"/>
  <c r="AJ196"/>
  <c r="AL196" s="1"/>
  <c r="AJ195"/>
  <c r="AL195" s="1"/>
  <c r="AJ194"/>
  <c r="AL194" s="1"/>
  <c r="AK199" s="1"/>
  <c r="AJ193"/>
  <c r="AI193"/>
  <c r="AK193" s="1"/>
  <c r="AJ192"/>
  <c r="AI192"/>
  <c r="AK192" s="1"/>
  <c r="AJ191"/>
  <c r="AI191"/>
  <c r="AK191" s="1"/>
  <c r="AO186"/>
  <c r="AG181"/>
  <c r="AH174"/>
  <c r="AO164"/>
  <c r="AG164"/>
  <c r="AE164"/>
  <c r="AC164"/>
  <c r="AA164"/>
  <c r="Y164"/>
  <c r="W164"/>
  <c r="U164"/>
  <c r="S164"/>
  <c r="Q164"/>
  <c r="O164"/>
  <c r="M164"/>
  <c r="K164"/>
  <c r="AI164" s="1"/>
  <c r="AJ163"/>
  <c r="AL163" s="1"/>
  <c r="AP163" s="1"/>
  <c r="AL162"/>
  <c r="AP162" s="1"/>
  <c r="AJ162"/>
  <c r="AJ161"/>
  <c r="AL161" s="1"/>
  <c r="AP161" s="1"/>
  <c r="AL160"/>
  <c r="AP160" s="1"/>
  <c r="AJ160"/>
  <c r="AJ159"/>
  <c r="AL159" s="1"/>
  <c r="AP158"/>
  <c r="AJ158"/>
  <c r="AI158"/>
  <c r="AK158" s="1"/>
  <c r="AP157"/>
  <c r="AJ157"/>
  <c r="AI157"/>
  <c r="AK157" s="1"/>
  <c r="AP156"/>
  <c r="AJ156"/>
  <c r="AI156"/>
  <c r="AK156" s="1"/>
  <c r="AO151"/>
  <c r="AG146"/>
  <c r="AH138"/>
  <c r="AO128"/>
  <c r="AG128"/>
  <c r="AE128"/>
  <c r="AC128"/>
  <c r="AA128"/>
  <c r="Y128"/>
  <c r="W128"/>
  <c r="U128"/>
  <c r="S128"/>
  <c r="Q128"/>
  <c r="O128"/>
  <c r="M128"/>
  <c r="K128"/>
  <c r="AJ127"/>
  <c r="AL127" s="1"/>
  <c r="AJ126"/>
  <c r="AL126" s="1"/>
  <c r="AJ125"/>
  <c r="AL125" s="1"/>
  <c r="AJ124"/>
  <c r="AL124" s="1"/>
  <c r="AJ123"/>
  <c r="AL123" s="1"/>
  <c r="AJ122"/>
  <c r="AI122"/>
  <c r="AK122" s="1"/>
  <c r="AJ121"/>
  <c r="AI121"/>
  <c r="AK121" s="1"/>
  <c r="AJ120"/>
  <c r="AI128" s="1"/>
  <c r="AI120"/>
  <c r="AK120" s="1"/>
  <c r="AO115"/>
  <c r="AG110"/>
  <c r="AH102"/>
  <c r="AO92"/>
  <c r="AG92"/>
  <c r="AE92"/>
  <c r="AC92"/>
  <c r="AA92"/>
  <c r="Y92"/>
  <c r="W92"/>
  <c r="U92"/>
  <c r="S92"/>
  <c r="Q92"/>
  <c r="O92"/>
  <c r="M92"/>
  <c r="K92"/>
  <c r="AI92" s="1"/>
  <c r="AL91"/>
  <c r="AJ91"/>
  <c r="AJ90"/>
  <c r="AL90" s="1"/>
  <c r="AJ89"/>
  <c r="AL89" s="1"/>
  <c r="AJ88"/>
  <c r="AL88" s="1"/>
  <c r="AJ87"/>
  <c r="AL87" s="1"/>
  <c r="AJ86"/>
  <c r="AI86"/>
  <c r="AK86" s="1"/>
  <c r="AJ85"/>
  <c r="AI85"/>
  <c r="AK85" s="1"/>
  <c r="AJ84"/>
  <c r="AI84"/>
  <c r="AK84" s="1"/>
  <c r="AO79"/>
  <c r="AG74"/>
  <c r="AH68"/>
  <c r="AO57"/>
  <c r="AP57" s="1"/>
  <c r="AG57"/>
  <c r="AE57"/>
  <c r="AC57"/>
  <c r="AA57"/>
  <c r="Y57"/>
  <c r="W57"/>
  <c r="U57"/>
  <c r="S57"/>
  <c r="Q57"/>
  <c r="O57"/>
  <c r="M57"/>
  <c r="K57"/>
  <c r="AI57" s="1"/>
  <c r="AJ56"/>
  <c r="AL56" s="1"/>
  <c r="AP56" s="1"/>
  <c r="AL55"/>
  <c r="AP55" s="1"/>
  <c r="AJ55"/>
  <c r="AJ54"/>
  <c r="AL54" s="1"/>
  <c r="AP54" s="1"/>
  <c r="AL53"/>
  <c r="AP53" s="1"/>
  <c r="AJ53"/>
  <c r="AJ52"/>
  <c r="AL52" s="1"/>
  <c r="AP52" s="1"/>
  <c r="AP51"/>
  <c r="AJ51"/>
  <c r="AI51"/>
  <c r="AK51" s="1"/>
  <c r="AP50"/>
  <c r="AJ50"/>
  <c r="AI50"/>
  <c r="AK50" s="1"/>
  <c r="AP49"/>
  <c r="AJ49"/>
  <c r="AI49"/>
  <c r="AK49" s="1"/>
  <c r="AO44"/>
  <c r="AG39"/>
  <c r="AH33"/>
  <c r="AO21"/>
  <c r="AG21"/>
  <c r="AE21"/>
  <c r="AC21"/>
  <c r="AA21"/>
  <c r="Y21"/>
  <c r="W21"/>
  <c r="U21"/>
  <c r="S21"/>
  <c r="Q21"/>
  <c r="O21"/>
  <c r="M21"/>
  <c r="K21"/>
  <c r="AI21" s="1"/>
  <c r="AJ20"/>
  <c r="AL20" s="1"/>
  <c r="AJ19"/>
  <c r="AL19" s="1"/>
  <c r="AJ18"/>
  <c r="AL18" s="1"/>
  <c r="AJ17"/>
  <c r="AL17" s="1"/>
  <c r="AJ16"/>
  <c r="AL16" s="1"/>
  <c r="AK21" s="1"/>
  <c r="AJ15"/>
  <c r="AI15"/>
  <c r="AK15" s="1"/>
  <c r="AJ14"/>
  <c r="AI14"/>
  <c r="AK14" s="1"/>
  <c r="AJ13"/>
  <c r="AI13"/>
  <c r="AK13" s="1"/>
  <c r="AO8"/>
  <c r="AJ37" i="58" l="1"/>
  <c r="AJ33"/>
  <c r="AJ29"/>
  <c r="AC28"/>
  <c r="AJ22"/>
  <c r="AJ20"/>
  <c r="AC20"/>
  <c r="AJ18"/>
  <c r="AC18"/>
  <c r="AJ16"/>
  <c r="AJ14"/>
  <c r="AJ12"/>
  <c r="AQ32"/>
  <c r="AJ32"/>
  <c r="AC37"/>
  <c r="AC35"/>
  <c r="AC34"/>
  <c r="AC32"/>
  <c r="AQ30"/>
  <c r="AJ30"/>
  <c r="AC36"/>
  <c r="AJ35"/>
  <c r="AJ31"/>
  <c r="AC30"/>
  <c r="AQ36"/>
  <c r="AJ36"/>
  <c r="AQ34"/>
  <c r="AJ34"/>
  <c r="B39"/>
  <c r="AR38"/>
  <c r="AP38"/>
  <c r="AK38"/>
  <c r="AI38"/>
  <c r="AD38"/>
  <c r="AB38"/>
  <c r="AO38"/>
  <c r="AH38"/>
  <c r="AF38" a="1"/>
  <c r="AF38" s="1"/>
  <c r="AA38"/>
  <c r="V38" a="1"/>
  <c r="V38" s="1"/>
  <c r="AG38" a="1"/>
  <c r="AG38" s="1"/>
  <c r="W38" a="1"/>
  <c r="W38" s="1"/>
  <c r="AJ10"/>
  <c r="AC10"/>
  <c r="AQ10"/>
  <c r="AK164" i="57"/>
  <c r="AP159"/>
  <c r="AK92"/>
  <c r="AK128"/>
  <c r="AK267"/>
  <c r="AK335"/>
  <c r="AO39" i="58" l="1"/>
  <c r="B40"/>
  <c r="AR39"/>
  <c r="AP39"/>
  <c r="AK39"/>
  <c r="AI39"/>
  <c r="AD39"/>
  <c r="AB39"/>
  <c r="AH39"/>
  <c r="AF39" a="1"/>
  <c r="AF39" s="1"/>
  <c r="AA39"/>
  <c r="V39" a="1"/>
  <c r="V39" s="1"/>
  <c r="AG39" a="1"/>
  <c r="AG39" s="1"/>
  <c r="W39" a="1"/>
  <c r="W39" s="1"/>
  <c r="AQ38"/>
  <c r="AC38"/>
  <c r="AJ38"/>
  <c r="B37" i="36"/>
  <c r="B38"/>
  <c r="B39"/>
  <c r="B40"/>
  <c r="E37"/>
  <c r="E38"/>
  <c r="E39"/>
  <c r="E40"/>
  <c r="G37"/>
  <c r="G38"/>
  <c r="G39"/>
  <c r="G40"/>
  <c r="Y37"/>
  <c r="Y38"/>
  <c r="Y39"/>
  <c r="Y40"/>
  <c r="B27"/>
  <c r="B28"/>
  <c r="B29"/>
  <c r="B30"/>
  <c r="B31"/>
  <c r="B32"/>
  <c r="B33"/>
  <c r="B34"/>
  <c r="B35"/>
  <c r="B36"/>
  <c r="E27"/>
  <c r="E28"/>
  <c r="E29"/>
  <c r="E30"/>
  <c r="E31"/>
  <c r="E32"/>
  <c r="E33" s="1"/>
  <c r="E34" s="1"/>
  <c r="E35"/>
  <c r="E36"/>
  <c r="G27"/>
  <c r="G28"/>
  <c r="G29"/>
  <c r="G30"/>
  <c r="G31"/>
  <c r="G32"/>
  <c r="G33"/>
  <c r="G34"/>
  <c r="G35"/>
  <c r="G36"/>
  <c r="Y27"/>
  <c r="Y28"/>
  <c r="Y29"/>
  <c r="Y30"/>
  <c r="Y31"/>
  <c r="Y32"/>
  <c r="Y33"/>
  <c r="Y34"/>
  <c r="Y35"/>
  <c r="Y36"/>
  <c r="B21"/>
  <c r="B22"/>
  <c r="B23"/>
  <c r="B24"/>
  <c r="B25"/>
  <c r="B26"/>
  <c r="E21"/>
  <c r="E22"/>
  <c r="E23"/>
  <c r="E24"/>
  <c r="E25"/>
  <c r="E26"/>
  <c r="G21"/>
  <c r="G22"/>
  <c r="G23"/>
  <c r="G24"/>
  <c r="G25"/>
  <c r="G26"/>
  <c r="Y21"/>
  <c r="Y22"/>
  <c r="Y23"/>
  <c r="Y24"/>
  <c r="Y25"/>
  <c r="Y26"/>
  <c r="B11"/>
  <c r="B12"/>
  <c r="B13"/>
  <c r="B14"/>
  <c r="B15"/>
  <c r="B16"/>
  <c r="B17"/>
  <c r="B18"/>
  <c r="B19"/>
  <c r="B20"/>
  <c r="E11"/>
  <c r="E12"/>
  <c r="E13"/>
  <c r="E14"/>
  <c r="E15" s="1"/>
  <c r="E16"/>
  <c r="E17"/>
  <c r="E18"/>
  <c r="E19" s="1"/>
  <c r="E20"/>
  <c r="G11"/>
  <c r="G12"/>
  <c r="G13"/>
  <c r="G14"/>
  <c r="G15"/>
  <c r="G16"/>
  <c r="G17"/>
  <c r="G18"/>
  <c r="G19"/>
  <c r="G20"/>
  <c r="Y11"/>
  <c r="Y12"/>
  <c r="Y13"/>
  <c r="Y14"/>
  <c r="Y15"/>
  <c r="Y16"/>
  <c r="Y17"/>
  <c r="Y18"/>
  <c r="Y19"/>
  <c r="Y20"/>
  <c r="B4"/>
  <c r="B5"/>
  <c r="B6"/>
  <c r="B7"/>
  <c r="B8"/>
  <c r="B9"/>
  <c r="B10"/>
  <c r="E4"/>
  <c r="E5"/>
  <c r="E6" s="1"/>
  <c r="E7"/>
  <c r="E8"/>
  <c r="E9"/>
  <c r="E10"/>
  <c r="G4"/>
  <c r="G5"/>
  <c r="G6"/>
  <c r="G7"/>
  <c r="G8"/>
  <c r="G9"/>
  <c r="G10"/>
  <c r="Y4"/>
  <c r="Y5"/>
  <c r="Y6"/>
  <c r="Y7"/>
  <c r="Y8"/>
  <c r="Y9"/>
  <c r="Y10"/>
  <c r="AC39" i="58" l="1"/>
  <c r="AJ39"/>
  <c r="AQ39"/>
  <c r="AO40"/>
  <c r="AO42" s="1"/>
  <c r="AH40"/>
  <c r="AH42" s="1"/>
  <c r="AG40" a="1"/>
  <c r="AG40" s="1"/>
  <c r="AF40" a="1"/>
  <c r="AF40" s="1"/>
  <c r="AA40"/>
  <c r="AA42" s="1"/>
  <c r="W40" a="1"/>
  <c r="W40" s="1"/>
  <c r="V40" a="1"/>
  <c r="V40" s="1"/>
  <c r="AR40"/>
  <c r="AP40"/>
  <c r="AK40"/>
  <c r="AI40"/>
  <c r="AD40"/>
  <c r="AB40"/>
  <c r="B43" i="48"/>
  <c r="B50"/>
  <c r="B51" s="1"/>
  <c r="C49"/>
  <c r="AC40" i="58" l="1"/>
  <c r="AJ40"/>
  <c r="AQ40"/>
  <c r="AR42"/>
  <c r="AQ42" s="1"/>
  <c r="AK42"/>
  <c r="AJ42" s="1"/>
  <c r="AD42"/>
  <c r="AC42" s="1"/>
  <c r="D49" i="48"/>
  <c r="B52"/>
  <c r="C50" l="1"/>
  <c r="B53"/>
  <c r="D50" l="1"/>
  <c r="C51" s="1"/>
  <c r="D51" l="1"/>
  <c r="C52" s="1"/>
  <c r="AD51"/>
  <c r="Z51"/>
  <c r="W51"/>
  <c r="T51"/>
  <c r="Q51"/>
  <c r="O51"/>
  <c r="J51"/>
  <c r="G51"/>
  <c r="E51"/>
  <c r="AE51"/>
  <c r="U51"/>
  <c r="V51" s="1"/>
  <c r="P51"/>
  <c r="L51"/>
  <c r="K51" s="1"/>
  <c r="M51" s="1"/>
  <c r="F51"/>
  <c r="AC51"/>
  <c r="X51"/>
  <c r="S51"/>
  <c r="I51"/>
  <c r="AB51" l="1"/>
  <c r="D52"/>
  <c r="C53" s="1"/>
  <c r="G52"/>
  <c r="L52"/>
  <c r="H51"/>
  <c r="N51"/>
  <c r="Y51"/>
  <c r="AA51" s="1"/>
  <c r="X52" l="1"/>
  <c r="T52"/>
  <c r="F52"/>
  <c r="S52"/>
  <c r="AE52"/>
  <c r="O52"/>
  <c r="Z52"/>
  <c r="Y52" s="1"/>
  <c r="AA52" s="1"/>
  <c r="I52"/>
  <c r="H52" s="1"/>
  <c r="P52"/>
  <c r="U52"/>
  <c r="AC52"/>
  <c r="AB52" s="1"/>
  <c r="E52"/>
  <c r="J52"/>
  <c r="Q52"/>
  <c r="W52"/>
  <c r="AD52"/>
  <c r="K52"/>
  <c r="M52" s="1"/>
  <c r="D53"/>
  <c r="AE53" s="1"/>
  <c r="N52" l="1"/>
  <c r="F53"/>
  <c r="T53"/>
  <c r="O53"/>
  <c r="Z53"/>
  <c r="V52"/>
  <c r="P53"/>
  <c r="J53"/>
  <c r="Q53"/>
  <c r="W53"/>
  <c r="AD53"/>
  <c r="E53"/>
  <c r="AC53"/>
  <c r="N53"/>
  <c r="AD50"/>
  <c r="W50"/>
  <c r="Q50"/>
  <c r="I50"/>
  <c r="AC50"/>
  <c r="P50"/>
  <c r="E50"/>
  <c r="X50"/>
  <c r="L50"/>
  <c r="Z50"/>
  <c r="Y50" s="1"/>
  <c r="AA50" s="1"/>
  <c r="T50"/>
  <c r="O50"/>
  <c r="F50"/>
  <c r="U50"/>
  <c r="V50" s="1"/>
  <c r="J50"/>
  <c r="AE50"/>
  <c r="S50"/>
  <c r="G50"/>
  <c r="I53"/>
  <c r="U53"/>
  <c r="V53" s="1"/>
  <c r="G53"/>
  <c r="H53" s="1"/>
  <c r="L53"/>
  <c r="K53" s="1"/>
  <c r="M53" s="1"/>
  <c r="S53"/>
  <c r="X53"/>
  <c r="Y53" l="1"/>
  <c r="AA53" s="1"/>
  <c r="K50"/>
  <c r="M50" s="1"/>
  <c r="AB50"/>
  <c r="N50"/>
  <c r="H50"/>
  <c r="AB53"/>
  <c r="B3" i="52" l="1"/>
  <c r="AA8" i="45" l="1"/>
  <c r="AA9" s="1"/>
  <c r="AA10" l="1"/>
  <c r="AA11" l="1"/>
  <c r="AA12" l="1"/>
  <c r="AA13" l="1"/>
  <c r="AA14" l="1"/>
  <c r="AA15" l="1"/>
  <c r="AA16" l="1"/>
  <c r="AA17" l="1"/>
  <c r="AA18" l="1"/>
  <c r="AA19" l="1"/>
  <c r="AA20" l="1"/>
  <c r="AA21" l="1"/>
  <c r="AA22" s="1"/>
  <c r="AA23" s="1"/>
  <c r="AA24" s="1"/>
  <c r="AA25" s="1"/>
  <c r="AA26" s="1"/>
  <c r="AA27" s="1"/>
  <c r="AA28" s="1"/>
  <c r="AA29" s="1"/>
  <c r="AA30" s="1"/>
  <c r="AA31" s="1"/>
  <c r="AA32" s="1"/>
  <c r="AA33" s="1"/>
  <c r="AA34" s="1"/>
  <c r="AA35" l="1"/>
  <c r="C5" i="51"/>
  <c r="D5"/>
  <c r="E5"/>
  <c r="AA36" i="45" l="1"/>
  <c r="AA37" l="1"/>
  <c r="AA38" l="1"/>
  <c r="AA39" l="1"/>
  <c r="AA40" l="1"/>
  <c r="AA41" s="1"/>
  <c r="AA42" s="1"/>
  <c r="AA43" s="1"/>
  <c r="AA44" s="1"/>
  <c r="AA45" s="1"/>
  <c r="AA46" s="1"/>
  <c r="AA47" s="1"/>
  <c r="AA48" s="1"/>
  <c r="AA49" s="1"/>
  <c r="AA50" s="1"/>
  <c r="AA51" s="1"/>
  <c r="AA52" s="1"/>
  <c r="AA53" s="1"/>
  <c r="AA54" s="1"/>
  <c r="AA55" s="1"/>
  <c r="AA56" s="1"/>
  <c r="G3" i="36" l="1"/>
  <c r="G49" i="48" l="1"/>
  <c r="G55" s="1"/>
  <c r="J49"/>
  <c r="J55" s="1"/>
  <c r="F49"/>
  <c r="F55" s="1"/>
  <c r="I49"/>
  <c r="L49"/>
  <c r="O49"/>
  <c r="Q49"/>
  <c r="Q55" s="1"/>
  <c r="S49"/>
  <c r="S55" s="1"/>
  <c r="P49"/>
  <c r="P55" s="1"/>
  <c r="T49"/>
  <c r="T55" s="1"/>
  <c r="W49"/>
  <c r="X49"/>
  <c r="X55" s="1"/>
  <c r="U49"/>
  <c r="U55" s="1"/>
  <c r="AE49"/>
  <c r="AE55" s="1"/>
  <c r="Z49"/>
  <c r="AD49"/>
  <c r="AD55" s="1"/>
  <c r="E49"/>
  <c r="E55" s="1"/>
  <c r="AC49"/>
  <c r="A5" i="51"/>
  <c r="Y49" i="48" l="1"/>
  <c r="AA49" s="1"/>
  <c r="Z55"/>
  <c r="Y55" s="1"/>
  <c r="V49"/>
  <c r="W55"/>
  <c r="V55" s="1"/>
  <c r="K49"/>
  <c r="M49" s="1"/>
  <c r="L55"/>
  <c r="K55" s="1"/>
  <c r="AB49"/>
  <c r="AC55"/>
  <c r="AB55" s="1"/>
  <c r="N49"/>
  <c r="O55"/>
  <c r="N55" s="1"/>
  <c r="H49"/>
  <c r="I55"/>
  <c r="H55" s="1"/>
  <c r="D2" i="44"/>
  <c r="B10" i="49" l="1"/>
  <c r="B11" s="1"/>
  <c r="Y3" i="36"/>
  <c r="B12" i="49" l="1"/>
  <c r="B13" l="1"/>
  <c r="B14" l="1"/>
  <c r="B15" l="1"/>
  <c r="B16" l="1"/>
  <c r="B17" l="1"/>
  <c r="B18" l="1"/>
  <c r="B19" s="1"/>
  <c r="B20" l="1"/>
  <c r="B21" l="1"/>
  <c r="B22" l="1"/>
  <c r="B23" l="1"/>
  <c r="B24" l="1"/>
  <c r="B25" l="1"/>
  <c r="B26" l="1"/>
  <c r="C9" i="48"/>
  <c r="B27" i="49" l="1"/>
  <c r="AN9" i="48"/>
  <c r="BW9"/>
  <c r="CB9"/>
  <c r="BZ9"/>
  <c r="CA9"/>
  <c r="AK9"/>
  <c r="BM9"/>
  <c r="BO9"/>
  <c r="BQ9"/>
  <c r="BS9"/>
  <c r="BU9"/>
  <c r="AR9"/>
  <c r="BL9"/>
  <c r="BN9"/>
  <c r="BP9"/>
  <c r="BR9"/>
  <c r="BT9"/>
  <c r="AG9"/>
  <c r="BJ9"/>
  <c r="BH9"/>
  <c r="BC9"/>
  <c r="BA9"/>
  <c r="AY9"/>
  <c r="AW9"/>
  <c r="AU9"/>
  <c r="BI9"/>
  <c r="BE9"/>
  <c r="BD9" s="1"/>
  <c r="BF9" s="1"/>
  <c r="BB9"/>
  <c r="AZ9"/>
  <c r="AX9"/>
  <c r="AV9"/>
  <c r="AH9"/>
  <c r="AI9"/>
  <c r="AL9"/>
  <c r="AQ9"/>
  <c r="AS9"/>
  <c r="AM9" l="1"/>
  <c r="AO9" s="1"/>
  <c r="BY9"/>
  <c r="BG9"/>
  <c r="AP9"/>
  <c r="AJ9"/>
  <c r="B28" i="49"/>
  <c r="BV9" i="48"/>
  <c r="BX9" s="1"/>
  <c r="B29" i="49" l="1"/>
  <c r="B10" i="48"/>
  <c r="C10" s="1"/>
  <c r="B83" i="50"/>
  <c r="O83" s="1"/>
  <c r="B82"/>
  <c r="O82" s="1"/>
  <c r="B81"/>
  <c r="O81" s="1"/>
  <c r="B80"/>
  <c r="N80" s="1"/>
  <c r="B79"/>
  <c r="N79" s="1"/>
  <c r="B78"/>
  <c r="N78" s="1"/>
  <c r="B77"/>
  <c r="N77" s="1"/>
  <c r="B76"/>
  <c r="N76" s="1"/>
  <c r="B75"/>
  <c r="N75" s="1"/>
  <c r="B74"/>
  <c r="N74" s="1"/>
  <c r="B73"/>
  <c r="N73" s="1"/>
  <c r="B72"/>
  <c r="N72" s="1"/>
  <c r="B62"/>
  <c r="O62" s="1"/>
  <c r="B61"/>
  <c r="N61" s="1"/>
  <c r="B60"/>
  <c r="N60" s="1"/>
  <c r="B59"/>
  <c r="N59" s="1"/>
  <c r="B58"/>
  <c r="O58" s="1"/>
  <c r="B57"/>
  <c r="N57" s="1"/>
  <c r="B56"/>
  <c r="O56" s="1"/>
  <c r="B55"/>
  <c r="N55" s="1"/>
  <c r="B54"/>
  <c r="O54" s="1"/>
  <c r="B53"/>
  <c r="N53" s="1"/>
  <c r="B52"/>
  <c r="O52" s="1"/>
  <c r="B51"/>
  <c r="N51" s="1"/>
  <c r="B41"/>
  <c r="B40"/>
  <c r="B39"/>
  <c r="B38"/>
  <c r="B37"/>
  <c r="B36"/>
  <c r="B35"/>
  <c r="B34"/>
  <c r="B33"/>
  <c r="B32"/>
  <c r="B31"/>
  <c r="B30"/>
  <c r="B20"/>
  <c r="B19"/>
  <c r="B18"/>
  <c r="Q18" s="1"/>
  <c r="B17"/>
  <c r="Q17" s="1"/>
  <c r="B16"/>
  <c r="Q16" s="1"/>
  <c r="B15"/>
  <c r="Q15" s="1"/>
  <c r="B14"/>
  <c r="Q14" s="1"/>
  <c r="B13"/>
  <c r="Q13" s="1"/>
  <c r="B12"/>
  <c r="Q12" s="1"/>
  <c r="B11"/>
  <c r="Q11" s="1"/>
  <c r="B10"/>
  <c r="Q10" s="1"/>
  <c r="B9"/>
  <c r="Q9" s="1"/>
  <c r="CM42" i="49"/>
  <c r="CL42"/>
  <c r="CK42"/>
  <c r="CJ42"/>
  <c r="CI42"/>
  <c r="CG42"/>
  <c r="CF42"/>
  <c r="CE42"/>
  <c r="CD42" s="1"/>
  <c r="CC42"/>
  <c r="CB42"/>
  <c r="CA42"/>
  <c r="BZ42"/>
  <c r="BY42"/>
  <c r="BX42"/>
  <c r="BW42"/>
  <c r="BV42"/>
  <c r="BU42"/>
  <c r="BT42"/>
  <c r="BR42"/>
  <c r="BQ42"/>
  <c r="BP42"/>
  <c r="BO42"/>
  <c r="BN42"/>
  <c r="BM42"/>
  <c r="BL42"/>
  <c r="BK42"/>
  <c r="BJ42"/>
  <c r="BG42"/>
  <c r="GL41" i="48"/>
  <c r="GK41"/>
  <c r="GJ41"/>
  <c r="GI41"/>
  <c r="GH41"/>
  <c r="GG41"/>
  <c r="GF41"/>
  <c r="GE41"/>
  <c r="GC41"/>
  <c r="GB41"/>
  <c r="GA41"/>
  <c r="FZ41"/>
  <c r="FY41"/>
  <c r="FX41"/>
  <c r="FW41"/>
  <c r="FV41"/>
  <c r="FU41"/>
  <c r="FT41"/>
  <c r="FS41"/>
  <c r="FR41"/>
  <c r="FQ41"/>
  <c r="FP41"/>
  <c r="FO41"/>
  <c r="FN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DZ41"/>
  <c r="DY41"/>
  <c r="DX41"/>
  <c r="DW41"/>
  <c r="DV41"/>
  <c r="DU41"/>
  <c r="DT41"/>
  <c r="DS41"/>
  <c r="DQ41"/>
  <c r="DP41"/>
  <c r="DO41"/>
  <c r="DN41"/>
  <c r="DL41"/>
  <c r="DK41"/>
  <c r="DJ41"/>
  <c r="DI41"/>
  <c r="DH41"/>
  <c r="DG41"/>
  <c r="DD41"/>
  <c r="DC41"/>
  <c r="DB41"/>
  <c r="CY41"/>
  <c r="CW41"/>
  <c r="DA41" s="1"/>
  <c r="CV41"/>
  <c r="CT41"/>
  <c r="CS41"/>
  <c r="CR41"/>
  <c r="CP41"/>
  <c r="CO41"/>
  <c r="CN41"/>
  <c r="CL41"/>
  <c r="CK41"/>
  <c r="CJ41"/>
  <c r="CI41" s="1"/>
  <c r="CH41"/>
  <c r="CG41"/>
  <c r="CF41"/>
  <c r="CE41"/>
  <c r="CD41"/>
  <c r="GD17"/>
  <c r="GD16"/>
  <c r="CB10" l="1"/>
  <c r="BZ10"/>
  <c r="BT10"/>
  <c r="BR10"/>
  <c r="BP10"/>
  <c r="BN10"/>
  <c r="BL10"/>
  <c r="CA10"/>
  <c r="BU10"/>
  <c r="BQ10"/>
  <c r="BM10"/>
  <c r="BJ10"/>
  <c r="BH10"/>
  <c r="BC10"/>
  <c r="BA10"/>
  <c r="AY10"/>
  <c r="AW10"/>
  <c r="AU10"/>
  <c r="BW10"/>
  <c r="BV10" s="1"/>
  <c r="BX10" s="1"/>
  <c r="BS10"/>
  <c r="BO10"/>
  <c r="BI10"/>
  <c r="BE10"/>
  <c r="BB10"/>
  <c r="AZ10"/>
  <c r="AX10"/>
  <c r="AV10"/>
  <c r="AS10"/>
  <c r="AQ10"/>
  <c r="AK10"/>
  <c r="AH10"/>
  <c r="AN10"/>
  <c r="AI10"/>
  <c r="AR10"/>
  <c r="AL10"/>
  <c r="AG10"/>
  <c r="B30" i="49"/>
  <c r="CH42"/>
  <c r="C60" i="50"/>
  <c r="O60"/>
  <c r="N62"/>
  <c r="H60"/>
  <c r="G62"/>
  <c r="E60"/>
  <c r="M60"/>
  <c r="D62"/>
  <c r="J62"/>
  <c r="K15"/>
  <c r="D72"/>
  <c r="G72"/>
  <c r="M72"/>
  <c r="O72"/>
  <c r="D73"/>
  <c r="H73"/>
  <c r="M73"/>
  <c r="O73"/>
  <c r="D74"/>
  <c r="G74"/>
  <c r="M74"/>
  <c r="O74"/>
  <c r="D75"/>
  <c r="H75"/>
  <c r="M75"/>
  <c r="O75"/>
  <c r="D76"/>
  <c r="G76"/>
  <c r="M76"/>
  <c r="O76"/>
  <c r="D77"/>
  <c r="H77"/>
  <c r="M77"/>
  <c r="O77"/>
  <c r="D78"/>
  <c r="G78"/>
  <c r="M78"/>
  <c r="O78"/>
  <c r="D79"/>
  <c r="H79"/>
  <c r="M79"/>
  <c r="O79"/>
  <c r="D80"/>
  <c r="G80"/>
  <c r="M80"/>
  <c r="O80"/>
  <c r="C72"/>
  <c r="E72"/>
  <c r="H72"/>
  <c r="J72"/>
  <c r="C73"/>
  <c r="E73"/>
  <c r="G73"/>
  <c r="J73"/>
  <c r="C74"/>
  <c r="E74"/>
  <c r="H74"/>
  <c r="J74"/>
  <c r="C75"/>
  <c r="E75"/>
  <c r="G75"/>
  <c r="J75"/>
  <c r="C76"/>
  <c r="E76"/>
  <c r="H76"/>
  <c r="J76"/>
  <c r="C77"/>
  <c r="E77"/>
  <c r="G77"/>
  <c r="J77"/>
  <c r="C78"/>
  <c r="E78"/>
  <c r="H78"/>
  <c r="J78"/>
  <c r="C79"/>
  <c r="E79"/>
  <c r="G79"/>
  <c r="J79"/>
  <c r="C80"/>
  <c r="E80"/>
  <c r="H80"/>
  <c r="J80"/>
  <c r="DM41" i="48"/>
  <c r="CM41"/>
  <c r="CX41"/>
  <c r="GD41"/>
  <c r="CU41"/>
  <c r="B11"/>
  <c r="D61" i="50"/>
  <c r="H61"/>
  <c r="M61"/>
  <c r="O61"/>
  <c r="D59"/>
  <c r="H59"/>
  <c r="M59"/>
  <c r="O59"/>
  <c r="D60"/>
  <c r="G60"/>
  <c r="J60"/>
  <c r="C61"/>
  <c r="E61"/>
  <c r="G61"/>
  <c r="J61"/>
  <c r="C62"/>
  <c r="E62"/>
  <c r="F62" s="1"/>
  <c r="H62"/>
  <c r="M62"/>
  <c r="C81"/>
  <c r="E81"/>
  <c r="H81"/>
  <c r="J81"/>
  <c r="N81"/>
  <c r="C82"/>
  <c r="E82"/>
  <c r="G82"/>
  <c r="J82"/>
  <c r="N82"/>
  <c r="C83"/>
  <c r="E83"/>
  <c r="H83"/>
  <c r="J83"/>
  <c r="N83"/>
  <c r="C51"/>
  <c r="E51"/>
  <c r="H51"/>
  <c r="M51"/>
  <c r="O51"/>
  <c r="D52"/>
  <c r="G52"/>
  <c r="J52"/>
  <c r="N52"/>
  <c r="C53"/>
  <c r="E53"/>
  <c r="H53"/>
  <c r="M53"/>
  <c r="O53"/>
  <c r="D54"/>
  <c r="G54"/>
  <c r="J54"/>
  <c r="N54"/>
  <c r="C55"/>
  <c r="E55"/>
  <c r="H55"/>
  <c r="M55"/>
  <c r="O55"/>
  <c r="D56"/>
  <c r="G56"/>
  <c r="J56"/>
  <c r="N56"/>
  <c r="C57"/>
  <c r="E57"/>
  <c r="H57"/>
  <c r="M57"/>
  <c r="O57"/>
  <c r="D58"/>
  <c r="G58"/>
  <c r="J58"/>
  <c r="N58"/>
  <c r="D9"/>
  <c r="F9"/>
  <c r="I9"/>
  <c r="K9"/>
  <c r="P9"/>
  <c r="R9"/>
  <c r="D10"/>
  <c r="F10"/>
  <c r="I10"/>
  <c r="K10"/>
  <c r="P10"/>
  <c r="R10"/>
  <c r="D11"/>
  <c r="F11"/>
  <c r="I11"/>
  <c r="K11"/>
  <c r="P11"/>
  <c r="R11"/>
  <c r="D12"/>
  <c r="F12"/>
  <c r="I12"/>
  <c r="K12"/>
  <c r="P12"/>
  <c r="R12"/>
  <c r="D13"/>
  <c r="F13"/>
  <c r="I13"/>
  <c r="K13"/>
  <c r="P13"/>
  <c r="R13"/>
  <c r="D14"/>
  <c r="F14"/>
  <c r="I14"/>
  <c r="K14"/>
  <c r="P14"/>
  <c r="R14"/>
  <c r="D15"/>
  <c r="F15"/>
  <c r="I15"/>
  <c r="H15" s="1"/>
  <c r="P15"/>
  <c r="R15"/>
  <c r="D16"/>
  <c r="F16"/>
  <c r="I16"/>
  <c r="K16"/>
  <c r="P16"/>
  <c r="R16"/>
  <c r="D17"/>
  <c r="F17"/>
  <c r="I17"/>
  <c r="K17"/>
  <c r="P17"/>
  <c r="R17"/>
  <c r="D18"/>
  <c r="F18"/>
  <c r="I18"/>
  <c r="K18"/>
  <c r="P18"/>
  <c r="R18"/>
  <c r="C59"/>
  <c r="E59"/>
  <c r="G59"/>
  <c r="J59"/>
  <c r="D81"/>
  <c r="G81"/>
  <c r="M81"/>
  <c r="D82"/>
  <c r="H82"/>
  <c r="M82"/>
  <c r="D83"/>
  <c r="G83"/>
  <c r="M83"/>
  <c r="D51"/>
  <c r="G51"/>
  <c r="J51"/>
  <c r="I51" s="1"/>
  <c r="K51" s="1"/>
  <c r="C52"/>
  <c r="E52"/>
  <c r="H52"/>
  <c r="M52"/>
  <c r="D53"/>
  <c r="G53"/>
  <c r="J53"/>
  <c r="C54"/>
  <c r="E54"/>
  <c r="F54" s="1"/>
  <c r="H54"/>
  <c r="M54"/>
  <c r="D55"/>
  <c r="G55"/>
  <c r="J55"/>
  <c r="I55" s="1"/>
  <c r="K55" s="1"/>
  <c r="C56"/>
  <c r="E56"/>
  <c r="F56" s="1"/>
  <c r="H56"/>
  <c r="M56"/>
  <c r="D57"/>
  <c r="G57"/>
  <c r="J57"/>
  <c r="C58"/>
  <c r="E58"/>
  <c r="H58"/>
  <c r="I58" s="1"/>
  <c r="K58" s="1"/>
  <c r="M58"/>
  <c r="C9"/>
  <c r="E9"/>
  <c r="G9"/>
  <c r="J9"/>
  <c r="M9"/>
  <c r="L9" s="1"/>
  <c r="C10"/>
  <c r="E10"/>
  <c r="G10"/>
  <c r="J10"/>
  <c r="M10"/>
  <c r="L10" s="1"/>
  <c r="C11"/>
  <c r="E11"/>
  <c r="G11"/>
  <c r="J11"/>
  <c r="M11"/>
  <c r="L11" s="1"/>
  <c r="C12"/>
  <c r="E12"/>
  <c r="G12"/>
  <c r="J12"/>
  <c r="M12"/>
  <c r="L12" s="1"/>
  <c r="C13"/>
  <c r="E13"/>
  <c r="G13"/>
  <c r="J13"/>
  <c r="M13"/>
  <c r="C14"/>
  <c r="E14"/>
  <c r="G14"/>
  <c r="J14"/>
  <c r="M14"/>
  <c r="L14" s="1"/>
  <c r="N14" s="1"/>
  <c r="O14" s="1"/>
  <c r="C15"/>
  <c r="E15"/>
  <c r="G15"/>
  <c r="J15"/>
  <c r="M15"/>
  <c r="L15" s="1"/>
  <c r="N15" s="1"/>
  <c r="O15" s="1"/>
  <c r="C16"/>
  <c r="E16"/>
  <c r="G16"/>
  <c r="J16"/>
  <c r="M16"/>
  <c r="L16" s="1"/>
  <c r="N16" s="1"/>
  <c r="O16" s="1"/>
  <c r="C17"/>
  <c r="E17"/>
  <c r="G17"/>
  <c r="J17"/>
  <c r="M17"/>
  <c r="L17" s="1"/>
  <c r="N17" s="1"/>
  <c r="O17" s="1"/>
  <c r="C18"/>
  <c r="E18"/>
  <c r="G18"/>
  <c r="J18"/>
  <c r="M18"/>
  <c r="L18" s="1"/>
  <c r="N18" s="1"/>
  <c r="O18" s="1"/>
  <c r="N9"/>
  <c r="O9" s="1"/>
  <c r="N10"/>
  <c r="O10" s="1"/>
  <c r="N11"/>
  <c r="O11" s="1"/>
  <c r="N12"/>
  <c r="O12" s="1"/>
  <c r="U9"/>
  <c r="V9" s="1"/>
  <c r="U11"/>
  <c r="V11" s="1"/>
  <c r="U10"/>
  <c r="V10" s="1"/>
  <c r="U12"/>
  <c r="V12" s="1"/>
  <c r="FM41" i="48"/>
  <c r="L13" i="50" l="1"/>
  <c r="N13" s="1"/>
  <c r="O13" s="1"/>
  <c r="BG10" i="48"/>
  <c r="I59" i="50"/>
  <c r="K59" s="1"/>
  <c r="BD10" i="48"/>
  <c r="BF10" s="1"/>
  <c r="F83" i="50"/>
  <c r="L81"/>
  <c r="F81"/>
  <c r="I79"/>
  <c r="K79" s="1"/>
  <c r="I77"/>
  <c r="K77" s="1"/>
  <c r="I75"/>
  <c r="K75" s="1"/>
  <c r="I73"/>
  <c r="K73" s="1"/>
  <c r="I53"/>
  <c r="K53" s="1"/>
  <c r="I57"/>
  <c r="K57" s="1"/>
  <c r="F52"/>
  <c r="I60"/>
  <c r="K60" s="1"/>
  <c r="J85"/>
  <c r="C85"/>
  <c r="E85"/>
  <c r="O64"/>
  <c r="BY10" i="48"/>
  <c r="AJ10"/>
  <c r="AP10"/>
  <c r="AM10"/>
  <c r="AO10" s="1"/>
  <c r="I62" i="50"/>
  <c r="K62" s="1"/>
  <c r="L79"/>
  <c r="L77"/>
  <c r="L73"/>
  <c r="L75"/>
  <c r="G85"/>
  <c r="D85"/>
  <c r="C64"/>
  <c r="G64"/>
  <c r="L56"/>
  <c r="L52"/>
  <c r="L57"/>
  <c r="L53"/>
  <c r="L62"/>
  <c r="I61"/>
  <c r="K61" s="1"/>
  <c r="L59"/>
  <c r="N64"/>
  <c r="L61"/>
  <c r="L60"/>
  <c r="M85"/>
  <c r="L83"/>
  <c r="L82"/>
  <c r="L80"/>
  <c r="L78"/>
  <c r="L76"/>
  <c r="L74"/>
  <c r="L72"/>
  <c r="L58"/>
  <c r="L54"/>
  <c r="L55"/>
  <c r="L51"/>
  <c r="J64"/>
  <c r="D64"/>
  <c r="E64"/>
  <c r="M64"/>
  <c r="F60"/>
  <c r="B31" i="49"/>
  <c r="I80" i="50"/>
  <c r="K80" s="1"/>
  <c r="I78"/>
  <c r="K78" s="1"/>
  <c r="I76"/>
  <c r="K76" s="1"/>
  <c r="I74"/>
  <c r="K74" s="1"/>
  <c r="I72"/>
  <c r="K72" s="1"/>
  <c r="F80"/>
  <c r="F78"/>
  <c r="F76"/>
  <c r="F74"/>
  <c r="F72"/>
  <c r="F79"/>
  <c r="F77"/>
  <c r="F75"/>
  <c r="F73"/>
  <c r="B12" i="48"/>
  <c r="C11"/>
  <c r="F59" i="50"/>
  <c r="H64"/>
  <c r="H18"/>
  <c r="H17"/>
  <c r="H16"/>
  <c r="F61"/>
  <c r="H14"/>
  <c r="H13"/>
  <c r="H12"/>
  <c r="H11"/>
  <c r="H10"/>
  <c r="H9"/>
  <c r="F58"/>
  <c r="I56"/>
  <c r="K56" s="1"/>
  <c r="F55"/>
  <c r="I52"/>
  <c r="K52" s="1"/>
  <c r="F51"/>
  <c r="I82"/>
  <c r="F57"/>
  <c r="I54"/>
  <c r="K54" s="1"/>
  <c r="F53"/>
  <c r="I83"/>
  <c r="K83" s="1"/>
  <c r="F82"/>
  <c r="I81"/>
  <c r="N85"/>
  <c r="H85"/>
  <c r="I85" l="1"/>
  <c r="F64"/>
  <c r="CA11" i="48"/>
  <c r="BW11"/>
  <c r="BT11"/>
  <c r="BR11"/>
  <c r="CB11"/>
  <c r="BZ11"/>
  <c r="BU11"/>
  <c r="BS11"/>
  <c r="BQ11"/>
  <c r="BO11"/>
  <c r="BM11"/>
  <c r="BN11"/>
  <c r="BI11"/>
  <c r="BE11"/>
  <c r="BB11"/>
  <c r="AZ11"/>
  <c r="AX11"/>
  <c r="AV11"/>
  <c r="BP11"/>
  <c r="BL11"/>
  <c r="BJ11"/>
  <c r="BH11"/>
  <c r="BC11"/>
  <c r="BA11"/>
  <c r="AY11"/>
  <c r="AW11"/>
  <c r="AU11"/>
  <c r="AS11"/>
  <c r="AQ11"/>
  <c r="AL11"/>
  <c r="AH11"/>
  <c r="AR11"/>
  <c r="AK11"/>
  <c r="AG11"/>
  <c r="AN11"/>
  <c r="AI11"/>
  <c r="I64" i="50"/>
  <c r="B32" i="49"/>
  <c r="F85" i="50"/>
  <c r="B13" i="48"/>
  <c r="C12"/>
  <c r="L64" i="50"/>
  <c r="K81"/>
  <c r="K82"/>
  <c r="K64"/>
  <c r="U13"/>
  <c r="V13" s="1"/>
  <c r="O85"/>
  <c r="AM11" i="48" l="1"/>
  <c r="AO11" s="1"/>
  <c r="BV11"/>
  <c r="BX11" s="1"/>
  <c r="AP11"/>
  <c r="CB12"/>
  <c r="BZ12"/>
  <c r="BT12"/>
  <c r="BR12"/>
  <c r="BP12"/>
  <c r="BN12"/>
  <c r="BL12"/>
  <c r="CA12"/>
  <c r="BW12"/>
  <c r="BU12"/>
  <c r="BS12"/>
  <c r="BQ12"/>
  <c r="BO12"/>
  <c r="BM12"/>
  <c r="BJ12"/>
  <c r="BH12"/>
  <c r="BC12"/>
  <c r="BA12"/>
  <c r="AY12"/>
  <c r="AW12"/>
  <c r="AU12"/>
  <c r="BI12"/>
  <c r="BE12"/>
  <c r="BD12" s="1"/>
  <c r="BF12" s="1"/>
  <c r="BB12"/>
  <c r="AZ12"/>
  <c r="AX12"/>
  <c r="AV12"/>
  <c r="AS12"/>
  <c r="AQ12"/>
  <c r="AK12"/>
  <c r="AH12"/>
  <c r="AN12"/>
  <c r="AI12"/>
  <c r="AR12"/>
  <c r="AL12"/>
  <c r="AG12"/>
  <c r="AJ11"/>
  <c r="BG11"/>
  <c r="BY11"/>
  <c r="BD11"/>
  <c r="BF11" s="1"/>
  <c r="B33" i="49"/>
  <c r="B14" i="48"/>
  <c r="C13"/>
  <c r="L85" i="50"/>
  <c r="K85"/>
  <c r="AJ12" i="48" l="1"/>
  <c r="AP12"/>
  <c r="BG12"/>
  <c r="BV12"/>
  <c r="BX12" s="1"/>
  <c r="CB13"/>
  <c r="BZ13"/>
  <c r="BU13"/>
  <c r="BS13"/>
  <c r="BQ13"/>
  <c r="BO13"/>
  <c r="BM13"/>
  <c r="CA13"/>
  <c r="BW13"/>
  <c r="BV13" s="1"/>
  <c r="BX13" s="1"/>
  <c r="BT13"/>
  <c r="BR13"/>
  <c r="BP13"/>
  <c r="BN13"/>
  <c r="BL13"/>
  <c r="BI13"/>
  <c r="BE13"/>
  <c r="BB13"/>
  <c r="AZ13"/>
  <c r="AX13"/>
  <c r="AV13"/>
  <c r="BJ13"/>
  <c r="BH13"/>
  <c r="BC13"/>
  <c r="BA13"/>
  <c r="AY13"/>
  <c r="AW13"/>
  <c r="AU13"/>
  <c r="AS13"/>
  <c r="AQ13"/>
  <c r="AL13"/>
  <c r="AH13"/>
  <c r="AR13"/>
  <c r="AK13"/>
  <c r="AG13"/>
  <c r="AN13"/>
  <c r="AI13"/>
  <c r="AM12"/>
  <c r="AO12" s="1"/>
  <c r="BY12"/>
  <c r="B34" i="49"/>
  <c r="B15" i="48"/>
  <c r="C14"/>
  <c r="U16" i="50"/>
  <c r="V16" s="1"/>
  <c r="C57" i="4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56" i="45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AM13" i="48" l="1"/>
  <c r="AO13" s="1"/>
  <c r="AP13"/>
  <c r="AJ13"/>
  <c r="BG13"/>
  <c r="BY13"/>
  <c r="CA14"/>
  <c r="BW14"/>
  <c r="BU14"/>
  <c r="BS14"/>
  <c r="BQ14"/>
  <c r="BO14"/>
  <c r="BM14"/>
  <c r="CB14"/>
  <c r="BZ14"/>
  <c r="BY14" s="1"/>
  <c r="BT14"/>
  <c r="BR14"/>
  <c r="BP14"/>
  <c r="BN14"/>
  <c r="BL14"/>
  <c r="BJ14"/>
  <c r="BH14"/>
  <c r="BC14"/>
  <c r="BA14"/>
  <c r="AY14"/>
  <c r="AW14"/>
  <c r="AU14"/>
  <c r="BI14"/>
  <c r="BE14"/>
  <c r="BD14" s="1"/>
  <c r="BF14" s="1"/>
  <c r="BB14"/>
  <c r="AZ14"/>
  <c r="AX14"/>
  <c r="AV14"/>
  <c r="AS14"/>
  <c r="AQ14"/>
  <c r="AK14"/>
  <c r="AH14"/>
  <c r="AN14"/>
  <c r="AI14"/>
  <c r="AR14"/>
  <c r="AL14"/>
  <c r="AG14"/>
  <c r="BD13"/>
  <c r="BF13" s="1"/>
  <c r="B35" i="49"/>
  <c r="B16" i="48"/>
  <c r="C15"/>
  <c r="U17" i="50"/>
  <c r="V17" s="1"/>
  <c r="B55" i="47"/>
  <c r="B56"/>
  <c r="B57"/>
  <c r="B9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G14" i="48" l="1"/>
  <c r="AM14"/>
  <c r="AO14" s="1"/>
  <c r="AJ14"/>
  <c r="BV14"/>
  <c r="BX14" s="1"/>
  <c r="CA15"/>
  <c r="BW15"/>
  <c r="BT15"/>
  <c r="BR15"/>
  <c r="BP15"/>
  <c r="BN15"/>
  <c r="BL15"/>
  <c r="CB15"/>
  <c r="BZ15"/>
  <c r="BU15"/>
  <c r="BS15"/>
  <c r="BQ15"/>
  <c r="BO15"/>
  <c r="BM15"/>
  <c r="BI15"/>
  <c r="BE15"/>
  <c r="BB15"/>
  <c r="AZ15"/>
  <c r="AX15"/>
  <c r="AV15"/>
  <c r="BJ15"/>
  <c r="BH15"/>
  <c r="BC15"/>
  <c r="BA15"/>
  <c r="AY15"/>
  <c r="AW15"/>
  <c r="AU15"/>
  <c r="AS15"/>
  <c r="AQ15"/>
  <c r="AL15"/>
  <c r="AH15"/>
  <c r="AR15"/>
  <c r="AK15"/>
  <c r="AG15"/>
  <c r="AN15"/>
  <c r="AI15"/>
  <c r="AP14"/>
  <c r="B36" i="49"/>
  <c r="B17" i="48"/>
  <c r="C16"/>
  <c r="U18" i="50"/>
  <c r="V18" s="1"/>
  <c r="U14"/>
  <c r="V14" s="1"/>
  <c r="AM15" i="48" l="1"/>
  <c r="AO15" s="1"/>
  <c r="AP15"/>
  <c r="BY15"/>
  <c r="BD15"/>
  <c r="BF15" s="1"/>
  <c r="BV15"/>
  <c r="BX15" s="1"/>
  <c r="CB16"/>
  <c r="BZ16"/>
  <c r="BT16"/>
  <c r="BR16"/>
  <c r="BP16"/>
  <c r="BN16"/>
  <c r="BL16"/>
  <c r="CA16"/>
  <c r="BW16"/>
  <c r="BU16"/>
  <c r="BS16"/>
  <c r="BQ16"/>
  <c r="BO16"/>
  <c r="BM16"/>
  <c r="BJ16"/>
  <c r="BH16"/>
  <c r="BC16"/>
  <c r="BA16"/>
  <c r="AY16"/>
  <c r="AW16"/>
  <c r="AU16"/>
  <c r="BI16"/>
  <c r="BE16"/>
  <c r="BD16" s="1"/>
  <c r="BF16" s="1"/>
  <c r="BB16"/>
  <c r="AZ16"/>
  <c r="AX16"/>
  <c r="AV16"/>
  <c r="AS16"/>
  <c r="AQ16"/>
  <c r="AK16"/>
  <c r="AH16"/>
  <c r="AN16"/>
  <c r="AI16"/>
  <c r="AR16"/>
  <c r="AL16"/>
  <c r="AG16"/>
  <c r="AJ15"/>
  <c r="BG15"/>
  <c r="B37" i="49"/>
  <c r="B38" s="1"/>
  <c r="B39" s="1"/>
  <c r="B40" s="1"/>
  <c r="B18" i="48"/>
  <c r="C17"/>
  <c r="R20" i="50"/>
  <c r="G20"/>
  <c r="Q20"/>
  <c r="E20"/>
  <c r="M20"/>
  <c r="F20"/>
  <c r="P20"/>
  <c r="C20"/>
  <c r="K20"/>
  <c r="I20"/>
  <c r="D20"/>
  <c r="J20"/>
  <c r="U20" s="1"/>
  <c r="V20" s="1"/>
  <c r="Q19"/>
  <c r="Q22" s="1"/>
  <c r="F19"/>
  <c r="F22" s="1"/>
  <c r="P19"/>
  <c r="P22" s="1"/>
  <c r="E19"/>
  <c r="E22" s="1"/>
  <c r="I19"/>
  <c r="M19"/>
  <c r="D19"/>
  <c r="D22" s="1"/>
  <c r="J19"/>
  <c r="U19" s="1"/>
  <c r="V19" s="1"/>
  <c r="R19"/>
  <c r="R22" s="1"/>
  <c r="C19"/>
  <c r="G19"/>
  <c r="G22" s="1"/>
  <c r="K19"/>
  <c r="U15"/>
  <c r="V15" s="1"/>
  <c r="I22" l="1"/>
  <c r="M22"/>
  <c r="K22"/>
  <c r="AJ16" i="48"/>
  <c r="CB17"/>
  <c r="BZ17"/>
  <c r="BU17"/>
  <c r="BS17"/>
  <c r="BQ17"/>
  <c r="BO17"/>
  <c r="BM17"/>
  <c r="CA17"/>
  <c r="BW17"/>
  <c r="BT17"/>
  <c r="BR17"/>
  <c r="BP17"/>
  <c r="BN17"/>
  <c r="BL17"/>
  <c r="BI17"/>
  <c r="BE17"/>
  <c r="BB17"/>
  <c r="AZ17"/>
  <c r="AX17"/>
  <c r="AV17"/>
  <c r="BJ17"/>
  <c r="BH17"/>
  <c r="BC17"/>
  <c r="BA17"/>
  <c r="AY17"/>
  <c r="AW17"/>
  <c r="AU17"/>
  <c r="AS17"/>
  <c r="AQ17"/>
  <c r="AL17"/>
  <c r="AH17"/>
  <c r="AR17"/>
  <c r="AK17"/>
  <c r="AG17"/>
  <c r="AN17"/>
  <c r="AI17"/>
  <c r="AP16"/>
  <c r="BG16"/>
  <c r="BV16"/>
  <c r="BX16" s="1"/>
  <c r="AM16"/>
  <c r="AO16" s="1"/>
  <c r="BY16"/>
  <c r="H20" i="50"/>
  <c r="B19" i="48"/>
  <c r="C18"/>
  <c r="J22" i="50"/>
  <c r="H19"/>
  <c r="H22" s="1"/>
  <c r="L20"/>
  <c r="L19"/>
  <c r="N19" s="1"/>
  <c r="O19" s="1"/>
  <c r="L22" l="1"/>
  <c r="BV17" i="48"/>
  <c r="BX17" s="1"/>
  <c r="AM17"/>
  <c r="AO17" s="1"/>
  <c r="AP17"/>
  <c r="AJ17"/>
  <c r="BG17"/>
  <c r="BY17"/>
  <c r="CA18"/>
  <c r="BW18"/>
  <c r="BU18"/>
  <c r="BS18"/>
  <c r="BQ18"/>
  <c r="BO18"/>
  <c r="BM18"/>
  <c r="CB18"/>
  <c r="BZ18"/>
  <c r="BY18" s="1"/>
  <c r="BT18"/>
  <c r="BR18"/>
  <c r="BP18"/>
  <c r="BN18"/>
  <c r="BL18"/>
  <c r="BJ18"/>
  <c r="BH18"/>
  <c r="BC18"/>
  <c r="BA18"/>
  <c r="AY18"/>
  <c r="AW18"/>
  <c r="AU18"/>
  <c r="BI18"/>
  <c r="BE18"/>
  <c r="BD18" s="1"/>
  <c r="BF18" s="1"/>
  <c r="BB18"/>
  <c r="AZ18"/>
  <c r="AX18"/>
  <c r="AV18"/>
  <c r="AS18"/>
  <c r="AQ18"/>
  <c r="AK18"/>
  <c r="AH18"/>
  <c r="AN18"/>
  <c r="AI18"/>
  <c r="AR18"/>
  <c r="AL18"/>
  <c r="AG18"/>
  <c r="BD17"/>
  <c r="BF17" s="1"/>
  <c r="B20"/>
  <c r="C19"/>
  <c r="N20" i="50"/>
  <c r="O20" s="1"/>
  <c r="BG18" i="48" l="1"/>
  <c r="CA19"/>
  <c r="BW19"/>
  <c r="BT19"/>
  <c r="BR19"/>
  <c r="BP19"/>
  <c r="BN19"/>
  <c r="BL19"/>
  <c r="CB19"/>
  <c r="BZ19"/>
  <c r="BU19"/>
  <c r="BS19"/>
  <c r="BQ19"/>
  <c r="BO19"/>
  <c r="BM19"/>
  <c r="BI19"/>
  <c r="BE19"/>
  <c r="BB19"/>
  <c r="AZ19"/>
  <c r="AX19"/>
  <c r="AV19"/>
  <c r="BJ19"/>
  <c r="BH19"/>
  <c r="BC19"/>
  <c r="BA19"/>
  <c r="AY19"/>
  <c r="AW19"/>
  <c r="AU19"/>
  <c r="AS19"/>
  <c r="AQ19"/>
  <c r="AL19"/>
  <c r="AH19"/>
  <c r="AR19"/>
  <c r="AK19"/>
  <c r="AG19"/>
  <c r="AN19"/>
  <c r="AI19"/>
  <c r="AM18"/>
  <c r="AO18" s="1"/>
  <c r="AJ18"/>
  <c r="BV18"/>
  <c r="BX18" s="1"/>
  <c r="AP18"/>
  <c r="B21"/>
  <c r="C20"/>
  <c r="N22" i="50"/>
  <c r="O22"/>
  <c r="C22"/>
  <c r="BG19" i="48" l="1"/>
  <c r="AM19"/>
  <c r="AO19" s="1"/>
  <c r="BY19"/>
  <c r="CB20"/>
  <c r="BZ20"/>
  <c r="BT20"/>
  <c r="BR20"/>
  <c r="BP20"/>
  <c r="BN20"/>
  <c r="BL20"/>
  <c r="CA20"/>
  <c r="BW20"/>
  <c r="BU20"/>
  <c r="BS20"/>
  <c r="BQ20"/>
  <c r="BO20"/>
  <c r="BM20"/>
  <c r="BJ20"/>
  <c r="BH20"/>
  <c r="BC20"/>
  <c r="BA20"/>
  <c r="AY20"/>
  <c r="AW20"/>
  <c r="AU20"/>
  <c r="BI20"/>
  <c r="BE20"/>
  <c r="BD20" s="1"/>
  <c r="BF20" s="1"/>
  <c r="BB20"/>
  <c r="AZ20"/>
  <c r="AX20"/>
  <c r="AV20"/>
  <c r="AS20"/>
  <c r="AQ20"/>
  <c r="AK20"/>
  <c r="AH20"/>
  <c r="AN20"/>
  <c r="AI20"/>
  <c r="AR20"/>
  <c r="AL20"/>
  <c r="AG20"/>
  <c r="AJ19"/>
  <c r="AP19"/>
  <c r="BD19"/>
  <c r="BF19" s="1"/>
  <c r="BV19"/>
  <c r="BX19" s="1"/>
  <c r="B22"/>
  <c r="C21"/>
  <c r="AJ20" l="1"/>
  <c r="AP20"/>
  <c r="BG20"/>
  <c r="BV20"/>
  <c r="BX20" s="1"/>
  <c r="CB21"/>
  <c r="BZ21"/>
  <c r="BU21"/>
  <c r="BS21"/>
  <c r="BQ21"/>
  <c r="BO21"/>
  <c r="BM21"/>
  <c r="CA21"/>
  <c r="BW21"/>
  <c r="BV21" s="1"/>
  <c r="BX21" s="1"/>
  <c r="BT21"/>
  <c r="BR21"/>
  <c r="BP21"/>
  <c r="BN21"/>
  <c r="BL21"/>
  <c r="BI21"/>
  <c r="BE21"/>
  <c r="BB21"/>
  <c r="AZ21"/>
  <c r="AX21"/>
  <c r="AV21"/>
  <c r="BJ21"/>
  <c r="BH21"/>
  <c r="BC21"/>
  <c r="BA21"/>
  <c r="AY21"/>
  <c r="AW21"/>
  <c r="AU21"/>
  <c r="AS21"/>
  <c r="AQ21"/>
  <c r="AL21"/>
  <c r="AH21"/>
  <c r="AR21"/>
  <c r="AK21"/>
  <c r="AG21"/>
  <c r="AN21"/>
  <c r="AI21"/>
  <c r="AM20"/>
  <c r="AO20" s="1"/>
  <c r="BY20"/>
  <c r="B23"/>
  <c r="C22"/>
  <c r="B56" i="45"/>
  <c r="B55"/>
  <c r="B54"/>
  <c r="C7"/>
  <c r="Q1" i="40"/>
  <c r="AM21" i="48" l="1"/>
  <c r="AO21" s="1"/>
  <c r="AP21"/>
  <c r="CA22"/>
  <c r="BW22"/>
  <c r="BU22"/>
  <c r="BS22"/>
  <c r="BQ22"/>
  <c r="BO22"/>
  <c r="BM22"/>
  <c r="CB22"/>
  <c r="BZ22"/>
  <c r="BY22" s="1"/>
  <c r="BT22"/>
  <c r="BR22"/>
  <c r="BP22"/>
  <c r="BN22"/>
  <c r="BL22"/>
  <c r="BJ22"/>
  <c r="BH22"/>
  <c r="BC22"/>
  <c r="BA22"/>
  <c r="AY22"/>
  <c r="AW22"/>
  <c r="AU22"/>
  <c r="BI22"/>
  <c r="BE22"/>
  <c r="BD22" s="1"/>
  <c r="BF22" s="1"/>
  <c r="BB22"/>
  <c r="AZ22"/>
  <c r="AX22"/>
  <c r="AV22"/>
  <c r="AS22"/>
  <c r="AQ22"/>
  <c r="AK22"/>
  <c r="AH22"/>
  <c r="AN22"/>
  <c r="AI22"/>
  <c r="AR22"/>
  <c r="AL22"/>
  <c r="AG22"/>
  <c r="AJ21"/>
  <c r="BG21"/>
  <c r="BY21"/>
  <c r="BD21"/>
  <c r="BF21" s="1"/>
  <c r="B24"/>
  <c r="C23"/>
  <c r="B8" i="45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AJ22" i="48" l="1"/>
  <c r="BV22"/>
  <c r="BX22" s="1"/>
  <c r="CA23"/>
  <c r="BW23"/>
  <c r="BT23"/>
  <c r="BR23"/>
  <c r="BP23"/>
  <c r="BN23"/>
  <c r="BL23"/>
  <c r="CB23"/>
  <c r="BZ23"/>
  <c r="BU23"/>
  <c r="BS23"/>
  <c r="BQ23"/>
  <c r="BO23"/>
  <c r="BM23"/>
  <c r="BI23"/>
  <c r="BE23"/>
  <c r="BB23"/>
  <c r="AZ23"/>
  <c r="AX23"/>
  <c r="AV23"/>
  <c r="BJ23"/>
  <c r="BH23"/>
  <c r="BC23"/>
  <c r="BA23"/>
  <c r="AY23"/>
  <c r="AW23"/>
  <c r="AU23"/>
  <c r="AS23"/>
  <c r="AQ23"/>
  <c r="AL23"/>
  <c r="AH23"/>
  <c r="AR23"/>
  <c r="AK23"/>
  <c r="AG23"/>
  <c r="AN23"/>
  <c r="AI23"/>
  <c r="AP22"/>
  <c r="BG22"/>
  <c r="AM22"/>
  <c r="AO22" s="1"/>
  <c r="B25"/>
  <c r="C24"/>
  <c r="AM23" l="1"/>
  <c r="AO23" s="1"/>
  <c r="AP23"/>
  <c r="BY23"/>
  <c r="CB24"/>
  <c r="BZ24"/>
  <c r="BT24"/>
  <c r="BR24"/>
  <c r="BP24"/>
  <c r="BN24"/>
  <c r="BL24"/>
  <c r="CA24"/>
  <c r="BW24"/>
  <c r="BU24"/>
  <c r="BS24"/>
  <c r="BQ24"/>
  <c r="BO24"/>
  <c r="BM24"/>
  <c r="BJ24"/>
  <c r="BH24"/>
  <c r="BC24"/>
  <c r="BA24"/>
  <c r="AY24"/>
  <c r="AW24"/>
  <c r="AU24"/>
  <c r="BI24"/>
  <c r="BE24"/>
  <c r="BD24" s="1"/>
  <c r="BF24" s="1"/>
  <c r="BB24"/>
  <c r="AZ24"/>
  <c r="AX24"/>
  <c r="AV24"/>
  <c r="AS24"/>
  <c r="AQ24"/>
  <c r="AK24"/>
  <c r="AH24"/>
  <c r="AN24"/>
  <c r="AI24"/>
  <c r="AR24"/>
  <c r="AL24"/>
  <c r="AG24"/>
  <c r="AJ23"/>
  <c r="BG23"/>
  <c r="BD23"/>
  <c r="BF23" s="1"/>
  <c r="BV23"/>
  <c r="BX23" s="1"/>
  <c r="B26"/>
  <c r="C25"/>
  <c r="BG24" l="1"/>
  <c r="BV24"/>
  <c r="BX24" s="1"/>
  <c r="CB25"/>
  <c r="BZ25"/>
  <c r="BU25"/>
  <c r="BS25"/>
  <c r="BQ25"/>
  <c r="BO25"/>
  <c r="BM25"/>
  <c r="CA25"/>
  <c r="BW25"/>
  <c r="BV25" s="1"/>
  <c r="BX25" s="1"/>
  <c r="BT25"/>
  <c r="BR25"/>
  <c r="BP25"/>
  <c r="BN25"/>
  <c r="BL25"/>
  <c r="BI25"/>
  <c r="BE25"/>
  <c r="BB25"/>
  <c r="AZ25"/>
  <c r="AX25"/>
  <c r="AV25"/>
  <c r="AR25"/>
  <c r="AN25"/>
  <c r="AK25"/>
  <c r="AI25"/>
  <c r="AG25"/>
  <c r="BJ25"/>
  <c r="BH25"/>
  <c r="BC25"/>
  <c r="BA25"/>
  <c r="AY25"/>
  <c r="AW25"/>
  <c r="AU25"/>
  <c r="AS25"/>
  <c r="AQ25"/>
  <c r="AL25"/>
  <c r="AH25"/>
  <c r="AP24"/>
  <c r="AM24"/>
  <c r="AO24" s="1"/>
  <c r="AJ24"/>
  <c r="BY24"/>
  <c r="B27"/>
  <c r="C26"/>
  <c r="AP25" l="1"/>
  <c r="BY25"/>
  <c r="AJ25"/>
  <c r="CA26"/>
  <c r="BW26"/>
  <c r="BU26"/>
  <c r="BS26"/>
  <c r="BQ26"/>
  <c r="BO26"/>
  <c r="BM26"/>
  <c r="CB26"/>
  <c r="BZ26"/>
  <c r="BT26"/>
  <c r="BR26"/>
  <c r="BP26"/>
  <c r="BN26"/>
  <c r="BL26"/>
  <c r="BJ26"/>
  <c r="BH26"/>
  <c r="BC26"/>
  <c r="BA26"/>
  <c r="AY26"/>
  <c r="AW26"/>
  <c r="AU26"/>
  <c r="AR26"/>
  <c r="AN26"/>
  <c r="AL26"/>
  <c r="AI26"/>
  <c r="AG26"/>
  <c r="BI26"/>
  <c r="BE26"/>
  <c r="BB26"/>
  <c r="AZ26"/>
  <c r="AX26"/>
  <c r="AV26"/>
  <c r="AS26"/>
  <c r="AQ26"/>
  <c r="AK26"/>
  <c r="AJ26" s="1"/>
  <c r="AH26"/>
  <c r="BG25"/>
  <c r="AM25"/>
  <c r="AO25" s="1"/>
  <c r="BD25"/>
  <c r="BF25" s="1"/>
  <c r="B28"/>
  <c r="C27"/>
  <c r="BD26" l="1"/>
  <c r="BF26" s="1"/>
  <c r="BY26"/>
  <c r="AP26"/>
  <c r="BV26"/>
  <c r="BX26" s="1"/>
  <c r="CA27"/>
  <c r="BW27"/>
  <c r="BT27"/>
  <c r="BR27"/>
  <c r="BP27"/>
  <c r="BN27"/>
  <c r="BL27"/>
  <c r="CB27"/>
  <c r="BZ27"/>
  <c r="BU27"/>
  <c r="BS27"/>
  <c r="BQ27"/>
  <c r="BO27"/>
  <c r="BM27"/>
  <c r="BI27"/>
  <c r="BE27"/>
  <c r="BB27"/>
  <c r="AZ27"/>
  <c r="AX27"/>
  <c r="AV27"/>
  <c r="AR27"/>
  <c r="AN27"/>
  <c r="AK27"/>
  <c r="AI27"/>
  <c r="AG27"/>
  <c r="BJ27"/>
  <c r="BH27"/>
  <c r="BC27"/>
  <c r="BA27"/>
  <c r="AY27"/>
  <c r="AW27"/>
  <c r="AU27"/>
  <c r="AS27"/>
  <c r="AQ27"/>
  <c r="AL27"/>
  <c r="AH27"/>
  <c r="AM26"/>
  <c r="AO26" s="1"/>
  <c r="BG26"/>
  <c r="B29"/>
  <c r="C28"/>
  <c r="AP27" l="1"/>
  <c r="AJ27"/>
  <c r="CB28"/>
  <c r="BZ28"/>
  <c r="BT28"/>
  <c r="BR28"/>
  <c r="BP28"/>
  <c r="BN28"/>
  <c r="BL28"/>
  <c r="CA28"/>
  <c r="BW28"/>
  <c r="BU28"/>
  <c r="BS28"/>
  <c r="BQ28"/>
  <c r="BO28"/>
  <c r="BM28"/>
  <c r="BJ28"/>
  <c r="BH28"/>
  <c r="BC28"/>
  <c r="BA28"/>
  <c r="AY28"/>
  <c r="AW28"/>
  <c r="AU28"/>
  <c r="AR28"/>
  <c r="AN28"/>
  <c r="AL28"/>
  <c r="AI28"/>
  <c r="AG28"/>
  <c r="BI28"/>
  <c r="BE28"/>
  <c r="BB28"/>
  <c r="AZ28"/>
  <c r="AX28"/>
  <c r="AV28"/>
  <c r="AS28"/>
  <c r="AQ28"/>
  <c r="AK28"/>
  <c r="AH28"/>
  <c r="BG27"/>
  <c r="AM27"/>
  <c r="AO27" s="1"/>
  <c r="BD27"/>
  <c r="BF27" s="1"/>
  <c r="BY27"/>
  <c r="BV27"/>
  <c r="BX27" s="1"/>
  <c r="B30"/>
  <c r="C29"/>
  <c r="BD28" l="1"/>
  <c r="BF28" s="1"/>
  <c r="AP28"/>
  <c r="AJ28"/>
  <c r="AM28"/>
  <c r="AO28" s="1"/>
  <c r="BG28"/>
  <c r="BV28"/>
  <c r="BX28" s="1"/>
  <c r="CB29"/>
  <c r="BZ29"/>
  <c r="BU29"/>
  <c r="BS29"/>
  <c r="BQ29"/>
  <c r="BO29"/>
  <c r="BM29"/>
  <c r="CA29"/>
  <c r="BW29"/>
  <c r="BV29" s="1"/>
  <c r="BX29" s="1"/>
  <c r="BT29"/>
  <c r="BR29"/>
  <c r="BP29"/>
  <c r="BN29"/>
  <c r="BL29"/>
  <c r="BI29"/>
  <c r="BE29"/>
  <c r="BB29"/>
  <c r="AZ29"/>
  <c r="AX29"/>
  <c r="AV29"/>
  <c r="AR29"/>
  <c r="AN29"/>
  <c r="AK29"/>
  <c r="AI29"/>
  <c r="AG29"/>
  <c r="BJ29"/>
  <c r="BH29"/>
  <c r="BC29"/>
  <c r="BA29"/>
  <c r="AY29"/>
  <c r="AW29"/>
  <c r="AU29"/>
  <c r="AS29"/>
  <c r="AQ29"/>
  <c r="AL29"/>
  <c r="AH29"/>
  <c r="BY28"/>
  <c r="B31"/>
  <c r="C30"/>
  <c r="AJ29" l="1"/>
  <c r="AP29"/>
  <c r="BY29"/>
  <c r="CA30"/>
  <c r="BW30"/>
  <c r="BU30"/>
  <c r="BS30"/>
  <c r="BQ30"/>
  <c r="BO30"/>
  <c r="BM30"/>
  <c r="CB30"/>
  <c r="BZ30"/>
  <c r="BY30" s="1"/>
  <c r="BT30"/>
  <c r="BR30"/>
  <c r="BP30"/>
  <c r="BN30"/>
  <c r="BL30"/>
  <c r="BJ30"/>
  <c r="BH30"/>
  <c r="BC30"/>
  <c r="BA30"/>
  <c r="AY30"/>
  <c r="AW30"/>
  <c r="AU30"/>
  <c r="AR30"/>
  <c r="AN30"/>
  <c r="AL30"/>
  <c r="AI30"/>
  <c r="AG30"/>
  <c r="BI30"/>
  <c r="BE30"/>
  <c r="BB30"/>
  <c r="AZ30"/>
  <c r="AX30"/>
  <c r="AV30"/>
  <c r="AS30"/>
  <c r="AQ30"/>
  <c r="AP30" s="1"/>
  <c r="AK30"/>
  <c r="AH30"/>
  <c r="BG29"/>
  <c r="AM29"/>
  <c r="AO29" s="1"/>
  <c r="BD29"/>
  <c r="BF29" s="1"/>
  <c r="B32"/>
  <c r="C31"/>
  <c r="BD30" l="1"/>
  <c r="BF30" s="1"/>
  <c r="AJ30"/>
  <c r="BV30"/>
  <c r="BX30" s="1"/>
  <c r="CA31"/>
  <c r="BW31"/>
  <c r="BT31"/>
  <c r="BR31"/>
  <c r="BP31"/>
  <c r="BN31"/>
  <c r="BL31"/>
  <c r="CB31"/>
  <c r="BZ31"/>
  <c r="BU31"/>
  <c r="BS31"/>
  <c r="BQ31"/>
  <c r="BO31"/>
  <c r="BM31"/>
  <c r="BI31"/>
  <c r="BE31"/>
  <c r="BB31"/>
  <c r="AZ31"/>
  <c r="AX31"/>
  <c r="AV31"/>
  <c r="AR31"/>
  <c r="AN31"/>
  <c r="AK31"/>
  <c r="AI31"/>
  <c r="AG31"/>
  <c r="BJ31"/>
  <c r="BH31"/>
  <c r="BC31"/>
  <c r="BA31"/>
  <c r="AY31"/>
  <c r="AW31"/>
  <c r="AU31"/>
  <c r="AS31"/>
  <c r="AQ31"/>
  <c r="AL31"/>
  <c r="AH31"/>
  <c r="AM30"/>
  <c r="AO30" s="1"/>
  <c r="BG30"/>
  <c r="B33"/>
  <c r="C32"/>
  <c r="BG31" l="1"/>
  <c r="BY31"/>
  <c r="CB32"/>
  <c r="BZ32"/>
  <c r="BT32"/>
  <c r="BR32"/>
  <c r="BP32"/>
  <c r="BN32"/>
  <c r="BL32"/>
  <c r="CA32"/>
  <c r="BW32"/>
  <c r="BU32"/>
  <c r="BS32"/>
  <c r="BQ32"/>
  <c r="BO32"/>
  <c r="BM32"/>
  <c r="BJ32"/>
  <c r="BH32"/>
  <c r="BC32"/>
  <c r="BA32"/>
  <c r="AY32"/>
  <c r="AW32"/>
  <c r="AU32"/>
  <c r="AR32"/>
  <c r="AN32"/>
  <c r="AL32"/>
  <c r="AI32"/>
  <c r="AG32"/>
  <c r="BI32"/>
  <c r="BE32"/>
  <c r="BB32"/>
  <c r="AZ32"/>
  <c r="AX32"/>
  <c r="AV32"/>
  <c r="AS32"/>
  <c r="AQ32"/>
  <c r="AK32"/>
  <c r="AH32"/>
  <c r="AP31"/>
  <c r="AJ31"/>
  <c r="AM31"/>
  <c r="AO31" s="1"/>
  <c r="BD31"/>
  <c r="BF31" s="1"/>
  <c r="BV31"/>
  <c r="BX31" s="1"/>
  <c r="B34"/>
  <c r="C33"/>
  <c r="BD32" l="1"/>
  <c r="BF32" s="1"/>
  <c r="AP32"/>
  <c r="AJ32"/>
  <c r="CB33"/>
  <c r="BZ33"/>
  <c r="BU33"/>
  <c r="BS33"/>
  <c r="BQ33"/>
  <c r="BO33"/>
  <c r="BM33"/>
  <c r="CA33"/>
  <c r="BW33"/>
  <c r="BV33" s="1"/>
  <c r="BX33" s="1"/>
  <c r="BT33"/>
  <c r="BR33"/>
  <c r="BP33"/>
  <c r="BN33"/>
  <c r="BL33"/>
  <c r="BI33"/>
  <c r="BE33"/>
  <c r="BB33"/>
  <c r="AZ33"/>
  <c r="AX33"/>
  <c r="AV33"/>
  <c r="AR33"/>
  <c r="AN33"/>
  <c r="AK33"/>
  <c r="AI33"/>
  <c r="AG33"/>
  <c r="BJ33"/>
  <c r="BH33"/>
  <c r="BC33"/>
  <c r="BA33"/>
  <c r="AY33"/>
  <c r="AW33"/>
  <c r="AU33"/>
  <c r="AS33"/>
  <c r="AQ33"/>
  <c r="AL33"/>
  <c r="AH33"/>
  <c r="AM32"/>
  <c r="AO32" s="1"/>
  <c r="BG32"/>
  <c r="BV32"/>
  <c r="BX32" s="1"/>
  <c r="BY32"/>
  <c r="B35"/>
  <c r="C34"/>
  <c r="BG33" l="1"/>
  <c r="CA34"/>
  <c r="BW34"/>
  <c r="BU34"/>
  <c r="BS34"/>
  <c r="BQ34"/>
  <c r="BO34"/>
  <c r="BM34"/>
  <c r="CB34"/>
  <c r="BZ34"/>
  <c r="BY34" s="1"/>
  <c r="BT34"/>
  <c r="BR34"/>
  <c r="BP34"/>
  <c r="BN34"/>
  <c r="BL34"/>
  <c r="BJ34"/>
  <c r="BH34"/>
  <c r="BC34"/>
  <c r="BA34"/>
  <c r="AY34"/>
  <c r="AW34"/>
  <c r="BI34"/>
  <c r="BB34"/>
  <c r="AX34"/>
  <c r="AU34"/>
  <c r="AR34"/>
  <c r="AN34"/>
  <c r="AL34"/>
  <c r="AI34"/>
  <c r="AG34"/>
  <c r="BE34"/>
  <c r="AZ34"/>
  <c r="AV34"/>
  <c r="AS34"/>
  <c r="AQ34"/>
  <c r="AK34"/>
  <c r="AH34"/>
  <c r="AP33"/>
  <c r="AJ33"/>
  <c r="BY33"/>
  <c r="AM33"/>
  <c r="AO33" s="1"/>
  <c r="BD33"/>
  <c r="BF33" s="1"/>
  <c r="B36"/>
  <c r="C35"/>
  <c r="BG34" l="1"/>
  <c r="AP34"/>
  <c r="BD34"/>
  <c r="BF34" s="1"/>
  <c r="AJ34"/>
  <c r="CA35"/>
  <c r="BW35"/>
  <c r="BT35"/>
  <c r="BR35"/>
  <c r="BP35"/>
  <c r="BN35"/>
  <c r="BL35"/>
  <c r="CB35"/>
  <c r="BZ35"/>
  <c r="BU35"/>
  <c r="BS35"/>
  <c r="BQ35"/>
  <c r="BO35"/>
  <c r="BM35"/>
  <c r="BI35"/>
  <c r="BE35"/>
  <c r="BB35"/>
  <c r="AZ35"/>
  <c r="AX35"/>
  <c r="AV35"/>
  <c r="BH35"/>
  <c r="BA35"/>
  <c r="AW35"/>
  <c r="AR35"/>
  <c r="AN35"/>
  <c r="AK35"/>
  <c r="AI35"/>
  <c r="AG35"/>
  <c r="BJ35"/>
  <c r="BC35"/>
  <c r="AY35"/>
  <c r="AU35"/>
  <c r="AS35"/>
  <c r="AQ35"/>
  <c r="AL35"/>
  <c r="AH35"/>
  <c r="AM34"/>
  <c r="AO34" s="1"/>
  <c r="BV34"/>
  <c r="BX34" s="1"/>
  <c r="B37"/>
  <c r="C36"/>
  <c r="BG35" l="1"/>
  <c r="AP35"/>
  <c r="AM35"/>
  <c r="AO35" s="1"/>
  <c r="C37"/>
  <c r="CB36"/>
  <c r="BZ36"/>
  <c r="BT36"/>
  <c r="BR36"/>
  <c r="BP36"/>
  <c r="BN36"/>
  <c r="BL36"/>
  <c r="CA36"/>
  <c r="BW36"/>
  <c r="BU36"/>
  <c r="BS36"/>
  <c r="BQ36"/>
  <c r="BO36"/>
  <c r="BM36"/>
  <c r="BJ36"/>
  <c r="BH36"/>
  <c r="BC36"/>
  <c r="BA36"/>
  <c r="AY36"/>
  <c r="AW36"/>
  <c r="AU36"/>
  <c r="BE36"/>
  <c r="AZ36"/>
  <c r="AV36"/>
  <c r="AR36"/>
  <c r="AN36"/>
  <c r="AL36"/>
  <c r="AI36"/>
  <c r="AG36"/>
  <c r="BI36"/>
  <c r="BB36"/>
  <c r="AX36"/>
  <c r="AS36"/>
  <c r="AQ36"/>
  <c r="AK36"/>
  <c r="AH36"/>
  <c r="AJ35"/>
  <c r="BD35"/>
  <c r="BF35" s="1"/>
  <c r="BY35"/>
  <c r="BV35"/>
  <c r="BX35" s="1"/>
  <c r="B38"/>
  <c r="BD36" l="1"/>
  <c r="BF36" s="1"/>
  <c r="AJ36"/>
  <c r="AP36"/>
  <c r="BG36"/>
  <c r="BV36"/>
  <c r="BX36" s="1"/>
  <c r="C38"/>
  <c r="CB37"/>
  <c r="BZ37"/>
  <c r="BU37"/>
  <c r="BS37"/>
  <c r="BQ37"/>
  <c r="BO37"/>
  <c r="BM37"/>
  <c r="CA37"/>
  <c r="BW37"/>
  <c r="BV37" s="1"/>
  <c r="BX37" s="1"/>
  <c r="BT37"/>
  <c r="BR37"/>
  <c r="BP37"/>
  <c r="BN37"/>
  <c r="BL37"/>
  <c r="BI37"/>
  <c r="BE37"/>
  <c r="BB37"/>
  <c r="AZ37"/>
  <c r="AX37"/>
  <c r="AV37"/>
  <c r="BJ37"/>
  <c r="BC37"/>
  <c r="AY37"/>
  <c r="AU37"/>
  <c r="AR37"/>
  <c r="AN37"/>
  <c r="AK37"/>
  <c r="AI37"/>
  <c r="AG37"/>
  <c r="BH37"/>
  <c r="BA37"/>
  <c r="AW37"/>
  <c r="AS37"/>
  <c r="AQ37"/>
  <c r="AL37"/>
  <c r="AH37"/>
  <c r="AM36"/>
  <c r="AO36" s="1"/>
  <c r="BY36"/>
  <c r="B39"/>
  <c r="C39" l="1"/>
  <c r="CA38"/>
  <c r="BW38"/>
  <c r="BU38"/>
  <c r="BS38"/>
  <c r="BQ38"/>
  <c r="BO38"/>
  <c r="BM38"/>
  <c r="CB38"/>
  <c r="BZ38"/>
  <c r="BY38" s="1"/>
  <c r="BT38"/>
  <c r="BR38"/>
  <c r="BP38"/>
  <c r="BN38"/>
  <c r="BL38"/>
  <c r="BJ38"/>
  <c r="BH38"/>
  <c r="BC38"/>
  <c r="BA38"/>
  <c r="AY38"/>
  <c r="AW38"/>
  <c r="AU38"/>
  <c r="BI38"/>
  <c r="BB38"/>
  <c r="AX38"/>
  <c r="AR38"/>
  <c r="AN38"/>
  <c r="AL38"/>
  <c r="AI38"/>
  <c r="AG38"/>
  <c r="BE38"/>
  <c r="AZ38"/>
  <c r="AV38"/>
  <c r="AS38"/>
  <c r="AQ38"/>
  <c r="AK38"/>
  <c r="AH38"/>
  <c r="AM37"/>
  <c r="AO37" s="1"/>
  <c r="BG37"/>
  <c r="BD37"/>
  <c r="BF37" s="1"/>
  <c r="AP37"/>
  <c r="AJ37"/>
  <c r="BY37"/>
  <c r="BG38" l="1"/>
  <c r="BD38"/>
  <c r="BF38" s="1"/>
  <c r="AJ38"/>
  <c r="AP38"/>
  <c r="AM38"/>
  <c r="AO38" s="1"/>
  <c r="BV38"/>
  <c r="BX38" s="1"/>
  <c r="CA39"/>
  <c r="BW39"/>
  <c r="BW41" s="1"/>
  <c r="BT39"/>
  <c r="BR39"/>
  <c r="BR41" s="1"/>
  <c r="BP39"/>
  <c r="BP41" s="1"/>
  <c r="BN39"/>
  <c r="BL39"/>
  <c r="CB39"/>
  <c r="BZ39"/>
  <c r="BU39"/>
  <c r="BU41" s="1"/>
  <c r="BS39"/>
  <c r="BS41" s="1"/>
  <c r="BQ39"/>
  <c r="BO39"/>
  <c r="BM39"/>
  <c r="BM41" s="1"/>
  <c r="BI39"/>
  <c r="BI41" s="1"/>
  <c r="BE39"/>
  <c r="BB39"/>
  <c r="BB41" s="1"/>
  <c r="AZ39"/>
  <c r="AX39"/>
  <c r="AX41" s="1"/>
  <c r="AV39"/>
  <c r="BH39"/>
  <c r="BH41" s="1"/>
  <c r="BA39"/>
  <c r="BA41" s="1"/>
  <c r="AW39"/>
  <c r="AW41" s="1"/>
  <c r="AR39"/>
  <c r="AR41" s="1"/>
  <c r="AN39"/>
  <c r="AN41" s="1"/>
  <c r="AK39"/>
  <c r="AK41" s="1"/>
  <c r="AI39"/>
  <c r="AI41" s="1"/>
  <c r="AG39"/>
  <c r="AG41" s="1"/>
  <c r="BJ39"/>
  <c r="BJ41" s="1"/>
  <c r="BC39"/>
  <c r="BC41" s="1"/>
  <c r="AY39"/>
  <c r="AY41" s="1"/>
  <c r="AU39"/>
  <c r="AS39"/>
  <c r="AS41" s="1"/>
  <c r="AQ39"/>
  <c r="AQ41" s="1"/>
  <c r="AL39"/>
  <c r="AL41" s="1"/>
  <c r="AH39"/>
  <c r="AH41" s="1"/>
  <c r="BQ41"/>
  <c r="BN41"/>
  <c r="BO41"/>
  <c r="BL41"/>
  <c r="BT41"/>
  <c r="AU41"/>
  <c r="BE41"/>
  <c r="AV41"/>
  <c r="CD1" i="1"/>
  <c r="AA1" i="38"/>
  <c r="T1"/>
  <c r="M1"/>
  <c r="H1"/>
  <c r="F1"/>
  <c r="Z1" i="39"/>
  <c r="W1"/>
  <c r="P1"/>
  <c r="M1"/>
  <c r="H1"/>
  <c r="F1"/>
  <c r="X1" i="36"/>
  <c r="Q1"/>
  <c r="I1"/>
  <c r="AA1"/>
  <c r="N1"/>
  <c r="F1"/>
  <c r="S1" i="35"/>
  <c r="Z1"/>
  <c r="M1"/>
  <c r="BV41" i="48" l="1"/>
  <c r="AJ39"/>
  <c r="AJ41" s="1"/>
  <c r="BY39"/>
  <c r="AP39"/>
  <c r="AP41" s="1"/>
  <c r="AM39"/>
  <c r="AO39" s="1"/>
  <c r="AO41" s="1"/>
  <c r="BG39"/>
  <c r="BG41" s="1"/>
  <c r="BD39"/>
  <c r="BF39" s="1"/>
  <c r="BF41" s="1"/>
  <c r="BV39"/>
  <c r="BX39" s="1"/>
  <c r="AZ41"/>
  <c r="BD41"/>
  <c r="AM41"/>
  <c r="H1" i="35"/>
  <c r="F1" l="1"/>
  <c r="AA1" i="42" l="1"/>
  <c r="B37" i="43" l="1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AE10" i="48" l="1"/>
  <c r="X10"/>
  <c r="S10"/>
  <c r="I10"/>
  <c r="AD10"/>
  <c r="W10"/>
  <c r="Q10"/>
  <c r="J10"/>
  <c r="E10"/>
  <c r="F10"/>
  <c r="AC10"/>
  <c r="U10"/>
  <c r="P10"/>
  <c r="Z10"/>
  <c r="Y10" s="1"/>
  <c r="AA10" s="1"/>
  <c r="T10"/>
  <c r="O10"/>
  <c r="N10" s="1"/>
  <c r="G10"/>
  <c r="L10"/>
  <c r="K10" s="1"/>
  <c r="M10" s="1"/>
  <c r="AD11"/>
  <c r="W11"/>
  <c r="O11"/>
  <c r="AE11"/>
  <c r="X11"/>
  <c r="S11"/>
  <c r="L11"/>
  <c r="F11"/>
  <c r="Z11"/>
  <c r="Y11" s="1"/>
  <c r="AA11" s="1"/>
  <c r="T11"/>
  <c r="G11"/>
  <c r="AC11"/>
  <c r="U11"/>
  <c r="P11"/>
  <c r="I11"/>
  <c r="H11" s="1"/>
  <c r="Q11"/>
  <c r="E11"/>
  <c r="J11"/>
  <c r="AC12"/>
  <c r="U12"/>
  <c r="L12"/>
  <c r="Z12"/>
  <c r="T12"/>
  <c r="O12"/>
  <c r="G12"/>
  <c r="P12"/>
  <c r="AE12"/>
  <c r="X12"/>
  <c r="S12"/>
  <c r="F12"/>
  <c r="AD12"/>
  <c r="W12"/>
  <c r="V12" s="1"/>
  <c r="Q12"/>
  <c r="J12"/>
  <c r="E12"/>
  <c r="I12"/>
  <c r="Z13"/>
  <c r="T13"/>
  <c r="J13"/>
  <c r="AE13"/>
  <c r="X13"/>
  <c r="S13"/>
  <c r="L13"/>
  <c r="K13" s="1"/>
  <c r="M13" s="1"/>
  <c r="F13"/>
  <c r="G13"/>
  <c r="AD13"/>
  <c r="W13"/>
  <c r="Q13"/>
  <c r="E13"/>
  <c r="AC13"/>
  <c r="U13"/>
  <c r="V13" s="1"/>
  <c r="P13"/>
  <c r="I13"/>
  <c r="H13" s="1"/>
  <c r="O13"/>
  <c r="AE14"/>
  <c r="X14"/>
  <c r="S14"/>
  <c r="I14"/>
  <c r="AD14"/>
  <c r="W14"/>
  <c r="Q14"/>
  <c r="J14"/>
  <c r="F14"/>
  <c r="AC14"/>
  <c r="AB14" s="1"/>
  <c r="U14"/>
  <c r="P14"/>
  <c r="Z14"/>
  <c r="T14"/>
  <c r="O14"/>
  <c r="G14"/>
  <c r="L14"/>
  <c r="E14"/>
  <c r="Z15"/>
  <c r="T15"/>
  <c r="G15"/>
  <c r="AC15"/>
  <c r="U15"/>
  <c r="P15"/>
  <c r="I15"/>
  <c r="H15" s="1"/>
  <c r="O15"/>
  <c r="AD15"/>
  <c r="W15"/>
  <c r="Q15"/>
  <c r="AE15"/>
  <c r="X15"/>
  <c r="S15"/>
  <c r="L15"/>
  <c r="F15"/>
  <c r="J15"/>
  <c r="E15"/>
  <c r="AE16"/>
  <c r="X16"/>
  <c r="S16"/>
  <c r="I16"/>
  <c r="AD16"/>
  <c r="W16"/>
  <c r="Q16"/>
  <c r="J16"/>
  <c r="E16"/>
  <c r="F16"/>
  <c r="AC16"/>
  <c r="U16"/>
  <c r="P16"/>
  <c r="Z16"/>
  <c r="Y16" s="1"/>
  <c r="AA16" s="1"/>
  <c r="T16"/>
  <c r="O16"/>
  <c r="N16" s="1"/>
  <c r="G16"/>
  <c r="L16"/>
  <c r="K16" s="1"/>
  <c r="M16" s="1"/>
  <c r="AD17"/>
  <c r="W17"/>
  <c r="O17"/>
  <c r="AE17"/>
  <c r="X17"/>
  <c r="S17"/>
  <c r="L17"/>
  <c r="F17"/>
  <c r="J17"/>
  <c r="Z17"/>
  <c r="T17"/>
  <c r="G17"/>
  <c r="AC17"/>
  <c r="AB17" s="1"/>
  <c r="U17"/>
  <c r="V17" s="1"/>
  <c r="P17"/>
  <c r="I17"/>
  <c r="H17" s="1"/>
  <c r="Q17"/>
  <c r="E17"/>
  <c r="AE18"/>
  <c r="X18"/>
  <c r="S18"/>
  <c r="F18"/>
  <c r="AD18"/>
  <c r="W18"/>
  <c r="Q18"/>
  <c r="J18"/>
  <c r="E18"/>
  <c r="I18"/>
  <c r="AC18"/>
  <c r="U18"/>
  <c r="L18"/>
  <c r="Z18"/>
  <c r="Y18" s="1"/>
  <c r="AA18" s="1"/>
  <c r="T18"/>
  <c r="O18"/>
  <c r="N18" s="1"/>
  <c r="G18"/>
  <c r="P18"/>
  <c r="AD19"/>
  <c r="W19"/>
  <c r="J19"/>
  <c r="AE19"/>
  <c r="X19"/>
  <c r="S19"/>
  <c r="L19"/>
  <c r="K19" s="1"/>
  <c r="M19" s="1"/>
  <c r="F19"/>
  <c r="O19"/>
  <c r="Z19"/>
  <c r="T19"/>
  <c r="E19"/>
  <c r="AC19"/>
  <c r="AB19" s="1"/>
  <c r="U19"/>
  <c r="V19" s="1"/>
  <c r="P19"/>
  <c r="I19"/>
  <c r="Q19"/>
  <c r="G19"/>
  <c r="AC20"/>
  <c r="U20"/>
  <c r="L20"/>
  <c r="Z20"/>
  <c r="T20"/>
  <c r="O20"/>
  <c r="G20"/>
  <c r="P20"/>
  <c r="AE20"/>
  <c r="X20"/>
  <c r="S20"/>
  <c r="F20"/>
  <c r="AD20"/>
  <c r="W20"/>
  <c r="V20" s="1"/>
  <c r="Q20"/>
  <c r="J20"/>
  <c r="E20"/>
  <c r="I20"/>
  <c r="AD21"/>
  <c r="W21"/>
  <c r="Q21"/>
  <c r="E21"/>
  <c r="AC21"/>
  <c r="U21"/>
  <c r="V21" s="1"/>
  <c r="P21"/>
  <c r="I21"/>
  <c r="O21"/>
  <c r="Z21"/>
  <c r="T21"/>
  <c r="J21"/>
  <c r="AE21"/>
  <c r="X21"/>
  <c r="S21"/>
  <c r="L21"/>
  <c r="K21" s="1"/>
  <c r="M21" s="1"/>
  <c r="F21"/>
  <c r="G21"/>
  <c r="AE22"/>
  <c r="X22"/>
  <c r="S22"/>
  <c r="I22"/>
  <c r="AD22"/>
  <c r="W22"/>
  <c r="Q22"/>
  <c r="J22"/>
  <c r="F22"/>
  <c r="AC22"/>
  <c r="AB22" s="1"/>
  <c r="U22"/>
  <c r="P22"/>
  <c r="Z22"/>
  <c r="T22"/>
  <c r="O22"/>
  <c r="G22"/>
  <c r="H22" s="1"/>
  <c r="L22"/>
  <c r="E22"/>
  <c r="Z23"/>
  <c r="T23"/>
  <c r="G23"/>
  <c r="AC23"/>
  <c r="U23"/>
  <c r="P23"/>
  <c r="I23"/>
  <c r="H23" s="1"/>
  <c r="Q23"/>
  <c r="E23"/>
  <c r="AD23"/>
  <c r="W23"/>
  <c r="O23"/>
  <c r="AE23"/>
  <c r="X23"/>
  <c r="S23"/>
  <c r="L23"/>
  <c r="F23"/>
  <c r="J23"/>
  <c r="AE24"/>
  <c r="X24"/>
  <c r="S24"/>
  <c r="F24"/>
  <c r="AD24"/>
  <c r="W24"/>
  <c r="Q24"/>
  <c r="J24"/>
  <c r="E24"/>
  <c r="I24"/>
  <c r="AC24"/>
  <c r="U24"/>
  <c r="L24"/>
  <c r="Z24"/>
  <c r="Y24" s="1"/>
  <c r="AA24" s="1"/>
  <c r="T24"/>
  <c r="O24"/>
  <c r="N24" s="1"/>
  <c r="G24"/>
  <c r="P24"/>
  <c r="AD25"/>
  <c r="W25"/>
  <c r="Q25"/>
  <c r="E25"/>
  <c r="AC25"/>
  <c r="U25"/>
  <c r="V25" s="1"/>
  <c r="P25"/>
  <c r="I25"/>
  <c r="O25"/>
  <c r="Z25"/>
  <c r="T25"/>
  <c r="J25"/>
  <c r="AE25"/>
  <c r="X25"/>
  <c r="S25"/>
  <c r="L25"/>
  <c r="K25" s="1"/>
  <c r="M25" s="1"/>
  <c r="F25"/>
  <c r="G25"/>
  <c r="AC26"/>
  <c r="U26"/>
  <c r="P26"/>
  <c r="AD26"/>
  <c r="W26"/>
  <c r="Q26"/>
  <c r="J26"/>
  <c r="E26"/>
  <c r="F26"/>
  <c r="AE26"/>
  <c r="X26"/>
  <c r="S26"/>
  <c r="I26"/>
  <c r="Z26"/>
  <c r="T26"/>
  <c r="O26"/>
  <c r="G26"/>
  <c r="H26" s="1"/>
  <c r="L26"/>
  <c r="AD27"/>
  <c r="W27"/>
  <c r="O27"/>
  <c r="AE27"/>
  <c r="X27"/>
  <c r="S27"/>
  <c r="L27"/>
  <c r="F27"/>
  <c r="J27"/>
  <c r="Z27"/>
  <c r="T27"/>
  <c r="G27"/>
  <c r="AC27"/>
  <c r="AB27" s="1"/>
  <c r="U27"/>
  <c r="V27" s="1"/>
  <c r="P27"/>
  <c r="I27"/>
  <c r="H27" s="1"/>
  <c r="Q27"/>
  <c r="E27"/>
  <c r="AC28"/>
  <c r="U28"/>
  <c r="L28"/>
  <c r="AD28"/>
  <c r="W28"/>
  <c r="Q28"/>
  <c r="J28"/>
  <c r="E28"/>
  <c r="I28"/>
  <c r="AE28"/>
  <c r="X28"/>
  <c r="S28"/>
  <c r="F28"/>
  <c r="Z28"/>
  <c r="T28"/>
  <c r="O28"/>
  <c r="G28"/>
  <c r="P28"/>
  <c r="AD29"/>
  <c r="W29"/>
  <c r="Q29"/>
  <c r="G29"/>
  <c r="AE29"/>
  <c r="X29"/>
  <c r="S29"/>
  <c r="L29"/>
  <c r="F29"/>
  <c r="Z29"/>
  <c r="Y29" s="1"/>
  <c r="AA29" s="1"/>
  <c r="T29"/>
  <c r="O29"/>
  <c r="E29"/>
  <c r="AC29"/>
  <c r="AB29" s="1"/>
  <c r="U29"/>
  <c r="P29"/>
  <c r="I29"/>
  <c r="J29"/>
  <c r="AC30"/>
  <c r="U30"/>
  <c r="P30"/>
  <c r="I30"/>
  <c r="AD30"/>
  <c r="W30"/>
  <c r="V30" s="1"/>
  <c r="Q30"/>
  <c r="J30"/>
  <c r="E30"/>
  <c r="AE30"/>
  <c r="X30"/>
  <c r="S30"/>
  <c r="L30"/>
  <c r="F30"/>
  <c r="Z30"/>
  <c r="Y30" s="1"/>
  <c r="AA30" s="1"/>
  <c r="T30"/>
  <c r="O30"/>
  <c r="G30"/>
  <c r="Z31"/>
  <c r="T31"/>
  <c r="O31"/>
  <c r="G31"/>
  <c r="AE31"/>
  <c r="X31"/>
  <c r="S31"/>
  <c r="L31"/>
  <c r="F31"/>
  <c r="AD31"/>
  <c r="W31"/>
  <c r="Q31"/>
  <c r="J31"/>
  <c r="E31"/>
  <c r="AC31"/>
  <c r="U31"/>
  <c r="P31"/>
  <c r="I31"/>
  <c r="AC32"/>
  <c r="U32"/>
  <c r="P32"/>
  <c r="I32"/>
  <c r="AD32"/>
  <c r="W32"/>
  <c r="V32" s="1"/>
  <c r="Q32"/>
  <c r="J32"/>
  <c r="E32"/>
  <c r="AE32"/>
  <c r="X32"/>
  <c r="S32"/>
  <c r="L32"/>
  <c r="F32"/>
  <c r="Z32"/>
  <c r="Y32" s="1"/>
  <c r="AA32" s="1"/>
  <c r="T32"/>
  <c r="O32"/>
  <c r="G32"/>
  <c r="Z33"/>
  <c r="T33"/>
  <c r="O33"/>
  <c r="G33"/>
  <c r="AE33"/>
  <c r="X33"/>
  <c r="S33"/>
  <c r="L33"/>
  <c r="F33"/>
  <c r="AD33"/>
  <c r="W33"/>
  <c r="Q33"/>
  <c r="J33"/>
  <c r="E33"/>
  <c r="AC33"/>
  <c r="U33"/>
  <c r="P33"/>
  <c r="I33"/>
  <c r="AC34"/>
  <c r="U34"/>
  <c r="P34"/>
  <c r="I34"/>
  <c r="AD34"/>
  <c r="W34"/>
  <c r="V34" s="1"/>
  <c r="Q34"/>
  <c r="J34"/>
  <c r="E34"/>
  <c r="AE34"/>
  <c r="X34"/>
  <c r="S34"/>
  <c r="L34"/>
  <c r="F34"/>
  <c r="Z34"/>
  <c r="Y34" s="1"/>
  <c r="AA34" s="1"/>
  <c r="T34"/>
  <c r="O34"/>
  <c r="G34"/>
  <c r="Z35"/>
  <c r="T35"/>
  <c r="O35"/>
  <c r="G35"/>
  <c r="AE35"/>
  <c r="X35"/>
  <c r="S35"/>
  <c r="L35"/>
  <c r="F35"/>
  <c r="AD35"/>
  <c r="W35"/>
  <c r="Q35"/>
  <c r="J35"/>
  <c r="E35"/>
  <c r="AC35"/>
  <c r="U35"/>
  <c r="P35"/>
  <c r="I35"/>
  <c r="Z36"/>
  <c r="AC36"/>
  <c r="S36"/>
  <c r="L36"/>
  <c r="F36"/>
  <c r="X36"/>
  <c r="Q36"/>
  <c r="J36"/>
  <c r="E36"/>
  <c r="AD36"/>
  <c r="W36"/>
  <c r="U36"/>
  <c r="P36"/>
  <c r="I36"/>
  <c r="AE36"/>
  <c r="T36"/>
  <c r="O36"/>
  <c r="G36"/>
  <c r="H36" s="1"/>
  <c r="AC37"/>
  <c r="U37"/>
  <c r="Z37"/>
  <c r="Q37"/>
  <c r="J37"/>
  <c r="E37"/>
  <c r="W37"/>
  <c r="L37"/>
  <c r="F37"/>
  <c r="AE37"/>
  <c r="X37"/>
  <c r="S37"/>
  <c r="T37"/>
  <c r="O37"/>
  <c r="G37"/>
  <c r="AD37"/>
  <c r="P37"/>
  <c r="I37"/>
  <c r="Z38"/>
  <c r="T38"/>
  <c r="X38"/>
  <c r="Q38"/>
  <c r="J38"/>
  <c r="AC38"/>
  <c r="P38"/>
  <c r="I38"/>
  <c r="E38"/>
  <c r="AD38"/>
  <c r="W38"/>
  <c r="AE38"/>
  <c r="S38"/>
  <c r="O38"/>
  <c r="F38"/>
  <c r="U38"/>
  <c r="L38"/>
  <c r="K38" s="1"/>
  <c r="M38" s="1"/>
  <c r="G38"/>
  <c r="AC39"/>
  <c r="U39"/>
  <c r="AD39"/>
  <c r="P39"/>
  <c r="I39"/>
  <c r="Z39"/>
  <c r="Q39"/>
  <c r="J39"/>
  <c r="E39"/>
  <c r="AE39"/>
  <c r="X39"/>
  <c r="S39"/>
  <c r="W39"/>
  <c r="L39"/>
  <c r="F39"/>
  <c r="T39"/>
  <c r="O39"/>
  <c r="G39"/>
  <c r="E10" i="49"/>
  <c r="D11"/>
  <c r="P11"/>
  <c r="O10"/>
  <c r="N11"/>
  <c r="F10"/>
  <c r="N10"/>
  <c r="E11"/>
  <c r="K11"/>
  <c r="R10"/>
  <c r="AG10"/>
  <c r="AM10"/>
  <c r="AT10"/>
  <c r="AY10"/>
  <c r="BF10"/>
  <c r="BA11"/>
  <c r="AU11"/>
  <c r="AP11"/>
  <c r="AH11"/>
  <c r="AF10"/>
  <c r="AK10"/>
  <c r="AR10"/>
  <c r="AX10"/>
  <c r="BE10"/>
  <c r="BD11"/>
  <c r="AV11"/>
  <c r="AQ11"/>
  <c r="AJ11"/>
  <c r="S10"/>
  <c r="Y10"/>
  <c r="R11"/>
  <c r="W11"/>
  <c r="AD11"/>
  <c r="W10"/>
  <c r="AD10"/>
  <c r="V11"/>
  <c r="AC11"/>
  <c r="K10"/>
  <c r="I11"/>
  <c r="H10"/>
  <c r="F11"/>
  <c r="D10"/>
  <c r="I10"/>
  <c r="P10"/>
  <c r="H11"/>
  <c r="G11" s="1"/>
  <c r="O11"/>
  <c r="AJ10"/>
  <c r="AQ10"/>
  <c r="AV10"/>
  <c r="BD10"/>
  <c r="BE11"/>
  <c r="AX11"/>
  <c r="AR11"/>
  <c r="AK11"/>
  <c r="AF11"/>
  <c r="AH10"/>
  <c r="AP10"/>
  <c r="AU10"/>
  <c r="BA10"/>
  <c r="BF11"/>
  <c r="AY11"/>
  <c r="AT11"/>
  <c r="AM11"/>
  <c r="AG11"/>
  <c r="V10"/>
  <c r="AC10"/>
  <c r="T11"/>
  <c r="AB11"/>
  <c r="AA11" s="1"/>
  <c r="T10"/>
  <c r="U10" s="1"/>
  <c r="AB10"/>
  <c r="S11"/>
  <c r="Y11"/>
  <c r="X11" s="1"/>
  <c r="Z11" s="1"/>
  <c r="P12"/>
  <c r="I12"/>
  <c r="D12"/>
  <c r="K12"/>
  <c r="E12"/>
  <c r="BA12"/>
  <c r="AU12"/>
  <c r="AP12"/>
  <c r="AH12"/>
  <c r="AC12"/>
  <c r="V12"/>
  <c r="BF12"/>
  <c r="AY12"/>
  <c r="AT12"/>
  <c r="AM12"/>
  <c r="AG12"/>
  <c r="AB12"/>
  <c r="T12"/>
  <c r="N12"/>
  <c r="F12"/>
  <c r="O12"/>
  <c r="H12"/>
  <c r="BE12"/>
  <c r="AX12"/>
  <c r="AR12"/>
  <c r="AK12"/>
  <c r="AF12"/>
  <c r="Y12"/>
  <c r="S12"/>
  <c r="BD12"/>
  <c r="AV12"/>
  <c r="AQ12"/>
  <c r="AJ12"/>
  <c r="AI12" s="1"/>
  <c r="AD12"/>
  <c r="W12"/>
  <c r="R12"/>
  <c r="BA13"/>
  <c r="AU13"/>
  <c r="AP13"/>
  <c r="BF13"/>
  <c r="AT13"/>
  <c r="AH13"/>
  <c r="AC13"/>
  <c r="V13"/>
  <c r="P13"/>
  <c r="I13"/>
  <c r="D13"/>
  <c r="AV13"/>
  <c r="AJ13"/>
  <c r="AD13"/>
  <c r="W13"/>
  <c r="R13"/>
  <c r="K13"/>
  <c r="E13"/>
  <c r="BE13"/>
  <c r="AX13"/>
  <c r="AW13" s="1"/>
  <c r="AR13"/>
  <c r="AK13"/>
  <c r="AY13"/>
  <c r="AM13"/>
  <c r="AF13"/>
  <c r="Y13"/>
  <c r="S13"/>
  <c r="N13"/>
  <c r="F13"/>
  <c r="BD13"/>
  <c r="AQ13"/>
  <c r="AG13"/>
  <c r="AB13"/>
  <c r="T13"/>
  <c r="O13"/>
  <c r="H13"/>
  <c r="BE14"/>
  <c r="AX14"/>
  <c r="AR14"/>
  <c r="AK14"/>
  <c r="AF14"/>
  <c r="Y14"/>
  <c r="S14"/>
  <c r="N14"/>
  <c r="F14"/>
  <c r="BF14"/>
  <c r="AT14"/>
  <c r="AG14"/>
  <c r="T14"/>
  <c r="H14"/>
  <c r="AV14"/>
  <c r="AJ14"/>
  <c r="W14"/>
  <c r="K14"/>
  <c r="BA14"/>
  <c r="AU14"/>
  <c r="AP14"/>
  <c r="AH14"/>
  <c r="AC14"/>
  <c r="V14"/>
  <c r="P14"/>
  <c r="I14"/>
  <c r="D14"/>
  <c r="AY14"/>
  <c r="AM14"/>
  <c r="AB14"/>
  <c r="O14"/>
  <c r="BD14"/>
  <c r="BC14" s="1"/>
  <c r="AQ14"/>
  <c r="AD14"/>
  <c r="R14"/>
  <c r="E14"/>
  <c r="BE15"/>
  <c r="AX15"/>
  <c r="AR15"/>
  <c r="AK15"/>
  <c r="AF15"/>
  <c r="Y15"/>
  <c r="S15"/>
  <c r="N15"/>
  <c r="F15"/>
  <c r="AY15"/>
  <c r="AM15"/>
  <c r="AB15"/>
  <c r="O15"/>
  <c r="BD15"/>
  <c r="BC15" s="1"/>
  <c r="AQ15"/>
  <c r="AD15"/>
  <c r="R15"/>
  <c r="E15"/>
  <c r="BF15"/>
  <c r="BA15"/>
  <c r="AU15"/>
  <c r="AP15"/>
  <c r="AH15"/>
  <c r="AC15"/>
  <c r="V15"/>
  <c r="P15"/>
  <c r="I15"/>
  <c r="D15"/>
  <c r="AT15"/>
  <c r="AG15"/>
  <c r="T15"/>
  <c r="H15"/>
  <c r="AV15"/>
  <c r="AJ15"/>
  <c r="W15"/>
  <c r="K15"/>
  <c r="BD16"/>
  <c r="AV16"/>
  <c r="AQ16"/>
  <c r="AJ16"/>
  <c r="AD16"/>
  <c r="W16"/>
  <c r="R16"/>
  <c r="K16"/>
  <c r="E16"/>
  <c r="BA16"/>
  <c r="AU16"/>
  <c r="AP16"/>
  <c r="AH16"/>
  <c r="AC16"/>
  <c r="V16"/>
  <c r="P16"/>
  <c r="I16"/>
  <c r="D16"/>
  <c r="BF16"/>
  <c r="AY16"/>
  <c r="AT16"/>
  <c r="AM16"/>
  <c r="AG16"/>
  <c r="AB16"/>
  <c r="T16"/>
  <c r="O16"/>
  <c r="H16"/>
  <c r="BE16"/>
  <c r="AX16"/>
  <c r="AR16"/>
  <c r="AK16"/>
  <c r="AF16"/>
  <c r="Y16"/>
  <c r="S16"/>
  <c r="N16"/>
  <c r="F16"/>
  <c r="BF17"/>
  <c r="AY17"/>
  <c r="AT17"/>
  <c r="AM17"/>
  <c r="AG17"/>
  <c r="AB17"/>
  <c r="T17"/>
  <c r="O17"/>
  <c r="H17"/>
  <c r="BE17"/>
  <c r="AX17"/>
  <c r="AR17"/>
  <c r="AK17"/>
  <c r="AF17"/>
  <c r="Y17"/>
  <c r="S17"/>
  <c r="N17"/>
  <c r="F17"/>
  <c r="BD17"/>
  <c r="AV17"/>
  <c r="AQ17"/>
  <c r="AJ17"/>
  <c r="AD17"/>
  <c r="W17"/>
  <c r="R17"/>
  <c r="K17"/>
  <c r="E17"/>
  <c r="BA17"/>
  <c r="AU17"/>
  <c r="AP17"/>
  <c r="AH17"/>
  <c r="AC17"/>
  <c r="V17"/>
  <c r="P17"/>
  <c r="I17"/>
  <c r="D17"/>
  <c r="BD19"/>
  <c r="AV19"/>
  <c r="AQ19"/>
  <c r="AJ19"/>
  <c r="AD19"/>
  <c r="W19"/>
  <c r="R19"/>
  <c r="K19"/>
  <c r="E19"/>
  <c r="BA19"/>
  <c r="AU19"/>
  <c r="AP19"/>
  <c r="AH19"/>
  <c r="AC19"/>
  <c r="V19"/>
  <c r="P19"/>
  <c r="I19"/>
  <c r="D19"/>
  <c r="BF18"/>
  <c r="AY18"/>
  <c r="AT18"/>
  <c r="AM18"/>
  <c r="AG18"/>
  <c r="AB18"/>
  <c r="T18"/>
  <c r="O18"/>
  <c r="H18"/>
  <c r="BE18"/>
  <c r="AX18"/>
  <c r="AR18"/>
  <c r="AK18"/>
  <c r="AF18"/>
  <c r="Y18"/>
  <c r="S18"/>
  <c r="N18"/>
  <c r="F18"/>
  <c r="BF19"/>
  <c r="AY19"/>
  <c r="AT19"/>
  <c r="AM19"/>
  <c r="AG19"/>
  <c r="AB19"/>
  <c r="AA19" s="1"/>
  <c r="T19"/>
  <c r="O19"/>
  <c r="H19"/>
  <c r="BE19"/>
  <c r="AX19"/>
  <c r="AR19"/>
  <c r="AK19"/>
  <c r="AF19"/>
  <c r="Y19"/>
  <c r="S19"/>
  <c r="N19"/>
  <c r="M19" s="1"/>
  <c r="F19"/>
  <c r="BD18"/>
  <c r="AV18"/>
  <c r="AQ18"/>
  <c r="AJ18"/>
  <c r="AD18"/>
  <c r="W18"/>
  <c r="R18"/>
  <c r="K18"/>
  <c r="E18"/>
  <c r="BA18"/>
  <c r="AZ18" s="1"/>
  <c r="BB18" s="1"/>
  <c r="AU18"/>
  <c r="AP18"/>
  <c r="AH18"/>
  <c r="AC18"/>
  <c r="V18"/>
  <c r="U18" s="1"/>
  <c r="P18"/>
  <c r="I18"/>
  <c r="D18"/>
  <c r="AD20"/>
  <c r="R20"/>
  <c r="E20"/>
  <c r="AU20"/>
  <c r="AH20"/>
  <c r="V20"/>
  <c r="I20"/>
  <c r="BF20"/>
  <c r="AY20"/>
  <c r="AT20"/>
  <c r="AM20"/>
  <c r="AG20"/>
  <c r="AB20"/>
  <c r="T20"/>
  <c r="O20"/>
  <c r="H20"/>
  <c r="BE20"/>
  <c r="AX20"/>
  <c r="AR20"/>
  <c r="AK20"/>
  <c r="AF20"/>
  <c r="Y20"/>
  <c r="S20"/>
  <c r="N20"/>
  <c r="F20"/>
  <c r="BD20"/>
  <c r="AV20"/>
  <c r="AQ20"/>
  <c r="AJ20"/>
  <c r="W20"/>
  <c r="K20"/>
  <c r="J20" s="1"/>
  <c r="L20" s="1"/>
  <c r="BA20"/>
  <c r="AP20"/>
  <c r="AC20"/>
  <c r="P20"/>
  <c r="D20"/>
  <c r="BD21"/>
  <c r="AV21"/>
  <c r="AQ21"/>
  <c r="AJ21"/>
  <c r="AD21"/>
  <c r="W21"/>
  <c r="R21"/>
  <c r="K21"/>
  <c r="E21"/>
  <c r="BA21"/>
  <c r="AU21"/>
  <c r="AP21"/>
  <c r="AH21"/>
  <c r="AC21"/>
  <c r="V21"/>
  <c r="P21"/>
  <c r="I21"/>
  <c r="D21"/>
  <c r="BF21"/>
  <c r="AY21"/>
  <c r="AT21"/>
  <c r="AM21"/>
  <c r="AG21"/>
  <c r="AB21"/>
  <c r="T21"/>
  <c r="O21"/>
  <c r="H21"/>
  <c r="BE21"/>
  <c r="AX21"/>
  <c r="AR21"/>
  <c r="AK21"/>
  <c r="AF21"/>
  <c r="Y21"/>
  <c r="S21"/>
  <c r="N21"/>
  <c r="F21"/>
  <c r="BD22"/>
  <c r="AV22"/>
  <c r="AQ22"/>
  <c r="AJ22"/>
  <c r="AD22"/>
  <c r="W22"/>
  <c r="R22"/>
  <c r="K22"/>
  <c r="E22"/>
  <c r="BA22"/>
  <c r="AU22"/>
  <c r="AP22"/>
  <c r="AH22"/>
  <c r="AC22"/>
  <c r="V22"/>
  <c r="P22"/>
  <c r="I22"/>
  <c r="D22"/>
  <c r="BF22"/>
  <c r="AY22"/>
  <c r="AT22"/>
  <c r="AM22"/>
  <c r="AG22"/>
  <c r="AB22"/>
  <c r="T22"/>
  <c r="O22"/>
  <c r="H22"/>
  <c r="BE22"/>
  <c r="AX22"/>
  <c r="AR22"/>
  <c r="AK22"/>
  <c r="AF22"/>
  <c r="Y22"/>
  <c r="S22"/>
  <c r="N22"/>
  <c r="F22"/>
  <c r="BE23"/>
  <c r="AX23"/>
  <c r="AR23"/>
  <c r="AK23"/>
  <c r="AD23"/>
  <c r="W23"/>
  <c r="R23"/>
  <c r="K23"/>
  <c r="E23"/>
  <c r="BD23"/>
  <c r="AV23"/>
  <c r="AQ23"/>
  <c r="AJ23"/>
  <c r="AF23"/>
  <c r="Y23"/>
  <c r="S23"/>
  <c r="N23"/>
  <c r="F23"/>
  <c r="BA23"/>
  <c r="AU23"/>
  <c r="AP23"/>
  <c r="AG23"/>
  <c r="AB23"/>
  <c r="T23"/>
  <c r="O23"/>
  <c r="H23"/>
  <c r="G23" s="1"/>
  <c r="BF23"/>
  <c r="AY23"/>
  <c r="AT23"/>
  <c r="AM23"/>
  <c r="AH23"/>
  <c r="AC23"/>
  <c r="V23"/>
  <c r="P23"/>
  <c r="I23"/>
  <c r="D23"/>
  <c r="BE24"/>
  <c r="AX24"/>
  <c r="AR24"/>
  <c r="AK24"/>
  <c r="AD24"/>
  <c r="W24"/>
  <c r="R24"/>
  <c r="K24"/>
  <c r="F24"/>
  <c r="BF24"/>
  <c r="AY24"/>
  <c r="AT24"/>
  <c r="AM24"/>
  <c r="AH24"/>
  <c r="AC24"/>
  <c r="V24"/>
  <c r="P24"/>
  <c r="I24"/>
  <c r="BA24"/>
  <c r="AZ24" s="1"/>
  <c r="BB24" s="1"/>
  <c r="AU24"/>
  <c r="AP24"/>
  <c r="AG24"/>
  <c r="AB24"/>
  <c r="T24"/>
  <c r="O24"/>
  <c r="H24"/>
  <c r="D24"/>
  <c r="BD24"/>
  <c r="AV24"/>
  <c r="AQ24"/>
  <c r="AJ24"/>
  <c r="AF24"/>
  <c r="Y24"/>
  <c r="S24"/>
  <c r="N24"/>
  <c r="E24"/>
  <c r="BA25"/>
  <c r="AU25"/>
  <c r="AP25"/>
  <c r="AG25"/>
  <c r="AB25"/>
  <c r="T25"/>
  <c r="O25"/>
  <c r="H25"/>
  <c r="D25"/>
  <c r="BD25"/>
  <c r="AV25"/>
  <c r="AQ25"/>
  <c r="AJ25"/>
  <c r="AF25"/>
  <c r="Y25"/>
  <c r="S25"/>
  <c r="N25"/>
  <c r="E25"/>
  <c r="BE25"/>
  <c r="AX25"/>
  <c r="AR25"/>
  <c r="AK25"/>
  <c r="AD25"/>
  <c r="W25"/>
  <c r="R25"/>
  <c r="K25"/>
  <c r="F25"/>
  <c r="BF25"/>
  <c r="AY25"/>
  <c r="AZ25" s="1"/>
  <c r="BB25" s="1"/>
  <c r="AT25"/>
  <c r="AM25"/>
  <c r="AH25"/>
  <c r="AC25"/>
  <c r="V25"/>
  <c r="U25" s="1"/>
  <c r="P25"/>
  <c r="I25"/>
  <c r="S9" i="48"/>
  <c r="O9"/>
  <c r="G9"/>
  <c r="P9"/>
  <c r="I9"/>
  <c r="BA26" i="49"/>
  <c r="AU26"/>
  <c r="AP26"/>
  <c r="AG26"/>
  <c r="AB26"/>
  <c r="T26"/>
  <c r="O26"/>
  <c r="H26"/>
  <c r="D26"/>
  <c r="BD26"/>
  <c r="AV26"/>
  <c r="AQ26"/>
  <c r="AJ26"/>
  <c r="AF26"/>
  <c r="Y26"/>
  <c r="S26"/>
  <c r="N26"/>
  <c r="E26"/>
  <c r="U9" i="48"/>
  <c r="T9"/>
  <c r="Z9"/>
  <c r="AD9"/>
  <c r="Q9"/>
  <c r="J9"/>
  <c r="E9"/>
  <c r="L9"/>
  <c r="F9"/>
  <c r="BE26" i="49"/>
  <c r="AX26"/>
  <c r="AR26"/>
  <c r="AK26"/>
  <c r="AD26"/>
  <c r="W26"/>
  <c r="R26"/>
  <c r="K26"/>
  <c r="F26"/>
  <c r="BF26"/>
  <c r="AY26"/>
  <c r="AT26"/>
  <c r="AM26"/>
  <c r="AH26"/>
  <c r="AC26"/>
  <c r="V26"/>
  <c r="P26"/>
  <c r="I26"/>
  <c r="AE9" i="48"/>
  <c r="X9"/>
  <c r="AC9"/>
  <c r="W9"/>
  <c r="BE27" i="49"/>
  <c r="AX27"/>
  <c r="AR27"/>
  <c r="AK27"/>
  <c r="AD27"/>
  <c r="W27"/>
  <c r="R27"/>
  <c r="K27"/>
  <c r="F27"/>
  <c r="BF27"/>
  <c r="AT27"/>
  <c r="AH27"/>
  <c r="V27"/>
  <c r="I27"/>
  <c r="BD27"/>
  <c r="AQ27"/>
  <c r="AF27"/>
  <c r="S27"/>
  <c r="BA27"/>
  <c r="AU27"/>
  <c r="AP27"/>
  <c r="AG27"/>
  <c r="AB27"/>
  <c r="T27"/>
  <c r="O27"/>
  <c r="H27"/>
  <c r="D27"/>
  <c r="AY27"/>
  <c r="AM27"/>
  <c r="AC27"/>
  <c r="P27"/>
  <c r="E27"/>
  <c r="AV27"/>
  <c r="AJ27"/>
  <c r="Y27"/>
  <c r="N27"/>
  <c r="BD28"/>
  <c r="AV28"/>
  <c r="AQ28"/>
  <c r="AJ28"/>
  <c r="AD28"/>
  <c r="W28"/>
  <c r="R28"/>
  <c r="K28"/>
  <c r="F28"/>
  <c r="BE28"/>
  <c r="AX28"/>
  <c r="AR28"/>
  <c r="AK28"/>
  <c r="AF28"/>
  <c r="Y28"/>
  <c r="S28"/>
  <c r="N28"/>
  <c r="E28"/>
  <c r="BF28"/>
  <c r="AY28"/>
  <c r="AT28"/>
  <c r="AM28"/>
  <c r="AG28"/>
  <c r="AB28"/>
  <c r="T28"/>
  <c r="O28"/>
  <c r="H28"/>
  <c r="D28"/>
  <c r="BA28"/>
  <c r="AU28"/>
  <c r="AP28"/>
  <c r="AH28"/>
  <c r="AI28" s="1"/>
  <c r="AC28"/>
  <c r="V28"/>
  <c r="P28"/>
  <c r="I28"/>
  <c r="BF29"/>
  <c r="AY29"/>
  <c r="AT29"/>
  <c r="AM29"/>
  <c r="AG29"/>
  <c r="AB29"/>
  <c r="T29"/>
  <c r="O29"/>
  <c r="H29"/>
  <c r="BE29"/>
  <c r="AX29"/>
  <c r="AR29"/>
  <c r="AK29"/>
  <c r="AF29"/>
  <c r="Y29"/>
  <c r="S29"/>
  <c r="N29"/>
  <c r="F29"/>
  <c r="BD29"/>
  <c r="AV29"/>
  <c r="AQ29"/>
  <c r="AJ29"/>
  <c r="AD29"/>
  <c r="W29"/>
  <c r="R29"/>
  <c r="K29"/>
  <c r="E29"/>
  <c r="BA29"/>
  <c r="AU29"/>
  <c r="AP29"/>
  <c r="AH29"/>
  <c r="AC29"/>
  <c r="V29"/>
  <c r="P29"/>
  <c r="I29"/>
  <c r="D29"/>
  <c r="BD30"/>
  <c r="AV30"/>
  <c r="AQ30"/>
  <c r="AJ30"/>
  <c r="AD30"/>
  <c r="W30"/>
  <c r="R30"/>
  <c r="K30"/>
  <c r="E30"/>
  <c r="BA30"/>
  <c r="AU30"/>
  <c r="AP30"/>
  <c r="AH30"/>
  <c r="AC30"/>
  <c r="V30"/>
  <c r="P30"/>
  <c r="I30"/>
  <c r="D30"/>
  <c r="BF30"/>
  <c r="AY30"/>
  <c r="AT30"/>
  <c r="AM30"/>
  <c r="AG30"/>
  <c r="AB30"/>
  <c r="T30"/>
  <c r="O30"/>
  <c r="H30"/>
  <c r="BE30"/>
  <c r="AX30"/>
  <c r="AR30"/>
  <c r="AK30"/>
  <c r="AF30"/>
  <c r="Y30"/>
  <c r="S30"/>
  <c r="N30"/>
  <c r="F30"/>
  <c r="BD31"/>
  <c r="AV31"/>
  <c r="AQ31"/>
  <c r="AJ31"/>
  <c r="AD31"/>
  <c r="W31"/>
  <c r="R31"/>
  <c r="K31"/>
  <c r="E31"/>
  <c r="BA31"/>
  <c r="AU31"/>
  <c r="AP31"/>
  <c r="AH31"/>
  <c r="AC31"/>
  <c r="V31"/>
  <c r="P31"/>
  <c r="I31"/>
  <c r="D31"/>
  <c r="BF31"/>
  <c r="AY31"/>
  <c r="AT31"/>
  <c r="AM31"/>
  <c r="AG31"/>
  <c r="AB31"/>
  <c r="T31"/>
  <c r="O31"/>
  <c r="H31"/>
  <c r="BE31"/>
  <c r="AX31"/>
  <c r="AR31"/>
  <c r="AK31"/>
  <c r="AF31"/>
  <c r="Y31"/>
  <c r="S31"/>
  <c r="N31"/>
  <c r="F31"/>
  <c r="BF32"/>
  <c r="AY32"/>
  <c r="AT32"/>
  <c r="AM32"/>
  <c r="AG32"/>
  <c r="AB32"/>
  <c r="T32"/>
  <c r="O32"/>
  <c r="H32"/>
  <c r="BE32"/>
  <c r="AX32"/>
  <c r="AR32"/>
  <c r="AK32"/>
  <c r="AF32"/>
  <c r="Y32"/>
  <c r="S32"/>
  <c r="N32"/>
  <c r="F32"/>
  <c r="BD32"/>
  <c r="AV32"/>
  <c r="AQ32"/>
  <c r="AJ32"/>
  <c r="AD32"/>
  <c r="W32"/>
  <c r="R32"/>
  <c r="K32"/>
  <c r="E32"/>
  <c r="BA32"/>
  <c r="AU32"/>
  <c r="AP32"/>
  <c r="AH32"/>
  <c r="AC32"/>
  <c r="V32"/>
  <c r="P32"/>
  <c r="I32"/>
  <c r="D32"/>
  <c r="BD33"/>
  <c r="AV33"/>
  <c r="AQ33"/>
  <c r="AJ33"/>
  <c r="AD33"/>
  <c r="W33"/>
  <c r="R33"/>
  <c r="K33"/>
  <c r="E33"/>
  <c r="BA33"/>
  <c r="AU33"/>
  <c r="AP33"/>
  <c r="AH33"/>
  <c r="AC33"/>
  <c r="V33"/>
  <c r="P33"/>
  <c r="I33"/>
  <c r="D33"/>
  <c r="BF33"/>
  <c r="AY33"/>
  <c r="AT33"/>
  <c r="AM33"/>
  <c r="AG33"/>
  <c r="AB33"/>
  <c r="T33"/>
  <c r="O33"/>
  <c r="H33"/>
  <c r="BE33"/>
  <c r="AX33"/>
  <c r="AR33"/>
  <c r="AK33"/>
  <c r="AF33"/>
  <c r="Y33"/>
  <c r="S33"/>
  <c r="N33"/>
  <c r="F33"/>
  <c r="BF34"/>
  <c r="AY34"/>
  <c r="AT34"/>
  <c r="AM34"/>
  <c r="AG34"/>
  <c r="AB34"/>
  <c r="T34"/>
  <c r="O34"/>
  <c r="H34"/>
  <c r="BE34"/>
  <c r="AX34"/>
  <c r="AR34"/>
  <c r="AK34"/>
  <c r="AF34"/>
  <c r="Y34"/>
  <c r="S34"/>
  <c r="N34"/>
  <c r="F34"/>
  <c r="BD34"/>
  <c r="AV34"/>
  <c r="AQ34"/>
  <c r="AJ34"/>
  <c r="AD34"/>
  <c r="W34"/>
  <c r="R34"/>
  <c r="K34"/>
  <c r="E34"/>
  <c r="BA34"/>
  <c r="AU34"/>
  <c r="AP34"/>
  <c r="AH34"/>
  <c r="AC34"/>
  <c r="V34"/>
  <c r="P34"/>
  <c r="I34"/>
  <c r="D34"/>
  <c r="BD35"/>
  <c r="AV35"/>
  <c r="AQ35"/>
  <c r="AJ35"/>
  <c r="AD35"/>
  <c r="W35"/>
  <c r="R35"/>
  <c r="K35"/>
  <c r="E35"/>
  <c r="BA35"/>
  <c r="AU35"/>
  <c r="AP35"/>
  <c r="AH35"/>
  <c r="AC35"/>
  <c r="V35"/>
  <c r="P35"/>
  <c r="I35"/>
  <c r="D35"/>
  <c r="BF35"/>
  <c r="AY35"/>
  <c r="AT35"/>
  <c r="AM35"/>
  <c r="AG35"/>
  <c r="AB35"/>
  <c r="T35"/>
  <c r="O35"/>
  <c r="H35"/>
  <c r="BE35"/>
  <c r="AX35"/>
  <c r="AR35"/>
  <c r="AK35"/>
  <c r="AF35"/>
  <c r="Y35"/>
  <c r="S35"/>
  <c r="N35"/>
  <c r="F35"/>
  <c r="BF36"/>
  <c r="AY36"/>
  <c r="AT36"/>
  <c r="AM36"/>
  <c r="AG36"/>
  <c r="AB36"/>
  <c r="T36"/>
  <c r="O36"/>
  <c r="H36"/>
  <c r="BE36"/>
  <c r="AX36"/>
  <c r="AR36"/>
  <c r="AK36"/>
  <c r="AF36"/>
  <c r="Y36"/>
  <c r="S36"/>
  <c r="N36"/>
  <c r="F36"/>
  <c r="BD36"/>
  <c r="AV36"/>
  <c r="AQ36"/>
  <c r="AJ36"/>
  <c r="AD36"/>
  <c r="W36"/>
  <c r="R36"/>
  <c r="K36"/>
  <c r="E36"/>
  <c r="BA36"/>
  <c r="AU36"/>
  <c r="AP36"/>
  <c r="AH36"/>
  <c r="AC36"/>
  <c r="V36"/>
  <c r="P36"/>
  <c r="I36"/>
  <c r="D36"/>
  <c r="BD37"/>
  <c r="AV37"/>
  <c r="AQ37"/>
  <c r="AJ37"/>
  <c r="AD37"/>
  <c r="W37"/>
  <c r="R37"/>
  <c r="K37"/>
  <c r="E37"/>
  <c r="BA37"/>
  <c r="AU37"/>
  <c r="AP37"/>
  <c r="AH37"/>
  <c r="AC37"/>
  <c r="V37"/>
  <c r="P37"/>
  <c r="I37"/>
  <c r="D37"/>
  <c r="BF37"/>
  <c r="AY37"/>
  <c r="AT37"/>
  <c r="AM37"/>
  <c r="AG37"/>
  <c r="AB37"/>
  <c r="T37"/>
  <c r="O37"/>
  <c r="H37"/>
  <c r="BE37"/>
  <c r="AX37"/>
  <c r="AR37"/>
  <c r="AK37"/>
  <c r="AF37"/>
  <c r="Y37"/>
  <c r="S37"/>
  <c r="N37"/>
  <c r="F37"/>
  <c r="BA38"/>
  <c r="AU38"/>
  <c r="AP38"/>
  <c r="AG38"/>
  <c r="AB38"/>
  <c r="T38"/>
  <c r="O38"/>
  <c r="H38"/>
  <c r="BF38"/>
  <c r="AY38"/>
  <c r="AT38"/>
  <c r="AM38"/>
  <c r="AH38"/>
  <c r="AC38"/>
  <c r="V38"/>
  <c r="P38"/>
  <c r="I38"/>
  <c r="D38"/>
  <c r="BE38"/>
  <c r="AX38"/>
  <c r="AR38"/>
  <c r="AK38"/>
  <c r="AD38"/>
  <c r="W38"/>
  <c r="R38"/>
  <c r="K38"/>
  <c r="E38"/>
  <c r="BD38"/>
  <c r="AV38"/>
  <c r="AQ38"/>
  <c r="AJ38"/>
  <c r="AF38"/>
  <c r="Y38"/>
  <c r="S38"/>
  <c r="N38"/>
  <c r="F38"/>
  <c r="BA39"/>
  <c r="AU39"/>
  <c r="AP39"/>
  <c r="AG39"/>
  <c r="AB39"/>
  <c r="T39"/>
  <c r="O39"/>
  <c r="H39"/>
  <c r="D39"/>
  <c r="BD39"/>
  <c r="AV39"/>
  <c r="AQ39"/>
  <c r="AJ39"/>
  <c r="AF39"/>
  <c r="Y39"/>
  <c r="S39"/>
  <c r="N39"/>
  <c r="E39"/>
  <c r="BE39"/>
  <c r="AX39"/>
  <c r="AR39"/>
  <c r="AK39"/>
  <c r="AD39"/>
  <c r="W39"/>
  <c r="R39"/>
  <c r="K39"/>
  <c r="F39"/>
  <c r="BF39"/>
  <c r="AY39"/>
  <c r="AT39"/>
  <c r="AM39"/>
  <c r="AH39"/>
  <c r="AC39"/>
  <c r="V39"/>
  <c r="U39" s="1"/>
  <c r="P39"/>
  <c r="I39"/>
  <c r="BE40"/>
  <c r="AX40"/>
  <c r="AR40"/>
  <c r="AK40"/>
  <c r="AD40"/>
  <c r="W40"/>
  <c r="R40"/>
  <c r="K40"/>
  <c r="F40"/>
  <c r="BF40"/>
  <c r="AY40"/>
  <c r="AT40"/>
  <c r="AM40"/>
  <c r="AH40"/>
  <c r="AC40"/>
  <c r="V40"/>
  <c r="P40"/>
  <c r="I40"/>
  <c r="BA40"/>
  <c r="AU40"/>
  <c r="AP40"/>
  <c r="AG40"/>
  <c r="AB40"/>
  <c r="T40"/>
  <c r="O40"/>
  <c r="H40"/>
  <c r="D40"/>
  <c r="BD40"/>
  <c r="AV40"/>
  <c r="AQ40"/>
  <c r="AJ40"/>
  <c r="AF40"/>
  <c r="Y40"/>
  <c r="S40"/>
  <c r="N40"/>
  <c r="E40"/>
  <c r="O41" i="50"/>
  <c r="H41"/>
  <c r="R41" s="1"/>
  <c r="T41" s="1"/>
  <c r="C41"/>
  <c r="J39"/>
  <c r="D39"/>
  <c r="M41"/>
  <c r="L41" s="1"/>
  <c r="E41"/>
  <c r="N39"/>
  <c r="G39"/>
  <c r="O35"/>
  <c r="O39"/>
  <c r="O33"/>
  <c r="N32"/>
  <c r="N36"/>
  <c r="O40"/>
  <c r="C40"/>
  <c r="G40"/>
  <c r="N40"/>
  <c r="E39"/>
  <c r="M39"/>
  <c r="H40"/>
  <c r="R40" s="1"/>
  <c r="T40" s="1"/>
  <c r="D41"/>
  <c r="J41"/>
  <c r="E30"/>
  <c r="M30"/>
  <c r="D31"/>
  <c r="J31"/>
  <c r="C32"/>
  <c r="H32"/>
  <c r="R32" s="1"/>
  <c r="T32" s="1"/>
  <c r="O32"/>
  <c r="G33"/>
  <c r="N33"/>
  <c r="E34"/>
  <c r="M34"/>
  <c r="D35"/>
  <c r="J35"/>
  <c r="C36"/>
  <c r="H36"/>
  <c r="R36" s="1"/>
  <c r="T36" s="1"/>
  <c r="O36"/>
  <c r="G37"/>
  <c r="N37"/>
  <c r="E38"/>
  <c r="M38"/>
  <c r="D30"/>
  <c r="J30"/>
  <c r="E31"/>
  <c r="M31"/>
  <c r="G32"/>
  <c r="C33"/>
  <c r="H33"/>
  <c r="R33" s="1"/>
  <c r="T33" s="1"/>
  <c r="D34"/>
  <c r="J34"/>
  <c r="E35"/>
  <c r="M35"/>
  <c r="G36"/>
  <c r="C37"/>
  <c r="H37"/>
  <c r="R37" s="1"/>
  <c r="T37" s="1"/>
  <c r="D38"/>
  <c r="J38"/>
  <c r="G38"/>
  <c r="O31"/>
  <c r="O37"/>
  <c r="N41"/>
  <c r="N30"/>
  <c r="N34"/>
  <c r="N38"/>
  <c r="E40"/>
  <c r="J40"/>
  <c r="C39"/>
  <c r="H39"/>
  <c r="R39" s="1"/>
  <c r="T39" s="1"/>
  <c r="D40"/>
  <c r="M40"/>
  <c r="G41"/>
  <c r="C30"/>
  <c r="H30"/>
  <c r="O30"/>
  <c r="G31"/>
  <c r="N31"/>
  <c r="E32"/>
  <c r="M32"/>
  <c r="D33"/>
  <c r="J33"/>
  <c r="I33" s="1"/>
  <c r="K33" s="1"/>
  <c r="C34"/>
  <c r="H34"/>
  <c r="R34" s="1"/>
  <c r="T34" s="1"/>
  <c r="O34"/>
  <c r="G35"/>
  <c r="N35"/>
  <c r="E36"/>
  <c r="M36"/>
  <c r="D37"/>
  <c r="J37"/>
  <c r="C38"/>
  <c r="H38"/>
  <c r="R38" s="1"/>
  <c r="T38" s="1"/>
  <c r="O38"/>
  <c r="G30"/>
  <c r="C31"/>
  <c r="H31"/>
  <c r="R31" s="1"/>
  <c r="T31" s="1"/>
  <c r="D32"/>
  <c r="J32"/>
  <c r="E33"/>
  <c r="M33"/>
  <c r="G34"/>
  <c r="C35"/>
  <c r="H35"/>
  <c r="R35" s="1"/>
  <c r="T35" s="1"/>
  <c r="D36"/>
  <c r="J36"/>
  <c r="I36" s="1"/>
  <c r="K36" s="1"/>
  <c r="E37"/>
  <c r="M37"/>
  <c r="B38" i="43"/>
  <c r="R43" i="50" l="1"/>
  <c r="H12" i="48"/>
  <c r="AB11"/>
  <c r="S42" i="49"/>
  <c r="AI27"/>
  <c r="AA22"/>
  <c r="AA21"/>
  <c r="AZ17"/>
  <c r="BB17" s="1"/>
  <c r="AA16"/>
  <c r="AZ15"/>
  <c r="BB15" s="1"/>
  <c r="M13"/>
  <c r="AL13"/>
  <c r="AN13" s="1"/>
  <c r="J12"/>
  <c r="L12" s="1"/>
  <c r="AW11"/>
  <c r="K39" i="48"/>
  <c r="M39" s="1"/>
  <c r="H35"/>
  <c r="H33"/>
  <c r="AB13"/>
  <c r="I32" i="50"/>
  <c r="K32" s="1"/>
  <c r="I37"/>
  <c r="K37" s="1"/>
  <c r="M38" i="49"/>
  <c r="AI38"/>
  <c r="M37"/>
  <c r="M33"/>
  <c r="M31"/>
  <c r="M30"/>
  <c r="AO28"/>
  <c r="G28"/>
  <c r="U17"/>
  <c r="AA13"/>
  <c r="F39" i="50"/>
  <c r="AO18" i="49"/>
  <c r="H32" i="48"/>
  <c r="H30"/>
  <c r="H20"/>
  <c r="U26" i="49"/>
  <c r="D42"/>
  <c r="F38" i="50"/>
  <c r="BC38" i="49"/>
  <c r="AA37"/>
  <c r="AZ36"/>
  <c r="BB36" s="1"/>
  <c r="AZ34"/>
  <c r="BB34" s="1"/>
  <c r="AA33"/>
  <c r="AA31"/>
  <c r="AA28"/>
  <c r="M27"/>
  <c r="V9" i="48"/>
  <c r="AW26" i="49"/>
  <c r="AL23"/>
  <c r="AN23" s="1"/>
  <c r="AO15"/>
  <c r="U13"/>
  <c r="G12"/>
  <c r="H34" i="48"/>
  <c r="AF42" i="49"/>
  <c r="AA30"/>
  <c r="AZ29"/>
  <c r="BB29" s="1"/>
  <c r="F41" i="50"/>
  <c r="AV42" i="49"/>
  <c r="O42"/>
  <c r="U36"/>
  <c r="U32"/>
  <c r="U29"/>
  <c r="M22"/>
  <c r="M21"/>
  <c r="M16"/>
  <c r="U15"/>
  <c r="N19" i="48"/>
  <c r="H31"/>
  <c r="H25"/>
  <c r="H19"/>
  <c r="N13"/>
  <c r="F37" i="50"/>
  <c r="L33"/>
  <c r="F30"/>
  <c r="L36"/>
  <c r="K22" i="48"/>
  <c r="M22" s="1"/>
  <c r="Y22"/>
  <c r="AA22" s="1"/>
  <c r="AB18"/>
  <c r="H16"/>
  <c r="AB16"/>
  <c r="K14"/>
  <c r="M14" s="1"/>
  <c r="N14"/>
  <c r="Y14"/>
  <c r="AA14" s="1"/>
  <c r="V11"/>
  <c r="H10"/>
  <c r="AB10"/>
  <c r="AZ26" i="49"/>
  <c r="BB26" s="1"/>
  <c r="X21"/>
  <c r="Z21" s="1"/>
  <c r="AW21"/>
  <c r="BC12"/>
  <c r="K26" i="48"/>
  <c r="M26" s="1"/>
  <c r="N26"/>
  <c r="X24" i="49"/>
  <c r="Z24" s="1"/>
  <c r="X22"/>
  <c r="Z22" s="1"/>
  <c r="AW22"/>
  <c r="N28" i="48"/>
  <c r="BC18" i="49"/>
  <c r="X19"/>
  <c r="Z19" s="1"/>
  <c r="AW19"/>
  <c r="X16"/>
  <c r="Z16" s="1"/>
  <c r="AW16"/>
  <c r="AW15"/>
  <c r="AL14"/>
  <c r="AN14" s="1"/>
  <c r="AO14"/>
  <c r="M12"/>
  <c r="AZ10"/>
  <c r="BB10" s="1"/>
  <c r="H29" i="48"/>
  <c r="V29"/>
  <c r="E42" i="49"/>
  <c r="AQ42"/>
  <c r="T42"/>
  <c r="AG42"/>
  <c r="AU42"/>
  <c r="AO34"/>
  <c r="AO32"/>
  <c r="AO29"/>
  <c r="N38" i="48"/>
  <c r="N37"/>
  <c r="BC17" i="49"/>
  <c r="Y17" i="48"/>
  <c r="AA17" s="1"/>
  <c r="AW14" i="49"/>
  <c r="V39" i="48"/>
  <c r="AL11" i="49"/>
  <c r="AN11" s="1"/>
  <c r="N39" i="48"/>
  <c r="N36"/>
  <c r="AB35"/>
  <c r="N34"/>
  <c r="AB33"/>
  <c r="N32"/>
  <c r="AB31"/>
  <c r="N30"/>
  <c r="AB24"/>
  <c r="N22"/>
  <c r="K18"/>
  <c r="M18" s="1"/>
  <c r="AW39" i="49"/>
  <c r="V35" i="48"/>
  <c r="V33"/>
  <c r="V31"/>
  <c r="X35" i="49"/>
  <c r="Z35" s="1"/>
  <c r="AW35"/>
  <c r="X33"/>
  <c r="Z33" s="1"/>
  <c r="AW33"/>
  <c r="X31"/>
  <c r="Z31" s="1"/>
  <c r="AW31"/>
  <c r="X30"/>
  <c r="Z30" s="1"/>
  <c r="AW30"/>
  <c r="X27"/>
  <c r="Z27" s="1"/>
  <c r="AL27"/>
  <c r="AN27" s="1"/>
  <c r="X37"/>
  <c r="Z37" s="1"/>
  <c r="AW37"/>
  <c r="J13"/>
  <c r="L13" s="1"/>
  <c r="AI13"/>
  <c r="AW12"/>
  <c r="AB38" i="48"/>
  <c r="H37"/>
  <c r="K37"/>
  <c r="M37" s="1"/>
  <c r="Y28"/>
  <c r="AA28" s="1"/>
  <c r="Y27"/>
  <c r="AA27" s="1"/>
  <c r="Y26"/>
  <c r="AA26" s="1"/>
  <c r="Y19"/>
  <c r="AA19" s="1"/>
  <c r="V37"/>
  <c r="K34"/>
  <c r="M34" s="1"/>
  <c r="K32"/>
  <c r="M32" s="1"/>
  <c r="K30"/>
  <c r="M30" s="1"/>
  <c r="V28"/>
  <c r="V26"/>
  <c r="K24"/>
  <c r="M24" s="1"/>
  <c r="V38"/>
  <c r="V36"/>
  <c r="AA27" i="49"/>
  <c r="AO27"/>
  <c r="M24"/>
  <c r="AI24"/>
  <c r="AA24"/>
  <c r="AO24"/>
  <c r="AA23"/>
  <c r="AO23"/>
  <c r="AO20"/>
  <c r="H39" i="48"/>
  <c r="AB39"/>
  <c r="Y38"/>
  <c r="AA38" s="1"/>
  <c r="Y37"/>
  <c r="AA37" s="1"/>
  <c r="AB37"/>
  <c r="Y36"/>
  <c r="AA36" s="1"/>
  <c r="N35"/>
  <c r="Y35"/>
  <c r="AA35" s="1"/>
  <c r="AB34"/>
  <c r="N33"/>
  <c r="Y33"/>
  <c r="AA33" s="1"/>
  <c r="AB32"/>
  <c r="N31"/>
  <c r="Y31"/>
  <c r="AA31" s="1"/>
  <c r="AB30"/>
  <c r="H28"/>
  <c r="K28"/>
  <c r="M28" s="1"/>
  <c r="AB28"/>
  <c r="K27"/>
  <c r="M27" s="1"/>
  <c r="N27"/>
  <c r="AB26"/>
  <c r="N25"/>
  <c r="AB25"/>
  <c r="V23"/>
  <c r="Y23"/>
  <c r="AA23" s="1"/>
  <c r="N21"/>
  <c r="AB21"/>
  <c r="K20"/>
  <c r="M20" s="1"/>
  <c r="AB20"/>
  <c r="K17"/>
  <c r="M17" s="1"/>
  <c r="N17"/>
  <c r="K15"/>
  <c r="M15" s="1"/>
  <c r="V15"/>
  <c r="Y15"/>
  <c r="AA15" s="1"/>
  <c r="Y13"/>
  <c r="AA13" s="1"/>
  <c r="K12"/>
  <c r="M12" s="1"/>
  <c r="AB12"/>
  <c r="K11"/>
  <c r="M11" s="1"/>
  <c r="N11"/>
  <c r="Y39"/>
  <c r="AA39" s="1"/>
  <c r="H38"/>
  <c r="K36"/>
  <c r="M36" s="1"/>
  <c r="AB36"/>
  <c r="K35"/>
  <c r="M35" s="1"/>
  <c r="K33"/>
  <c r="M33" s="1"/>
  <c r="K31"/>
  <c r="M31" s="1"/>
  <c r="N29"/>
  <c r="K29"/>
  <c r="M29" s="1"/>
  <c r="Y25"/>
  <c r="AA25" s="1"/>
  <c r="H24"/>
  <c r="V24"/>
  <c r="K23"/>
  <c r="M23" s="1"/>
  <c r="N23"/>
  <c r="AB23"/>
  <c r="V22"/>
  <c r="Y21"/>
  <c r="AA21" s="1"/>
  <c r="H21"/>
  <c r="N20"/>
  <c r="Y20"/>
  <c r="AA20" s="1"/>
  <c r="H18"/>
  <c r="V18"/>
  <c r="V16"/>
  <c r="N15"/>
  <c r="AB15"/>
  <c r="V14"/>
  <c r="H14"/>
  <c r="N12"/>
  <c r="Y12"/>
  <c r="AA12" s="1"/>
  <c r="V10"/>
  <c r="BC34" i="49"/>
  <c r="BC32"/>
  <c r="BC29"/>
  <c r="U34"/>
  <c r="AZ32"/>
  <c r="BB32" s="1"/>
  <c r="G27"/>
  <c r="BC24"/>
  <c r="G24"/>
  <c r="AZ20"/>
  <c r="BB20" s="1"/>
  <c r="BC20"/>
  <c r="M20"/>
  <c r="AO17"/>
  <c r="AI15"/>
  <c r="G15"/>
  <c r="AA14"/>
  <c r="U14"/>
  <c r="X13"/>
  <c r="Z13" s="1"/>
  <c r="G33"/>
  <c r="G22"/>
  <c r="G21"/>
  <c r="G19"/>
  <c r="G18"/>
  <c r="G17"/>
  <c r="G16"/>
  <c r="J15"/>
  <c r="L15" s="1"/>
  <c r="G14"/>
  <c r="G13"/>
  <c r="BC13"/>
  <c r="U12"/>
  <c r="AI10"/>
  <c r="AI11"/>
  <c r="AI31"/>
  <c r="G30"/>
  <c r="U28"/>
  <c r="AL28"/>
  <c r="AN28" s="1"/>
  <c r="AZ27"/>
  <c r="BB27" s="1"/>
  <c r="AW25"/>
  <c r="AZ23"/>
  <c r="BB23" s="1"/>
  <c r="AI16"/>
  <c r="S41" i="48"/>
  <c r="AD41"/>
  <c r="BC40" i="49"/>
  <c r="G40"/>
  <c r="I42"/>
  <c r="AH42"/>
  <c r="AT42"/>
  <c r="AK42"/>
  <c r="AL39"/>
  <c r="AN39" s="1"/>
  <c r="J38"/>
  <c r="L38" s="1"/>
  <c r="AZ38"/>
  <c r="BB38" s="1"/>
  <c r="G37"/>
  <c r="AO36"/>
  <c r="M35"/>
  <c r="I41" i="50"/>
  <c r="K41" s="1"/>
  <c r="AC42" i="49"/>
  <c r="F42"/>
  <c r="R42"/>
  <c r="BE42"/>
  <c r="BC36"/>
  <c r="G35"/>
  <c r="AA35"/>
  <c r="AI35"/>
  <c r="AI22"/>
  <c r="AI21"/>
  <c r="G20"/>
  <c r="AI18"/>
  <c r="AI19"/>
  <c r="AI17"/>
  <c r="AL15"/>
  <c r="AN15" s="1"/>
  <c r="M40"/>
  <c r="AI40"/>
  <c r="AA40"/>
  <c r="AO40"/>
  <c r="AI33"/>
  <c r="AI32"/>
  <c r="G32"/>
  <c r="AI30"/>
  <c r="AZ28"/>
  <c r="BB28" s="1"/>
  <c r="X28"/>
  <c r="Z28" s="1"/>
  <c r="AW28"/>
  <c r="AL26"/>
  <c r="AN26" s="1"/>
  <c r="AL25"/>
  <c r="AN25" s="1"/>
  <c r="AL24"/>
  <c r="AN24" s="1"/>
  <c r="U23"/>
  <c r="X23"/>
  <c r="Z23" s="1"/>
  <c r="AE41" i="48"/>
  <c r="X41"/>
  <c r="AL40" i="49"/>
  <c r="AN40" s="1"/>
  <c r="X38"/>
  <c r="Z38" s="1"/>
  <c r="U38"/>
  <c r="AI37"/>
  <c r="AI36"/>
  <c r="W41" i="48"/>
  <c r="Y42" i="49"/>
  <c r="X40"/>
  <c r="Z40" s="1"/>
  <c r="BA42"/>
  <c r="AZ40"/>
  <c r="BB40" s="1"/>
  <c r="AB9" i="48"/>
  <c r="AC41"/>
  <c r="AB41" s="1"/>
  <c r="K9"/>
  <c r="M9" s="1"/>
  <c r="L41"/>
  <c r="H9"/>
  <c r="I41"/>
  <c r="AO10" i="49"/>
  <c r="AP42"/>
  <c r="AR42" s="1"/>
  <c r="AW10"/>
  <c r="AX42"/>
  <c r="AW42" s="1"/>
  <c r="M10"/>
  <c r="N42"/>
  <c r="J39"/>
  <c r="L39" s="1"/>
  <c r="M39"/>
  <c r="X39"/>
  <c r="Z39" s="1"/>
  <c r="AI39"/>
  <c r="AA39"/>
  <c r="AO39"/>
  <c r="AZ39"/>
  <c r="BB39" s="1"/>
  <c r="AA38"/>
  <c r="AO38"/>
  <c r="U37"/>
  <c r="BC37"/>
  <c r="M36"/>
  <c r="X36"/>
  <c r="Z36" s="1"/>
  <c r="AW36"/>
  <c r="G36"/>
  <c r="AL35"/>
  <c r="AN35" s="1"/>
  <c r="U35"/>
  <c r="BC35"/>
  <c r="J34"/>
  <c r="L34" s="1"/>
  <c r="AI34"/>
  <c r="M34"/>
  <c r="X34"/>
  <c r="Z34" s="1"/>
  <c r="AW34"/>
  <c r="G34"/>
  <c r="U33"/>
  <c r="BC33"/>
  <c r="AA32"/>
  <c r="AL32"/>
  <c r="AN32" s="1"/>
  <c r="AL31"/>
  <c r="AN31" s="1"/>
  <c r="AO31"/>
  <c r="AZ31"/>
  <c r="BB31" s="1"/>
  <c r="J31"/>
  <c r="L31" s="1"/>
  <c r="U30"/>
  <c r="BC30"/>
  <c r="J29"/>
  <c r="L29" s="1"/>
  <c r="AI29"/>
  <c r="M29"/>
  <c r="X29"/>
  <c r="Z29" s="1"/>
  <c r="AW29"/>
  <c r="G29"/>
  <c r="M28"/>
  <c r="BC28"/>
  <c r="BC27"/>
  <c r="U27"/>
  <c r="J41" i="48"/>
  <c r="T41"/>
  <c r="BC26" i="49"/>
  <c r="G26"/>
  <c r="G41" i="48"/>
  <c r="M25" i="49"/>
  <c r="X25"/>
  <c r="Z25" s="1"/>
  <c r="AI25"/>
  <c r="AA25"/>
  <c r="AO25"/>
  <c r="M23"/>
  <c r="AI23"/>
  <c r="U22"/>
  <c r="BC22"/>
  <c r="U21"/>
  <c r="BC21"/>
  <c r="AA20"/>
  <c r="AL20"/>
  <c r="AN20" s="1"/>
  <c r="AI20"/>
  <c r="M18"/>
  <c r="X18"/>
  <c r="Z18" s="1"/>
  <c r="AW18"/>
  <c r="U19"/>
  <c r="BC19"/>
  <c r="M17"/>
  <c r="X17"/>
  <c r="Z17" s="1"/>
  <c r="AW17"/>
  <c r="U16"/>
  <c r="BC16"/>
  <c r="AZ14"/>
  <c r="BB14" s="1"/>
  <c r="AO13"/>
  <c r="AZ13"/>
  <c r="BB13" s="1"/>
  <c r="AA12"/>
  <c r="AL12"/>
  <c r="AN12" s="1"/>
  <c r="V42"/>
  <c r="U42" s="1"/>
  <c r="AJ42"/>
  <c r="AI42" s="1"/>
  <c r="BC11"/>
  <c r="J11"/>
  <c r="L11" s="1"/>
  <c r="M11"/>
  <c r="Y9" i="48"/>
  <c r="AA9" s="1"/>
  <c r="Z41"/>
  <c r="N9"/>
  <c r="O41"/>
  <c r="AA10" i="49"/>
  <c r="AB42"/>
  <c r="BC10"/>
  <c r="BD42"/>
  <c r="G10"/>
  <c r="H42"/>
  <c r="J10"/>
  <c r="L10" s="1"/>
  <c r="K42"/>
  <c r="J42" s="1"/>
  <c r="AL10"/>
  <c r="AN10" s="1"/>
  <c r="AM42"/>
  <c r="U40"/>
  <c r="J40"/>
  <c r="L40" s="1"/>
  <c r="AW40"/>
  <c r="BC39"/>
  <c r="G39"/>
  <c r="AW38"/>
  <c r="AL38"/>
  <c r="AN38" s="1"/>
  <c r="G38"/>
  <c r="AL37"/>
  <c r="AN37" s="1"/>
  <c r="AO37"/>
  <c r="AZ37"/>
  <c r="BB37" s="1"/>
  <c r="J37"/>
  <c r="L37" s="1"/>
  <c r="J36"/>
  <c r="L36" s="1"/>
  <c r="AA36"/>
  <c r="AL36"/>
  <c r="AN36" s="1"/>
  <c r="AO35"/>
  <c r="AZ35"/>
  <c r="BB35" s="1"/>
  <c r="J35"/>
  <c r="L35" s="1"/>
  <c r="AA34"/>
  <c r="AL34"/>
  <c r="AN34" s="1"/>
  <c r="AL33"/>
  <c r="AN33" s="1"/>
  <c r="AO33"/>
  <c r="AZ33"/>
  <c r="BB33" s="1"/>
  <c r="J33"/>
  <c r="L33" s="1"/>
  <c r="J32"/>
  <c r="L32" s="1"/>
  <c r="M32"/>
  <c r="X32"/>
  <c r="Z32" s="1"/>
  <c r="AW32"/>
  <c r="G31"/>
  <c r="U31"/>
  <c r="BC31"/>
  <c r="AL30"/>
  <c r="AN30" s="1"/>
  <c r="AO30"/>
  <c r="AZ30"/>
  <c r="BB30" s="1"/>
  <c r="J30"/>
  <c r="L30" s="1"/>
  <c r="AA29"/>
  <c r="AL29"/>
  <c r="AN29" s="1"/>
  <c r="J28"/>
  <c r="L28" s="1"/>
  <c r="J27"/>
  <c r="L27" s="1"/>
  <c r="AW27"/>
  <c r="J26"/>
  <c r="L26" s="1"/>
  <c r="F41" i="48"/>
  <c r="E41"/>
  <c r="Q41"/>
  <c r="U41"/>
  <c r="M26" i="49"/>
  <c r="X26"/>
  <c r="Z26" s="1"/>
  <c r="AI26"/>
  <c r="AA26"/>
  <c r="AO26"/>
  <c r="P41" i="48"/>
  <c r="J25" i="49"/>
  <c r="L25" s="1"/>
  <c r="BC25"/>
  <c r="G25"/>
  <c r="U24"/>
  <c r="J24"/>
  <c r="L24" s="1"/>
  <c r="AW24"/>
  <c r="BC23"/>
  <c r="J23"/>
  <c r="L23" s="1"/>
  <c r="AW23"/>
  <c r="AL22"/>
  <c r="AN22" s="1"/>
  <c r="AO22"/>
  <c r="AZ22"/>
  <c r="BB22" s="1"/>
  <c r="J22"/>
  <c r="L22" s="1"/>
  <c r="AL21"/>
  <c r="AN21" s="1"/>
  <c r="AO21"/>
  <c r="AZ21"/>
  <c r="BB21" s="1"/>
  <c r="J21"/>
  <c r="L21" s="1"/>
  <c r="X20"/>
  <c r="Z20" s="1"/>
  <c r="AW20"/>
  <c r="U20"/>
  <c r="J18"/>
  <c r="L18" s="1"/>
  <c r="AL19"/>
  <c r="AN19" s="1"/>
  <c r="AA18"/>
  <c r="AL18"/>
  <c r="AN18" s="1"/>
  <c r="AO19"/>
  <c r="AZ19"/>
  <c r="BB19" s="1"/>
  <c r="J19"/>
  <c r="L19" s="1"/>
  <c r="J17"/>
  <c r="L17" s="1"/>
  <c r="AA17"/>
  <c r="AL17"/>
  <c r="AN17" s="1"/>
  <c r="AL16"/>
  <c r="AN16" s="1"/>
  <c r="AO16"/>
  <c r="AZ16"/>
  <c r="BB16" s="1"/>
  <c r="J16"/>
  <c r="L16" s="1"/>
  <c r="AA15"/>
  <c r="M15"/>
  <c r="X15"/>
  <c r="Z15" s="1"/>
  <c r="J14"/>
  <c r="L14" s="1"/>
  <c r="AI14"/>
  <c r="M14"/>
  <c r="X14"/>
  <c r="Z14" s="1"/>
  <c r="X12"/>
  <c r="Z12" s="1"/>
  <c r="AO12"/>
  <c r="AZ12"/>
  <c r="BB12" s="1"/>
  <c r="U11"/>
  <c r="W42"/>
  <c r="X10"/>
  <c r="Z10" s="1"/>
  <c r="AO11"/>
  <c r="AZ11"/>
  <c r="BB11" s="1"/>
  <c r="AY42"/>
  <c r="L37" i="50"/>
  <c r="F34"/>
  <c r="F33"/>
  <c r="L32"/>
  <c r="L40"/>
  <c r="I40"/>
  <c r="K40" s="1"/>
  <c r="L31"/>
  <c r="L38"/>
  <c r="L30"/>
  <c r="L35"/>
  <c r="L34"/>
  <c r="L39"/>
  <c r="R30"/>
  <c r="T30" s="1"/>
  <c r="H43"/>
  <c r="I30"/>
  <c r="K30" s="1"/>
  <c r="J43"/>
  <c r="I38"/>
  <c r="K38" s="1"/>
  <c r="F36"/>
  <c r="F35"/>
  <c r="I31"/>
  <c r="M43"/>
  <c r="F40"/>
  <c r="O43"/>
  <c r="C43"/>
  <c r="N43"/>
  <c r="I34"/>
  <c r="K34" s="1"/>
  <c r="F32"/>
  <c r="F31"/>
  <c r="D43"/>
  <c r="I35"/>
  <c r="K35" s="1"/>
  <c r="E43"/>
  <c r="I39"/>
  <c r="K39" s="1"/>
  <c r="B39" i="43"/>
  <c r="P42" i="49" l="1"/>
  <c r="N41" i="48"/>
  <c r="AD42" i="49"/>
  <c r="AZ42"/>
  <c r="X42"/>
  <c r="AL42"/>
  <c r="G42"/>
  <c r="BF42"/>
  <c r="Y41" i="48"/>
  <c r="AN42" i="49"/>
  <c r="BB42"/>
  <c r="M42"/>
  <c r="AO42"/>
  <c r="V41" i="48"/>
  <c r="Z42" i="49"/>
  <c r="L42"/>
  <c r="BC42"/>
  <c r="AA42"/>
  <c r="H41" i="48"/>
  <c r="K41"/>
  <c r="I43" i="50"/>
  <c r="K31"/>
  <c r="B40" i="43"/>
  <c r="O4" i="42"/>
  <c r="L43" i="50" l="1"/>
  <c r="K43"/>
  <c r="B3" i="39" l="1"/>
  <c r="B3" i="38"/>
  <c r="E3" i="35"/>
  <c r="D2" i="42"/>
  <c r="O2" s="1"/>
  <c r="T44" i="40" l="1"/>
  <c r="Z44"/>
  <c r="S44"/>
  <c r="Y44"/>
  <c r="T11" i="47"/>
  <c r="T15"/>
  <c r="T19"/>
  <c r="T23"/>
  <c r="T27"/>
  <c r="T31"/>
  <c r="T35"/>
  <c r="T39"/>
  <c r="T43"/>
  <c r="T47"/>
  <c r="T51"/>
  <c r="T55"/>
  <c r="T10"/>
  <c r="T14"/>
  <c r="T18"/>
  <c r="T22"/>
  <c r="T26"/>
  <c r="T30"/>
  <c r="T34"/>
  <c r="T38"/>
  <c r="T42"/>
  <c r="T46"/>
  <c r="T50"/>
  <c r="T54"/>
  <c r="T8"/>
  <c r="V9"/>
  <c r="V11"/>
  <c r="U11" s="1"/>
  <c r="V13"/>
  <c r="V15"/>
  <c r="U15" s="1"/>
  <c r="V17"/>
  <c r="V19"/>
  <c r="U19" s="1"/>
  <c r="V21"/>
  <c r="V23"/>
  <c r="U23" s="1"/>
  <c r="V25"/>
  <c r="V27"/>
  <c r="U27" s="1"/>
  <c r="V29"/>
  <c r="V31"/>
  <c r="U31" s="1"/>
  <c r="V33"/>
  <c r="V35"/>
  <c r="U35" s="1"/>
  <c r="V37"/>
  <c r="V39"/>
  <c r="U39" s="1"/>
  <c r="V41"/>
  <c r="V43"/>
  <c r="U43" s="1"/>
  <c r="V45"/>
  <c r="V47"/>
  <c r="U47" s="1"/>
  <c r="V49"/>
  <c r="V51"/>
  <c r="U51" s="1"/>
  <c r="V53"/>
  <c r="V55"/>
  <c r="U55" s="1"/>
  <c r="V57"/>
  <c r="Z46" i="40"/>
  <c r="Z42"/>
  <c r="T9" i="47"/>
  <c r="T13"/>
  <c r="T17"/>
  <c r="T21"/>
  <c r="T25"/>
  <c r="T29"/>
  <c r="T33"/>
  <c r="T37"/>
  <c r="T41"/>
  <c r="T45"/>
  <c r="T49"/>
  <c r="T53"/>
  <c r="T57"/>
  <c r="T12"/>
  <c r="T16"/>
  <c r="T20"/>
  <c r="T24"/>
  <c r="T28"/>
  <c r="T32"/>
  <c r="T36"/>
  <c r="T40"/>
  <c r="T44"/>
  <c r="T48"/>
  <c r="T52"/>
  <c r="T56"/>
  <c r="V8"/>
  <c r="V10"/>
  <c r="U10" s="1"/>
  <c r="V12"/>
  <c r="U12" s="1"/>
  <c r="V14"/>
  <c r="U14" s="1"/>
  <c r="V16"/>
  <c r="V18"/>
  <c r="U18" s="1"/>
  <c r="V20"/>
  <c r="U20" s="1"/>
  <c r="V22"/>
  <c r="U22" s="1"/>
  <c r="V24"/>
  <c r="V26"/>
  <c r="U26" s="1"/>
  <c r="V28"/>
  <c r="U28" s="1"/>
  <c r="V30"/>
  <c r="U30" s="1"/>
  <c r="V32"/>
  <c r="V34"/>
  <c r="U34" s="1"/>
  <c r="V36"/>
  <c r="U36" s="1"/>
  <c r="V38"/>
  <c r="U38" s="1"/>
  <c r="V40"/>
  <c r="V42"/>
  <c r="U42" s="1"/>
  <c r="V44"/>
  <c r="U44" s="1"/>
  <c r="V46"/>
  <c r="U46" s="1"/>
  <c r="V48"/>
  <c r="U48" s="1"/>
  <c r="V50"/>
  <c r="U50" s="1"/>
  <c r="V52"/>
  <c r="U52" s="1"/>
  <c r="V54"/>
  <c r="U54" s="1"/>
  <c r="V56"/>
  <c r="U56" s="1"/>
  <c r="Z47" i="40"/>
  <c r="Z45"/>
  <c r="Z43"/>
  <c r="Z41"/>
  <c r="Z3"/>
  <c r="V45" i="45"/>
  <c r="V43"/>
  <c r="V41"/>
  <c r="V39"/>
  <c r="V37"/>
  <c r="V35"/>
  <c r="V33"/>
  <c r="V31"/>
  <c r="V29"/>
  <c r="V27"/>
  <c r="V25"/>
  <c r="V23"/>
  <c r="V21"/>
  <c r="T19"/>
  <c r="T17"/>
  <c r="T15"/>
  <c r="T13"/>
  <c r="T11"/>
  <c r="T9"/>
  <c r="T41" i="40"/>
  <c r="T39"/>
  <c r="T37"/>
  <c r="T35"/>
  <c r="T33"/>
  <c r="T31"/>
  <c r="T29"/>
  <c r="T27"/>
  <c r="T25"/>
  <c r="T23"/>
  <c r="T21"/>
  <c r="T19"/>
  <c r="T17"/>
  <c r="T15"/>
  <c r="T13"/>
  <c r="T11"/>
  <c r="T9"/>
  <c r="T7"/>
  <c r="T5"/>
  <c r="T3"/>
  <c r="T12"/>
  <c r="T8"/>
  <c r="T6"/>
  <c r="V44" i="45"/>
  <c r="V42"/>
  <c r="V40"/>
  <c r="V38"/>
  <c r="V36"/>
  <c r="V34"/>
  <c r="V32"/>
  <c r="V30"/>
  <c r="V28"/>
  <c r="V26"/>
  <c r="V24"/>
  <c r="V22"/>
  <c r="T20"/>
  <c r="T18"/>
  <c r="T16"/>
  <c r="T14"/>
  <c r="T12"/>
  <c r="T10"/>
  <c r="T8"/>
  <c r="T40" i="40"/>
  <c r="T38"/>
  <c r="T36"/>
  <c r="T34"/>
  <c r="T32"/>
  <c r="T30"/>
  <c r="T28"/>
  <c r="T26"/>
  <c r="T24"/>
  <c r="T22"/>
  <c r="T20"/>
  <c r="T18"/>
  <c r="T16"/>
  <c r="T14"/>
  <c r="T10"/>
  <c r="T4"/>
  <c r="V48" i="45"/>
  <c r="V56"/>
  <c r="V50"/>
  <c r="T46"/>
  <c r="T48"/>
  <c r="T50"/>
  <c r="T52"/>
  <c r="T54"/>
  <c r="T56"/>
  <c r="V49"/>
  <c r="V53"/>
  <c r="T7"/>
  <c r="V9"/>
  <c r="U9" s="1"/>
  <c r="V11"/>
  <c r="U11" s="1"/>
  <c r="V13"/>
  <c r="U13" s="1"/>
  <c r="V15"/>
  <c r="U15" s="1"/>
  <c r="V17"/>
  <c r="U17" s="1"/>
  <c r="V19"/>
  <c r="U19" s="1"/>
  <c r="T21"/>
  <c r="T24"/>
  <c r="T26"/>
  <c r="T28"/>
  <c r="T30"/>
  <c r="T32"/>
  <c r="T34"/>
  <c r="T36"/>
  <c r="U36" s="1"/>
  <c r="T38"/>
  <c r="U38" s="1"/>
  <c r="T40"/>
  <c r="U40" s="1"/>
  <c r="T42"/>
  <c r="U42" s="1"/>
  <c r="T44"/>
  <c r="U44" s="1"/>
  <c r="V7"/>
  <c r="V52"/>
  <c r="U52" s="1"/>
  <c r="V46"/>
  <c r="U46" s="1"/>
  <c r="V54"/>
  <c r="U54" s="1"/>
  <c r="T47"/>
  <c r="T49"/>
  <c r="T51"/>
  <c r="T53"/>
  <c r="T55"/>
  <c r="V47"/>
  <c r="V51"/>
  <c r="U51" s="1"/>
  <c r="V55"/>
  <c r="V8"/>
  <c r="U8" s="1"/>
  <c r="V10"/>
  <c r="U10" s="1"/>
  <c r="V12"/>
  <c r="U12" s="1"/>
  <c r="V14"/>
  <c r="U14" s="1"/>
  <c r="V16"/>
  <c r="U16" s="1"/>
  <c r="V18"/>
  <c r="U18" s="1"/>
  <c r="V20"/>
  <c r="U20" s="1"/>
  <c r="T22"/>
  <c r="T25"/>
  <c r="T27"/>
  <c r="T29"/>
  <c r="T31"/>
  <c r="U31" s="1"/>
  <c r="T33"/>
  <c r="T35"/>
  <c r="U35" s="1"/>
  <c r="T37"/>
  <c r="U37" s="1"/>
  <c r="T39"/>
  <c r="U39" s="1"/>
  <c r="T41"/>
  <c r="U41" s="1"/>
  <c r="T43"/>
  <c r="T45"/>
  <c r="U45" s="1"/>
  <c r="T23"/>
  <c r="U23" s="1"/>
  <c r="Z39" i="40"/>
  <c r="Z37"/>
  <c r="Z35"/>
  <c r="Z33"/>
  <c r="Z31"/>
  <c r="Z29"/>
  <c r="Z27"/>
  <c r="Z25"/>
  <c r="Z23"/>
  <c r="Z21"/>
  <c r="Z19"/>
  <c r="Z17"/>
  <c r="Z15"/>
  <c r="Z13"/>
  <c r="Z11"/>
  <c r="Z9"/>
  <c r="Z7"/>
  <c r="Z5"/>
  <c r="Z40"/>
  <c r="Z38"/>
  <c r="Z36"/>
  <c r="Z34"/>
  <c r="Z32"/>
  <c r="Z30"/>
  <c r="Z28"/>
  <c r="Z26"/>
  <c r="Z24"/>
  <c r="Z22"/>
  <c r="Z20"/>
  <c r="Z18"/>
  <c r="Z16"/>
  <c r="Z14"/>
  <c r="Z12"/>
  <c r="Z10"/>
  <c r="Z8"/>
  <c r="Z6"/>
  <c r="Z4"/>
  <c r="AF10" i="43"/>
  <c r="AG12"/>
  <c r="AF14"/>
  <c r="AG16"/>
  <c r="AF18"/>
  <c r="AG20"/>
  <c r="AF22"/>
  <c r="AG24"/>
  <c r="AF26"/>
  <c r="AG28"/>
  <c r="AF30"/>
  <c r="AG32"/>
  <c r="AF34"/>
  <c r="AG36"/>
  <c r="AG11"/>
  <c r="AG13"/>
  <c r="AG15"/>
  <c r="AG17"/>
  <c r="AG19"/>
  <c r="AG21"/>
  <c r="AG23"/>
  <c r="AG25"/>
  <c r="AG27"/>
  <c r="AG29"/>
  <c r="AG31"/>
  <c r="AG33"/>
  <c r="AG35"/>
  <c r="AG37"/>
  <c r="AG10"/>
  <c r="AF12"/>
  <c r="AG14"/>
  <c r="AF16"/>
  <c r="AG18"/>
  <c r="AF20"/>
  <c r="AG22"/>
  <c r="AF24"/>
  <c r="AG26"/>
  <c r="AF28"/>
  <c r="AG30"/>
  <c r="AF32"/>
  <c r="AG34"/>
  <c r="AF36"/>
  <c r="AF11"/>
  <c r="AF13"/>
  <c r="AF15"/>
  <c r="AF17"/>
  <c r="AF19"/>
  <c r="AF21"/>
  <c r="AF23"/>
  <c r="AF25"/>
  <c r="AF27"/>
  <c r="AF29"/>
  <c r="AF31"/>
  <c r="AF33"/>
  <c r="AF35"/>
  <c r="AF37"/>
  <c r="AG38"/>
  <c r="AF38"/>
  <c r="AF39"/>
  <c r="AG39"/>
  <c r="AG40"/>
  <c r="AF40"/>
  <c r="L8" i="47"/>
  <c r="L10"/>
  <c r="L12"/>
  <c r="L14"/>
  <c r="L16"/>
  <c r="L18"/>
  <c r="L20"/>
  <c r="L22"/>
  <c r="L24"/>
  <c r="L26"/>
  <c r="L28"/>
  <c r="L30"/>
  <c r="L32"/>
  <c r="L34"/>
  <c r="L36"/>
  <c r="L38"/>
  <c r="L40"/>
  <c r="L42"/>
  <c r="L44"/>
  <c r="L46"/>
  <c r="L48"/>
  <c r="L50"/>
  <c r="L52"/>
  <c r="L54"/>
  <c r="L56"/>
  <c r="N48"/>
  <c r="N50"/>
  <c r="N52"/>
  <c r="N53"/>
  <c r="N55"/>
  <c r="N57"/>
  <c r="L11"/>
  <c r="L15"/>
  <c r="L19"/>
  <c r="L23"/>
  <c r="L27"/>
  <c r="L31"/>
  <c r="L35"/>
  <c r="L39"/>
  <c r="L43"/>
  <c r="L47"/>
  <c r="L51"/>
  <c r="L55"/>
  <c r="N8"/>
  <c r="N9"/>
  <c r="N10"/>
  <c r="M10" s="1"/>
  <c r="N11"/>
  <c r="N12"/>
  <c r="N13"/>
  <c r="N14"/>
  <c r="N15"/>
  <c r="N16"/>
  <c r="N17"/>
  <c r="N18"/>
  <c r="M18" s="1"/>
  <c r="N19"/>
  <c r="N20"/>
  <c r="N21"/>
  <c r="N22"/>
  <c r="N23"/>
  <c r="M23" s="1"/>
  <c r="N24"/>
  <c r="N25"/>
  <c r="N26"/>
  <c r="M26" s="1"/>
  <c r="N27"/>
  <c r="N28"/>
  <c r="N29"/>
  <c r="N30"/>
  <c r="N31"/>
  <c r="N32"/>
  <c r="N33"/>
  <c r="N34"/>
  <c r="M34" s="1"/>
  <c r="N35"/>
  <c r="N36"/>
  <c r="N37"/>
  <c r="N38"/>
  <c r="N39"/>
  <c r="M39" s="1"/>
  <c r="N40"/>
  <c r="N41"/>
  <c r="N42"/>
  <c r="M42" s="1"/>
  <c r="N43"/>
  <c r="N44"/>
  <c r="N45"/>
  <c r="N46"/>
  <c r="N47"/>
  <c r="N49"/>
  <c r="N51"/>
  <c r="N54"/>
  <c r="N56"/>
  <c r="L9"/>
  <c r="L13"/>
  <c r="L17"/>
  <c r="L21"/>
  <c r="L25"/>
  <c r="L29"/>
  <c r="L33"/>
  <c r="L37"/>
  <c r="L41"/>
  <c r="L45"/>
  <c r="L49"/>
  <c r="L53"/>
  <c r="L57"/>
  <c r="Y46" i="40"/>
  <c r="Y42"/>
  <c r="Y47"/>
  <c r="Y45"/>
  <c r="Y43"/>
  <c r="Y41"/>
  <c r="Z39" i="43"/>
  <c r="Z37"/>
  <c r="Z35"/>
  <c r="Z33"/>
  <c r="Z31"/>
  <c r="Z29"/>
  <c r="Z27"/>
  <c r="Z25"/>
  <c r="Z23"/>
  <c r="Z21"/>
  <c r="Z19"/>
  <c r="Z17"/>
  <c r="Z15"/>
  <c r="Z13"/>
  <c r="Z11"/>
  <c r="Z10"/>
  <c r="Z40"/>
  <c r="Z38"/>
  <c r="Z36"/>
  <c r="Z34"/>
  <c r="Z32"/>
  <c r="Z30"/>
  <c r="Z28"/>
  <c r="Z26"/>
  <c r="Z24"/>
  <c r="Z22"/>
  <c r="Z20"/>
  <c r="Z18"/>
  <c r="Z16"/>
  <c r="Z14"/>
  <c r="Z12"/>
  <c r="Y10"/>
  <c r="N56" i="45"/>
  <c r="N55"/>
  <c r="N54"/>
  <c r="N53"/>
  <c r="N52"/>
  <c r="N51"/>
  <c r="N50"/>
  <c r="N49"/>
  <c r="N48"/>
  <c r="N47"/>
  <c r="S33" i="40"/>
  <c r="S28"/>
  <c r="S25"/>
  <c r="S23"/>
  <c r="S21"/>
  <c r="S19"/>
  <c r="S17"/>
  <c r="S14"/>
  <c r="S12"/>
  <c r="S10"/>
  <c r="S8"/>
  <c r="S6"/>
  <c r="S4"/>
  <c r="L56" i="45"/>
  <c r="L55"/>
  <c r="L54"/>
  <c r="L53"/>
  <c r="L52"/>
  <c r="L51"/>
  <c r="L50"/>
  <c r="L49"/>
  <c r="L48"/>
  <c r="L47"/>
  <c r="L46"/>
  <c r="Y3" i="40"/>
  <c r="N46" i="45"/>
  <c r="S41" i="40"/>
  <c r="S40"/>
  <c r="S39"/>
  <c r="S38"/>
  <c r="S37"/>
  <c r="S36"/>
  <c r="S35"/>
  <c r="S34"/>
  <c r="S32"/>
  <c r="S31"/>
  <c r="S30"/>
  <c r="S29"/>
  <c r="S27"/>
  <c r="S26"/>
  <c r="S24"/>
  <c r="S22"/>
  <c r="S20"/>
  <c r="S18"/>
  <c r="S16"/>
  <c r="S15"/>
  <c r="S13"/>
  <c r="S11"/>
  <c r="S9"/>
  <c r="S7"/>
  <c r="S5"/>
  <c r="S3"/>
  <c r="L22" i="45"/>
  <c r="L23"/>
  <c r="L8"/>
  <c r="L10"/>
  <c r="L12"/>
  <c r="L14"/>
  <c r="L16"/>
  <c r="L18"/>
  <c r="L20"/>
  <c r="N21"/>
  <c r="N25"/>
  <c r="N27"/>
  <c r="N29"/>
  <c r="N31"/>
  <c r="N33"/>
  <c r="N35"/>
  <c r="N37"/>
  <c r="N39"/>
  <c r="N41"/>
  <c r="N43"/>
  <c r="N45"/>
  <c r="N23"/>
  <c r="M23" s="1"/>
  <c r="L38"/>
  <c r="L41"/>
  <c r="L43"/>
  <c r="L45"/>
  <c r="L7"/>
  <c r="L11"/>
  <c r="L15"/>
  <c r="L19"/>
  <c r="N22"/>
  <c r="N26"/>
  <c r="N30"/>
  <c r="N34"/>
  <c r="N38"/>
  <c r="M38" s="1"/>
  <c r="N42"/>
  <c r="N7"/>
  <c r="N8"/>
  <c r="N9"/>
  <c r="N10"/>
  <c r="M10" s="1"/>
  <c r="N11"/>
  <c r="N12"/>
  <c r="N13"/>
  <c r="N14"/>
  <c r="N15"/>
  <c r="M15" s="1"/>
  <c r="N16"/>
  <c r="N17"/>
  <c r="N18"/>
  <c r="M18" s="1"/>
  <c r="N19"/>
  <c r="N20"/>
  <c r="L24"/>
  <c r="L25"/>
  <c r="L26"/>
  <c r="L27"/>
  <c r="L28"/>
  <c r="L29"/>
  <c r="L30"/>
  <c r="L31"/>
  <c r="L32"/>
  <c r="L33"/>
  <c r="L34"/>
  <c r="L35"/>
  <c r="L36"/>
  <c r="L37"/>
  <c r="L39"/>
  <c r="L40"/>
  <c r="L42"/>
  <c r="L44"/>
  <c r="L9"/>
  <c r="L13"/>
  <c r="L17"/>
  <c r="L21"/>
  <c r="N24"/>
  <c r="N28"/>
  <c r="N32"/>
  <c r="M32" s="1"/>
  <c r="N36"/>
  <c r="N40"/>
  <c r="N44"/>
  <c r="Y40" i="40"/>
  <c r="Y36"/>
  <c r="Y34"/>
  <c r="Y32"/>
  <c r="Y30"/>
  <c r="Y28"/>
  <c r="Y26"/>
  <c r="Y24"/>
  <c r="Y22"/>
  <c r="Y20"/>
  <c r="Y18"/>
  <c r="Y16"/>
  <c r="Y14"/>
  <c r="Y12"/>
  <c r="Y10"/>
  <c r="Y8"/>
  <c r="Y6"/>
  <c r="Y4"/>
  <c r="Y39"/>
  <c r="Y38"/>
  <c r="Y37"/>
  <c r="Y35"/>
  <c r="Y33"/>
  <c r="Y31"/>
  <c r="Y29"/>
  <c r="Y27"/>
  <c r="Y25"/>
  <c r="Y23"/>
  <c r="Y21"/>
  <c r="Y19"/>
  <c r="Y17"/>
  <c r="Y15"/>
  <c r="Y13"/>
  <c r="Y11"/>
  <c r="Y9"/>
  <c r="Y7"/>
  <c r="Y5"/>
  <c r="W10" i="43" a="1"/>
  <c r="W10" s="1"/>
  <c r="W12" a="1"/>
  <c r="W12" s="1"/>
  <c r="W14" a="1"/>
  <c r="W14" s="1"/>
  <c r="W16" a="1"/>
  <c r="W16" s="1"/>
  <c r="W18" a="1"/>
  <c r="W18" s="1"/>
  <c r="W20" a="1"/>
  <c r="W20" s="1"/>
  <c r="X22" a="1"/>
  <c r="X22" s="1"/>
  <c r="X24" a="1"/>
  <c r="X24" s="1"/>
  <c r="W26" a="1"/>
  <c r="W26" s="1"/>
  <c r="W28" a="1"/>
  <c r="W28" s="1"/>
  <c r="X30" a="1"/>
  <c r="X30" s="1"/>
  <c r="X32" a="1"/>
  <c r="X32" s="1"/>
  <c r="W34" a="1"/>
  <c r="W34" s="1"/>
  <c r="W36" a="1"/>
  <c r="W36" s="1"/>
  <c r="W11" a="1"/>
  <c r="W11" s="1"/>
  <c r="W13" a="1"/>
  <c r="W13" s="1"/>
  <c r="W15" a="1"/>
  <c r="W15" s="1"/>
  <c r="W17" a="1"/>
  <c r="W17" s="1"/>
  <c r="W19" a="1"/>
  <c r="W19" s="1"/>
  <c r="X21" a="1"/>
  <c r="X21" s="1"/>
  <c r="X23" a="1"/>
  <c r="X23" s="1"/>
  <c r="X25" a="1"/>
  <c r="X25" s="1"/>
  <c r="W27" a="1"/>
  <c r="W27" s="1"/>
  <c r="W29" a="1"/>
  <c r="W29" s="1"/>
  <c r="X31" a="1"/>
  <c r="X31" s="1"/>
  <c r="X33" a="1"/>
  <c r="X33" s="1"/>
  <c r="W35" a="1"/>
  <c r="W35" s="1"/>
  <c r="W37" a="1"/>
  <c r="W37" s="1"/>
  <c r="X10" a="1"/>
  <c r="X10" s="1"/>
  <c r="X12" a="1"/>
  <c r="X12" s="1"/>
  <c r="X14" a="1"/>
  <c r="X14" s="1"/>
  <c r="X16" a="1"/>
  <c r="X16" s="1"/>
  <c r="X18" a="1"/>
  <c r="X18" s="1"/>
  <c r="X20" a="1"/>
  <c r="X20" s="1"/>
  <c r="W22" a="1"/>
  <c r="W22" s="1"/>
  <c r="W24" a="1"/>
  <c r="W24" s="1"/>
  <c r="X26" a="1"/>
  <c r="X26" s="1"/>
  <c r="X28" a="1"/>
  <c r="X28" s="1"/>
  <c r="W30" a="1"/>
  <c r="W30" s="1"/>
  <c r="W32" a="1"/>
  <c r="W32" s="1"/>
  <c r="X34" a="1"/>
  <c r="X34" s="1"/>
  <c r="X36" a="1"/>
  <c r="X36" s="1"/>
  <c r="X11" a="1"/>
  <c r="X11" s="1"/>
  <c r="X13" a="1"/>
  <c r="X13" s="1"/>
  <c r="X15" a="1"/>
  <c r="X15" s="1"/>
  <c r="X17" a="1"/>
  <c r="X17" s="1"/>
  <c r="X19" a="1"/>
  <c r="X19" s="1"/>
  <c r="W21" a="1"/>
  <c r="W21" s="1"/>
  <c r="W23" a="1"/>
  <c r="W23" s="1"/>
  <c r="W25" a="1"/>
  <c r="W25" s="1"/>
  <c r="X27" a="1"/>
  <c r="X27" s="1"/>
  <c r="X29" a="1"/>
  <c r="X29" s="1"/>
  <c r="W31" a="1"/>
  <c r="W31" s="1"/>
  <c r="W33" a="1"/>
  <c r="W33" s="1"/>
  <c r="X35" a="1"/>
  <c r="X35" s="1"/>
  <c r="X37" a="1"/>
  <c r="X37" s="1"/>
  <c r="X38" a="1"/>
  <c r="X38" s="1"/>
  <c r="W38" a="1"/>
  <c r="W38" s="1"/>
  <c r="X39" a="1"/>
  <c r="X39" s="1"/>
  <c r="W39" a="1"/>
  <c r="W39" s="1"/>
  <c r="X40" a="1"/>
  <c r="X40" s="1"/>
  <c r="W40" a="1"/>
  <c r="W40" s="1"/>
  <c r="AI10"/>
  <c r="AI11"/>
  <c r="AI15"/>
  <c r="AI19"/>
  <c r="AI23"/>
  <c r="AI27"/>
  <c r="AI31"/>
  <c r="AI35"/>
  <c r="AI12"/>
  <c r="AH12" s="1"/>
  <c r="AI14"/>
  <c r="AH14" s="1"/>
  <c r="AI16"/>
  <c r="AH16" s="1"/>
  <c r="AI18"/>
  <c r="AH18" s="1"/>
  <c r="AI20"/>
  <c r="AH20" s="1"/>
  <c r="AI22"/>
  <c r="AH22" s="1"/>
  <c r="AI24"/>
  <c r="AH24" s="1"/>
  <c r="AI26"/>
  <c r="AH26" s="1"/>
  <c r="AI28"/>
  <c r="AH28" s="1"/>
  <c r="AI30"/>
  <c r="AH30" s="1"/>
  <c r="AI32"/>
  <c r="AH32" s="1"/>
  <c r="AI34"/>
  <c r="AH34" s="1"/>
  <c r="AI36"/>
  <c r="AH36" s="1"/>
  <c r="AI13"/>
  <c r="AH13" s="1"/>
  <c r="AI17"/>
  <c r="AH17" s="1"/>
  <c r="AI21"/>
  <c r="AH21" s="1"/>
  <c r="AI25"/>
  <c r="AH25" s="1"/>
  <c r="AI29"/>
  <c r="AH29" s="1"/>
  <c r="AI33"/>
  <c r="AH33" s="1"/>
  <c r="AI37"/>
  <c r="AH37" s="1"/>
  <c r="AI38"/>
  <c r="AI39"/>
  <c r="AI40"/>
  <c r="AB10"/>
  <c r="Y12"/>
  <c r="Y14"/>
  <c r="Y16"/>
  <c r="Y18"/>
  <c r="Y20"/>
  <c r="Y22"/>
  <c r="Y24"/>
  <c r="Y26"/>
  <c r="Y28"/>
  <c r="Y30"/>
  <c r="Y32"/>
  <c r="Y34"/>
  <c r="Y36"/>
  <c r="AB12"/>
  <c r="AB14"/>
  <c r="AB16"/>
  <c r="AB18"/>
  <c r="AB20"/>
  <c r="AB22"/>
  <c r="AB24"/>
  <c r="AB26"/>
  <c r="AB28"/>
  <c r="AB30"/>
  <c r="AB32"/>
  <c r="AB34"/>
  <c r="AB36"/>
  <c r="AB11"/>
  <c r="Y11"/>
  <c r="Y13"/>
  <c r="AB13"/>
  <c r="AB15"/>
  <c r="Y15"/>
  <c r="Y17"/>
  <c r="AB17"/>
  <c r="AB19"/>
  <c r="Y19"/>
  <c r="Y21"/>
  <c r="AB21"/>
  <c r="AB23"/>
  <c r="Y23"/>
  <c r="Y25"/>
  <c r="AB25"/>
  <c r="AB27"/>
  <c r="Y27"/>
  <c r="Y29"/>
  <c r="AB29"/>
  <c r="AB31"/>
  <c r="Y31"/>
  <c r="Y33"/>
  <c r="AB33"/>
  <c r="AB35"/>
  <c r="Y35"/>
  <c r="Y37"/>
  <c r="AB37"/>
  <c r="Y38"/>
  <c r="AB38"/>
  <c r="Y39"/>
  <c r="AB39"/>
  <c r="Y40"/>
  <c r="AB40"/>
  <c r="D3" i="38"/>
  <c r="C3" s="1"/>
  <c r="D3" i="39"/>
  <c r="B6" i="42"/>
  <c r="B3" i="36"/>
  <c r="E3" i="38"/>
  <c r="E3" i="39"/>
  <c r="E3" i="36"/>
  <c r="AA3"/>
  <c r="D674" l="1"/>
  <c r="D672"/>
  <c r="D673"/>
  <c r="D662"/>
  <c r="D664"/>
  <c r="D666"/>
  <c r="D668"/>
  <c r="D670"/>
  <c r="D663"/>
  <c r="D665"/>
  <c r="D667"/>
  <c r="D669"/>
  <c r="D671"/>
  <c r="D657"/>
  <c r="D659"/>
  <c r="D661"/>
  <c r="D658"/>
  <c r="D660"/>
  <c r="D653"/>
  <c r="D655"/>
  <c r="D654"/>
  <c r="D656"/>
  <c r="D648"/>
  <c r="D650"/>
  <c r="D652"/>
  <c r="D649"/>
  <c r="D651"/>
  <c r="D641"/>
  <c r="D643"/>
  <c r="D645"/>
  <c r="D642"/>
  <c r="D644"/>
  <c r="D646"/>
  <c r="D647"/>
  <c r="D635"/>
  <c r="D637"/>
  <c r="D636"/>
  <c r="D638"/>
  <c r="D640"/>
  <c r="D639"/>
  <c r="D633"/>
  <c r="D632"/>
  <c r="D634"/>
  <c r="D628"/>
  <c r="D630"/>
  <c r="D629"/>
  <c r="D631"/>
  <c r="D624"/>
  <c r="D626"/>
  <c r="D625"/>
  <c r="D627"/>
  <c r="D621"/>
  <c r="D618"/>
  <c r="D620"/>
  <c r="D622"/>
  <c r="D617"/>
  <c r="D619"/>
  <c r="D623"/>
  <c r="D614"/>
  <c r="D616"/>
  <c r="D613"/>
  <c r="D615"/>
  <c r="D604"/>
  <c r="D606"/>
  <c r="D608"/>
  <c r="D610"/>
  <c r="D612"/>
  <c r="T16" i="54"/>
  <c r="D605" i="36"/>
  <c r="D607"/>
  <c r="D609"/>
  <c r="D611"/>
  <c r="D600"/>
  <c r="D602"/>
  <c r="Q60" i="54"/>
  <c r="Q58"/>
  <c r="Q56"/>
  <c r="Q54"/>
  <c r="Q52"/>
  <c r="Q50"/>
  <c r="Q48"/>
  <c r="Q46"/>
  <c r="Q44"/>
  <c r="Q42"/>
  <c r="Q40"/>
  <c r="Q38"/>
  <c r="Q36"/>
  <c r="Q34"/>
  <c r="Q32"/>
  <c r="Q30"/>
  <c r="Q28"/>
  <c r="Q26"/>
  <c r="Q24"/>
  <c r="Q22"/>
  <c r="Q20"/>
  <c r="Q18"/>
  <c r="Q16"/>
  <c r="Q14"/>
  <c r="Q12"/>
  <c r="O60"/>
  <c r="O58"/>
  <c r="O56"/>
  <c r="O54"/>
  <c r="O52"/>
  <c r="O50"/>
  <c r="O48"/>
  <c r="O46"/>
  <c r="O44"/>
  <c r="O42"/>
  <c r="O40"/>
  <c r="O38"/>
  <c r="O36"/>
  <c r="O34"/>
  <c r="O32"/>
  <c r="O30"/>
  <c r="O28"/>
  <c r="O26"/>
  <c r="O24"/>
  <c r="O22"/>
  <c r="O20"/>
  <c r="O18"/>
  <c r="O16"/>
  <c r="O14"/>
  <c r="O12"/>
  <c r="J60"/>
  <c r="J58"/>
  <c r="J56"/>
  <c r="J54"/>
  <c r="J52"/>
  <c r="J50"/>
  <c r="J48"/>
  <c r="J46"/>
  <c r="J44"/>
  <c r="M44" s="1"/>
  <c r="J42"/>
  <c r="J40"/>
  <c r="M40" s="1"/>
  <c r="J38"/>
  <c r="J36"/>
  <c r="M36" s="1"/>
  <c r="J34"/>
  <c r="J32"/>
  <c r="M32" s="1"/>
  <c r="J30"/>
  <c r="J28"/>
  <c r="J26"/>
  <c r="J24"/>
  <c r="J22"/>
  <c r="J20"/>
  <c r="J18"/>
  <c r="J16"/>
  <c r="J14"/>
  <c r="J12"/>
  <c r="D601" i="36"/>
  <c r="D603"/>
  <c r="Q59" i="54"/>
  <c r="Q57"/>
  <c r="Q55"/>
  <c r="Q53"/>
  <c r="Q51"/>
  <c r="Q49"/>
  <c r="Q47"/>
  <c r="Q45"/>
  <c r="Q43"/>
  <c r="Q41"/>
  <c r="Q39"/>
  <c r="Q37"/>
  <c r="Q35"/>
  <c r="Q33"/>
  <c r="Q31"/>
  <c r="Q29"/>
  <c r="Q27"/>
  <c r="Q25"/>
  <c r="Q23"/>
  <c r="Q21"/>
  <c r="Q19"/>
  <c r="Q17"/>
  <c r="Q15"/>
  <c r="Q13"/>
  <c r="Q11"/>
  <c r="O59"/>
  <c r="O57"/>
  <c r="O55"/>
  <c r="O53"/>
  <c r="O51"/>
  <c r="O49"/>
  <c r="O47"/>
  <c r="O45"/>
  <c r="O43"/>
  <c r="O41"/>
  <c r="O39"/>
  <c r="O37"/>
  <c r="O35"/>
  <c r="O33"/>
  <c r="O31"/>
  <c r="O29"/>
  <c r="O27"/>
  <c r="O25"/>
  <c r="O23"/>
  <c r="O21"/>
  <c r="O19"/>
  <c r="O17"/>
  <c r="O15"/>
  <c r="O13"/>
  <c r="O11"/>
  <c r="J59"/>
  <c r="J57"/>
  <c r="J55"/>
  <c r="J53"/>
  <c r="J51"/>
  <c r="J49"/>
  <c r="J47"/>
  <c r="J45"/>
  <c r="J43"/>
  <c r="J41"/>
  <c r="J39"/>
  <c r="J37"/>
  <c r="J35"/>
  <c r="J33"/>
  <c r="J31"/>
  <c r="J29"/>
  <c r="J27"/>
  <c r="J25"/>
  <c r="J23"/>
  <c r="J21"/>
  <c r="J19"/>
  <c r="J17"/>
  <c r="J15"/>
  <c r="J13"/>
  <c r="J11"/>
  <c r="T11"/>
  <c r="AA56"/>
  <c r="AA52"/>
  <c r="AA48"/>
  <c r="AA44"/>
  <c r="AA41"/>
  <c r="AA39"/>
  <c r="AA37"/>
  <c r="AA35"/>
  <c r="AA33"/>
  <c r="AA31"/>
  <c r="AA29"/>
  <c r="AA27"/>
  <c r="AA25"/>
  <c r="AA23"/>
  <c r="AA21"/>
  <c r="AA19"/>
  <c r="AA17"/>
  <c r="AA15"/>
  <c r="AA13"/>
  <c r="Y56"/>
  <c r="Y54"/>
  <c r="Y52"/>
  <c r="Y50"/>
  <c r="Y48"/>
  <c r="Y46"/>
  <c r="Y44"/>
  <c r="Y42"/>
  <c r="Y40"/>
  <c r="Y38"/>
  <c r="Y36"/>
  <c r="Y34"/>
  <c r="Y32"/>
  <c r="Y30"/>
  <c r="Y28"/>
  <c r="Y26"/>
  <c r="Y24"/>
  <c r="Y22"/>
  <c r="Y20"/>
  <c r="Y18"/>
  <c r="Y16"/>
  <c r="Y14"/>
  <c r="Y12"/>
  <c r="T55"/>
  <c r="T53"/>
  <c r="T51"/>
  <c r="T49"/>
  <c r="T47"/>
  <c r="T45"/>
  <c r="T43"/>
  <c r="T41"/>
  <c r="T39"/>
  <c r="T37"/>
  <c r="T35"/>
  <c r="T33"/>
  <c r="T31"/>
  <c r="T29"/>
  <c r="T27"/>
  <c r="T25"/>
  <c r="T23"/>
  <c r="T21"/>
  <c r="T19"/>
  <c r="T17"/>
  <c r="T15"/>
  <c r="T13"/>
  <c r="AA11"/>
  <c r="AA54"/>
  <c r="AA50"/>
  <c r="AA46"/>
  <c r="AA42"/>
  <c r="AA40"/>
  <c r="AA38"/>
  <c r="AA36"/>
  <c r="AA34"/>
  <c r="AA32"/>
  <c r="AA30"/>
  <c r="AA28"/>
  <c r="AA26"/>
  <c r="AA24"/>
  <c r="AA22"/>
  <c r="AA20"/>
  <c r="AA18"/>
  <c r="AA16"/>
  <c r="AA14"/>
  <c r="AA12"/>
  <c r="Y55"/>
  <c r="Y53"/>
  <c r="Y51"/>
  <c r="Y49"/>
  <c r="Y47"/>
  <c r="Y45"/>
  <c r="Y43"/>
  <c r="Y41"/>
  <c r="Y39"/>
  <c r="Y37"/>
  <c r="Y35"/>
  <c r="Y33"/>
  <c r="Y31"/>
  <c r="Y29"/>
  <c r="Y27"/>
  <c r="Y25"/>
  <c r="Y23"/>
  <c r="Y21"/>
  <c r="Y19"/>
  <c r="Y17"/>
  <c r="Y15"/>
  <c r="Y13"/>
  <c r="T56"/>
  <c r="T54"/>
  <c r="T52"/>
  <c r="T50"/>
  <c r="T48"/>
  <c r="T46"/>
  <c r="T44"/>
  <c r="T42"/>
  <c r="T40"/>
  <c r="T38"/>
  <c r="T36"/>
  <c r="T34"/>
  <c r="T32"/>
  <c r="T30"/>
  <c r="T28"/>
  <c r="T26"/>
  <c r="T24"/>
  <c r="T22"/>
  <c r="T20"/>
  <c r="T18"/>
  <c r="T14"/>
  <c r="T12"/>
  <c r="AA45"/>
  <c r="AA49"/>
  <c r="AA53"/>
  <c r="Y11"/>
  <c r="W11" s="1"/>
  <c r="BE56"/>
  <c r="BC55"/>
  <c r="AX54"/>
  <c r="BE52"/>
  <c r="BC51"/>
  <c r="AX50"/>
  <c r="BE48"/>
  <c r="BC47"/>
  <c r="AX46"/>
  <c r="BE44"/>
  <c r="BC43"/>
  <c r="AX42"/>
  <c r="BE40"/>
  <c r="BC39"/>
  <c r="BE55"/>
  <c r="BC54"/>
  <c r="AX53"/>
  <c r="BE51"/>
  <c r="BC50"/>
  <c r="AX49"/>
  <c r="BE47"/>
  <c r="BC46"/>
  <c r="AX45"/>
  <c r="BE43"/>
  <c r="BC42"/>
  <c r="AX41"/>
  <c r="BE39"/>
  <c r="BC38"/>
  <c r="AX37"/>
  <c r="BE35"/>
  <c r="BC34"/>
  <c r="AX33"/>
  <c r="BE31"/>
  <c r="AX30"/>
  <c r="BE28"/>
  <c r="BC27"/>
  <c r="AX26"/>
  <c r="BE24"/>
  <c r="BC23"/>
  <c r="AX22"/>
  <c r="BE20"/>
  <c r="BE38"/>
  <c r="BC37"/>
  <c r="BA37" s="1"/>
  <c r="AX36"/>
  <c r="BE34"/>
  <c r="BC33"/>
  <c r="BA33" s="1"/>
  <c r="AX32"/>
  <c r="AX31"/>
  <c r="BE29"/>
  <c r="BC28"/>
  <c r="AX27"/>
  <c r="BE25"/>
  <c r="BC24"/>
  <c r="AX23"/>
  <c r="BE21"/>
  <c r="BC20"/>
  <c r="AX19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N11"/>
  <c r="AS12"/>
  <c r="AU13"/>
  <c r="AN15"/>
  <c r="AS16"/>
  <c r="AU17"/>
  <c r="AN19"/>
  <c r="AS20"/>
  <c r="AU21"/>
  <c r="AN23"/>
  <c r="AS24"/>
  <c r="AU25"/>
  <c r="AN27"/>
  <c r="AS28"/>
  <c r="AU29"/>
  <c r="AN31"/>
  <c r="AS32"/>
  <c r="AU33"/>
  <c r="AN35"/>
  <c r="AS36"/>
  <c r="AU37"/>
  <c r="AN39"/>
  <c r="AS40"/>
  <c r="AU41"/>
  <c r="AN43"/>
  <c r="AS44"/>
  <c r="AU45"/>
  <c r="AN47"/>
  <c r="AS48"/>
  <c r="AU49"/>
  <c r="AN51"/>
  <c r="AS52"/>
  <c r="AU53"/>
  <c r="AN55"/>
  <c r="AS56"/>
  <c r="BE11"/>
  <c r="AX13"/>
  <c r="BC14"/>
  <c r="BE15"/>
  <c r="AX17"/>
  <c r="BC18"/>
  <c r="AK13"/>
  <c r="AK15"/>
  <c r="AK17"/>
  <c r="AK19"/>
  <c r="AK21"/>
  <c r="AK23"/>
  <c r="AK25"/>
  <c r="AK27"/>
  <c r="AK29"/>
  <c r="AK31"/>
  <c r="AK33"/>
  <c r="AK35"/>
  <c r="AK37"/>
  <c r="AK39"/>
  <c r="AK41"/>
  <c r="AK43"/>
  <c r="AK45"/>
  <c r="AK47"/>
  <c r="AK49"/>
  <c r="AK51"/>
  <c r="AK53"/>
  <c r="AK55"/>
  <c r="AD11"/>
  <c r="AS11"/>
  <c r="AQ11" s="1"/>
  <c r="AU12"/>
  <c r="AN14"/>
  <c r="AS15"/>
  <c r="AQ15" s="1"/>
  <c r="AU16"/>
  <c r="AN18"/>
  <c r="AS19"/>
  <c r="AQ19" s="1"/>
  <c r="AU20"/>
  <c r="AN22"/>
  <c r="AS23"/>
  <c r="AQ23" s="1"/>
  <c r="AU24"/>
  <c r="AN26"/>
  <c r="AS27"/>
  <c r="AQ27" s="1"/>
  <c r="AU28"/>
  <c r="AN30"/>
  <c r="AS31"/>
  <c r="AQ31" s="1"/>
  <c r="AU32"/>
  <c r="AN34"/>
  <c r="AS35"/>
  <c r="AQ35" s="1"/>
  <c r="AU36"/>
  <c r="AN38"/>
  <c r="AS39"/>
  <c r="AQ39" s="1"/>
  <c r="AU40"/>
  <c r="AN42"/>
  <c r="AS43"/>
  <c r="AQ43" s="1"/>
  <c r="AU44"/>
  <c r="AN46"/>
  <c r="AS47"/>
  <c r="AQ47" s="1"/>
  <c r="AU48"/>
  <c r="AN50"/>
  <c r="AS51"/>
  <c r="AQ51" s="1"/>
  <c r="AU52"/>
  <c r="AN54"/>
  <c r="AS55"/>
  <c r="AQ55" s="1"/>
  <c r="AU56"/>
  <c r="AX12"/>
  <c r="BC13"/>
  <c r="BA13" s="1"/>
  <c r="BE14"/>
  <c r="AX16"/>
  <c r="BC17"/>
  <c r="BA17" s="1"/>
  <c r="BE18"/>
  <c r="AA57"/>
  <c r="AU57"/>
  <c r="BO57"/>
  <c r="AK58"/>
  <c r="BE58"/>
  <c r="AA59"/>
  <c r="AU59"/>
  <c r="BO59"/>
  <c r="AK60"/>
  <c r="BE60"/>
  <c r="T57"/>
  <c r="AD57"/>
  <c r="AN57"/>
  <c r="AX57"/>
  <c r="BH57"/>
  <c r="T58"/>
  <c r="AD58"/>
  <c r="AN58"/>
  <c r="AX58"/>
  <c r="BH58"/>
  <c r="T59"/>
  <c r="AD59"/>
  <c r="AN59"/>
  <c r="AA43"/>
  <c r="AA47"/>
  <c r="AA51"/>
  <c r="AA55"/>
  <c r="AX56"/>
  <c r="BE54"/>
  <c r="BC53"/>
  <c r="BA53" s="1"/>
  <c r="AX52"/>
  <c r="BE50"/>
  <c r="BC49"/>
  <c r="BA49" s="1"/>
  <c r="AX48"/>
  <c r="BE46"/>
  <c r="BC45"/>
  <c r="BA45" s="1"/>
  <c r="AX44"/>
  <c r="BE42"/>
  <c r="BC41"/>
  <c r="BA41" s="1"/>
  <c r="AX40"/>
  <c r="BC56"/>
  <c r="AX55"/>
  <c r="BE53"/>
  <c r="BC52"/>
  <c r="AX51"/>
  <c r="BE49"/>
  <c r="BC48"/>
  <c r="AX47"/>
  <c r="BE45"/>
  <c r="BC44"/>
  <c r="AX43"/>
  <c r="BE41"/>
  <c r="BC40"/>
  <c r="AX39"/>
  <c r="BE37"/>
  <c r="BC36"/>
  <c r="BA36" s="1"/>
  <c r="AX35"/>
  <c r="BE33"/>
  <c r="BE32"/>
  <c r="BE30"/>
  <c r="BC29"/>
  <c r="AX28"/>
  <c r="BE26"/>
  <c r="BC25"/>
  <c r="AX24"/>
  <c r="BE22"/>
  <c r="BC21"/>
  <c r="AX20"/>
  <c r="AX38"/>
  <c r="BE36"/>
  <c r="BC35"/>
  <c r="BA35" s="1"/>
  <c r="AX34"/>
  <c r="BC32"/>
  <c r="BC31"/>
  <c r="BA31" s="1"/>
  <c r="BC30"/>
  <c r="BA30" s="1"/>
  <c r="AX29"/>
  <c r="BE27"/>
  <c r="BC26"/>
  <c r="BA26" s="1"/>
  <c r="AX25"/>
  <c r="BE23"/>
  <c r="BC22"/>
  <c r="BA22" s="1"/>
  <c r="AX21"/>
  <c r="BE19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I11"/>
  <c r="AG11" s="1"/>
  <c r="AU11"/>
  <c r="AN13"/>
  <c r="AS14"/>
  <c r="AQ14" s="1"/>
  <c r="AU15"/>
  <c r="AN17"/>
  <c r="AS18"/>
  <c r="AQ18" s="1"/>
  <c r="AU19"/>
  <c r="AN21"/>
  <c r="AS22"/>
  <c r="AQ22" s="1"/>
  <c r="AU23"/>
  <c r="AN25"/>
  <c r="AS26"/>
  <c r="AQ26" s="1"/>
  <c r="AU27"/>
  <c r="AN29"/>
  <c r="AS30"/>
  <c r="AQ30" s="1"/>
  <c r="AU31"/>
  <c r="AN33"/>
  <c r="AS34"/>
  <c r="AQ34" s="1"/>
  <c r="AU35"/>
  <c r="AN37"/>
  <c r="AS38"/>
  <c r="AQ38" s="1"/>
  <c r="AU39"/>
  <c r="AN41"/>
  <c r="AS42"/>
  <c r="AQ42" s="1"/>
  <c r="AU43"/>
  <c r="AN45"/>
  <c r="AS46"/>
  <c r="AQ46" s="1"/>
  <c r="AU47"/>
  <c r="AN49"/>
  <c r="AS50"/>
  <c r="AQ50" s="1"/>
  <c r="AU51"/>
  <c r="AN53"/>
  <c r="AS54"/>
  <c r="AQ54" s="1"/>
  <c r="AU55"/>
  <c r="AX11"/>
  <c r="BC12"/>
  <c r="BA12" s="1"/>
  <c r="BE13"/>
  <c r="AX15"/>
  <c r="BC16"/>
  <c r="BA16" s="1"/>
  <c r="BE17"/>
  <c r="AK12"/>
  <c r="AK14"/>
  <c r="AK16"/>
  <c r="AK18"/>
  <c r="AK20"/>
  <c r="AK22"/>
  <c r="AK24"/>
  <c r="AK26"/>
  <c r="AK28"/>
  <c r="AK30"/>
  <c r="AK32"/>
  <c r="AK34"/>
  <c r="AK36"/>
  <c r="AK38"/>
  <c r="AK40"/>
  <c r="AK42"/>
  <c r="AK44"/>
  <c r="AK46"/>
  <c r="AK48"/>
  <c r="AK50"/>
  <c r="AK52"/>
  <c r="AK54"/>
  <c r="AK56"/>
  <c r="AK11"/>
  <c r="AN12"/>
  <c r="AS13"/>
  <c r="AQ13" s="1"/>
  <c r="AU14"/>
  <c r="AN16"/>
  <c r="AS17"/>
  <c r="AQ17" s="1"/>
  <c r="AU18"/>
  <c r="AN20"/>
  <c r="AS21"/>
  <c r="AQ21" s="1"/>
  <c r="AU22"/>
  <c r="AN24"/>
  <c r="AS25"/>
  <c r="AQ25" s="1"/>
  <c r="AU26"/>
  <c r="AN28"/>
  <c r="AS29"/>
  <c r="AQ29" s="1"/>
  <c r="AU30"/>
  <c r="AN32"/>
  <c r="AS33"/>
  <c r="AQ33" s="1"/>
  <c r="AU34"/>
  <c r="AN36"/>
  <c r="AS37"/>
  <c r="AQ37" s="1"/>
  <c r="AU38"/>
  <c r="AN40"/>
  <c r="AS41"/>
  <c r="AQ41" s="1"/>
  <c r="AU42"/>
  <c r="AN44"/>
  <c r="AS45"/>
  <c r="AQ45" s="1"/>
  <c r="AU46"/>
  <c r="AN48"/>
  <c r="AS49"/>
  <c r="AQ49" s="1"/>
  <c r="AU50"/>
  <c r="AN52"/>
  <c r="AS53"/>
  <c r="AQ53" s="1"/>
  <c r="AU54"/>
  <c r="AN56"/>
  <c r="BC11"/>
  <c r="BA11" s="1"/>
  <c r="BE12"/>
  <c r="AX14"/>
  <c r="BC15"/>
  <c r="BA15" s="1"/>
  <c r="BE16"/>
  <c r="AX18"/>
  <c r="BC19"/>
  <c r="BA19" s="1"/>
  <c r="AK57"/>
  <c r="BE57"/>
  <c r="AA58"/>
  <c r="AU58"/>
  <c r="BO58"/>
  <c r="AK59"/>
  <c r="BE59"/>
  <c r="AA60"/>
  <c r="AU60"/>
  <c r="BO60"/>
  <c r="Y57"/>
  <c r="AI57"/>
  <c r="AS57"/>
  <c r="AQ57" s="1"/>
  <c r="BC57"/>
  <c r="BA57" s="1"/>
  <c r="Y58"/>
  <c r="AS58"/>
  <c r="AQ58" s="1"/>
  <c r="BM58"/>
  <c r="AI59"/>
  <c r="AX59"/>
  <c r="BH59"/>
  <c r="T60"/>
  <c r="AD60"/>
  <c r="AN60"/>
  <c r="AX60"/>
  <c r="BH60"/>
  <c r="BM57"/>
  <c r="BK57" s="1"/>
  <c r="AI58"/>
  <c r="BC58"/>
  <c r="BA58" s="1"/>
  <c r="Y59"/>
  <c r="AS59"/>
  <c r="AQ59" s="1"/>
  <c r="BC59"/>
  <c r="BA59" s="1"/>
  <c r="BM59"/>
  <c r="BK59" s="1"/>
  <c r="Y60"/>
  <c r="AI60"/>
  <c r="AS60"/>
  <c r="AQ60" s="1"/>
  <c r="BC60"/>
  <c r="BA60" s="1"/>
  <c r="BM60"/>
  <c r="BK60" s="1"/>
  <c r="BM56"/>
  <c r="BH55"/>
  <c r="BO53"/>
  <c r="BM52"/>
  <c r="BH51"/>
  <c r="BO49"/>
  <c r="BM48"/>
  <c r="BH47"/>
  <c r="BO45"/>
  <c r="BM44"/>
  <c r="BH43"/>
  <c r="BO41"/>
  <c r="BM40"/>
  <c r="BH39"/>
  <c r="BH56"/>
  <c r="BO54"/>
  <c r="BM53"/>
  <c r="BH52"/>
  <c r="BO50"/>
  <c r="BM49"/>
  <c r="BH48"/>
  <c r="BO46"/>
  <c r="BM45"/>
  <c r="BH44"/>
  <c r="BO42"/>
  <c r="BM41"/>
  <c r="BH40"/>
  <c r="BO38"/>
  <c r="BM37"/>
  <c r="BH36"/>
  <c r="BO34"/>
  <c r="BM33"/>
  <c r="BO31"/>
  <c r="BO29"/>
  <c r="BM28"/>
  <c r="BH27"/>
  <c r="BO25"/>
  <c r="BM24"/>
  <c r="BH23"/>
  <c r="BO21"/>
  <c r="BM20"/>
  <c r="BO37"/>
  <c r="BM36"/>
  <c r="BH35"/>
  <c r="BO33"/>
  <c r="BM32"/>
  <c r="BM31"/>
  <c r="BO30"/>
  <c r="BM29"/>
  <c r="BH28"/>
  <c r="BO26"/>
  <c r="BM25"/>
  <c r="BH24"/>
  <c r="BO22"/>
  <c r="BM21"/>
  <c r="BH20"/>
  <c r="BO19"/>
  <c r="BO17"/>
  <c r="BM16"/>
  <c r="BH15"/>
  <c r="BO13"/>
  <c r="BM12"/>
  <c r="BH11"/>
  <c r="BO18"/>
  <c r="BM17"/>
  <c r="BH16"/>
  <c r="BO14"/>
  <c r="BM13"/>
  <c r="BH12"/>
  <c r="BO55"/>
  <c r="BM54"/>
  <c r="BH53"/>
  <c r="BO51"/>
  <c r="BM50"/>
  <c r="BH49"/>
  <c r="BO47"/>
  <c r="BM46"/>
  <c r="BH45"/>
  <c r="BO43"/>
  <c r="BM42"/>
  <c r="BH41"/>
  <c r="BO39"/>
  <c r="BO56"/>
  <c r="BM55"/>
  <c r="BK55" s="1"/>
  <c r="BH54"/>
  <c r="BO52"/>
  <c r="BM51"/>
  <c r="BK51" s="1"/>
  <c r="BH50"/>
  <c r="BO48"/>
  <c r="BM47"/>
  <c r="BK47" s="1"/>
  <c r="BH46"/>
  <c r="BO44"/>
  <c r="BM43"/>
  <c r="BK43" s="1"/>
  <c r="BH42"/>
  <c r="BO40"/>
  <c r="BM39"/>
  <c r="BK39" s="1"/>
  <c r="BH38"/>
  <c r="BO36"/>
  <c r="BM35"/>
  <c r="BK35" s="1"/>
  <c r="BH34"/>
  <c r="BO32"/>
  <c r="BM30"/>
  <c r="BH29"/>
  <c r="BO27"/>
  <c r="BM26"/>
  <c r="BH25"/>
  <c r="BO23"/>
  <c r="BM22"/>
  <c r="BH21"/>
  <c r="BM38"/>
  <c r="BH37"/>
  <c r="BO35"/>
  <c r="BM34"/>
  <c r="BH33"/>
  <c r="BH32"/>
  <c r="BH31"/>
  <c r="BH30"/>
  <c r="BO28"/>
  <c r="BM27"/>
  <c r="BK27" s="1"/>
  <c r="BH26"/>
  <c r="BO24"/>
  <c r="BM23"/>
  <c r="BH22"/>
  <c r="BO20"/>
  <c r="BM19"/>
  <c r="BM18"/>
  <c r="BH17"/>
  <c r="BO15"/>
  <c r="BM14"/>
  <c r="BH13"/>
  <c r="BO11"/>
  <c r="BH19"/>
  <c r="BH18"/>
  <c r="BO16"/>
  <c r="BM15"/>
  <c r="BK15" s="1"/>
  <c r="BH14"/>
  <c r="BO12"/>
  <c r="BM11"/>
  <c r="BR56"/>
  <c r="BY54"/>
  <c r="BW53"/>
  <c r="BR52"/>
  <c r="BY50"/>
  <c r="BW49"/>
  <c r="BR48"/>
  <c r="BY46"/>
  <c r="BW45"/>
  <c r="BR44"/>
  <c r="BY42"/>
  <c r="BW41"/>
  <c r="BR40"/>
  <c r="BW56"/>
  <c r="BR55"/>
  <c r="BY53"/>
  <c r="BW52"/>
  <c r="BR51"/>
  <c r="BY49"/>
  <c r="BW48"/>
  <c r="BR47"/>
  <c r="BY45"/>
  <c r="BW44"/>
  <c r="BR43"/>
  <c r="BY41"/>
  <c r="BW40"/>
  <c r="BR39"/>
  <c r="BY37"/>
  <c r="BW36"/>
  <c r="BR35"/>
  <c r="BY33"/>
  <c r="BY32"/>
  <c r="BY30"/>
  <c r="BW29"/>
  <c r="BR28"/>
  <c r="BY26"/>
  <c r="BW25"/>
  <c r="BR24"/>
  <c r="BY22"/>
  <c r="BW21"/>
  <c r="BR20"/>
  <c r="BR38"/>
  <c r="BY36"/>
  <c r="BW35"/>
  <c r="BU35" s="1"/>
  <c r="BR34"/>
  <c r="BW32"/>
  <c r="BW31"/>
  <c r="BW30"/>
  <c r="BR29"/>
  <c r="BY27"/>
  <c r="BW26"/>
  <c r="BR25"/>
  <c r="BY23"/>
  <c r="BW22"/>
  <c r="BR21"/>
  <c r="BY19"/>
  <c r="BY18"/>
  <c r="BW17"/>
  <c r="BR16"/>
  <c r="BY14"/>
  <c r="BW13"/>
  <c r="BR12"/>
  <c r="BW19"/>
  <c r="BY17"/>
  <c r="BW16"/>
  <c r="BU16" s="1"/>
  <c r="BR15"/>
  <c r="BY13"/>
  <c r="BW12"/>
  <c r="BU12" s="1"/>
  <c r="BR11"/>
  <c r="BW58"/>
  <c r="BY57"/>
  <c r="BY59"/>
  <c r="BW57"/>
  <c r="BW59"/>
  <c r="BW60"/>
  <c r="BY56"/>
  <c r="BW55"/>
  <c r="BU55" s="1"/>
  <c r="BR54"/>
  <c r="BY52"/>
  <c r="BW51"/>
  <c r="BU51" s="1"/>
  <c r="BR50"/>
  <c r="BY48"/>
  <c r="BW47"/>
  <c r="BU47" s="1"/>
  <c r="BR46"/>
  <c r="BY44"/>
  <c r="BW43"/>
  <c r="BU43" s="1"/>
  <c r="BR42"/>
  <c r="BY40"/>
  <c r="BW39"/>
  <c r="BU39" s="1"/>
  <c r="BY55"/>
  <c r="BW54"/>
  <c r="BR53"/>
  <c r="BY51"/>
  <c r="BW50"/>
  <c r="BR49"/>
  <c r="BY47"/>
  <c r="BW46"/>
  <c r="BR45"/>
  <c r="BY43"/>
  <c r="BW42"/>
  <c r="BR41"/>
  <c r="BY39"/>
  <c r="BW38"/>
  <c r="BU38" s="1"/>
  <c r="BR37"/>
  <c r="BY35"/>
  <c r="BW34"/>
  <c r="BR33"/>
  <c r="BY31"/>
  <c r="BR30"/>
  <c r="BY28"/>
  <c r="BW27"/>
  <c r="BR26"/>
  <c r="BY24"/>
  <c r="BW23"/>
  <c r="BR22"/>
  <c r="BY20"/>
  <c r="BY38"/>
  <c r="BW37"/>
  <c r="BU37" s="1"/>
  <c r="BR36"/>
  <c r="BY34"/>
  <c r="BW33"/>
  <c r="BU33" s="1"/>
  <c r="BR32"/>
  <c r="BR31"/>
  <c r="BY29"/>
  <c r="BW28"/>
  <c r="BU28" s="1"/>
  <c r="BR27"/>
  <c r="BY25"/>
  <c r="BW24"/>
  <c r="BU24" s="1"/>
  <c r="BR23"/>
  <c r="BY21"/>
  <c r="BW20"/>
  <c r="BU20" s="1"/>
  <c r="BR19"/>
  <c r="BR18"/>
  <c r="BY16"/>
  <c r="BW15"/>
  <c r="BU15" s="1"/>
  <c r="BR14"/>
  <c r="BY12"/>
  <c r="BW11"/>
  <c r="BW18"/>
  <c r="BU18" s="1"/>
  <c r="BR17"/>
  <c r="BY15"/>
  <c r="BW14"/>
  <c r="BU14" s="1"/>
  <c r="BR13"/>
  <c r="BY11"/>
  <c r="BR57"/>
  <c r="BR59"/>
  <c r="BY58"/>
  <c r="BY60"/>
  <c r="BR58"/>
  <c r="BR60"/>
  <c r="CG56"/>
  <c r="CB55"/>
  <c r="CI53"/>
  <c r="CG52"/>
  <c r="CB51"/>
  <c r="CI49"/>
  <c r="CG48"/>
  <c r="CB47"/>
  <c r="CI45"/>
  <c r="CG44"/>
  <c r="CB43"/>
  <c r="CI41"/>
  <c r="CG40"/>
  <c r="CB39"/>
  <c r="CB56"/>
  <c r="CI54"/>
  <c r="CG53"/>
  <c r="CB52"/>
  <c r="CI50"/>
  <c r="CG49"/>
  <c r="CB48"/>
  <c r="CI46"/>
  <c r="CG45"/>
  <c r="CB44"/>
  <c r="CI42"/>
  <c r="CG41"/>
  <c r="CB40"/>
  <c r="CI38"/>
  <c r="CG38"/>
  <c r="CI36"/>
  <c r="CG35"/>
  <c r="CB34"/>
  <c r="CI32"/>
  <c r="CG30"/>
  <c r="CB29"/>
  <c r="CI27"/>
  <c r="CG26"/>
  <c r="CB25"/>
  <c r="CI23"/>
  <c r="CG22"/>
  <c r="CB21"/>
  <c r="CI37"/>
  <c r="CG36"/>
  <c r="CB35"/>
  <c r="CI33"/>
  <c r="CG32"/>
  <c r="CG31"/>
  <c r="CI30"/>
  <c r="CG29"/>
  <c r="CE29" s="1"/>
  <c r="CB28"/>
  <c r="CI26"/>
  <c r="CG25"/>
  <c r="CE25" s="1"/>
  <c r="CB24"/>
  <c r="CI22"/>
  <c r="CG21"/>
  <c r="CE21" s="1"/>
  <c r="CB20"/>
  <c r="CB19"/>
  <c r="CI17"/>
  <c r="CG16"/>
  <c r="CB15"/>
  <c r="CI13"/>
  <c r="CG12"/>
  <c r="CB11"/>
  <c r="CI18"/>
  <c r="CG17"/>
  <c r="CB16"/>
  <c r="CI14"/>
  <c r="CG13"/>
  <c r="CB12"/>
  <c r="CI57"/>
  <c r="CI59"/>
  <c r="CB57"/>
  <c r="CB59"/>
  <c r="CB58"/>
  <c r="CB60"/>
  <c r="CI55"/>
  <c r="CG54"/>
  <c r="CB53"/>
  <c r="CI51"/>
  <c r="CG50"/>
  <c r="CB49"/>
  <c r="CI47"/>
  <c r="CG46"/>
  <c r="CB45"/>
  <c r="CI43"/>
  <c r="CG42"/>
  <c r="CB41"/>
  <c r="CI39"/>
  <c r="CI56"/>
  <c r="CG55"/>
  <c r="CE55" s="1"/>
  <c r="CB54"/>
  <c r="CI52"/>
  <c r="CG51"/>
  <c r="CE51" s="1"/>
  <c r="CB50"/>
  <c r="CI48"/>
  <c r="CG47"/>
  <c r="CE47" s="1"/>
  <c r="CB46"/>
  <c r="CI44"/>
  <c r="CG43"/>
  <c r="CE43" s="1"/>
  <c r="CB42"/>
  <c r="CI40"/>
  <c r="CG39"/>
  <c r="CE39" s="1"/>
  <c r="CB38"/>
  <c r="CG37"/>
  <c r="CB36"/>
  <c r="CI34"/>
  <c r="CG33"/>
  <c r="CI31"/>
  <c r="CI29"/>
  <c r="CG28"/>
  <c r="CE28" s="1"/>
  <c r="CB27"/>
  <c r="CI25"/>
  <c r="CG24"/>
  <c r="CE24" s="1"/>
  <c r="CB23"/>
  <c r="CI21"/>
  <c r="CG20"/>
  <c r="CE20" s="1"/>
  <c r="CB37"/>
  <c r="CI35"/>
  <c r="CG34"/>
  <c r="CE34" s="1"/>
  <c r="CB33"/>
  <c r="CB32"/>
  <c r="CB31"/>
  <c r="CB30"/>
  <c r="CI28"/>
  <c r="CG27"/>
  <c r="CE27" s="1"/>
  <c r="CB26"/>
  <c r="CI24"/>
  <c r="CG23"/>
  <c r="CE23" s="1"/>
  <c r="CB22"/>
  <c r="CI20"/>
  <c r="CG19"/>
  <c r="CE19" s="1"/>
  <c r="CG18"/>
  <c r="CB17"/>
  <c r="CI15"/>
  <c r="CG14"/>
  <c r="CB13"/>
  <c r="CI11"/>
  <c r="CI19"/>
  <c r="CB18"/>
  <c r="CI16"/>
  <c r="CG15"/>
  <c r="CE15" s="1"/>
  <c r="CB14"/>
  <c r="CI12"/>
  <c r="CG11"/>
  <c r="CI58"/>
  <c r="CI60"/>
  <c r="CG58"/>
  <c r="CE58" s="1"/>
  <c r="CG57"/>
  <c r="CE57" s="1"/>
  <c r="CG59"/>
  <c r="CE59" s="1"/>
  <c r="CG60"/>
  <c r="CS56"/>
  <c r="CQ55"/>
  <c r="CL54"/>
  <c r="CS52"/>
  <c r="CQ51"/>
  <c r="CL50"/>
  <c r="CS48"/>
  <c r="CQ47"/>
  <c r="CL46"/>
  <c r="CS44"/>
  <c r="CQ43"/>
  <c r="CL42"/>
  <c r="CS40"/>
  <c r="CQ39"/>
  <c r="CS55"/>
  <c r="CQ54"/>
  <c r="CL53"/>
  <c r="CS51"/>
  <c r="CQ50"/>
  <c r="CL49"/>
  <c r="CS47"/>
  <c r="CQ46"/>
  <c r="CL45"/>
  <c r="CS43"/>
  <c r="CQ42"/>
  <c r="CL41"/>
  <c r="CS39"/>
  <c r="CQ38"/>
  <c r="CS37"/>
  <c r="CQ36"/>
  <c r="CL35"/>
  <c r="CS33"/>
  <c r="CQ32"/>
  <c r="CS30"/>
  <c r="CQ29"/>
  <c r="CL28"/>
  <c r="CS26"/>
  <c r="CQ25"/>
  <c r="CL24"/>
  <c r="CS22"/>
  <c r="CQ21"/>
  <c r="CL20"/>
  <c r="CQ37"/>
  <c r="CL36"/>
  <c r="CS34"/>
  <c r="CQ33"/>
  <c r="CL32"/>
  <c r="CL31"/>
  <c r="CS29"/>
  <c r="CQ28"/>
  <c r="CO28" s="1"/>
  <c r="CL27"/>
  <c r="CS25"/>
  <c r="CQ24"/>
  <c r="CO24" s="1"/>
  <c r="CL23"/>
  <c r="CS21"/>
  <c r="CQ20"/>
  <c r="CO20" s="1"/>
  <c r="CL19"/>
  <c r="CS18"/>
  <c r="CQ17"/>
  <c r="CL16"/>
  <c r="CS14"/>
  <c r="CQ13"/>
  <c r="CL12"/>
  <c r="CQ18"/>
  <c r="CL17"/>
  <c r="CS15"/>
  <c r="CQ14"/>
  <c r="CL13"/>
  <c r="CS11"/>
  <c r="CL57"/>
  <c r="CL59"/>
  <c r="CS58"/>
  <c r="CS60"/>
  <c r="CL58"/>
  <c r="CL60"/>
  <c r="CL56"/>
  <c r="CS54"/>
  <c r="CQ53"/>
  <c r="CL52"/>
  <c r="CS50"/>
  <c r="CQ49"/>
  <c r="CO49" s="1"/>
  <c r="CL48"/>
  <c r="CS46"/>
  <c r="CQ45"/>
  <c r="CL44"/>
  <c r="CS42"/>
  <c r="CQ41"/>
  <c r="CO41" s="1"/>
  <c r="CL40"/>
  <c r="CQ56"/>
  <c r="CL55"/>
  <c r="CS53"/>
  <c r="CQ52"/>
  <c r="CL51"/>
  <c r="CS49"/>
  <c r="CQ48"/>
  <c r="CL47"/>
  <c r="CS45"/>
  <c r="CQ44"/>
  <c r="CL43"/>
  <c r="CS41"/>
  <c r="CQ40"/>
  <c r="CL39"/>
  <c r="CS38"/>
  <c r="CL37"/>
  <c r="CS35"/>
  <c r="CQ34"/>
  <c r="CL33"/>
  <c r="CS31"/>
  <c r="CL30"/>
  <c r="CS28"/>
  <c r="CQ27"/>
  <c r="CO27" s="1"/>
  <c r="CL26"/>
  <c r="CS24"/>
  <c r="CQ23"/>
  <c r="CO23" s="1"/>
  <c r="CL22"/>
  <c r="CS20"/>
  <c r="CL38"/>
  <c r="CS36"/>
  <c r="CQ35"/>
  <c r="CO35" s="1"/>
  <c r="CL34"/>
  <c r="CS32"/>
  <c r="CQ31"/>
  <c r="CO31" s="1"/>
  <c r="CQ30"/>
  <c r="CO30" s="1"/>
  <c r="CL29"/>
  <c r="CS27"/>
  <c r="CQ26"/>
  <c r="CO26" s="1"/>
  <c r="CL25"/>
  <c r="CS23"/>
  <c r="CQ22"/>
  <c r="CO22" s="1"/>
  <c r="CL21"/>
  <c r="CS19"/>
  <c r="CQ19"/>
  <c r="CL18"/>
  <c r="CS16"/>
  <c r="CQ15"/>
  <c r="CL14"/>
  <c r="CS12"/>
  <c r="CQ11"/>
  <c r="CS17"/>
  <c r="CQ16"/>
  <c r="CO16" s="1"/>
  <c r="CL15"/>
  <c r="CS13"/>
  <c r="CQ12"/>
  <c r="CO12" s="1"/>
  <c r="CL11"/>
  <c r="CQ58"/>
  <c r="CO58" s="1"/>
  <c r="CS57"/>
  <c r="CS59"/>
  <c r="CQ57"/>
  <c r="CO57" s="1"/>
  <c r="CQ59"/>
  <c r="CO59" s="1"/>
  <c r="CQ60"/>
  <c r="DC55"/>
  <c r="DA54"/>
  <c r="CV53"/>
  <c r="DC51"/>
  <c r="DA50"/>
  <c r="CV49"/>
  <c r="DC47"/>
  <c r="DA46"/>
  <c r="CV45"/>
  <c r="DC43"/>
  <c r="DA42"/>
  <c r="CV41"/>
  <c r="DC39"/>
  <c r="DA38"/>
  <c r="CV56"/>
  <c r="DC54"/>
  <c r="DA53"/>
  <c r="CY53" s="1"/>
  <c r="CV52"/>
  <c r="DC50"/>
  <c r="DA49"/>
  <c r="CY49" s="1"/>
  <c r="CV48"/>
  <c r="DC46"/>
  <c r="DA45"/>
  <c r="CY45" s="1"/>
  <c r="CV44"/>
  <c r="DC42"/>
  <c r="DA41"/>
  <c r="CY41" s="1"/>
  <c r="CV40"/>
  <c r="DC38"/>
  <c r="DA37"/>
  <c r="CV36"/>
  <c r="DC34"/>
  <c r="DA33"/>
  <c r="CV32"/>
  <c r="DA30"/>
  <c r="CV29"/>
  <c r="DC27"/>
  <c r="DA26"/>
  <c r="CV25"/>
  <c r="DC23"/>
  <c r="DA22"/>
  <c r="CV21"/>
  <c r="DC37"/>
  <c r="DA36"/>
  <c r="CV35"/>
  <c r="DC33"/>
  <c r="DA32"/>
  <c r="CV31"/>
  <c r="CV30"/>
  <c r="DC28"/>
  <c r="DA27"/>
  <c r="CV26"/>
  <c r="DC24"/>
  <c r="DA23"/>
  <c r="CV22"/>
  <c r="DC20"/>
  <c r="DA19"/>
  <c r="DA18"/>
  <c r="CV17"/>
  <c r="DC15"/>
  <c r="DA14"/>
  <c r="CV13"/>
  <c r="DC11"/>
  <c r="CV19"/>
  <c r="CV18"/>
  <c r="DC16"/>
  <c r="DA15"/>
  <c r="CV14"/>
  <c r="DC12"/>
  <c r="DA11"/>
  <c r="DC58"/>
  <c r="DC60"/>
  <c r="DA58"/>
  <c r="DA57"/>
  <c r="DA59"/>
  <c r="DA60"/>
  <c r="DA56"/>
  <c r="CV55"/>
  <c r="DC53"/>
  <c r="DA52"/>
  <c r="CY52" s="1"/>
  <c r="CV51"/>
  <c r="DC49"/>
  <c r="DA48"/>
  <c r="CV47"/>
  <c r="DC45"/>
  <c r="DA44"/>
  <c r="CY44" s="1"/>
  <c r="CV43"/>
  <c r="DC41"/>
  <c r="DA40"/>
  <c r="CV39"/>
  <c r="DC56"/>
  <c r="DA55"/>
  <c r="CY55" s="1"/>
  <c r="CV54"/>
  <c r="DC52"/>
  <c r="DA51"/>
  <c r="CY51" s="1"/>
  <c r="CV50"/>
  <c r="DC48"/>
  <c r="DA47"/>
  <c r="CY47" s="1"/>
  <c r="CV46"/>
  <c r="DC44"/>
  <c r="DA43"/>
  <c r="CY43" s="1"/>
  <c r="CV42"/>
  <c r="DC40"/>
  <c r="DA39"/>
  <c r="CY39" s="1"/>
  <c r="CV38"/>
  <c r="DC36"/>
  <c r="DA35"/>
  <c r="CY35" s="1"/>
  <c r="CV34"/>
  <c r="DC32"/>
  <c r="DC31"/>
  <c r="DC29"/>
  <c r="DA28"/>
  <c r="CV27"/>
  <c r="DC25"/>
  <c r="DA24"/>
  <c r="CV23"/>
  <c r="DC21"/>
  <c r="DA20"/>
  <c r="CV37"/>
  <c r="DC35"/>
  <c r="DA34"/>
  <c r="CV33"/>
  <c r="DA31"/>
  <c r="DC30"/>
  <c r="DA29"/>
  <c r="CV28"/>
  <c r="DC26"/>
  <c r="DA25"/>
  <c r="CY25" s="1"/>
  <c r="CV24"/>
  <c r="DC22"/>
  <c r="DA21"/>
  <c r="CV20"/>
  <c r="DC19"/>
  <c r="DC17"/>
  <c r="DA16"/>
  <c r="CV15"/>
  <c r="DC13"/>
  <c r="DA12"/>
  <c r="CV11"/>
  <c r="DC18"/>
  <c r="DA17"/>
  <c r="CY17" s="1"/>
  <c r="CV16"/>
  <c r="DC14"/>
  <c r="DA13"/>
  <c r="CY13" s="1"/>
  <c r="CV12"/>
  <c r="DC57"/>
  <c r="DC59"/>
  <c r="CV57"/>
  <c r="CV59"/>
  <c r="CV58"/>
  <c r="CV60"/>
  <c r="DF56"/>
  <c r="DM54"/>
  <c r="DK53"/>
  <c r="DF52"/>
  <c r="DM50"/>
  <c r="DK49"/>
  <c r="DF48"/>
  <c r="DM46"/>
  <c r="DK45"/>
  <c r="DF44"/>
  <c r="DM42"/>
  <c r="DK41"/>
  <c r="DF40"/>
  <c r="DM38"/>
  <c r="DK56"/>
  <c r="DI56" s="1"/>
  <c r="DF55"/>
  <c r="DM53"/>
  <c r="DK52"/>
  <c r="DI52" s="1"/>
  <c r="DF51"/>
  <c r="DM49"/>
  <c r="DK48"/>
  <c r="DI48" s="1"/>
  <c r="DF47"/>
  <c r="DM45"/>
  <c r="DK44"/>
  <c r="DI44" s="1"/>
  <c r="DF43"/>
  <c r="DM41"/>
  <c r="DK40"/>
  <c r="DI40" s="1"/>
  <c r="DF39"/>
  <c r="DM37"/>
  <c r="DK36"/>
  <c r="DF35"/>
  <c r="DM33"/>
  <c r="DK32"/>
  <c r="DM30"/>
  <c r="DK29"/>
  <c r="DF28"/>
  <c r="DM26"/>
  <c r="DK25"/>
  <c r="DF24"/>
  <c r="DM22"/>
  <c r="DK21"/>
  <c r="DF20"/>
  <c r="DM36"/>
  <c r="DK35"/>
  <c r="DF34"/>
  <c r="DM32"/>
  <c r="DK31"/>
  <c r="DK30"/>
  <c r="DF29"/>
  <c r="DM27"/>
  <c r="DK26"/>
  <c r="DF25"/>
  <c r="DM23"/>
  <c r="DK22"/>
  <c r="DF21"/>
  <c r="DM19"/>
  <c r="DM18"/>
  <c r="DK17"/>
  <c r="DF16"/>
  <c r="DM14"/>
  <c r="DK13"/>
  <c r="DF12"/>
  <c r="DK19"/>
  <c r="DM17"/>
  <c r="DK16"/>
  <c r="DI16" s="1"/>
  <c r="DF15"/>
  <c r="DM13"/>
  <c r="DK12"/>
  <c r="DI12" s="1"/>
  <c r="DF11"/>
  <c r="DK58"/>
  <c r="DM57"/>
  <c r="DM59"/>
  <c r="DK57"/>
  <c r="DK59"/>
  <c r="DK60"/>
  <c r="DM56"/>
  <c r="DK55"/>
  <c r="DI55" s="1"/>
  <c r="DF54"/>
  <c r="DM52"/>
  <c r="DK51"/>
  <c r="DF50"/>
  <c r="DM48"/>
  <c r="DK47"/>
  <c r="DI47" s="1"/>
  <c r="DF46"/>
  <c r="DM44"/>
  <c r="DK43"/>
  <c r="DF42"/>
  <c r="DM40"/>
  <c r="DK39"/>
  <c r="DI39" s="1"/>
  <c r="DF38"/>
  <c r="DM55"/>
  <c r="DK54"/>
  <c r="DI54" s="1"/>
  <c r="DF53"/>
  <c r="DM51"/>
  <c r="DK50"/>
  <c r="DI50" s="1"/>
  <c r="DF49"/>
  <c r="DM47"/>
  <c r="DK46"/>
  <c r="DI46" s="1"/>
  <c r="DF45"/>
  <c r="DM43"/>
  <c r="DK42"/>
  <c r="DI42" s="1"/>
  <c r="DF41"/>
  <c r="DM39"/>
  <c r="DK38"/>
  <c r="DI38" s="1"/>
  <c r="DF37"/>
  <c r="DM35"/>
  <c r="DK34"/>
  <c r="DI34" s="1"/>
  <c r="DF33"/>
  <c r="DM31"/>
  <c r="DF30"/>
  <c r="DM28"/>
  <c r="DK27"/>
  <c r="DF26"/>
  <c r="DM24"/>
  <c r="DK23"/>
  <c r="DF22"/>
  <c r="DM20"/>
  <c r="DK37"/>
  <c r="DF36"/>
  <c r="DM34"/>
  <c r="DK33"/>
  <c r="DF32"/>
  <c r="DF31"/>
  <c r="DM29"/>
  <c r="DK28"/>
  <c r="DI28" s="1"/>
  <c r="DF27"/>
  <c r="DM25"/>
  <c r="DK24"/>
  <c r="DF23"/>
  <c r="DM21"/>
  <c r="DK20"/>
  <c r="DI20" s="1"/>
  <c r="DF19"/>
  <c r="DF18"/>
  <c r="DM16"/>
  <c r="DK15"/>
  <c r="DI15" s="1"/>
  <c r="DF14"/>
  <c r="DM12"/>
  <c r="DK11"/>
  <c r="DK18"/>
  <c r="DI18" s="1"/>
  <c r="DF17"/>
  <c r="DM15"/>
  <c r="DK14"/>
  <c r="DI14" s="1"/>
  <c r="DF13"/>
  <c r="DM11"/>
  <c r="DF57"/>
  <c r="DF59"/>
  <c r="DM58"/>
  <c r="DM60"/>
  <c r="DF58"/>
  <c r="DF60"/>
  <c r="DU56"/>
  <c r="DP55"/>
  <c r="DW53"/>
  <c r="DU52"/>
  <c r="DP51"/>
  <c r="DW49"/>
  <c r="DU48"/>
  <c r="DP47"/>
  <c r="DW45"/>
  <c r="DU44"/>
  <c r="DP43"/>
  <c r="DW41"/>
  <c r="DU40"/>
  <c r="DP39"/>
  <c r="DW56"/>
  <c r="DU55"/>
  <c r="DS55" s="1"/>
  <c r="DP54"/>
  <c r="DW52"/>
  <c r="DU51"/>
  <c r="DS51" s="1"/>
  <c r="DP50"/>
  <c r="DW48"/>
  <c r="DU47"/>
  <c r="DS47" s="1"/>
  <c r="DP46"/>
  <c r="DW44"/>
  <c r="DU43"/>
  <c r="DS43" s="1"/>
  <c r="DP42"/>
  <c r="DW40"/>
  <c r="DU39"/>
  <c r="DS39" s="1"/>
  <c r="DP38"/>
  <c r="DW36"/>
  <c r="DU35"/>
  <c r="DP34"/>
  <c r="DW32"/>
  <c r="DW31"/>
  <c r="DW29"/>
  <c r="DU28"/>
  <c r="DP27"/>
  <c r="DW25"/>
  <c r="DU24"/>
  <c r="DP23"/>
  <c r="DW21"/>
  <c r="DU20"/>
  <c r="DP37"/>
  <c r="DW35"/>
  <c r="DU34"/>
  <c r="DP33"/>
  <c r="DU31"/>
  <c r="DW30"/>
  <c r="DU29"/>
  <c r="DP28"/>
  <c r="DW26"/>
  <c r="DU25"/>
  <c r="DP24"/>
  <c r="DW22"/>
  <c r="DU21"/>
  <c r="DP20"/>
  <c r="DW18"/>
  <c r="DP19"/>
  <c r="DP17"/>
  <c r="DW15"/>
  <c r="DU14"/>
  <c r="DP13"/>
  <c r="DW11"/>
  <c r="DW19"/>
  <c r="DU17"/>
  <c r="DS17" s="1"/>
  <c r="DP16"/>
  <c r="DW14"/>
  <c r="DU13"/>
  <c r="DS13" s="1"/>
  <c r="DP12"/>
  <c r="DW57"/>
  <c r="DW59"/>
  <c r="DP57"/>
  <c r="DP59"/>
  <c r="DP58"/>
  <c r="DP60"/>
  <c r="DW55"/>
  <c r="DU54"/>
  <c r="DS54" s="1"/>
  <c r="DP53"/>
  <c r="DW51"/>
  <c r="DU50"/>
  <c r="DS50" s="1"/>
  <c r="DP49"/>
  <c r="DW47"/>
  <c r="DU46"/>
  <c r="DS46" s="1"/>
  <c r="DP45"/>
  <c r="DW43"/>
  <c r="DU42"/>
  <c r="DS42" s="1"/>
  <c r="DP41"/>
  <c r="DW39"/>
  <c r="DU38"/>
  <c r="DS38" s="1"/>
  <c r="DP56"/>
  <c r="DW54"/>
  <c r="DU53"/>
  <c r="DS53" s="1"/>
  <c r="DP52"/>
  <c r="DW50"/>
  <c r="DU49"/>
  <c r="DS49" s="1"/>
  <c r="DP48"/>
  <c r="DW46"/>
  <c r="DU45"/>
  <c r="DS45" s="1"/>
  <c r="DP44"/>
  <c r="DW42"/>
  <c r="DU41"/>
  <c r="DS41" s="1"/>
  <c r="DP40"/>
  <c r="DW38"/>
  <c r="DU37"/>
  <c r="DP36"/>
  <c r="DW34"/>
  <c r="DU33"/>
  <c r="DP32"/>
  <c r="DU30"/>
  <c r="DP29"/>
  <c r="DW27"/>
  <c r="DU26"/>
  <c r="DP25"/>
  <c r="DW23"/>
  <c r="DU22"/>
  <c r="DP21"/>
  <c r="DW37"/>
  <c r="DU36"/>
  <c r="DP35"/>
  <c r="DW33"/>
  <c r="DU32"/>
  <c r="DP31"/>
  <c r="DP30"/>
  <c r="DW28"/>
  <c r="DU27"/>
  <c r="DS27" s="1"/>
  <c r="DP26"/>
  <c r="DW24"/>
  <c r="DU23"/>
  <c r="DS23" s="1"/>
  <c r="DP22"/>
  <c r="DW20"/>
  <c r="DU19"/>
  <c r="DS19" s="1"/>
  <c r="DP18"/>
  <c r="DW17"/>
  <c r="DU16"/>
  <c r="DS16" s="1"/>
  <c r="DP15"/>
  <c r="DW13"/>
  <c r="DU12"/>
  <c r="DS12" s="1"/>
  <c r="DP11"/>
  <c r="DU18"/>
  <c r="DW16"/>
  <c r="DU15"/>
  <c r="DS15" s="1"/>
  <c r="DP14"/>
  <c r="DW12"/>
  <c r="DU11"/>
  <c r="DS11" s="1"/>
  <c r="DW58"/>
  <c r="DW60"/>
  <c r="DU58"/>
  <c r="DS58" s="1"/>
  <c r="DU57"/>
  <c r="DS57" s="1"/>
  <c r="DU59"/>
  <c r="DS59" s="1"/>
  <c r="DU60"/>
  <c r="DZ56"/>
  <c r="EG54"/>
  <c r="EE53"/>
  <c r="DZ52"/>
  <c r="EG50"/>
  <c r="EE49"/>
  <c r="DZ48"/>
  <c r="EG46"/>
  <c r="EE45"/>
  <c r="DZ44"/>
  <c r="EG42"/>
  <c r="EE41"/>
  <c r="DZ40"/>
  <c r="EG38"/>
  <c r="EE56"/>
  <c r="EC56" s="1"/>
  <c r="DZ55"/>
  <c r="EG53"/>
  <c r="EE52"/>
  <c r="EC52" s="1"/>
  <c r="DZ51"/>
  <c r="EG49"/>
  <c r="EE48"/>
  <c r="EC48" s="1"/>
  <c r="DZ47"/>
  <c r="EG45"/>
  <c r="EE44"/>
  <c r="EC44" s="1"/>
  <c r="DZ43"/>
  <c r="EG41"/>
  <c r="EE40"/>
  <c r="EC40" s="1"/>
  <c r="DZ39"/>
  <c r="EG37"/>
  <c r="EE36"/>
  <c r="DZ35"/>
  <c r="EG33"/>
  <c r="EE32"/>
  <c r="EG30"/>
  <c r="EE29"/>
  <c r="DZ28"/>
  <c r="EG26"/>
  <c r="EE25"/>
  <c r="DZ24"/>
  <c r="EG22"/>
  <c r="EE21"/>
  <c r="DZ20"/>
  <c r="EG36"/>
  <c r="EE35"/>
  <c r="DZ34"/>
  <c r="EG32"/>
  <c r="EE31"/>
  <c r="EE30"/>
  <c r="DZ29"/>
  <c r="EG27"/>
  <c r="EE26"/>
  <c r="DZ25"/>
  <c r="EG23"/>
  <c r="EE22"/>
  <c r="DZ21"/>
  <c r="EG19"/>
  <c r="EE18"/>
  <c r="DZ18"/>
  <c r="EG16"/>
  <c r="EE15"/>
  <c r="DZ14"/>
  <c r="EG12"/>
  <c r="EE11"/>
  <c r="EG17"/>
  <c r="EE16"/>
  <c r="DZ15"/>
  <c r="EG13"/>
  <c r="EE12"/>
  <c r="DZ11"/>
  <c r="EE59"/>
  <c r="DZ59"/>
  <c r="EE60"/>
  <c r="EG58"/>
  <c r="EG60"/>
  <c r="DZ60"/>
  <c r="EG56"/>
  <c r="EE55"/>
  <c r="EC55" s="1"/>
  <c r="DZ54"/>
  <c r="EG52"/>
  <c r="EE51"/>
  <c r="DZ50"/>
  <c r="EG48"/>
  <c r="EE47"/>
  <c r="EC47" s="1"/>
  <c r="DZ46"/>
  <c r="EG44"/>
  <c r="EE43"/>
  <c r="DZ42"/>
  <c r="EG40"/>
  <c r="EE39"/>
  <c r="EC39" s="1"/>
  <c r="DZ38"/>
  <c r="EG55"/>
  <c r="EE54"/>
  <c r="EC54" s="1"/>
  <c r="DZ53"/>
  <c r="EG51"/>
  <c r="EE50"/>
  <c r="EC50" s="1"/>
  <c r="DZ49"/>
  <c r="EG47"/>
  <c r="EE46"/>
  <c r="EC46" s="1"/>
  <c r="DZ45"/>
  <c r="EG43"/>
  <c r="EE42"/>
  <c r="EC42" s="1"/>
  <c r="DZ41"/>
  <c r="EG39"/>
  <c r="EE38"/>
  <c r="EC38" s="1"/>
  <c r="DZ37"/>
  <c r="EG35"/>
  <c r="EE34"/>
  <c r="EC34" s="1"/>
  <c r="DZ33"/>
  <c r="EG31"/>
  <c r="DZ30"/>
  <c r="EG28"/>
  <c r="EE27"/>
  <c r="DZ26"/>
  <c r="EG24"/>
  <c r="EE23"/>
  <c r="DZ22"/>
  <c r="EG20"/>
  <c r="EE37"/>
  <c r="DZ36"/>
  <c r="EG34"/>
  <c r="EE33"/>
  <c r="DZ32"/>
  <c r="DZ31"/>
  <c r="EG29"/>
  <c r="EE28"/>
  <c r="EC28" s="1"/>
  <c r="DZ27"/>
  <c r="EG25"/>
  <c r="EE24"/>
  <c r="DZ23"/>
  <c r="EG21"/>
  <c r="EE20"/>
  <c r="EC20" s="1"/>
  <c r="DZ19"/>
  <c r="EE19"/>
  <c r="EE17"/>
  <c r="DZ16"/>
  <c r="EG14"/>
  <c r="EE13"/>
  <c r="DZ12"/>
  <c r="EG18"/>
  <c r="DZ17"/>
  <c r="EG15"/>
  <c r="EE14"/>
  <c r="DZ13"/>
  <c r="EG11"/>
  <c r="EE57"/>
  <c r="DZ57"/>
  <c r="EE58"/>
  <c r="EG57"/>
  <c r="EG59"/>
  <c r="DZ58"/>
  <c r="D593" i="36"/>
  <c r="D595"/>
  <c r="D597"/>
  <c r="D599"/>
  <c r="D594"/>
  <c r="D596"/>
  <c r="D598"/>
  <c r="D586"/>
  <c r="D588"/>
  <c r="D590"/>
  <c r="D592"/>
  <c r="D587"/>
  <c r="D589"/>
  <c r="D591"/>
  <c r="D579"/>
  <c r="D581"/>
  <c r="D583"/>
  <c r="D585"/>
  <c r="D578"/>
  <c r="D580"/>
  <c r="D582"/>
  <c r="D584"/>
  <c r="D571"/>
  <c r="D573"/>
  <c r="D575"/>
  <c r="D577"/>
  <c r="D570"/>
  <c r="D572"/>
  <c r="D574"/>
  <c r="D576"/>
  <c r="D569"/>
  <c r="D563"/>
  <c r="D565"/>
  <c r="D562"/>
  <c r="D564"/>
  <c r="D566"/>
  <c r="D568"/>
  <c r="D567"/>
  <c r="D560"/>
  <c r="D559"/>
  <c r="D561"/>
  <c r="D553"/>
  <c r="D555"/>
  <c r="D557"/>
  <c r="D552"/>
  <c r="D554"/>
  <c r="D556"/>
  <c r="D558"/>
  <c r="D544"/>
  <c r="D546"/>
  <c r="D548"/>
  <c r="D550"/>
  <c r="D545"/>
  <c r="D547"/>
  <c r="D549"/>
  <c r="D551"/>
  <c r="D538"/>
  <c r="D540"/>
  <c r="D542"/>
  <c r="D539"/>
  <c r="D541"/>
  <c r="D543"/>
  <c r="D533"/>
  <c r="D535"/>
  <c r="D537"/>
  <c r="D532"/>
  <c r="D534"/>
  <c r="D536"/>
  <c r="D524"/>
  <c r="D526"/>
  <c r="D528"/>
  <c r="D530"/>
  <c r="D523"/>
  <c r="D525"/>
  <c r="D527"/>
  <c r="D529"/>
  <c r="D531"/>
  <c r="D522"/>
  <c r="D515"/>
  <c r="D517"/>
  <c r="D519"/>
  <c r="D521"/>
  <c r="D516"/>
  <c r="D518"/>
  <c r="D520"/>
  <c r="D510"/>
  <c r="D512"/>
  <c r="D514"/>
  <c r="D509"/>
  <c r="D511"/>
  <c r="D513"/>
  <c r="D508"/>
  <c r="D498"/>
  <c r="D500"/>
  <c r="D502"/>
  <c r="D504"/>
  <c r="D506"/>
  <c r="D499"/>
  <c r="D501"/>
  <c r="D503"/>
  <c r="D505"/>
  <c r="D507"/>
  <c r="D489"/>
  <c r="D491"/>
  <c r="D493"/>
  <c r="D495"/>
  <c r="D497"/>
  <c r="D490"/>
  <c r="D492"/>
  <c r="D494"/>
  <c r="D496"/>
  <c r="D477"/>
  <c r="D479"/>
  <c r="D481"/>
  <c r="D483"/>
  <c r="D485"/>
  <c r="D487"/>
  <c r="D478"/>
  <c r="D480"/>
  <c r="D482"/>
  <c r="D484"/>
  <c r="D486"/>
  <c r="D488"/>
  <c r="D473"/>
  <c r="D475"/>
  <c r="D472"/>
  <c r="D474"/>
  <c r="D476"/>
  <c r="D471"/>
  <c r="D461"/>
  <c r="D463"/>
  <c r="D465"/>
  <c r="D467"/>
  <c r="D469"/>
  <c r="D462"/>
  <c r="D464"/>
  <c r="D466"/>
  <c r="D468"/>
  <c r="D470"/>
  <c r="D455"/>
  <c r="D457"/>
  <c r="D459"/>
  <c r="D454"/>
  <c r="D456"/>
  <c r="D458"/>
  <c r="D460"/>
  <c r="D453"/>
  <c r="D439"/>
  <c r="D441"/>
  <c r="D443"/>
  <c r="D445"/>
  <c r="D447"/>
  <c r="D449"/>
  <c r="D451"/>
  <c r="D440"/>
  <c r="D442"/>
  <c r="D444"/>
  <c r="D446"/>
  <c r="D448"/>
  <c r="D450"/>
  <c r="D452"/>
  <c r="D435"/>
  <c r="D437"/>
  <c r="D436"/>
  <c r="D438"/>
  <c r="D428"/>
  <c r="D430"/>
  <c r="D432"/>
  <c r="D434"/>
  <c r="D429"/>
  <c r="D431"/>
  <c r="D433"/>
  <c r="D411"/>
  <c r="D413"/>
  <c r="D415"/>
  <c r="D417"/>
  <c r="D419"/>
  <c r="D421"/>
  <c r="D423"/>
  <c r="D425"/>
  <c r="D427"/>
  <c r="D412"/>
  <c r="D414"/>
  <c r="D416"/>
  <c r="D418"/>
  <c r="D420"/>
  <c r="D422"/>
  <c r="D424"/>
  <c r="D426"/>
  <c r="D397"/>
  <c r="D399"/>
  <c r="D401"/>
  <c r="D403"/>
  <c r="D405"/>
  <c r="D407"/>
  <c r="D409"/>
  <c r="D398"/>
  <c r="D400"/>
  <c r="D402"/>
  <c r="D404"/>
  <c r="D406"/>
  <c r="D408"/>
  <c r="D410"/>
  <c r="D383"/>
  <c r="D385"/>
  <c r="D387"/>
  <c r="D389"/>
  <c r="D391"/>
  <c r="D393"/>
  <c r="D395"/>
  <c r="D382"/>
  <c r="D384"/>
  <c r="D386"/>
  <c r="D388"/>
  <c r="D390"/>
  <c r="D392"/>
  <c r="D394"/>
  <c r="D396"/>
  <c r="D359"/>
  <c r="D361"/>
  <c r="D363"/>
  <c r="D365"/>
  <c r="D367"/>
  <c r="D369"/>
  <c r="D371"/>
  <c r="D373"/>
  <c r="D375"/>
  <c r="D377"/>
  <c r="D379"/>
  <c r="D381"/>
  <c r="D358"/>
  <c r="D360"/>
  <c r="D362"/>
  <c r="D364"/>
  <c r="D366"/>
  <c r="D368"/>
  <c r="D370"/>
  <c r="D372"/>
  <c r="D374"/>
  <c r="D376"/>
  <c r="D378"/>
  <c r="D380"/>
  <c r="D347"/>
  <c r="D349"/>
  <c r="D351"/>
  <c r="D353"/>
  <c r="D355"/>
  <c r="D357"/>
  <c r="D348"/>
  <c r="D350"/>
  <c r="D352"/>
  <c r="D354"/>
  <c r="D356"/>
  <c r="D337"/>
  <c r="D339"/>
  <c r="D341"/>
  <c r="D343"/>
  <c r="D345"/>
  <c r="D338"/>
  <c r="D340"/>
  <c r="D342"/>
  <c r="D344"/>
  <c r="D346"/>
  <c r="D324"/>
  <c r="D326"/>
  <c r="D328"/>
  <c r="D330"/>
  <c r="D332"/>
  <c r="D334"/>
  <c r="D336"/>
  <c r="D323"/>
  <c r="D325"/>
  <c r="D327"/>
  <c r="D329"/>
  <c r="D331"/>
  <c r="D333"/>
  <c r="D335"/>
  <c r="D310"/>
  <c r="D312"/>
  <c r="D314"/>
  <c r="D316"/>
  <c r="D318"/>
  <c r="D320"/>
  <c r="D322"/>
  <c r="D311"/>
  <c r="D313"/>
  <c r="D315"/>
  <c r="D317"/>
  <c r="D319"/>
  <c r="D321"/>
  <c r="D297"/>
  <c r="D299"/>
  <c r="D301"/>
  <c r="D303"/>
  <c r="D305"/>
  <c r="D307"/>
  <c r="D309"/>
  <c r="D298"/>
  <c r="D300"/>
  <c r="D302"/>
  <c r="D304"/>
  <c r="D306"/>
  <c r="D308"/>
  <c r="D283"/>
  <c r="D285"/>
  <c r="D287"/>
  <c r="D289"/>
  <c r="D291"/>
  <c r="D293"/>
  <c r="D295"/>
  <c r="D284"/>
  <c r="D286"/>
  <c r="D288"/>
  <c r="D290"/>
  <c r="D292"/>
  <c r="D294"/>
  <c r="D296"/>
  <c r="D260"/>
  <c r="D262"/>
  <c r="D264"/>
  <c r="D266"/>
  <c r="D268"/>
  <c r="D270"/>
  <c r="D272"/>
  <c r="D274"/>
  <c r="D276"/>
  <c r="D278"/>
  <c r="D280"/>
  <c r="D282"/>
  <c r="D259"/>
  <c r="D261"/>
  <c r="D263"/>
  <c r="D265"/>
  <c r="D267"/>
  <c r="D269"/>
  <c r="D271"/>
  <c r="D273"/>
  <c r="D275"/>
  <c r="D277"/>
  <c r="D279"/>
  <c r="D281"/>
  <c r="D249"/>
  <c r="D251"/>
  <c r="D253"/>
  <c r="D255"/>
  <c r="D257"/>
  <c r="D250"/>
  <c r="D252"/>
  <c r="D254"/>
  <c r="D256"/>
  <c r="D258"/>
  <c r="D227"/>
  <c r="D229"/>
  <c r="D231"/>
  <c r="D233"/>
  <c r="D235"/>
  <c r="D237"/>
  <c r="D239"/>
  <c r="D241"/>
  <c r="D243"/>
  <c r="D245"/>
  <c r="D247"/>
  <c r="D226"/>
  <c r="D228"/>
  <c r="D230"/>
  <c r="D232"/>
  <c r="D234"/>
  <c r="D236"/>
  <c r="D238"/>
  <c r="D240"/>
  <c r="D242"/>
  <c r="D244"/>
  <c r="D246"/>
  <c r="D248"/>
  <c r="D199"/>
  <c r="D201"/>
  <c r="D203"/>
  <c r="D205"/>
  <c r="D207"/>
  <c r="D209"/>
  <c r="D211"/>
  <c r="D213"/>
  <c r="D215"/>
  <c r="D217"/>
  <c r="D219"/>
  <c r="D221"/>
  <c r="D223"/>
  <c r="D225"/>
  <c r="D198"/>
  <c r="D200"/>
  <c r="D202"/>
  <c r="D204"/>
  <c r="D206"/>
  <c r="D208"/>
  <c r="D210"/>
  <c r="D212"/>
  <c r="D214"/>
  <c r="D216"/>
  <c r="D218"/>
  <c r="D220"/>
  <c r="D222"/>
  <c r="D224"/>
  <c r="D182"/>
  <c r="D184"/>
  <c r="D186"/>
  <c r="D188"/>
  <c r="D190"/>
  <c r="D192"/>
  <c r="D194"/>
  <c r="D196"/>
  <c r="D183"/>
  <c r="D185"/>
  <c r="D187"/>
  <c r="D189"/>
  <c r="D191"/>
  <c r="D193"/>
  <c r="D195"/>
  <c r="D197"/>
  <c r="D165"/>
  <c r="D167"/>
  <c r="D169"/>
  <c r="D171"/>
  <c r="D173"/>
  <c r="D175"/>
  <c r="D177"/>
  <c r="D179"/>
  <c r="D181"/>
  <c r="F40" i="58"/>
  <c r="G39"/>
  <c r="E39"/>
  <c r="F38"/>
  <c r="G37"/>
  <c r="E37"/>
  <c r="F36"/>
  <c r="G35"/>
  <c r="E35"/>
  <c r="F34"/>
  <c r="G33"/>
  <c r="E33"/>
  <c r="F32"/>
  <c r="G31"/>
  <c r="E31"/>
  <c r="F30"/>
  <c r="G29"/>
  <c r="E29"/>
  <c r="F28"/>
  <c r="G27"/>
  <c r="E27"/>
  <c r="F26"/>
  <c r="G25"/>
  <c r="E25"/>
  <c r="F24"/>
  <c r="G23"/>
  <c r="E23"/>
  <c r="F22"/>
  <c r="G21"/>
  <c r="E21"/>
  <c r="F20"/>
  <c r="G19"/>
  <c r="E19"/>
  <c r="F18"/>
  <c r="G17"/>
  <c r="E17"/>
  <c r="F16"/>
  <c r="G15"/>
  <c r="E15"/>
  <c r="F14"/>
  <c r="G13"/>
  <c r="E13"/>
  <c r="F11"/>
  <c r="G10"/>
  <c r="E10"/>
  <c r="F12"/>
  <c r="AM40" a="1"/>
  <c r="AM40" s="1"/>
  <c r="AM38" a="1"/>
  <c r="AM38" s="1"/>
  <c r="C33" a="1"/>
  <c r="C33" s="1"/>
  <c r="AM32" a="1"/>
  <c r="AM32" s="1"/>
  <c r="AM31" a="1"/>
  <c r="AM31" s="1"/>
  <c r="AM30" a="1"/>
  <c r="AM30" s="1"/>
  <c r="AM29" a="1"/>
  <c r="AM29" s="1"/>
  <c r="C25" a="1"/>
  <c r="C25" s="1"/>
  <c r="AM24" a="1"/>
  <c r="AM24" s="1"/>
  <c r="AM23" a="1"/>
  <c r="AM23" s="1"/>
  <c r="AM22" a="1"/>
  <c r="AM22" s="1"/>
  <c r="AM21" a="1"/>
  <c r="AM21" s="1"/>
  <c r="AM10" a="1"/>
  <c r="AM10" s="1"/>
  <c r="C19" a="1"/>
  <c r="C19" s="1"/>
  <c r="AM17" a="1"/>
  <c r="AM17" s="1"/>
  <c r="AM16" a="1"/>
  <c r="AM16" s="1"/>
  <c r="C15" a="1"/>
  <c r="C15" s="1"/>
  <c r="AM13" a="1"/>
  <c r="AM13" s="1"/>
  <c r="AM12" a="1"/>
  <c r="AM12" s="1"/>
  <c r="AN10" a="1"/>
  <c r="AN10" s="1"/>
  <c r="D164" i="36"/>
  <c r="D166"/>
  <c r="D168"/>
  <c r="D170"/>
  <c r="D172"/>
  <c r="D174"/>
  <c r="D176"/>
  <c r="D178"/>
  <c r="D180"/>
  <c r="G40" i="58"/>
  <c r="E40"/>
  <c r="F39"/>
  <c r="G38"/>
  <c r="E38"/>
  <c r="F37"/>
  <c r="G36"/>
  <c r="E36"/>
  <c r="F35"/>
  <c r="G34"/>
  <c r="E34"/>
  <c r="F33"/>
  <c r="G32"/>
  <c r="E32"/>
  <c r="F31"/>
  <c r="G30"/>
  <c r="E30"/>
  <c r="F29"/>
  <c r="G28"/>
  <c r="E28"/>
  <c r="F27"/>
  <c r="G26"/>
  <c r="E26"/>
  <c r="F25"/>
  <c r="G24"/>
  <c r="E24"/>
  <c r="F23"/>
  <c r="G22"/>
  <c r="E22"/>
  <c r="F21"/>
  <c r="G20"/>
  <c r="E20"/>
  <c r="F19"/>
  <c r="G18"/>
  <c r="E18"/>
  <c r="F17"/>
  <c r="G16"/>
  <c r="E16"/>
  <c r="F15"/>
  <c r="G14"/>
  <c r="E14"/>
  <c r="F13"/>
  <c r="G11"/>
  <c r="E11"/>
  <c r="F10"/>
  <c r="G12"/>
  <c r="E12"/>
  <c r="AM39" a="1"/>
  <c r="AM39" s="1"/>
  <c r="AM37" a="1"/>
  <c r="AM37" s="1"/>
  <c r="AM36" a="1"/>
  <c r="AM36" s="1"/>
  <c r="AM35" a="1"/>
  <c r="AM35" s="1"/>
  <c r="AM34" a="1"/>
  <c r="AM34" s="1"/>
  <c r="AM33" a="1"/>
  <c r="AM33" s="1"/>
  <c r="C29" a="1"/>
  <c r="C29" s="1"/>
  <c r="AM28" a="1"/>
  <c r="AM28" s="1"/>
  <c r="AM27" a="1"/>
  <c r="AM27" s="1"/>
  <c r="AM26" a="1"/>
  <c r="AM26" s="1"/>
  <c r="AM25" a="1"/>
  <c r="AM25" s="1"/>
  <c r="C21" a="1"/>
  <c r="C21" s="1"/>
  <c r="AM20" a="1"/>
  <c r="AM20" s="1"/>
  <c r="AM19" a="1"/>
  <c r="AM19" s="1"/>
  <c r="AM18" a="1"/>
  <c r="AM18" s="1"/>
  <c r="C17" a="1"/>
  <c r="C17" s="1"/>
  <c r="AM15" a="1"/>
  <c r="AM15" s="1"/>
  <c r="AM14" a="1"/>
  <c r="AM14" s="1"/>
  <c r="C13" a="1"/>
  <c r="C13" s="1"/>
  <c r="AM11" a="1"/>
  <c r="AM11" s="1"/>
  <c r="H31"/>
  <c r="H29"/>
  <c r="R35"/>
  <c r="R37"/>
  <c r="H23"/>
  <c r="C10" a="1"/>
  <c r="C10" s="1"/>
  <c r="H25"/>
  <c r="C27" a="1"/>
  <c r="C27" s="1"/>
  <c r="C35" a="1"/>
  <c r="C35" s="1"/>
  <c r="C37" a="1"/>
  <c r="C37" s="1"/>
  <c r="D11" a="1"/>
  <c r="D11" s="1"/>
  <c r="Q22"/>
  <c r="D28" a="1"/>
  <c r="D28" s="1"/>
  <c r="D30" a="1"/>
  <c r="D30" s="1"/>
  <c r="K30"/>
  <c r="T30"/>
  <c r="D32" a="1"/>
  <c r="D32" s="1"/>
  <c r="D34" a="1"/>
  <c r="D34" s="1"/>
  <c r="Q34"/>
  <c r="I36"/>
  <c r="T36"/>
  <c r="D12" a="1"/>
  <c r="D12" s="1"/>
  <c r="Q14"/>
  <c r="Q16"/>
  <c r="D20" a="1"/>
  <c r="D20" s="1"/>
  <c r="D24" a="1"/>
  <c r="D24" s="1"/>
  <c r="C11" a="1"/>
  <c r="C11" s="1"/>
  <c r="Q11"/>
  <c r="C14" a="1"/>
  <c r="C14" s="1"/>
  <c r="C16" a="1"/>
  <c r="C16" s="1"/>
  <c r="C18" a="1"/>
  <c r="C18" s="1"/>
  <c r="D19" a="1"/>
  <c r="D19" s="1"/>
  <c r="H20"/>
  <c r="D21" a="1"/>
  <c r="D21" s="1"/>
  <c r="C22" a="1"/>
  <c r="C22" s="1"/>
  <c r="Q23"/>
  <c r="Q25"/>
  <c r="Q27"/>
  <c r="H28"/>
  <c r="D29" a="1"/>
  <c r="D29" s="1"/>
  <c r="H30"/>
  <c r="C32" a="1"/>
  <c r="C32" s="1"/>
  <c r="D33" a="1"/>
  <c r="D33" s="1"/>
  <c r="H34"/>
  <c r="R34"/>
  <c r="D35" a="1"/>
  <c r="D35" s="1"/>
  <c r="Q35"/>
  <c r="C36" a="1"/>
  <c r="C36" s="1"/>
  <c r="K36"/>
  <c r="I37"/>
  <c r="T37"/>
  <c r="R33"/>
  <c r="I33"/>
  <c r="Q26"/>
  <c r="H33"/>
  <c r="R29"/>
  <c r="I29"/>
  <c r="R31"/>
  <c r="I31"/>
  <c r="R32"/>
  <c r="I32"/>
  <c r="I10"/>
  <c r="R10"/>
  <c r="Q29"/>
  <c r="H32"/>
  <c r="I11"/>
  <c r="R11"/>
  <c r="K14"/>
  <c r="T14"/>
  <c r="K16"/>
  <c r="T16"/>
  <c r="K20"/>
  <c r="T20"/>
  <c r="I21"/>
  <c r="R21"/>
  <c r="K22"/>
  <c r="T22"/>
  <c r="I23"/>
  <c r="R23"/>
  <c r="I25"/>
  <c r="R25"/>
  <c r="K26"/>
  <c r="T26"/>
  <c r="I27"/>
  <c r="R27"/>
  <c r="K28"/>
  <c r="T28"/>
  <c r="H26"/>
  <c r="Q32"/>
  <c r="H27"/>
  <c r="H35"/>
  <c r="H37"/>
  <c r="H10"/>
  <c r="Q10"/>
  <c r="H21"/>
  <c r="C23" a="1"/>
  <c r="C23" s="1"/>
  <c r="C31" a="1"/>
  <c r="C31" s="1"/>
  <c r="K35"/>
  <c r="K37"/>
  <c r="D22" a="1"/>
  <c r="D22" s="1"/>
  <c r="D26" a="1"/>
  <c r="D26" s="1"/>
  <c r="Q28"/>
  <c r="I30"/>
  <c r="R30"/>
  <c r="I34"/>
  <c r="T34"/>
  <c r="D36" a="1"/>
  <c r="D36" s="1"/>
  <c r="Q36"/>
  <c r="D14" a="1"/>
  <c r="D14" s="1"/>
  <c r="D16" a="1"/>
  <c r="D16" s="1"/>
  <c r="D18" a="1"/>
  <c r="D18" s="1"/>
  <c r="Q20"/>
  <c r="D10" a="1"/>
  <c r="D10" s="1"/>
  <c r="H11"/>
  <c r="C12" a="1"/>
  <c r="C12" s="1"/>
  <c r="D13" a="1"/>
  <c r="D13" s="1"/>
  <c r="H14"/>
  <c r="D15" a="1"/>
  <c r="D15" s="1"/>
  <c r="H16"/>
  <c r="D17" a="1"/>
  <c r="D17" s="1"/>
  <c r="C20" a="1"/>
  <c r="C20" s="1"/>
  <c r="Q21"/>
  <c r="H22"/>
  <c r="D23" a="1"/>
  <c r="D23" s="1"/>
  <c r="C24" a="1"/>
  <c r="C24" s="1"/>
  <c r="D25" a="1"/>
  <c r="D25" s="1"/>
  <c r="C26" a="1"/>
  <c r="C26" s="1"/>
  <c r="D27" a="1"/>
  <c r="D27" s="1"/>
  <c r="C28" a="1"/>
  <c r="C28" s="1"/>
  <c r="C30" a="1"/>
  <c r="C30" s="1"/>
  <c r="Q30"/>
  <c r="D31" a="1"/>
  <c r="D31" s="1"/>
  <c r="C34" a="1"/>
  <c r="C34" s="1"/>
  <c r="K34"/>
  <c r="I35"/>
  <c r="T35"/>
  <c r="H36"/>
  <c r="R36"/>
  <c r="D37" a="1"/>
  <c r="D37" s="1"/>
  <c r="Q37"/>
  <c r="T33"/>
  <c r="K33"/>
  <c r="T29"/>
  <c r="K29"/>
  <c r="T31"/>
  <c r="K31"/>
  <c r="T32"/>
  <c r="K32"/>
  <c r="K10"/>
  <c r="T10"/>
  <c r="Q31"/>
  <c r="Q33"/>
  <c r="K11"/>
  <c r="T11"/>
  <c r="I14"/>
  <c r="R14"/>
  <c r="I16"/>
  <c r="R16"/>
  <c r="I20"/>
  <c r="R20"/>
  <c r="K21"/>
  <c r="T21"/>
  <c r="I22"/>
  <c r="R22"/>
  <c r="K23"/>
  <c r="T23"/>
  <c r="K25"/>
  <c r="T25"/>
  <c r="I26"/>
  <c r="R26"/>
  <c r="K27"/>
  <c r="T27"/>
  <c r="I28"/>
  <c r="R28"/>
  <c r="H19"/>
  <c r="Q18"/>
  <c r="Q24"/>
  <c r="T38"/>
  <c r="K38"/>
  <c r="D38" a="1"/>
  <c r="D38" s="1"/>
  <c r="H38"/>
  <c r="T24"/>
  <c r="R19"/>
  <c r="T18"/>
  <c r="R17"/>
  <c r="H17"/>
  <c r="I24"/>
  <c r="K19"/>
  <c r="I18"/>
  <c r="K17"/>
  <c r="T17"/>
  <c r="I17"/>
  <c r="Q19"/>
  <c r="H18"/>
  <c r="H24"/>
  <c r="R38"/>
  <c r="I38"/>
  <c r="Q38"/>
  <c r="C38" a="1"/>
  <c r="C38" s="1"/>
  <c r="K24"/>
  <c r="I19"/>
  <c r="K18"/>
  <c r="Q17"/>
  <c r="R24"/>
  <c r="T19"/>
  <c r="R18"/>
  <c r="T39"/>
  <c r="K39"/>
  <c r="Q39"/>
  <c r="C39" a="1"/>
  <c r="C39" s="1"/>
  <c r="R39"/>
  <c r="I39"/>
  <c r="D39" a="1"/>
  <c r="D39" s="1"/>
  <c r="H39"/>
  <c r="Q12"/>
  <c r="R12"/>
  <c r="T12"/>
  <c r="H13"/>
  <c r="T13"/>
  <c r="R13"/>
  <c r="H15"/>
  <c r="T15"/>
  <c r="R15"/>
  <c r="Q40"/>
  <c r="H40"/>
  <c r="C40" a="1"/>
  <c r="C40" s="1"/>
  <c r="R40"/>
  <c r="I40"/>
  <c r="T40"/>
  <c r="H12"/>
  <c r="I12"/>
  <c r="K12"/>
  <c r="Q13"/>
  <c r="K13"/>
  <c r="I13"/>
  <c r="Q15"/>
  <c r="K15"/>
  <c r="I15"/>
  <c r="D40" a="1"/>
  <c r="D40" s="1"/>
  <c r="K40"/>
  <c r="J40" s="1"/>
  <c r="D146" i="36"/>
  <c r="D148"/>
  <c r="D150"/>
  <c r="D152"/>
  <c r="D154"/>
  <c r="D156"/>
  <c r="D158"/>
  <c r="D160"/>
  <c r="D162"/>
  <c r="D147"/>
  <c r="D149"/>
  <c r="D151"/>
  <c r="D153"/>
  <c r="D155"/>
  <c r="D157"/>
  <c r="D159"/>
  <c r="D161"/>
  <c r="D163"/>
  <c r="D135"/>
  <c r="D137"/>
  <c r="D139"/>
  <c r="D141"/>
  <c r="D143"/>
  <c r="D145"/>
  <c r="D136"/>
  <c r="D138"/>
  <c r="D140"/>
  <c r="D142"/>
  <c r="D144"/>
  <c r="D123"/>
  <c r="D125"/>
  <c r="D127"/>
  <c r="D129"/>
  <c r="D131"/>
  <c r="D133"/>
  <c r="D124"/>
  <c r="D126"/>
  <c r="D128"/>
  <c r="D130"/>
  <c r="D132"/>
  <c r="D134"/>
  <c r="D107"/>
  <c r="D109"/>
  <c r="D111"/>
  <c r="D113"/>
  <c r="D115"/>
  <c r="D119"/>
  <c r="D121"/>
  <c r="D108"/>
  <c r="D110"/>
  <c r="D112"/>
  <c r="D114"/>
  <c r="D116"/>
  <c r="D118"/>
  <c r="D120"/>
  <c r="D122"/>
  <c r="D117"/>
  <c r="D93"/>
  <c r="D95"/>
  <c r="D97"/>
  <c r="D99"/>
  <c r="D101"/>
  <c r="D103"/>
  <c r="D105"/>
  <c r="D92"/>
  <c r="D94"/>
  <c r="D96"/>
  <c r="D98"/>
  <c r="D100"/>
  <c r="D102"/>
  <c r="D104"/>
  <c r="D106"/>
  <c r="D88"/>
  <c r="D90"/>
  <c r="D87"/>
  <c r="D89"/>
  <c r="D91"/>
  <c r="D83"/>
  <c r="D84"/>
  <c r="D86"/>
  <c r="D85"/>
  <c r="D81"/>
  <c r="D80"/>
  <c r="D82"/>
  <c r="D73"/>
  <c r="D75"/>
  <c r="D77"/>
  <c r="D79"/>
  <c r="D74"/>
  <c r="D76"/>
  <c r="D78"/>
  <c r="D68"/>
  <c r="D70"/>
  <c r="D72"/>
  <c r="D67"/>
  <c r="D69"/>
  <c r="D71"/>
  <c r="D62"/>
  <c r="D64"/>
  <c r="D66"/>
  <c r="D61"/>
  <c r="D63"/>
  <c r="D65"/>
  <c r="D55"/>
  <c r="D57"/>
  <c r="D59"/>
  <c r="D56"/>
  <c r="D58"/>
  <c r="D60"/>
  <c r="D53"/>
  <c r="D54"/>
  <c r="D46"/>
  <c r="D48"/>
  <c r="D50"/>
  <c r="D52"/>
  <c r="C274" s="1"/>
  <c r="D47"/>
  <c r="D49"/>
  <c r="D51"/>
  <c r="D41"/>
  <c r="D43"/>
  <c r="D45"/>
  <c r="D42"/>
  <c r="D44"/>
  <c r="D38"/>
  <c r="D40"/>
  <c r="D37"/>
  <c r="D39"/>
  <c r="D28"/>
  <c r="D30"/>
  <c r="D32"/>
  <c r="D34"/>
  <c r="D36"/>
  <c r="D27"/>
  <c r="D29"/>
  <c r="D31"/>
  <c r="D33"/>
  <c r="D35"/>
  <c r="D22"/>
  <c r="D24"/>
  <c r="D26"/>
  <c r="D21"/>
  <c r="D23"/>
  <c r="D25"/>
  <c r="D12"/>
  <c r="D14"/>
  <c r="D16"/>
  <c r="D18"/>
  <c r="D20"/>
  <c r="D11"/>
  <c r="D13"/>
  <c r="D15"/>
  <c r="D17"/>
  <c r="D19"/>
  <c r="D4"/>
  <c r="C674" s="1"/>
  <c r="D6"/>
  <c r="D8"/>
  <c r="D10"/>
  <c r="C634" s="1"/>
  <c r="D5"/>
  <c r="D7"/>
  <c r="D9"/>
  <c r="U55" i="45"/>
  <c r="C3" i="39"/>
  <c r="U47" i="45"/>
  <c r="U40" i="47"/>
  <c r="U32"/>
  <c r="U24"/>
  <c r="U16"/>
  <c r="M51"/>
  <c r="M43"/>
  <c r="M27"/>
  <c r="M11"/>
  <c r="M22" i="45"/>
  <c r="M44"/>
  <c r="M20"/>
  <c r="M46"/>
  <c r="M56" i="47"/>
  <c r="M47"/>
  <c r="M35"/>
  <c r="M31"/>
  <c r="M19"/>
  <c r="M15"/>
  <c r="M24" i="45"/>
  <c r="M54" i="47"/>
  <c r="M46"/>
  <c r="M38"/>
  <c r="M30"/>
  <c r="M22"/>
  <c r="M14"/>
  <c r="M14" i="45"/>
  <c r="Z49" i="40"/>
  <c r="M19" i="45"/>
  <c r="M11"/>
  <c r="M44" i="47"/>
  <c r="M40"/>
  <c r="M36"/>
  <c r="M32"/>
  <c r="M28"/>
  <c r="M24"/>
  <c r="M20"/>
  <c r="M40" i="45"/>
  <c r="M50" i="47"/>
  <c r="Y49" i="40"/>
  <c r="M28" i="45"/>
  <c r="M16"/>
  <c r="M12"/>
  <c r="M8"/>
  <c r="M16" i="47"/>
  <c r="M12"/>
  <c r="U8"/>
  <c r="V59"/>
  <c r="T58" i="45"/>
  <c r="U49"/>
  <c r="U56"/>
  <c r="U24"/>
  <c r="U28"/>
  <c r="U32"/>
  <c r="T43" i="40"/>
  <c r="U21" i="45"/>
  <c r="U25"/>
  <c r="U29"/>
  <c r="U33"/>
  <c r="T59" i="47"/>
  <c r="V58" i="45"/>
  <c r="U7"/>
  <c r="U53"/>
  <c r="U50"/>
  <c r="U48"/>
  <c r="U22"/>
  <c r="U26"/>
  <c r="U30"/>
  <c r="U34"/>
  <c r="U27"/>
  <c r="U43"/>
  <c r="U57" i="47"/>
  <c r="U53"/>
  <c r="U49"/>
  <c r="U45"/>
  <c r="U41"/>
  <c r="U37"/>
  <c r="U33"/>
  <c r="U29"/>
  <c r="U25"/>
  <c r="U21"/>
  <c r="U17"/>
  <c r="U13"/>
  <c r="U9"/>
  <c r="M45"/>
  <c r="M41"/>
  <c r="M37"/>
  <c r="M33"/>
  <c r="M29"/>
  <c r="M25"/>
  <c r="M21"/>
  <c r="M17"/>
  <c r="M13"/>
  <c r="M9"/>
  <c r="M57"/>
  <c r="M53"/>
  <c r="L59"/>
  <c r="M8"/>
  <c r="N59"/>
  <c r="M49"/>
  <c r="M55"/>
  <c r="M52"/>
  <c r="M48"/>
  <c r="M36" i="45"/>
  <c r="S43" i="40"/>
  <c r="N58" i="45"/>
  <c r="M7"/>
  <c r="M17"/>
  <c r="M13"/>
  <c r="M9"/>
  <c r="M30"/>
  <c r="L58"/>
  <c r="M45"/>
  <c r="M41"/>
  <c r="M37"/>
  <c r="M33"/>
  <c r="M29"/>
  <c r="M25"/>
  <c r="M48"/>
  <c r="M50"/>
  <c r="M52"/>
  <c r="M54"/>
  <c r="M56"/>
  <c r="M42"/>
  <c r="M34"/>
  <c r="M26"/>
  <c r="M43"/>
  <c r="M39"/>
  <c r="M35"/>
  <c r="M31"/>
  <c r="M27"/>
  <c r="M21"/>
  <c r="M47"/>
  <c r="M49"/>
  <c r="M51"/>
  <c r="M53"/>
  <c r="M55"/>
  <c r="AA34" i="43"/>
  <c r="AA30"/>
  <c r="AA26"/>
  <c r="AA22"/>
  <c r="AA18"/>
  <c r="AA14"/>
  <c r="D3" i="36"/>
  <c r="AH40" i="43"/>
  <c r="AH38"/>
  <c r="AA40"/>
  <c r="AA39"/>
  <c r="AA38"/>
  <c r="AA37"/>
  <c r="AA33"/>
  <c r="AA29"/>
  <c r="AA25"/>
  <c r="AA21"/>
  <c r="AA17"/>
  <c r="AA13"/>
  <c r="AA36"/>
  <c r="AA32"/>
  <c r="AA28"/>
  <c r="AA24"/>
  <c r="AA20"/>
  <c r="AA16"/>
  <c r="AA12"/>
  <c r="AH39"/>
  <c r="AH35"/>
  <c r="AH31"/>
  <c r="AH27"/>
  <c r="AH23"/>
  <c r="AH19"/>
  <c r="AH15"/>
  <c r="AH11"/>
  <c r="AA35"/>
  <c r="AA31"/>
  <c r="AA27"/>
  <c r="AA23"/>
  <c r="AA19"/>
  <c r="AA15"/>
  <c r="AA11"/>
  <c r="Y42"/>
  <c r="AA10"/>
  <c r="AB42"/>
  <c r="B7" i="42"/>
  <c r="B4" i="40"/>
  <c r="B3"/>
  <c r="C668" i="36" l="1"/>
  <c r="C669"/>
  <c r="C665"/>
  <c r="C673"/>
  <c r="C672"/>
  <c r="C657"/>
  <c r="C658"/>
  <c r="C659"/>
  <c r="C671"/>
  <c r="C667"/>
  <c r="C663"/>
  <c r="C670"/>
  <c r="C666"/>
  <c r="C662"/>
  <c r="C664"/>
  <c r="C655"/>
  <c r="C653"/>
  <c r="C661"/>
  <c r="C660"/>
  <c r="C654"/>
  <c r="C652"/>
  <c r="C656"/>
  <c r="C644"/>
  <c r="C641"/>
  <c r="C646"/>
  <c r="C642"/>
  <c r="C650"/>
  <c r="C649"/>
  <c r="C648"/>
  <c r="C651"/>
  <c r="C645"/>
  <c r="C635"/>
  <c r="C639"/>
  <c r="C640"/>
  <c r="C647"/>
  <c r="C643"/>
  <c r="C638"/>
  <c r="C633"/>
  <c r="DS33" i="54"/>
  <c r="C636" i="36"/>
  <c r="C637"/>
  <c r="C628"/>
  <c r="C631"/>
  <c r="C629"/>
  <c r="C632"/>
  <c r="BK58" i="54"/>
  <c r="BA32"/>
  <c r="C66" i="36"/>
  <c r="C128"/>
  <c r="C630"/>
  <c r="C624"/>
  <c r="C627"/>
  <c r="C625"/>
  <c r="C64"/>
  <c r="C617"/>
  <c r="C626"/>
  <c r="C190"/>
  <c r="C204"/>
  <c r="C287"/>
  <c r="C95"/>
  <c r="C189"/>
  <c r="C618"/>
  <c r="C613"/>
  <c r="C593"/>
  <c r="C586"/>
  <c r="C559"/>
  <c r="C532"/>
  <c r="C538"/>
  <c r="C544"/>
  <c r="C478"/>
  <c r="C489"/>
  <c r="C411"/>
  <c r="C453"/>
  <c r="C439"/>
  <c r="C397"/>
  <c r="C412"/>
  <c r="C428"/>
  <c r="C297"/>
  <c r="C310"/>
  <c r="C283"/>
  <c r="C123"/>
  <c r="C182"/>
  <c r="C84"/>
  <c r="C164"/>
  <c r="C183"/>
  <c r="C88"/>
  <c r="C146"/>
  <c r="C184"/>
  <c r="C82"/>
  <c r="C87"/>
  <c r="C92"/>
  <c r="C3"/>
  <c r="C604"/>
  <c r="C600"/>
  <c r="C570"/>
  <c r="C578"/>
  <c r="C562"/>
  <c r="C522"/>
  <c r="C552"/>
  <c r="C477"/>
  <c r="C471"/>
  <c r="C498"/>
  <c r="C461"/>
  <c r="C435"/>
  <c r="C382"/>
  <c r="C337"/>
  <c r="C347"/>
  <c r="C358"/>
  <c r="C324"/>
  <c r="C323"/>
  <c r="C259"/>
  <c r="C249"/>
  <c r="C108"/>
  <c r="C135"/>
  <c r="C198"/>
  <c r="C226"/>
  <c r="C136"/>
  <c r="C83"/>
  <c r="C124"/>
  <c r="C47"/>
  <c r="C61"/>
  <c r="C46"/>
  <c r="C56"/>
  <c r="C21"/>
  <c r="C37"/>
  <c r="C438"/>
  <c r="C381"/>
  <c r="C308"/>
  <c r="C120"/>
  <c r="C577"/>
  <c r="C72"/>
  <c r="C9"/>
  <c r="C623"/>
  <c r="C622"/>
  <c r="C616"/>
  <c r="C608"/>
  <c r="C603"/>
  <c r="C582"/>
  <c r="C581"/>
  <c r="C569"/>
  <c r="C550"/>
  <c r="C557"/>
  <c r="C529"/>
  <c r="C531"/>
  <c r="C505"/>
  <c r="C513"/>
  <c r="C486"/>
  <c r="C512"/>
  <c r="C470"/>
  <c r="C487"/>
  <c r="C434"/>
  <c r="C450"/>
  <c r="C394"/>
  <c r="C376"/>
  <c r="C373"/>
  <c r="C351"/>
  <c r="C252"/>
  <c r="C269"/>
  <c r="C270"/>
  <c r="C254"/>
  <c r="C271"/>
  <c r="C293"/>
  <c r="C253"/>
  <c r="C173"/>
  <c r="C210"/>
  <c r="C238"/>
  <c r="C211"/>
  <c r="C133"/>
  <c r="C175"/>
  <c r="C610"/>
  <c r="C609"/>
  <c r="C592"/>
  <c r="C598"/>
  <c r="C576"/>
  <c r="C591"/>
  <c r="C597"/>
  <c r="C575"/>
  <c r="C596"/>
  <c r="C528"/>
  <c r="C551"/>
  <c r="C530"/>
  <c r="C521"/>
  <c r="C476"/>
  <c r="C485"/>
  <c r="C506"/>
  <c r="C496"/>
  <c r="C507"/>
  <c r="C469"/>
  <c r="C488"/>
  <c r="C514"/>
  <c r="C408"/>
  <c r="C425"/>
  <c r="C375"/>
  <c r="C377"/>
  <c r="C374"/>
  <c r="C306"/>
  <c r="C316"/>
  <c r="C317"/>
  <c r="C255"/>
  <c r="C268"/>
  <c r="C101"/>
  <c r="C116"/>
  <c r="C143"/>
  <c r="C156"/>
  <c r="C102"/>
  <c r="C117"/>
  <c r="C157"/>
  <c r="C176"/>
  <c r="C103"/>
  <c r="C118"/>
  <c r="C158"/>
  <c r="C208"/>
  <c r="C104"/>
  <c r="C132"/>
  <c r="C159"/>
  <c r="C209"/>
  <c r="C71"/>
  <c r="C44"/>
  <c r="C58"/>
  <c r="C45"/>
  <c r="C57"/>
  <c r="C24"/>
  <c r="C32"/>
  <c r="C34"/>
  <c r="C6"/>
  <c r="C344"/>
  <c r="C354"/>
  <c r="C346"/>
  <c r="C335"/>
  <c r="C334"/>
  <c r="C320"/>
  <c r="C321"/>
  <c r="C277"/>
  <c r="C278"/>
  <c r="C279"/>
  <c r="C280"/>
  <c r="C160"/>
  <c r="C218"/>
  <c r="C246"/>
  <c r="C161"/>
  <c r="C219"/>
  <c r="C245"/>
  <c r="C162"/>
  <c r="C220"/>
  <c r="C240"/>
  <c r="C343"/>
  <c r="C356"/>
  <c r="C353"/>
  <c r="C345"/>
  <c r="C342"/>
  <c r="C355"/>
  <c r="C333"/>
  <c r="C332"/>
  <c r="C319"/>
  <c r="C307"/>
  <c r="C295"/>
  <c r="C258"/>
  <c r="C275"/>
  <c r="C257"/>
  <c r="C276"/>
  <c r="C214"/>
  <c r="C242"/>
  <c r="C195"/>
  <c r="C215"/>
  <c r="C241"/>
  <c r="C179"/>
  <c r="C196"/>
  <c r="C216"/>
  <c r="C244"/>
  <c r="C178"/>
  <c r="C197"/>
  <c r="C217"/>
  <c r="C243"/>
  <c r="C568"/>
  <c r="C537"/>
  <c r="C549"/>
  <c r="C484"/>
  <c r="C448"/>
  <c r="C449"/>
  <c r="C393"/>
  <c r="C305"/>
  <c r="C315"/>
  <c r="C291"/>
  <c r="C131"/>
  <c r="C98"/>
  <c r="C113"/>
  <c r="C172"/>
  <c r="C99"/>
  <c r="C114"/>
  <c r="C141"/>
  <c r="C192"/>
  <c r="C100"/>
  <c r="C115"/>
  <c r="C590"/>
  <c r="C520"/>
  <c r="C468"/>
  <c r="C495"/>
  <c r="C330"/>
  <c r="C266"/>
  <c r="C267"/>
  <c r="C290"/>
  <c r="C234"/>
  <c r="C235"/>
  <c r="C69"/>
  <c r="C16"/>
  <c r="C4"/>
  <c r="C31"/>
  <c r="C534"/>
  <c r="C464"/>
  <c r="C442"/>
  <c r="C327"/>
  <c r="C300"/>
  <c r="C262"/>
  <c r="C286"/>
  <c r="C85"/>
  <c r="C139"/>
  <c r="C229"/>
  <c r="C167"/>
  <c r="C525"/>
  <c r="C415"/>
  <c r="C400"/>
  <c r="C430"/>
  <c r="C361"/>
  <c r="C127"/>
  <c r="C94"/>
  <c r="C187"/>
  <c r="C150"/>
  <c r="C201"/>
  <c r="C54"/>
  <c r="C74"/>
  <c r="C42"/>
  <c r="C13"/>
  <c r="C23"/>
  <c r="C619"/>
  <c r="C605"/>
  <c r="C601"/>
  <c r="C587"/>
  <c r="C571"/>
  <c r="C579"/>
  <c r="C523"/>
  <c r="C515"/>
  <c r="C472"/>
  <c r="C462"/>
  <c r="C479"/>
  <c r="C440"/>
  <c r="C454"/>
  <c r="C413"/>
  <c r="C429"/>
  <c r="C398"/>
  <c r="C383"/>
  <c r="C284"/>
  <c r="C165"/>
  <c r="C125"/>
  <c r="C614"/>
  <c r="C563"/>
  <c r="C539"/>
  <c r="C545"/>
  <c r="C490"/>
  <c r="C508"/>
  <c r="C499"/>
  <c r="C436"/>
  <c r="C348"/>
  <c r="C359"/>
  <c r="C325"/>
  <c r="C298"/>
  <c r="C250"/>
  <c r="C260"/>
  <c r="C93"/>
  <c r="C148"/>
  <c r="C89"/>
  <c r="C109"/>
  <c r="C199"/>
  <c r="C80"/>
  <c r="C137"/>
  <c r="C227"/>
  <c r="C67"/>
  <c r="C48"/>
  <c r="C606"/>
  <c r="C588"/>
  <c r="C594"/>
  <c r="C572"/>
  <c r="C580"/>
  <c r="C524"/>
  <c r="C516"/>
  <c r="C491"/>
  <c r="C473"/>
  <c r="C500"/>
  <c r="C437"/>
  <c r="C455"/>
  <c r="C441"/>
  <c r="C349"/>
  <c r="C360"/>
  <c r="C338"/>
  <c r="C326"/>
  <c r="C261"/>
  <c r="C251"/>
  <c r="C285"/>
  <c r="C126"/>
  <c r="C620"/>
  <c r="C602"/>
  <c r="C564"/>
  <c r="C560"/>
  <c r="C540"/>
  <c r="C546"/>
  <c r="C553"/>
  <c r="C533"/>
  <c r="C509"/>
  <c r="C463"/>
  <c r="C480"/>
  <c r="C399"/>
  <c r="C414"/>
  <c r="C384"/>
  <c r="C311"/>
  <c r="C299"/>
  <c r="C90"/>
  <c r="C186"/>
  <c r="C149"/>
  <c r="C110"/>
  <c r="C200"/>
  <c r="C228"/>
  <c r="C138"/>
  <c r="C121"/>
  <c r="C134"/>
  <c r="C225"/>
  <c r="M14" i="54"/>
  <c r="M30"/>
  <c r="M34"/>
  <c r="M38"/>
  <c r="M42"/>
  <c r="C27" i="36"/>
  <c r="C11"/>
  <c r="C10"/>
  <c r="C22"/>
  <c r="C5"/>
  <c r="C33"/>
  <c r="C17"/>
  <c r="C28"/>
  <c r="C12"/>
  <c r="C73"/>
  <c r="C63"/>
  <c r="C50"/>
  <c r="C62"/>
  <c r="C75"/>
  <c r="C65"/>
  <c r="C52"/>
  <c r="C55"/>
  <c r="C231"/>
  <c r="C247"/>
  <c r="C213"/>
  <c r="C185"/>
  <c r="C166"/>
  <c r="C147"/>
  <c r="C163"/>
  <c r="C561"/>
  <c r="C497"/>
  <c r="C352"/>
  <c r="C379"/>
  <c r="C396"/>
  <c r="C378"/>
  <c r="C318"/>
  <c r="C272"/>
  <c r="C294"/>
  <c r="C105"/>
  <c r="C212"/>
  <c r="C599"/>
  <c r="C558"/>
  <c r="C451"/>
  <c r="C409"/>
  <c r="C460"/>
  <c r="C380"/>
  <c r="C395"/>
  <c r="C256"/>
  <c r="C273"/>
  <c r="C177"/>
  <c r="C194"/>
  <c r="C144"/>
  <c r="C119"/>
  <c r="C77"/>
  <c r="C7"/>
  <c r="C38"/>
  <c r="C18"/>
  <c r="C589"/>
  <c r="C573"/>
  <c r="C567"/>
  <c r="C566"/>
  <c r="C541"/>
  <c r="C547"/>
  <c r="C554"/>
  <c r="C526"/>
  <c r="C517"/>
  <c r="C481"/>
  <c r="C502"/>
  <c r="C492"/>
  <c r="C465"/>
  <c r="C510"/>
  <c r="C456"/>
  <c r="C339"/>
  <c r="C363"/>
  <c r="C386"/>
  <c r="C362"/>
  <c r="C385"/>
  <c r="C328"/>
  <c r="C312"/>
  <c r="C313"/>
  <c r="C263"/>
  <c r="C152"/>
  <c r="C202"/>
  <c r="C230"/>
  <c r="C203"/>
  <c r="C122"/>
  <c r="C621"/>
  <c r="C615"/>
  <c r="C607"/>
  <c r="C585"/>
  <c r="C565"/>
  <c r="C548"/>
  <c r="C535"/>
  <c r="C501"/>
  <c r="C466"/>
  <c r="C474"/>
  <c r="C493"/>
  <c r="C431"/>
  <c r="C457"/>
  <c r="C443"/>
  <c r="C458"/>
  <c r="C417"/>
  <c r="C459"/>
  <c r="C410"/>
  <c r="C416"/>
  <c r="C350"/>
  <c r="C301"/>
  <c r="C314"/>
  <c r="C296"/>
  <c r="C169"/>
  <c r="C168"/>
  <c r="C129"/>
  <c r="C188"/>
  <c r="C151"/>
  <c r="C26"/>
  <c r="C574"/>
  <c r="C595"/>
  <c r="C556"/>
  <c r="C518"/>
  <c r="C494"/>
  <c r="C467"/>
  <c r="C475"/>
  <c r="C503"/>
  <c r="C511"/>
  <c r="C418"/>
  <c r="C447"/>
  <c r="C341"/>
  <c r="C365"/>
  <c r="C388"/>
  <c r="C329"/>
  <c r="C302"/>
  <c r="C303"/>
  <c r="C264"/>
  <c r="C97"/>
  <c r="C112"/>
  <c r="C140"/>
  <c r="C153"/>
  <c r="C191"/>
  <c r="C81"/>
  <c r="C154"/>
  <c r="C232"/>
  <c r="C536"/>
  <c r="C542"/>
  <c r="C555"/>
  <c r="C527"/>
  <c r="C519"/>
  <c r="C482"/>
  <c r="C483"/>
  <c r="C504"/>
  <c r="C444"/>
  <c r="C401"/>
  <c r="C433"/>
  <c r="C446"/>
  <c r="C402"/>
  <c r="C432"/>
  <c r="C445"/>
  <c r="C367"/>
  <c r="C340"/>
  <c r="C364"/>
  <c r="C387"/>
  <c r="C366"/>
  <c r="C304"/>
  <c r="C265"/>
  <c r="C288"/>
  <c r="C289"/>
  <c r="C86"/>
  <c r="C206"/>
  <c r="C130"/>
  <c r="C207"/>
  <c r="C233"/>
  <c r="C171"/>
  <c r="C91"/>
  <c r="C96"/>
  <c r="C111"/>
  <c r="C170"/>
  <c r="C29"/>
  <c r="C15"/>
  <c r="C611"/>
  <c r="C543"/>
  <c r="C426"/>
  <c r="C357"/>
  <c r="C336"/>
  <c r="C106"/>
  <c r="C612"/>
  <c r="C584"/>
  <c r="C583"/>
  <c r="C452"/>
  <c r="C309"/>
  <c r="C281"/>
  <c r="C222"/>
  <c r="C223"/>
  <c r="C145"/>
  <c r="C224"/>
  <c r="C79"/>
  <c r="C59"/>
  <c r="C427"/>
  <c r="C181"/>
  <c r="C282"/>
  <c r="C40"/>
  <c r="C180"/>
  <c r="C248"/>
  <c r="C322"/>
  <c r="C292"/>
  <c r="C237"/>
  <c r="C424"/>
  <c r="C331"/>
  <c r="C236"/>
  <c r="C403"/>
  <c r="C419"/>
  <c r="C404"/>
  <c r="C405"/>
  <c r="C421"/>
  <c r="C406"/>
  <c r="C420"/>
  <c r="C371"/>
  <c r="C368"/>
  <c r="C391"/>
  <c r="C370"/>
  <c r="C407"/>
  <c r="C423"/>
  <c r="C422"/>
  <c r="C390"/>
  <c r="C372"/>
  <c r="C369"/>
  <c r="C392"/>
  <c r="C389"/>
  <c r="C35"/>
  <c r="C19"/>
  <c r="C30"/>
  <c r="C14"/>
  <c r="C39"/>
  <c r="C25"/>
  <c r="C8"/>
  <c r="C36"/>
  <c r="C20"/>
  <c r="C68"/>
  <c r="C60"/>
  <c r="C76"/>
  <c r="C49"/>
  <c r="C51"/>
  <c r="C70"/>
  <c r="C53"/>
  <c r="C78"/>
  <c r="C41"/>
  <c r="C43"/>
  <c r="C239"/>
  <c r="C205"/>
  <c r="C221"/>
  <c r="C193"/>
  <c r="C174"/>
  <c r="C155"/>
  <c r="C142"/>
  <c r="C107"/>
  <c r="EC14" i="54"/>
  <c r="EC24"/>
  <c r="EC43"/>
  <c r="EC51"/>
  <c r="DS60"/>
  <c r="DS37"/>
  <c r="DI11"/>
  <c r="DI24"/>
  <c r="DI43"/>
  <c r="DI51"/>
  <c r="CY21"/>
  <c r="CY29"/>
  <c r="CY31"/>
  <c r="CY40"/>
  <c r="CY48"/>
  <c r="CY56"/>
  <c r="CO60"/>
  <c r="CO19"/>
  <c r="CO45"/>
  <c r="CO53"/>
  <c r="CE60"/>
  <c r="CE11"/>
  <c r="BU11"/>
  <c r="BU34"/>
  <c r="BK11"/>
  <c r="BK23"/>
  <c r="M11"/>
  <c r="M15"/>
  <c r="M19"/>
  <c r="M23"/>
  <c r="M27"/>
  <c r="M31"/>
  <c r="M35"/>
  <c r="M39"/>
  <c r="M43"/>
  <c r="M47"/>
  <c r="M51"/>
  <c r="M55"/>
  <c r="M59"/>
  <c r="M18"/>
  <c r="M22"/>
  <c r="M26"/>
  <c r="M46"/>
  <c r="M50"/>
  <c r="M54"/>
  <c r="M58"/>
  <c r="M13"/>
  <c r="M17"/>
  <c r="M21"/>
  <c r="M25"/>
  <c r="M29"/>
  <c r="M33"/>
  <c r="M37"/>
  <c r="M41"/>
  <c r="M45"/>
  <c r="M49"/>
  <c r="M53"/>
  <c r="M57"/>
  <c r="M12"/>
  <c r="M16"/>
  <c r="M20"/>
  <c r="M24"/>
  <c r="M28"/>
  <c r="M48"/>
  <c r="M52"/>
  <c r="M56"/>
  <c r="M60"/>
  <c r="DI37"/>
  <c r="DI35"/>
  <c r="CY34"/>
  <c r="CO44"/>
  <c r="CO52"/>
  <c r="CO46"/>
  <c r="CO54"/>
  <c r="CE18"/>
  <c r="CE37"/>
  <c r="CE12"/>
  <c r="BU23"/>
  <c r="BU42"/>
  <c r="BU50"/>
  <c r="BU40"/>
  <c r="BU48"/>
  <c r="BU56"/>
  <c r="BK18"/>
  <c r="BK38"/>
  <c r="BK12"/>
  <c r="BA40"/>
  <c r="BA48"/>
  <c r="BA56"/>
  <c r="BA46"/>
  <c r="BA54"/>
  <c r="EC58"/>
  <c r="EC57"/>
  <c r="EC37"/>
  <c r="EC35"/>
  <c r="DS36"/>
  <c r="BA42"/>
  <c r="BA50"/>
  <c r="CY18"/>
  <c r="CY36"/>
  <c r="CO40"/>
  <c r="CO48"/>
  <c r="CO56"/>
  <c r="BU44"/>
  <c r="BU52"/>
  <c r="BK34"/>
  <c r="BK36"/>
  <c r="BA44"/>
  <c r="BA52"/>
  <c r="AG13"/>
  <c r="W13"/>
  <c r="AG17"/>
  <c r="W17"/>
  <c r="AG21"/>
  <c r="W21"/>
  <c r="AG25"/>
  <c r="W25"/>
  <c r="AG29"/>
  <c r="W29"/>
  <c r="AG33"/>
  <c r="W33"/>
  <c r="AG37"/>
  <c r="W37"/>
  <c r="AG41"/>
  <c r="W41"/>
  <c r="AG45"/>
  <c r="W45"/>
  <c r="AG49"/>
  <c r="W49"/>
  <c r="AG53"/>
  <c r="W53"/>
  <c r="AG12"/>
  <c r="W12"/>
  <c r="AG16"/>
  <c r="W16"/>
  <c r="AG20"/>
  <c r="W20"/>
  <c r="AG24"/>
  <c r="W24"/>
  <c r="AG28"/>
  <c r="W28"/>
  <c r="AG32"/>
  <c r="W32"/>
  <c r="AG36"/>
  <c r="W36"/>
  <c r="AG40"/>
  <c r="W40"/>
  <c r="AG44"/>
  <c r="W44"/>
  <c r="AG48"/>
  <c r="W48"/>
  <c r="AG52"/>
  <c r="W52"/>
  <c r="AG56"/>
  <c r="W56"/>
  <c r="EC13"/>
  <c r="EC19"/>
  <c r="EC33"/>
  <c r="EC23"/>
  <c r="EC60"/>
  <c r="EC59"/>
  <c r="EC16"/>
  <c r="EC11"/>
  <c r="EC18"/>
  <c r="EC26"/>
  <c r="EC31"/>
  <c r="EC21"/>
  <c r="EC29"/>
  <c r="EC32"/>
  <c r="EC45"/>
  <c r="EC53"/>
  <c r="DS18"/>
  <c r="DS32"/>
  <c r="DS22"/>
  <c r="DS30"/>
  <c r="DS14"/>
  <c r="DS21"/>
  <c r="DS29"/>
  <c r="DS31"/>
  <c r="DS34"/>
  <c r="DS24"/>
  <c r="DS35"/>
  <c r="DS40"/>
  <c r="DS48"/>
  <c r="DS56"/>
  <c r="DI33"/>
  <c r="DI23"/>
  <c r="DI60"/>
  <c r="DI57"/>
  <c r="DI19"/>
  <c r="DI13"/>
  <c r="DI26"/>
  <c r="DI31"/>
  <c r="DI21"/>
  <c r="DI29"/>
  <c r="DI32"/>
  <c r="DI45"/>
  <c r="DI53"/>
  <c r="CY12"/>
  <c r="CY20"/>
  <c r="CY28"/>
  <c r="CY60"/>
  <c r="CY57"/>
  <c r="CY11"/>
  <c r="CY23"/>
  <c r="CY26"/>
  <c r="CY37"/>
  <c r="CY42"/>
  <c r="CY50"/>
  <c r="CO15"/>
  <c r="CO14"/>
  <c r="CO17"/>
  <c r="CO37"/>
  <c r="CO21"/>
  <c r="CO29"/>
  <c r="CO32"/>
  <c r="CO42"/>
  <c r="CO50"/>
  <c r="CO43"/>
  <c r="CO51"/>
  <c r="CE14"/>
  <c r="CE33"/>
  <c r="CE46"/>
  <c r="CE54"/>
  <c r="CE17"/>
  <c r="CE16"/>
  <c r="CE31"/>
  <c r="CE36"/>
  <c r="CE26"/>
  <c r="CE35"/>
  <c r="CE38"/>
  <c r="CE45"/>
  <c r="CE53"/>
  <c r="CE40"/>
  <c r="CE48"/>
  <c r="CE56"/>
  <c r="BU27"/>
  <c r="BU46"/>
  <c r="BU54"/>
  <c r="BU60"/>
  <c r="BU57"/>
  <c r="BU19"/>
  <c r="BU13"/>
  <c r="BU26"/>
  <c r="BU31"/>
  <c r="BU25"/>
  <c r="BU36"/>
  <c r="BU45"/>
  <c r="BU53"/>
  <c r="BK14"/>
  <c r="BK19"/>
  <c r="BK26"/>
  <c r="BK46"/>
  <c r="BK54"/>
  <c r="BK17"/>
  <c r="BK16"/>
  <c r="BK21"/>
  <c r="BK29"/>
  <c r="BK31"/>
  <c r="BK20"/>
  <c r="BK28"/>
  <c r="BK37"/>
  <c r="BK45"/>
  <c r="BK53"/>
  <c r="BK40"/>
  <c r="BK48"/>
  <c r="BK56"/>
  <c r="BA25"/>
  <c r="BA18"/>
  <c r="AQ56"/>
  <c r="AQ48"/>
  <c r="AQ40"/>
  <c r="AQ32"/>
  <c r="AQ24"/>
  <c r="AQ16"/>
  <c r="BA24"/>
  <c r="BA23"/>
  <c r="BA34"/>
  <c r="BA43"/>
  <c r="BA51"/>
  <c r="W60"/>
  <c r="AG60"/>
  <c r="W59"/>
  <c r="AG59"/>
  <c r="W58"/>
  <c r="AG58"/>
  <c r="W57"/>
  <c r="AG57"/>
  <c r="AG15"/>
  <c r="W15"/>
  <c r="AG19"/>
  <c r="W19"/>
  <c r="AG23"/>
  <c r="W23"/>
  <c r="AG27"/>
  <c r="W27"/>
  <c r="AG31"/>
  <c r="W31"/>
  <c r="AG35"/>
  <c r="W35"/>
  <c r="AG39"/>
  <c r="W39"/>
  <c r="AG43"/>
  <c r="W43"/>
  <c r="AG47"/>
  <c r="W47"/>
  <c r="AG51"/>
  <c r="W51"/>
  <c r="AG55"/>
  <c r="W55"/>
  <c r="AG14"/>
  <c r="W14"/>
  <c r="AG18"/>
  <c r="W18"/>
  <c r="AG22"/>
  <c r="W22"/>
  <c r="AG26"/>
  <c r="W26"/>
  <c r="AG30"/>
  <c r="W30"/>
  <c r="AG34"/>
  <c r="W34"/>
  <c r="AG38"/>
  <c r="W38"/>
  <c r="AG42"/>
  <c r="W42"/>
  <c r="AG46"/>
  <c r="W46"/>
  <c r="AG50"/>
  <c r="W50"/>
  <c r="AG54"/>
  <c r="W54"/>
  <c r="EC17"/>
  <c r="EC27"/>
  <c r="EC12"/>
  <c r="EC15"/>
  <c r="EC22"/>
  <c r="EC30"/>
  <c r="EC25"/>
  <c r="EC36"/>
  <c r="EC41"/>
  <c r="EC49"/>
  <c r="DS26"/>
  <c r="DS25"/>
  <c r="DS20"/>
  <c r="DS28"/>
  <c r="DS44"/>
  <c r="DS52"/>
  <c r="DI27"/>
  <c r="DI59"/>
  <c r="DI58"/>
  <c r="DI17"/>
  <c r="DI22"/>
  <c r="DI30"/>
  <c r="DI25"/>
  <c r="DI36"/>
  <c r="DI41"/>
  <c r="DI49"/>
  <c r="CY16"/>
  <c r="CY24"/>
  <c r="CY59"/>
  <c r="CY58"/>
  <c r="CY15"/>
  <c r="CY14"/>
  <c r="CY19"/>
  <c r="CY27"/>
  <c r="CY32"/>
  <c r="CY22"/>
  <c r="CY30"/>
  <c r="CY33"/>
  <c r="CY38"/>
  <c r="CY46"/>
  <c r="CY54"/>
  <c r="CO11"/>
  <c r="CO34"/>
  <c r="CO18"/>
  <c r="CO13"/>
  <c r="CO33"/>
  <c r="CO25"/>
  <c r="CO36"/>
  <c r="CO38"/>
  <c r="CO39"/>
  <c r="CO47"/>
  <c r="CO55"/>
  <c r="CE42"/>
  <c r="CE50"/>
  <c r="CE13"/>
  <c r="CE32"/>
  <c r="CE22"/>
  <c r="CE30"/>
  <c r="CE41"/>
  <c r="CE49"/>
  <c r="CE44"/>
  <c r="CE52"/>
  <c r="BU59"/>
  <c r="BU58"/>
  <c r="BU17"/>
  <c r="BU22"/>
  <c r="BU30"/>
  <c r="BU32"/>
  <c r="BU21"/>
  <c r="BU29"/>
  <c r="BU41"/>
  <c r="BU49"/>
  <c r="BK22"/>
  <c r="BK30"/>
  <c r="BK42"/>
  <c r="BK50"/>
  <c r="BK13"/>
  <c r="BK25"/>
  <c r="BK32"/>
  <c r="BK24"/>
  <c r="BK33"/>
  <c r="BK41"/>
  <c r="BK49"/>
  <c r="BK44"/>
  <c r="BK52"/>
  <c r="BA21"/>
  <c r="BA29"/>
  <c r="BA14"/>
  <c r="AQ52"/>
  <c r="AQ44"/>
  <c r="AQ36"/>
  <c r="AQ28"/>
  <c r="AQ20"/>
  <c r="AQ12"/>
  <c r="BA20"/>
  <c r="BA28"/>
  <c r="BA27"/>
  <c r="BA38"/>
  <c r="BA39"/>
  <c r="BA47"/>
  <c r="BA55"/>
  <c r="J32" i="58"/>
  <c r="J31"/>
  <c r="J29"/>
  <c r="J33"/>
  <c r="J34"/>
  <c r="J6" i="53"/>
  <c r="W6"/>
  <c r="J9"/>
  <c r="J7"/>
  <c r="J27" i="58"/>
  <c r="J25"/>
  <c r="J23"/>
  <c r="J21"/>
  <c r="J11"/>
  <c r="J36"/>
  <c r="J37"/>
  <c r="J15"/>
  <c r="S15"/>
  <c r="AT15"/>
  <c r="AT18"/>
  <c r="S18"/>
  <c r="AT24"/>
  <c r="S24"/>
  <c r="AT38"/>
  <c r="S38"/>
  <c r="S27"/>
  <c r="AT27"/>
  <c r="S25"/>
  <c r="AT25"/>
  <c r="AT23"/>
  <c r="S23"/>
  <c r="AT21"/>
  <c r="S21"/>
  <c r="AT11"/>
  <c r="S11"/>
  <c r="AT10"/>
  <c r="S10"/>
  <c r="T42"/>
  <c r="S35"/>
  <c r="AT35"/>
  <c r="S34"/>
  <c r="AT34"/>
  <c r="AT30"/>
  <c r="S30"/>
  <c r="J13"/>
  <c r="J12"/>
  <c r="J39"/>
  <c r="J18"/>
  <c r="J24"/>
  <c r="J17"/>
  <c r="J19"/>
  <c r="J35"/>
  <c r="J28"/>
  <c r="J26"/>
  <c r="J22"/>
  <c r="J20"/>
  <c r="J16"/>
  <c r="J14"/>
  <c r="I42"/>
  <c r="S40"/>
  <c r="AT40"/>
  <c r="S13"/>
  <c r="AT13"/>
  <c r="S12"/>
  <c r="AT12"/>
  <c r="S39"/>
  <c r="AT39"/>
  <c r="S19"/>
  <c r="AT19"/>
  <c r="S17"/>
  <c r="AT17"/>
  <c r="J10"/>
  <c r="K42"/>
  <c r="J42" s="1"/>
  <c r="S32"/>
  <c r="AT32"/>
  <c r="AT31"/>
  <c r="S31"/>
  <c r="AT29"/>
  <c r="S29"/>
  <c r="S33"/>
  <c r="AT33"/>
  <c r="S28"/>
  <c r="AT28"/>
  <c r="S26"/>
  <c r="AT26"/>
  <c r="S22"/>
  <c r="AT22"/>
  <c r="S20"/>
  <c r="AT20"/>
  <c r="AT16"/>
  <c r="S16"/>
  <c r="S14"/>
  <c r="AT14"/>
  <c r="S37"/>
  <c r="AT37"/>
  <c r="S36"/>
  <c r="AT36"/>
  <c r="J38"/>
  <c r="H42"/>
  <c r="R42"/>
  <c r="J30"/>
  <c r="M59" i="47"/>
  <c r="U59"/>
  <c r="U58" i="45"/>
  <c r="M58"/>
  <c r="AA42" i="43"/>
  <c r="F6" i="42"/>
  <c r="G6" s="1"/>
  <c r="L6"/>
  <c r="M6" s="1"/>
  <c r="F5"/>
  <c r="L5"/>
  <c r="AH10" i="43"/>
  <c r="L7" i="42"/>
  <c r="M7" s="1"/>
  <c r="B8"/>
  <c r="F7"/>
  <c r="G7" s="1"/>
  <c r="M10" i="58" l="1" a="1"/>
  <c r="M10" s="1"/>
  <c r="M11" a="1"/>
  <c r="M11" s="1"/>
  <c r="M38" a="1"/>
  <c r="M38" s="1"/>
  <c r="M39" a="1"/>
  <c r="M39" s="1"/>
  <c r="M40" a="1"/>
  <c r="M40" s="1"/>
  <c r="AN39" a="1"/>
  <c r="AN39" s="1"/>
  <c r="M36" a="1"/>
  <c r="M36" s="1"/>
  <c r="M34" a="1"/>
  <c r="M34" s="1"/>
  <c r="M32" a="1"/>
  <c r="M32" s="1"/>
  <c r="M30" a="1"/>
  <c r="M30" s="1"/>
  <c r="M28" a="1"/>
  <c r="M28" s="1"/>
  <c r="M26" a="1"/>
  <c r="M26" s="1"/>
  <c r="M24" a="1"/>
  <c r="M24" s="1"/>
  <c r="M22" a="1"/>
  <c r="M22" s="1"/>
  <c r="M20" a="1"/>
  <c r="M20" s="1"/>
  <c r="M18" a="1"/>
  <c r="M18" s="1"/>
  <c r="M16" a="1"/>
  <c r="M16" s="1"/>
  <c r="M14" a="1"/>
  <c r="M14" s="1"/>
  <c r="M12" a="1"/>
  <c r="M12" s="1"/>
  <c r="AN37" a="1"/>
  <c r="AN37" s="1"/>
  <c r="AN35" a="1"/>
  <c r="AN35" s="1"/>
  <c r="AN33" a="1"/>
  <c r="AN33" s="1"/>
  <c r="AN31" a="1"/>
  <c r="AN31" s="1"/>
  <c r="AN29" a="1"/>
  <c r="AN29" s="1"/>
  <c r="AN27" a="1"/>
  <c r="AN27" s="1"/>
  <c r="AN25" a="1"/>
  <c r="AN25" s="1"/>
  <c r="AN23" a="1"/>
  <c r="AN23" s="1"/>
  <c r="AN21" a="1"/>
  <c r="AN21" s="1"/>
  <c r="AN19" a="1"/>
  <c r="AN19" s="1"/>
  <c r="AN17" a="1"/>
  <c r="AN17" s="1"/>
  <c r="AN15" a="1"/>
  <c r="AN15" s="1"/>
  <c r="AN13" a="1"/>
  <c r="AN13" s="1"/>
  <c r="AN11" a="1"/>
  <c r="AN11" s="1"/>
  <c r="AN40" a="1"/>
  <c r="AN40" s="1"/>
  <c r="AN36" a="1"/>
  <c r="AN36" s="1"/>
  <c r="AN34" a="1"/>
  <c r="AN34" s="1"/>
  <c r="AN32" a="1"/>
  <c r="AN32" s="1"/>
  <c r="AN30" a="1"/>
  <c r="AN30" s="1"/>
  <c r="AN28" a="1"/>
  <c r="AN28" s="1"/>
  <c r="AN26" a="1"/>
  <c r="AN26" s="1"/>
  <c r="AN24" a="1"/>
  <c r="AN24" s="1"/>
  <c r="AN22" a="1"/>
  <c r="AN22" s="1"/>
  <c r="AN20" a="1"/>
  <c r="AN20" s="1"/>
  <c r="AN18" a="1"/>
  <c r="AN18" s="1"/>
  <c r="AN16" a="1"/>
  <c r="AN16" s="1"/>
  <c r="AN14" a="1"/>
  <c r="AN14" s="1"/>
  <c r="AN12" a="1"/>
  <c r="AN12" s="1"/>
  <c r="AN38" a="1"/>
  <c r="AN38" s="1"/>
  <c r="M37" a="1"/>
  <c r="M37" s="1"/>
  <c r="M35" a="1"/>
  <c r="M35" s="1"/>
  <c r="M33" a="1"/>
  <c r="M33" s="1"/>
  <c r="M31" a="1"/>
  <c r="M31" s="1"/>
  <c r="M29" a="1"/>
  <c r="M29" s="1"/>
  <c r="M27" a="1"/>
  <c r="M27" s="1"/>
  <c r="M25" a="1"/>
  <c r="M25" s="1"/>
  <c r="M23" a="1"/>
  <c r="M23" s="1"/>
  <c r="M21" a="1"/>
  <c r="M21" s="1"/>
  <c r="M19" a="1"/>
  <c r="M19" s="1"/>
  <c r="M17" a="1"/>
  <c r="M17" s="1"/>
  <c r="M15" a="1"/>
  <c r="M15" s="1"/>
  <c r="M13" a="1"/>
  <c r="M13" s="1"/>
  <c r="S42"/>
  <c r="AT42"/>
  <c r="B9" i="42"/>
  <c r="L8"/>
  <c r="M8" s="1"/>
  <c r="F8"/>
  <c r="G8" s="1"/>
  <c r="AI42" i="43" l="1"/>
  <c r="AF42"/>
  <c r="B10" i="42"/>
  <c r="L9"/>
  <c r="M9" s="1"/>
  <c r="F9"/>
  <c r="G9" s="1"/>
  <c r="AH42" i="43" l="1"/>
  <c r="B11" i="42"/>
  <c r="L10"/>
  <c r="M10" s="1"/>
  <c r="F10"/>
  <c r="G10" s="1"/>
  <c r="B12" l="1"/>
  <c r="L11"/>
  <c r="M11" s="1"/>
  <c r="F11"/>
  <c r="G11" s="1"/>
  <c r="B13" l="1"/>
  <c r="L12"/>
  <c r="M12" s="1"/>
  <c r="F12"/>
  <c r="G12" s="1"/>
  <c r="B14" l="1"/>
  <c r="L13"/>
  <c r="M13" s="1"/>
  <c r="F13"/>
  <c r="G13" s="1"/>
  <c r="B15" l="1"/>
  <c r="L14"/>
  <c r="M14" s="1"/>
  <c r="F14"/>
  <c r="G14" s="1"/>
  <c r="B16" l="1"/>
  <c r="L15"/>
  <c r="M15" s="1"/>
  <c r="F15"/>
  <c r="G15" s="1"/>
  <c r="B17" l="1"/>
  <c r="L16"/>
  <c r="M16" s="1"/>
  <c r="F16"/>
  <c r="G16" s="1"/>
  <c r="B18" l="1"/>
  <c r="L17"/>
  <c r="M17" s="1"/>
  <c r="F17"/>
  <c r="G17" s="1"/>
  <c r="B19" l="1"/>
  <c r="L18"/>
  <c r="M18" s="1"/>
  <c r="F18"/>
  <c r="G18" s="1"/>
  <c r="B20" l="1"/>
  <c r="L19"/>
  <c r="M19" s="1"/>
  <c r="F19"/>
  <c r="G19" s="1"/>
  <c r="B21" l="1"/>
  <c r="L20"/>
  <c r="M20" s="1"/>
  <c r="F20"/>
  <c r="G20" s="1"/>
  <c r="B22" l="1"/>
  <c r="L21"/>
  <c r="M21" s="1"/>
  <c r="F21"/>
  <c r="G21" s="1"/>
  <c r="B23" l="1"/>
  <c r="L22"/>
  <c r="M22" s="1"/>
  <c r="F22"/>
  <c r="G22" s="1"/>
  <c r="B24" l="1"/>
  <c r="L23"/>
  <c r="M23" s="1"/>
  <c r="F23"/>
  <c r="G23" s="1"/>
  <c r="B25" l="1"/>
  <c r="L24"/>
  <c r="M24" s="1"/>
  <c r="F24"/>
  <c r="G24" s="1"/>
  <c r="B26" l="1"/>
  <c r="L25"/>
  <c r="M25" s="1"/>
  <c r="F25"/>
  <c r="G25" s="1"/>
  <c r="B27" l="1"/>
  <c r="L26"/>
  <c r="M26" s="1"/>
  <c r="F26"/>
  <c r="G26" s="1"/>
  <c r="B28" l="1"/>
  <c r="L27"/>
  <c r="M27" s="1"/>
  <c r="F27"/>
  <c r="G27" s="1"/>
  <c r="B29" l="1"/>
  <c r="L28"/>
  <c r="M28" s="1"/>
  <c r="F28"/>
  <c r="G28" s="1"/>
  <c r="B30" l="1"/>
  <c r="L29"/>
  <c r="M29" s="1"/>
  <c r="F29"/>
  <c r="G29" s="1"/>
  <c r="B31" l="1"/>
  <c r="L30"/>
  <c r="M30" s="1"/>
  <c r="F30"/>
  <c r="G30" s="1"/>
  <c r="B32" l="1"/>
  <c r="L31"/>
  <c r="M31" s="1"/>
  <c r="F31"/>
  <c r="G31" s="1"/>
  <c r="B33" l="1"/>
  <c r="L32"/>
  <c r="M32" s="1"/>
  <c r="F32"/>
  <c r="G32" s="1"/>
  <c r="B34" l="1"/>
  <c r="L33"/>
  <c r="M33" s="1"/>
  <c r="F33"/>
  <c r="G33" s="1"/>
  <c r="B35" l="1"/>
  <c r="L34"/>
  <c r="M34" s="1"/>
  <c r="F34"/>
  <c r="G34" s="1"/>
  <c r="B36" l="1"/>
  <c r="L35"/>
  <c r="M35" s="1"/>
  <c r="F35"/>
  <c r="G35" s="1"/>
  <c r="B37" l="1"/>
  <c r="L36"/>
  <c r="M36" s="1"/>
  <c r="F36"/>
  <c r="G36" s="1"/>
  <c r="B38" l="1"/>
  <c r="L37"/>
  <c r="M37" s="1"/>
  <c r="F37"/>
  <c r="G37" s="1"/>
  <c r="B39" l="1"/>
  <c r="L38"/>
  <c r="M38" s="1"/>
  <c r="F38"/>
  <c r="G38" s="1"/>
  <c r="B40" l="1"/>
  <c r="L39"/>
  <c r="M39" s="1"/>
  <c r="F39"/>
  <c r="G39" s="1"/>
  <c r="B41" l="1"/>
  <c r="B42" s="1"/>
  <c r="L40"/>
  <c r="M40" s="1"/>
  <c r="F40"/>
  <c r="G40" s="1"/>
  <c r="L42" l="1"/>
  <c r="M42" s="1"/>
  <c r="F42"/>
  <c r="G42" s="1"/>
  <c r="B43"/>
  <c r="L41"/>
  <c r="M41" s="1"/>
  <c r="F41"/>
  <c r="G41" s="1"/>
  <c r="F43" l="1"/>
  <c r="G43" s="1"/>
  <c r="B44"/>
  <c r="L43"/>
  <c r="M43" s="1"/>
  <c r="L44" l="1"/>
  <c r="M44" s="1"/>
  <c r="F44"/>
  <c r="G44" s="1"/>
  <c r="B45"/>
  <c r="B3" i="35"/>
  <c r="Q44" i="40" l="1"/>
  <c r="W44"/>
  <c r="P9" i="47"/>
  <c r="R8"/>
  <c r="R10"/>
  <c r="R12"/>
  <c r="R14"/>
  <c r="R16"/>
  <c r="R18"/>
  <c r="R20"/>
  <c r="R22"/>
  <c r="R24"/>
  <c r="R26"/>
  <c r="R28"/>
  <c r="R30"/>
  <c r="R32"/>
  <c r="R34"/>
  <c r="R36"/>
  <c r="R38"/>
  <c r="R40"/>
  <c r="R42"/>
  <c r="R44"/>
  <c r="R46"/>
  <c r="R48"/>
  <c r="R50"/>
  <c r="R52"/>
  <c r="R54"/>
  <c r="R56"/>
  <c r="P8"/>
  <c r="P10"/>
  <c r="P11"/>
  <c r="P12"/>
  <c r="P13"/>
  <c r="P14"/>
  <c r="P16"/>
  <c r="P18"/>
  <c r="P20"/>
  <c r="P22"/>
  <c r="P24"/>
  <c r="P26"/>
  <c r="P28"/>
  <c r="P30"/>
  <c r="P32"/>
  <c r="P34"/>
  <c r="P36"/>
  <c r="P38"/>
  <c r="P40"/>
  <c r="P42"/>
  <c r="P44"/>
  <c r="P46"/>
  <c r="P47"/>
  <c r="P50"/>
  <c r="P51"/>
  <c r="P53"/>
  <c r="P55"/>
  <c r="P57"/>
  <c r="R9"/>
  <c r="R11"/>
  <c r="R13"/>
  <c r="R15"/>
  <c r="R17"/>
  <c r="R19"/>
  <c r="R21"/>
  <c r="R23"/>
  <c r="R25"/>
  <c r="R27"/>
  <c r="R29"/>
  <c r="R31"/>
  <c r="R33"/>
  <c r="R35"/>
  <c r="R37"/>
  <c r="R39"/>
  <c r="R41"/>
  <c r="R43"/>
  <c r="R45"/>
  <c r="R47"/>
  <c r="R49"/>
  <c r="R51"/>
  <c r="R53"/>
  <c r="R55"/>
  <c r="R57"/>
  <c r="P15"/>
  <c r="P17"/>
  <c r="P19"/>
  <c r="P21"/>
  <c r="P23"/>
  <c r="P25"/>
  <c r="P27"/>
  <c r="P29"/>
  <c r="P31"/>
  <c r="P33"/>
  <c r="P35"/>
  <c r="P37"/>
  <c r="P39"/>
  <c r="P41"/>
  <c r="P43"/>
  <c r="P45"/>
  <c r="P48"/>
  <c r="Q48" s="1"/>
  <c r="P49"/>
  <c r="P52"/>
  <c r="P54"/>
  <c r="P56"/>
  <c r="W47" i="40"/>
  <c r="W42"/>
  <c r="W46"/>
  <c r="W45"/>
  <c r="W43"/>
  <c r="W41"/>
  <c r="R39" i="43"/>
  <c r="R37"/>
  <c r="R35"/>
  <c r="R33"/>
  <c r="R31"/>
  <c r="R29"/>
  <c r="R27"/>
  <c r="R25"/>
  <c r="R23"/>
  <c r="R21"/>
  <c r="R19"/>
  <c r="R17"/>
  <c r="R15"/>
  <c r="R13"/>
  <c r="R11"/>
  <c r="S40"/>
  <c r="S38"/>
  <c r="S36"/>
  <c r="S34"/>
  <c r="S32"/>
  <c r="S30"/>
  <c r="S28"/>
  <c r="S26"/>
  <c r="S24"/>
  <c r="S22"/>
  <c r="S20"/>
  <c r="S18"/>
  <c r="S16"/>
  <c r="S14"/>
  <c r="S12"/>
  <c r="S10"/>
  <c r="R40"/>
  <c r="R38"/>
  <c r="R36"/>
  <c r="R34"/>
  <c r="R32"/>
  <c r="R30"/>
  <c r="R28"/>
  <c r="R26"/>
  <c r="R24"/>
  <c r="R22"/>
  <c r="R20"/>
  <c r="R18"/>
  <c r="R16"/>
  <c r="R14"/>
  <c r="R12"/>
  <c r="R10"/>
  <c r="S39"/>
  <c r="S37"/>
  <c r="S35"/>
  <c r="S33"/>
  <c r="S31"/>
  <c r="S29"/>
  <c r="S27"/>
  <c r="S25"/>
  <c r="S23"/>
  <c r="S21"/>
  <c r="S19"/>
  <c r="S17"/>
  <c r="S15"/>
  <c r="S13"/>
  <c r="S11"/>
  <c r="P56" i="45"/>
  <c r="P55"/>
  <c r="P54"/>
  <c r="P53"/>
  <c r="P52"/>
  <c r="P51"/>
  <c r="P50"/>
  <c r="P49"/>
  <c r="P48"/>
  <c r="P47"/>
  <c r="P46"/>
  <c r="P45"/>
  <c r="P44"/>
  <c r="P43"/>
  <c r="P42"/>
  <c r="P41"/>
  <c r="P40"/>
  <c r="P39"/>
  <c r="P38"/>
  <c r="P37"/>
  <c r="R36"/>
  <c r="R35"/>
  <c r="R34"/>
  <c r="R33"/>
  <c r="R32"/>
  <c r="R31"/>
  <c r="R30"/>
  <c r="R29"/>
  <c r="R28"/>
  <c r="R27"/>
  <c r="R26"/>
  <c r="R25"/>
  <c r="R24"/>
  <c r="R23"/>
  <c r="R22"/>
  <c r="R21"/>
  <c r="P20"/>
  <c r="P19"/>
  <c r="P18"/>
  <c r="P17"/>
  <c r="P16"/>
  <c r="P15"/>
  <c r="P14"/>
  <c r="P13"/>
  <c r="P12"/>
  <c r="P11"/>
  <c r="P10"/>
  <c r="P9"/>
  <c r="R8"/>
  <c r="R7"/>
  <c r="Q41" i="40"/>
  <c r="Q40"/>
  <c r="Q39"/>
  <c r="Q38"/>
  <c r="Q36"/>
  <c r="Q35"/>
  <c r="Q34"/>
  <c r="Q32"/>
  <c r="Q30"/>
  <c r="Q28"/>
  <c r="Q26"/>
  <c r="Q24"/>
  <c r="Q22"/>
  <c r="Q20"/>
  <c r="Q18"/>
  <c r="Q16"/>
  <c r="Q14"/>
  <c r="Q12"/>
  <c r="Q10"/>
  <c r="Q8"/>
  <c r="Q6"/>
  <c r="Q4"/>
  <c r="R56" i="45"/>
  <c r="R55"/>
  <c r="R54"/>
  <c r="R53"/>
  <c r="R52"/>
  <c r="R51"/>
  <c r="R50"/>
  <c r="R49"/>
  <c r="R48"/>
  <c r="R47"/>
  <c r="R46"/>
  <c r="R45"/>
  <c r="R44"/>
  <c r="R43"/>
  <c r="R42"/>
  <c r="R41"/>
  <c r="R40"/>
  <c r="R39"/>
  <c r="R38"/>
  <c r="R37"/>
  <c r="P36"/>
  <c r="P35"/>
  <c r="P34"/>
  <c r="P33"/>
  <c r="P32"/>
  <c r="P31"/>
  <c r="P30"/>
  <c r="P29"/>
  <c r="P28"/>
  <c r="P27"/>
  <c r="P26"/>
  <c r="P25"/>
  <c r="P24"/>
  <c r="P23"/>
  <c r="P22"/>
  <c r="P21"/>
  <c r="R20"/>
  <c r="R19"/>
  <c r="R18"/>
  <c r="R17"/>
  <c r="R16"/>
  <c r="R15"/>
  <c r="R14"/>
  <c r="R13"/>
  <c r="R12"/>
  <c r="R11"/>
  <c r="R10"/>
  <c r="R9"/>
  <c r="P8"/>
  <c r="P7"/>
  <c r="W3" i="40"/>
  <c r="Q37"/>
  <c r="Q33"/>
  <c r="Q31"/>
  <c r="Q29"/>
  <c r="Q27"/>
  <c r="Q25"/>
  <c r="Q23"/>
  <c r="Q21"/>
  <c r="Q19"/>
  <c r="Q17"/>
  <c r="Q15"/>
  <c r="Q13"/>
  <c r="Q11"/>
  <c r="Q9"/>
  <c r="Q7"/>
  <c r="Q5"/>
  <c r="Q3"/>
  <c r="W37"/>
  <c r="W35"/>
  <c r="W33"/>
  <c r="W31"/>
  <c r="W29"/>
  <c r="W27"/>
  <c r="W25"/>
  <c r="W23"/>
  <c r="W21"/>
  <c r="W19"/>
  <c r="W17"/>
  <c r="W15"/>
  <c r="W13"/>
  <c r="W12"/>
  <c r="W10"/>
  <c r="W7"/>
  <c r="W5"/>
  <c r="W4"/>
  <c r="W40"/>
  <c r="W39"/>
  <c r="W38"/>
  <c r="W36"/>
  <c r="W34"/>
  <c r="W32"/>
  <c r="W30"/>
  <c r="W28"/>
  <c r="W26"/>
  <c r="W24"/>
  <c r="W22"/>
  <c r="W20"/>
  <c r="W18"/>
  <c r="W16"/>
  <c r="W14"/>
  <c r="W11"/>
  <c r="W9"/>
  <c r="W8"/>
  <c r="W6"/>
  <c r="U14" i="43"/>
  <c r="U18"/>
  <c r="U22"/>
  <c r="U26"/>
  <c r="U30"/>
  <c r="U34"/>
  <c r="U11"/>
  <c r="U13"/>
  <c r="U15"/>
  <c r="U17"/>
  <c r="U19"/>
  <c r="U21"/>
  <c r="U23"/>
  <c r="U25"/>
  <c r="U27"/>
  <c r="U29"/>
  <c r="U31"/>
  <c r="U33"/>
  <c r="U35"/>
  <c r="U37"/>
  <c r="U10"/>
  <c r="U12"/>
  <c r="U16"/>
  <c r="U20"/>
  <c r="U24"/>
  <c r="U28"/>
  <c r="U32"/>
  <c r="U36"/>
  <c r="U38"/>
  <c r="U39"/>
  <c r="U40"/>
  <c r="P11" a="1"/>
  <c r="P11" s="1"/>
  <c r="Q13" a="1"/>
  <c r="Q13" s="1"/>
  <c r="P17" a="1"/>
  <c r="P17" s="1"/>
  <c r="Q21" a="1"/>
  <c r="Q21" s="1"/>
  <c r="P25" a="1"/>
  <c r="P25" s="1"/>
  <c r="P33" a="1"/>
  <c r="P33" s="1"/>
  <c r="Q10" a="1"/>
  <c r="Q10" s="1"/>
  <c r="P10" a="1"/>
  <c r="P10" s="1"/>
  <c r="Q12" a="1"/>
  <c r="Q12" s="1"/>
  <c r="P12" a="1"/>
  <c r="P12" s="1"/>
  <c r="P14" a="1"/>
  <c r="P14" s="1"/>
  <c r="Q14" a="1"/>
  <c r="Q14" s="1"/>
  <c r="P16" a="1"/>
  <c r="P16" s="1"/>
  <c r="Q16" a="1"/>
  <c r="Q16" s="1"/>
  <c r="Q18" a="1"/>
  <c r="Q18" s="1"/>
  <c r="P18" a="1"/>
  <c r="P18" s="1"/>
  <c r="Q20" a="1"/>
  <c r="Q20" s="1"/>
  <c r="P20" a="1"/>
  <c r="P20" s="1"/>
  <c r="P22" a="1"/>
  <c r="P22" s="1"/>
  <c r="Q22" a="1"/>
  <c r="Q22" s="1"/>
  <c r="P24" a="1"/>
  <c r="P24" s="1"/>
  <c r="Q24" a="1"/>
  <c r="Q24" s="1"/>
  <c r="Q26" a="1"/>
  <c r="Q26" s="1"/>
  <c r="P26" a="1"/>
  <c r="P26" s="1"/>
  <c r="Q28" a="1"/>
  <c r="Q28" s="1"/>
  <c r="P28" a="1"/>
  <c r="P28" s="1"/>
  <c r="P30" a="1"/>
  <c r="P30" s="1"/>
  <c r="Q30" a="1"/>
  <c r="Q30" s="1"/>
  <c r="P32" a="1"/>
  <c r="P32" s="1"/>
  <c r="Q32" a="1"/>
  <c r="Q32" s="1"/>
  <c r="Q34" a="1"/>
  <c r="Q34" s="1"/>
  <c r="P34" a="1"/>
  <c r="P34" s="1"/>
  <c r="Q36" a="1"/>
  <c r="Q36" s="1"/>
  <c r="P36" a="1"/>
  <c r="P36" s="1"/>
  <c r="Q11" a="1"/>
  <c r="Q11" s="1"/>
  <c r="P13" a="1"/>
  <c r="P13" s="1"/>
  <c r="P15" a="1"/>
  <c r="P15" s="1"/>
  <c r="Q15" a="1"/>
  <c r="Q15" s="1"/>
  <c r="Q17" a="1"/>
  <c r="Q17" s="1"/>
  <c r="Q19" a="1"/>
  <c r="Q19" s="1"/>
  <c r="P19" a="1"/>
  <c r="P19" s="1"/>
  <c r="P21" a="1"/>
  <c r="P21" s="1"/>
  <c r="P23" a="1"/>
  <c r="P23" s="1"/>
  <c r="Q23" a="1"/>
  <c r="Q23" s="1"/>
  <c r="Q25" a="1"/>
  <c r="Q25" s="1"/>
  <c r="Q27" a="1"/>
  <c r="Q27" s="1"/>
  <c r="P27" a="1"/>
  <c r="P27" s="1"/>
  <c r="P29" a="1"/>
  <c r="P29" s="1"/>
  <c r="P31" a="1"/>
  <c r="P31" s="1"/>
  <c r="Q31" a="1"/>
  <c r="Q31" s="1"/>
  <c r="Q33" a="1"/>
  <c r="Q33" s="1"/>
  <c r="Q35" a="1"/>
  <c r="Q35" s="1"/>
  <c r="P35" a="1"/>
  <c r="P35" s="1"/>
  <c r="P37" a="1"/>
  <c r="P37" s="1"/>
  <c r="Q29" a="1"/>
  <c r="Q29" s="1"/>
  <c r="Q37" a="1"/>
  <c r="Q37" s="1"/>
  <c r="P38" a="1"/>
  <c r="P38" s="1"/>
  <c r="Q38" a="1"/>
  <c r="Q38" s="1"/>
  <c r="P39" a="1"/>
  <c r="P39" s="1"/>
  <c r="Q39" a="1"/>
  <c r="Q39" s="1"/>
  <c r="P40" a="1"/>
  <c r="P40" s="1"/>
  <c r="Q40" a="1"/>
  <c r="Q40" s="1"/>
  <c r="I45" i="42"/>
  <c r="J45" s="1"/>
  <c r="I43"/>
  <c r="J43" s="1"/>
  <c r="I41"/>
  <c r="J41" s="1"/>
  <c r="I39"/>
  <c r="J39" s="1"/>
  <c r="I37"/>
  <c r="J37" s="1"/>
  <c r="I35"/>
  <c r="J35" s="1"/>
  <c r="I33"/>
  <c r="J33" s="1"/>
  <c r="I31"/>
  <c r="J31" s="1"/>
  <c r="I29"/>
  <c r="J29" s="1"/>
  <c r="I27"/>
  <c r="J27" s="1"/>
  <c r="I25"/>
  <c r="J25" s="1"/>
  <c r="I23"/>
  <c r="J23" s="1"/>
  <c r="I21"/>
  <c r="J21" s="1"/>
  <c r="I19"/>
  <c r="J19" s="1"/>
  <c r="I17"/>
  <c r="J17" s="1"/>
  <c r="I15"/>
  <c r="J15" s="1"/>
  <c r="I13"/>
  <c r="J13" s="1"/>
  <c r="I11"/>
  <c r="J11" s="1"/>
  <c r="I9"/>
  <c r="J9" s="1"/>
  <c r="I7"/>
  <c r="J7" s="1"/>
  <c r="I44"/>
  <c r="J44" s="1"/>
  <c r="I42"/>
  <c r="J42" s="1"/>
  <c r="I40"/>
  <c r="J40" s="1"/>
  <c r="I38"/>
  <c r="J38" s="1"/>
  <c r="I36"/>
  <c r="J36" s="1"/>
  <c r="I34"/>
  <c r="J34" s="1"/>
  <c r="I32"/>
  <c r="J32" s="1"/>
  <c r="I30"/>
  <c r="J30" s="1"/>
  <c r="I28"/>
  <c r="J28" s="1"/>
  <c r="I26"/>
  <c r="J26" s="1"/>
  <c r="I24"/>
  <c r="J24" s="1"/>
  <c r="I22"/>
  <c r="J22" s="1"/>
  <c r="I20"/>
  <c r="J20" s="1"/>
  <c r="I18"/>
  <c r="J18" s="1"/>
  <c r="I16"/>
  <c r="J16" s="1"/>
  <c r="I14"/>
  <c r="J14" s="1"/>
  <c r="I12"/>
  <c r="J12" s="1"/>
  <c r="I10"/>
  <c r="J10" s="1"/>
  <c r="I8"/>
  <c r="J8" s="1"/>
  <c r="I6"/>
  <c r="J6" s="1"/>
  <c r="I5"/>
  <c r="F45"/>
  <c r="G45" s="1"/>
  <c r="B46"/>
  <c r="I46" s="1"/>
  <c r="J46" s="1"/>
  <c r="L45"/>
  <c r="M45" s="1"/>
  <c r="D3" i="35"/>
  <c r="W49" i="40" l="1"/>
  <c r="Q57" i="47"/>
  <c r="Q53"/>
  <c r="Q49"/>
  <c r="Q45"/>
  <c r="Q41"/>
  <c r="Q37"/>
  <c r="Q33"/>
  <c r="Q29"/>
  <c r="Q25"/>
  <c r="Q21"/>
  <c r="Q17"/>
  <c r="Q13"/>
  <c r="Q9"/>
  <c r="Q56"/>
  <c r="Q52"/>
  <c r="Q44"/>
  <c r="Q40"/>
  <c r="Q36"/>
  <c r="Q32"/>
  <c r="Q28"/>
  <c r="Q24"/>
  <c r="Q20"/>
  <c r="Q16"/>
  <c r="Q12"/>
  <c r="Q8"/>
  <c r="R59"/>
  <c r="Q55"/>
  <c r="Q51"/>
  <c r="Q47"/>
  <c r="Q43"/>
  <c r="Q39"/>
  <c r="Q35"/>
  <c r="Q31"/>
  <c r="Q27"/>
  <c r="Q23"/>
  <c r="Q19"/>
  <c r="Q15"/>
  <c r="Q11"/>
  <c r="Q54"/>
  <c r="Q50"/>
  <c r="Q46"/>
  <c r="Q42"/>
  <c r="Q38"/>
  <c r="Q34"/>
  <c r="Q30"/>
  <c r="Q26"/>
  <c r="Q22"/>
  <c r="Q18"/>
  <c r="Q14"/>
  <c r="Q10"/>
  <c r="P59"/>
  <c r="Q10" i="45"/>
  <c r="Q12"/>
  <c r="Q14"/>
  <c r="Q16"/>
  <c r="Q18"/>
  <c r="Q20"/>
  <c r="Q38"/>
  <c r="Q40"/>
  <c r="Q42"/>
  <c r="Q44"/>
  <c r="Q46"/>
  <c r="Q48"/>
  <c r="Q50"/>
  <c r="Q52"/>
  <c r="Q54"/>
  <c r="Q56"/>
  <c r="Q8"/>
  <c r="Q22"/>
  <c r="Q24"/>
  <c r="Q26"/>
  <c r="Q28"/>
  <c r="Q30"/>
  <c r="Q32"/>
  <c r="Q34"/>
  <c r="Q36"/>
  <c r="Q9"/>
  <c r="Q11"/>
  <c r="Q13"/>
  <c r="Q15"/>
  <c r="Q17"/>
  <c r="Q19"/>
  <c r="Q37"/>
  <c r="Q39"/>
  <c r="Q41"/>
  <c r="Q43"/>
  <c r="Q45"/>
  <c r="Q47"/>
  <c r="Q49"/>
  <c r="Q51"/>
  <c r="Q53"/>
  <c r="Q55"/>
  <c r="R58"/>
  <c r="Q7"/>
  <c r="Q21"/>
  <c r="Q23"/>
  <c r="Q25"/>
  <c r="Q27"/>
  <c r="Q29"/>
  <c r="Q31"/>
  <c r="Q33"/>
  <c r="Q35"/>
  <c r="Q43" i="40"/>
  <c r="P58" i="45"/>
  <c r="T35" i="43"/>
  <c r="T27"/>
  <c r="T17"/>
  <c r="T11"/>
  <c r="T36"/>
  <c r="T34"/>
  <c r="T37"/>
  <c r="T29"/>
  <c r="T21"/>
  <c r="T13"/>
  <c r="T33"/>
  <c r="T25"/>
  <c r="T18"/>
  <c r="T20"/>
  <c r="T28"/>
  <c r="T26"/>
  <c r="T12"/>
  <c r="T40"/>
  <c r="T39"/>
  <c r="T38"/>
  <c r="T19"/>
  <c r="T15"/>
  <c r="T32"/>
  <c r="T10"/>
  <c r="T31"/>
  <c r="T23"/>
  <c r="T30"/>
  <c r="T24"/>
  <c r="T22"/>
  <c r="T16"/>
  <c r="T14"/>
  <c r="C3" i="35"/>
  <c r="L46" i="42"/>
  <c r="M46" s="1"/>
  <c r="F46"/>
  <c r="G46" s="1"/>
  <c r="B47"/>
  <c r="I47" s="1"/>
  <c r="J47" s="1"/>
  <c r="Q59" i="47" l="1"/>
  <c r="Q58" i="45"/>
  <c r="R42" i="43"/>
  <c r="U42"/>
  <c r="F47" i="42"/>
  <c r="G47" s="1"/>
  <c r="B48"/>
  <c r="I48" s="1"/>
  <c r="J48" s="1"/>
  <c r="L47"/>
  <c r="M47" s="1"/>
  <c r="T42" i="43" l="1"/>
  <c r="L48" i="42"/>
  <c r="M48" s="1"/>
  <c r="F48"/>
  <c r="G48" s="1"/>
  <c r="B49"/>
  <c r="I49" s="1"/>
  <c r="J49" s="1"/>
  <c r="F49" l="1"/>
  <c r="G49" s="1"/>
  <c r="B50"/>
  <c r="I50" s="1"/>
  <c r="J50" s="1"/>
  <c r="L49"/>
  <c r="M49" s="1"/>
  <c r="L50" l="1"/>
  <c r="M50" s="1"/>
  <c r="F50"/>
  <c r="G50" s="1"/>
  <c r="B51"/>
  <c r="I51" s="1"/>
  <c r="J51" s="1"/>
  <c r="F51" l="1"/>
  <c r="G51" s="1"/>
  <c r="B52"/>
  <c r="I52" s="1"/>
  <c r="J52" s="1"/>
  <c r="L51"/>
  <c r="M51" s="1"/>
  <c r="B53" l="1"/>
  <c r="I53" s="1"/>
  <c r="J53" s="1"/>
  <c r="L52"/>
  <c r="M52" s="1"/>
  <c r="F52"/>
  <c r="G52" s="1"/>
  <c r="F53" l="1"/>
  <c r="G53" s="1"/>
  <c r="B54"/>
  <c r="I54" s="1"/>
  <c r="J54" s="1"/>
  <c r="K6" s="1" a="1"/>
  <c r="K6" s="1"/>
  <c r="L53"/>
  <c r="M53" s="1"/>
  <c r="K7" l="1" a="1"/>
  <c r="K7" s="1"/>
  <c r="L54"/>
  <c r="F54"/>
  <c r="K8" l="1" a="1"/>
  <c r="K8" s="1"/>
  <c r="G54"/>
  <c r="M54"/>
  <c r="N6" s="1" a="1"/>
  <c r="N6" s="1"/>
  <c r="K9" l="1" a="1"/>
  <c r="K9" s="1"/>
  <c r="K10" s="1" a="1"/>
  <c r="K10" s="1"/>
  <c r="H5" a="1"/>
  <c r="H5" s="1"/>
  <c r="N7" a="1"/>
  <c r="N7" s="1"/>
  <c r="H6" l="1" a="1"/>
  <c r="H6" s="1"/>
  <c r="H7" s="1" a="1"/>
  <c r="H7" s="1"/>
  <c r="H8" s="1" a="1"/>
  <c r="H8" s="1"/>
  <c r="O5"/>
  <c r="K11" a="1"/>
  <c r="K11" s="1"/>
  <c r="K12" s="1" a="1"/>
  <c r="K12" s="1"/>
  <c r="N8" a="1"/>
  <c r="N8" s="1"/>
  <c r="H9" l="1" a="1"/>
  <c r="H9" s="1"/>
  <c r="H10" s="1" a="1"/>
  <c r="H10" s="1"/>
  <c r="H11" s="1" a="1"/>
  <c r="H11" s="1"/>
  <c r="H12" s="1" a="1"/>
  <c r="H12" s="1"/>
  <c r="K13" a="1"/>
  <c r="K13" s="1"/>
  <c r="K14" s="1" a="1"/>
  <c r="K14" s="1"/>
  <c r="N9" a="1"/>
  <c r="N9" s="1"/>
  <c r="K15" l="1" a="1"/>
  <c r="K15" s="1"/>
  <c r="H13" a="1"/>
  <c r="H13" s="1"/>
  <c r="H14" s="1" a="1"/>
  <c r="H14" s="1"/>
  <c r="H15" s="1" a="1"/>
  <c r="H15" s="1"/>
  <c r="H16" s="1" a="1"/>
  <c r="H16" s="1"/>
  <c r="H17" s="1" a="1"/>
  <c r="H17" s="1"/>
  <c r="H18" s="1" a="1"/>
  <c r="H18" s="1"/>
  <c r="H19" s="1" a="1"/>
  <c r="H19" s="1"/>
  <c r="H20" s="1" a="1"/>
  <c r="H20" s="1"/>
  <c r="H21" s="1" a="1"/>
  <c r="H21" s="1"/>
  <c r="H22" s="1" a="1"/>
  <c r="H22" s="1"/>
  <c r="H23" s="1" a="1"/>
  <c r="H23" s="1"/>
  <c r="H24" s="1" a="1"/>
  <c r="H24" s="1"/>
  <c r="H25" s="1" a="1"/>
  <c r="H25" s="1"/>
  <c r="H26" s="1" a="1"/>
  <c r="H26" s="1"/>
  <c r="H27" s="1" a="1"/>
  <c r="H27" s="1"/>
  <c r="H28" s="1" a="1"/>
  <c r="H28" s="1"/>
  <c r="H29" s="1" a="1"/>
  <c r="H29" s="1"/>
  <c r="H30" s="1" a="1"/>
  <c r="H30" s="1"/>
  <c r="H31" s="1" a="1"/>
  <c r="H31" s="1"/>
  <c r="H32" s="1" a="1"/>
  <c r="H32" s="1"/>
  <c r="H33" s="1" a="1"/>
  <c r="H33" s="1"/>
  <c r="H34" s="1" a="1"/>
  <c r="H34" s="1"/>
  <c r="H35" s="1" a="1"/>
  <c r="H35" s="1"/>
  <c r="H36" s="1" a="1"/>
  <c r="H36" s="1"/>
  <c r="H37" s="1" a="1"/>
  <c r="H37" s="1"/>
  <c r="H38" s="1" a="1"/>
  <c r="H38" s="1"/>
  <c r="H39" s="1" a="1"/>
  <c r="H39" s="1"/>
  <c r="H40" s="1" a="1"/>
  <c r="H40" s="1"/>
  <c r="H41" s="1" a="1"/>
  <c r="H41" s="1"/>
  <c r="H42" s="1" a="1"/>
  <c r="H42" s="1"/>
  <c r="H43" s="1" a="1"/>
  <c r="H43" s="1"/>
  <c r="H44" s="1" a="1"/>
  <c r="H44" s="1"/>
  <c r="H45" s="1" a="1"/>
  <c r="H45" s="1"/>
  <c r="H46" s="1" a="1"/>
  <c r="H46" s="1"/>
  <c r="H47" s="1" a="1"/>
  <c r="H47" s="1"/>
  <c r="H48" s="1" a="1"/>
  <c r="H48" s="1"/>
  <c r="H49" s="1" a="1"/>
  <c r="H49" s="1"/>
  <c r="H50" s="1" a="1"/>
  <c r="H50" s="1"/>
  <c r="H51" s="1" a="1"/>
  <c r="H51" s="1"/>
  <c r="H52" s="1" a="1"/>
  <c r="H52" s="1"/>
  <c r="H53" s="1" a="1"/>
  <c r="H53" s="1"/>
  <c r="H54" s="1" a="1"/>
  <c r="H54" s="1"/>
  <c r="N10" a="1"/>
  <c r="N10" s="1"/>
  <c r="K16" l="1" a="1"/>
  <c r="K16" s="1"/>
  <c r="N11" a="1"/>
  <c r="N11" s="1"/>
  <c r="K17" l="1" a="1"/>
  <c r="K17" s="1"/>
  <c r="N12" a="1"/>
  <c r="N12" s="1"/>
  <c r="N13" s="1" a="1"/>
  <c r="N13" s="1"/>
  <c r="N14" s="1" a="1"/>
  <c r="N14" s="1"/>
  <c r="N15" s="1" a="1"/>
  <c r="N15" s="1"/>
  <c r="N16" s="1" a="1"/>
  <c r="N16" s="1"/>
  <c r="N17" s="1" a="1"/>
  <c r="N17" s="1"/>
  <c r="N18" s="1" a="1"/>
  <c r="N18" s="1"/>
  <c r="N19" s="1" a="1"/>
  <c r="N19" s="1"/>
  <c r="N20" s="1" a="1"/>
  <c r="N20" s="1"/>
  <c r="N21" s="1" a="1"/>
  <c r="N21" s="1"/>
  <c r="N22" s="1" a="1"/>
  <c r="N22" s="1"/>
  <c r="N23" s="1" a="1"/>
  <c r="N23" s="1"/>
  <c r="N24" s="1" a="1"/>
  <c r="N24" s="1"/>
  <c r="N25" s="1" a="1"/>
  <c r="N25" s="1"/>
  <c r="N26" s="1" a="1"/>
  <c r="N26" s="1"/>
  <c r="N27" s="1" a="1"/>
  <c r="N27" s="1"/>
  <c r="N28" s="1" a="1"/>
  <c r="N28" s="1"/>
  <c r="N29" s="1" a="1"/>
  <c r="N29" s="1"/>
  <c r="N30" s="1" a="1"/>
  <c r="N30" s="1"/>
  <c r="N31" s="1" a="1"/>
  <c r="N31" s="1"/>
  <c r="N32" s="1" a="1"/>
  <c r="N32" s="1"/>
  <c r="N33" s="1" a="1"/>
  <c r="N33" s="1"/>
  <c r="N34" s="1" a="1"/>
  <c r="N34" s="1"/>
  <c r="N35" s="1" a="1"/>
  <c r="N35" s="1"/>
  <c r="N36" s="1" a="1"/>
  <c r="N36" s="1"/>
  <c r="N37" s="1" a="1"/>
  <c r="N37" s="1"/>
  <c r="N38" s="1" a="1"/>
  <c r="N38" s="1"/>
  <c r="N39" s="1" a="1"/>
  <c r="N39" s="1"/>
  <c r="N40" s="1" a="1"/>
  <c r="N40" s="1"/>
  <c r="N41" s="1" a="1"/>
  <c r="N41" s="1"/>
  <c r="N42" s="1" a="1"/>
  <c r="N42" s="1"/>
  <c r="N43" s="1" a="1"/>
  <c r="N43" s="1"/>
  <c r="N44" s="1" a="1"/>
  <c r="N44" s="1"/>
  <c r="N45" s="1" a="1"/>
  <c r="N45" s="1"/>
  <c r="N46" s="1" a="1"/>
  <c r="N46" s="1"/>
  <c r="N47" s="1" a="1"/>
  <c r="N47" s="1"/>
  <c r="N48" s="1" a="1"/>
  <c r="N48" s="1"/>
  <c r="N49" s="1" a="1"/>
  <c r="N49" s="1"/>
  <c r="N50" s="1" a="1"/>
  <c r="N50" s="1"/>
  <c r="N51" s="1" a="1"/>
  <c r="N51" s="1"/>
  <c r="N52" s="1" a="1"/>
  <c r="N52" s="1"/>
  <c r="N53" s="1" a="1"/>
  <c r="N53" s="1"/>
  <c r="N54" s="1" a="1"/>
  <c r="N54" s="1"/>
  <c r="K18" l="1" a="1"/>
  <c r="K18" s="1"/>
  <c r="K19" l="1" a="1"/>
  <c r="K19" s="1"/>
  <c r="K20" l="1" a="1"/>
  <c r="K20" s="1"/>
  <c r="K21" l="1" a="1"/>
  <c r="K21" s="1"/>
  <c r="K22" l="1" a="1"/>
  <c r="K22" s="1"/>
  <c r="K23" l="1" a="1"/>
  <c r="K23" s="1"/>
  <c r="K24" l="1" a="1"/>
  <c r="K24" s="1"/>
  <c r="K25" l="1" a="1"/>
  <c r="K25" s="1"/>
  <c r="K26" l="1" a="1"/>
  <c r="K26" s="1"/>
  <c r="K27" l="1" a="1"/>
  <c r="K27" s="1"/>
  <c r="K28" l="1" a="1"/>
  <c r="K28" s="1"/>
  <c r="K29" l="1" a="1"/>
  <c r="K29" s="1"/>
  <c r="K30" l="1" a="1"/>
  <c r="K30" s="1"/>
  <c r="K31" l="1" a="1"/>
  <c r="K31" s="1"/>
  <c r="K32" l="1" a="1"/>
  <c r="K32" s="1"/>
  <c r="K33" l="1" a="1"/>
  <c r="K33" s="1"/>
  <c r="K34" l="1" a="1"/>
  <c r="K34" s="1"/>
  <c r="K35" l="1" a="1"/>
  <c r="K35" s="1"/>
  <c r="K36" l="1" a="1"/>
  <c r="K36" s="1"/>
  <c r="K37" l="1" a="1"/>
  <c r="K37" s="1"/>
  <c r="K38" l="1" a="1"/>
  <c r="K38" s="1"/>
  <c r="K39" l="1" a="1"/>
  <c r="K39" s="1"/>
  <c r="K40" l="1" a="1"/>
  <c r="K40" s="1"/>
  <c r="K41" l="1" a="1"/>
  <c r="K41" s="1"/>
  <c r="K42" l="1" a="1"/>
  <c r="K42" s="1"/>
  <c r="K43" l="1" a="1"/>
  <c r="K43" s="1"/>
  <c r="K44" l="1" a="1"/>
  <c r="K44" s="1"/>
  <c r="K45" l="1" a="1"/>
  <c r="K45" s="1"/>
  <c r="K46" l="1" a="1"/>
  <c r="K46" s="1"/>
  <c r="K47" l="1" a="1"/>
  <c r="K47" s="1"/>
  <c r="K48" l="1" a="1"/>
  <c r="K48" s="1"/>
  <c r="K49" l="1" a="1"/>
  <c r="K49" s="1"/>
  <c r="K50" l="1" a="1"/>
  <c r="K50" s="1"/>
  <c r="K51" l="1" a="1"/>
  <c r="K51" s="1"/>
  <c r="K52" l="1" a="1"/>
  <c r="K52" s="1"/>
  <c r="K53" l="1" a="1"/>
  <c r="K53" s="1"/>
  <c r="K54" l="1" a="1"/>
  <c r="K54" s="1"/>
  <c r="X44" i="40" l="1"/>
  <c r="AA44" s="1"/>
  <c r="R44"/>
  <c r="U44" s="1"/>
  <c r="D8" i="47"/>
  <c r="J8"/>
  <c r="J12"/>
  <c r="J16"/>
  <c r="J20"/>
  <c r="J24"/>
  <c r="J28"/>
  <c r="J32"/>
  <c r="J36"/>
  <c r="J40"/>
  <c r="J44"/>
  <c r="J48"/>
  <c r="J52"/>
  <c r="J56"/>
  <c r="H10"/>
  <c r="H14"/>
  <c r="H18"/>
  <c r="H22"/>
  <c r="H26"/>
  <c r="H30"/>
  <c r="H34"/>
  <c r="H38"/>
  <c r="H42"/>
  <c r="H46"/>
  <c r="H50"/>
  <c r="H54"/>
  <c r="F8"/>
  <c r="F12"/>
  <c r="F16"/>
  <c r="F20"/>
  <c r="F24"/>
  <c r="F28"/>
  <c r="F32"/>
  <c r="F36"/>
  <c r="F40"/>
  <c r="F44"/>
  <c r="F48"/>
  <c r="F52"/>
  <c r="F56"/>
  <c r="H11"/>
  <c r="H15"/>
  <c r="H19"/>
  <c r="H23"/>
  <c r="H27"/>
  <c r="H31"/>
  <c r="H35"/>
  <c r="H39"/>
  <c r="H43"/>
  <c r="H47"/>
  <c r="H51"/>
  <c r="H55"/>
  <c r="J9"/>
  <c r="J13"/>
  <c r="J17"/>
  <c r="J21"/>
  <c r="J25"/>
  <c r="J29"/>
  <c r="J33"/>
  <c r="J37"/>
  <c r="J41"/>
  <c r="J45"/>
  <c r="J49"/>
  <c r="J53"/>
  <c r="J57"/>
  <c r="D11"/>
  <c r="D15"/>
  <c r="D19"/>
  <c r="D23"/>
  <c r="D27"/>
  <c r="D31"/>
  <c r="D35"/>
  <c r="D39"/>
  <c r="D43"/>
  <c r="D47"/>
  <c r="D51"/>
  <c r="D55"/>
  <c r="F9"/>
  <c r="F13"/>
  <c r="F17"/>
  <c r="F21"/>
  <c r="F25"/>
  <c r="F29"/>
  <c r="F33"/>
  <c r="F37"/>
  <c r="F41"/>
  <c r="F45"/>
  <c r="F49"/>
  <c r="F53"/>
  <c r="F57"/>
  <c r="D12"/>
  <c r="D16"/>
  <c r="D20"/>
  <c r="D24"/>
  <c r="D28"/>
  <c r="D32"/>
  <c r="D36"/>
  <c r="D40"/>
  <c r="D44"/>
  <c r="D48"/>
  <c r="D52"/>
  <c r="D56"/>
  <c r="J10"/>
  <c r="J14"/>
  <c r="J18"/>
  <c r="J22"/>
  <c r="J26"/>
  <c r="J30"/>
  <c r="J34"/>
  <c r="J38"/>
  <c r="J42"/>
  <c r="J46"/>
  <c r="J50"/>
  <c r="J54"/>
  <c r="H8"/>
  <c r="H12"/>
  <c r="H16"/>
  <c r="H20"/>
  <c r="H24"/>
  <c r="H28"/>
  <c r="H32"/>
  <c r="H36"/>
  <c r="H40"/>
  <c r="H44"/>
  <c r="H48"/>
  <c r="H52"/>
  <c r="H56"/>
  <c r="F10"/>
  <c r="F14"/>
  <c r="F18"/>
  <c r="F22"/>
  <c r="F26"/>
  <c r="F30"/>
  <c r="F34"/>
  <c r="F38"/>
  <c r="F42"/>
  <c r="F46"/>
  <c r="F50"/>
  <c r="F54"/>
  <c r="H9"/>
  <c r="H13"/>
  <c r="H17"/>
  <c r="H21"/>
  <c r="H25"/>
  <c r="H29"/>
  <c r="H33"/>
  <c r="H37"/>
  <c r="H41"/>
  <c r="H45"/>
  <c r="H49"/>
  <c r="H53"/>
  <c r="H57"/>
  <c r="J11"/>
  <c r="J15"/>
  <c r="J19"/>
  <c r="J23"/>
  <c r="J27"/>
  <c r="J31"/>
  <c r="J35"/>
  <c r="J39"/>
  <c r="J43"/>
  <c r="J47"/>
  <c r="J51"/>
  <c r="J55"/>
  <c r="D9"/>
  <c r="D13"/>
  <c r="D17"/>
  <c r="D21"/>
  <c r="D25"/>
  <c r="D29"/>
  <c r="D33"/>
  <c r="D37"/>
  <c r="D41"/>
  <c r="D45"/>
  <c r="D49"/>
  <c r="D53"/>
  <c r="D57"/>
  <c r="F11"/>
  <c r="E11" s="1"/>
  <c r="F15"/>
  <c r="E15" s="1"/>
  <c r="F19"/>
  <c r="E19" s="1"/>
  <c r="F23"/>
  <c r="E23" s="1"/>
  <c r="F27"/>
  <c r="E27" s="1"/>
  <c r="F31"/>
  <c r="E31" s="1"/>
  <c r="F35"/>
  <c r="E35" s="1"/>
  <c r="F39"/>
  <c r="E39" s="1"/>
  <c r="F43"/>
  <c r="E43" s="1"/>
  <c r="F47"/>
  <c r="E47" s="1"/>
  <c r="F51"/>
  <c r="E51" s="1"/>
  <c r="F55"/>
  <c r="E55" s="1"/>
  <c r="D10"/>
  <c r="D14"/>
  <c r="D18"/>
  <c r="D22"/>
  <c r="D26"/>
  <c r="D30"/>
  <c r="D34"/>
  <c r="D38"/>
  <c r="D42"/>
  <c r="D46"/>
  <c r="D50"/>
  <c r="D54"/>
  <c r="X47" i="40"/>
  <c r="AA47" s="1"/>
  <c r="X42"/>
  <c r="AA42" s="1"/>
  <c r="X41"/>
  <c r="X43"/>
  <c r="AA43" s="1"/>
  <c r="X46"/>
  <c r="AA46" s="1"/>
  <c r="X45"/>
  <c r="AA45" s="1"/>
  <c r="K35" i="43"/>
  <c r="K27"/>
  <c r="K19"/>
  <c r="K11"/>
  <c r="E35"/>
  <c r="E27"/>
  <c r="E19"/>
  <c r="E11"/>
  <c r="D33" a="1"/>
  <c r="D33" s="1"/>
  <c r="D23" a="1"/>
  <c r="D23" s="1"/>
  <c r="D15" a="1"/>
  <c r="D15" s="1"/>
  <c r="D26" a="1"/>
  <c r="D26" s="1"/>
  <c r="K34"/>
  <c r="K26"/>
  <c r="K18"/>
  <c r="K10"/>
  <c r="E34"/>
  <c r="E26"/>
  <c r="E18"/>
  <c r="D40" a="1"/>
  <c r="D40" s="1"/>
  <c r="D32" a="1"/>
  <c r="D32" s="1"/>
  <c r="D22" a="1"/>
  <c r="D22" s="1"/>
  <c r="D14" a="1"/>
  <c r="D14" s="1"/>
  <c r="D25" a="1"/>
  <c r="D25" s="1"/>
  <c r="K33"/>
  <c r="K25"/>
  <c r="K17"/>
  <c r="L10"/>
  <c r="E33"/>
  <c r="E25"/>
  <c r="E17"/>
  <c r="D39" a="1"/>
  <c r="D39" s="1"/>
  <c r="D31" a="1"/>
  <c r="D31" s="1"/>
  <c r="D21" a="1"/>
  <c r="D21" s="1"/>
  <c r="D13" a="1"/>
  <c r="D13" s="1"/>
  <c r="K40"/>
  <c r="K32"/>
  <c r="K24"/>
  <c r="K16"/>
  <c r="E40"/>
  <c r="E32"/>
  <c r="E24"/>
  <c r="E16"/>
  <c r="D38" a="1"/>
  <c r="D38" s="1"/>
  <c r="D30" a="1"/>
  <c r="D30" s="1"/>
  <c r="D12" a="1"/>
  <c r="D12" s="1"/>
  <c r="K39"/>
  <c r="K31"/>
  <c r="K23"/>
  <c r="K15"/>
  <c r="E39"/>
  <c r="E31"/>
  <c r="E23"/>
  <c r="E15"/>
  <c r="D37" a="1"/>
  <c r="D37" s="1"/>
  <c r="D29" a="1"/>
  <c r="D29" s="1"/>
  <c r="D19" a="1"/>
  <c r="D19" s="1"/>
  <c r="D11" a="1"/>
  <c r="D11" s="1"/>
  <c r="K38"/>
  <c r="K30"/>
  <c r="K22"/>
  <c r="K14"/>
  <c r="E38"/>
  <c r="E30"/>
  <c r="E22"/>
  <c r="E14"/>
  <c r="D36" a="1"/>
  <c r="D36" s="1"/>
  <c r="D28" a="1"/>
  <c r="D28" s="1"/>
  <c r="D18" a="1"/>
  <c r="D18" s="1"/>
  <c r="E10"/>
  <c r="K37"/>
  <c r="K29"/>
  <c r="K21"/>
  <c r="K13"/>
  <c r="E37"/>
  <c r="E29"/>
  <c r="E21"/>
  <c r="E13"/>
  <c r="D35" a="1"/>
  <c r="D35" s="1"/>
  <c r="D27" a="1"/>
  <c r="D27" s="1"/>
  <c r="D17" a="1"/>
  <c r="D17" s="1"/>
  <c r="F10"/>
  <c r="K36"/>
  <c r="K28"/>
  <c r="K20"/>
  <c r="K12"/>
  <c r="E36"/>
  <c r="E28"/>
  <c r="E20"/>
  <c r="E12"/>
  <c r="D34" a="1"/>
  <c r="D34" s="1"/>
  <c r="D24" a="1"/>
  <c r="D24" s="1"/>
  <c r="D16" a="1"/>
  <c r="D16" s="1"/>
  <c r="D20" a="1"/>
  <c r="D20" s="1"/>
  <c r="H56" i="45"/>
  <c r="H54"/>
  <c r="H52"/>
  <c r="H50"/>
  <c r="H48"/>
  <c r="H46"/>
  <c r="H44"/>
  <c r="H42"/>
  <c r="H40"/>
  <c r="H38"/>
  <c r="J36"/>
  <c r="J34"/>
  <c r="J32"/>
  <c r="J30"/>
  <c r="J28"/>
  <c r="J26"/>
  <c r="J24"/>
  <c r="J22"/>
  <c r="H20"/>
  <c r="H18"/>
  <c r="H16"/>
  <c r="H14"/>
  <c r="H12"/>
  <c r="H10"/>
  <c r="J8"/>
  <c r="R36" i="40"/>
  <c r="U36" s="1"/>
  <c r="R28"/>
  <c r="U28" s="1"/>
  <c r="R20"/>
  <c r="U20" s="1"/>
  <c r="R12"/>
  <c r="U12" s="1"/>
  <c r="F56" i="45"/>
  <c r="F54"/>
  <c r="F52"/>
  <c r="F50"/>
  <c r="F48"/>
  <c r="F46"/>
  <c r="F44"/>
  <c r="F42"/>
  <c r="F40"/>
  <c r="F38"/>
  <c r="D36"/>
  <c r="D34"/>
  <c r="D32"/>
  <c r="D30"/>
  <c r="D28"/>
  <c r="D26"/>
  <c r="D24"/>
  <c r="D22"/>
  <c r="F20"/>
  <c r="F18"/>
  <c r="F16"/>
  <c r="F14"/>
  <c r="F12"/>
  <c r="F10"/>
  <c r="D8"/>
  <c r="R37" i="40"/>
  <c r="U37" s="1"/>
  <c r="R29"/>
  <c r="U29" s="1"/>
  <c r="R21"/>
  <c r="U21" s="1"/>
  <c r="R13"/>
  <c r="U13" s="1"/>
  <c r="R5"/>
  <c r="U5" s="1"/>
  <c r="D7" i="45"/>
  <c r="D55"/>
  <c r="D53"/>
  <c r="D51"/>
  <c r="D49"/>
  <c r="D47"/>
  <c r="D45"/>
  <c r="D43"/>
  <c r="D41"/>
  <c r="D39"/>
  <c r="F37"/>
  <c r="F35"/>
  <c r="F33"/>
  <c r="F31"/>
  <c r="F29"/>
  <c r="F27"/>
  <c r="F25"/>
  <c r="F23"/>
  <c r="D21"/>
  <c r="D19"/>
  <c r="D17"/>
  <c r="D15"/>
  <c r="D13"/>
  <c r="D11"/>
  <c r="F9"/>
  <c r="R38" i="40"/>
  <c r="U38" s="1"/>
  <c r="R30"/>
  <c r="U30" s="1"/>
  <c r="R22"/>
  <c r="U22" s="1"/>
  <c r="R14"/>
  <c r="U14" s="1"/>
  <c r="R4"/>
  <c r="U4" s="1"/>
  <c r="J56" i="45"/>
  <c r="J54"/>
  <c r="J52"/>
  <c r="J50"/>
  <c r="J48"/>
  <c r="J46"/>
  <c r="J44"/>
  <c r="J42"/>
  <c r="J40"/>
  <c r="J38"/>
  <c r="H36"/>
  <c r="H34"/>
  <c r="H32"/>
  <c r="H30"/>
  <c r="H28"/>
  <c r="H26"/>
  <c r="H24"/>
  <c r="H22"/>
  <c r="J20"/>
  <c r="J18"/>
  <c r="J16"/>
  <c r="J14"/>
  <c r="J12"/>
  <c r="J10"/>
  <c r="H8"/>
  <c r="R39" i="40"/>
  <c r="U39" s="1"/>
  <c r="R31"/>
  <c r="U31" s="1"/>
  <c r="R23"/>
  <c r="U23" s="1"/>
  <c r="R15"/>
  <c r="U15" s="1"/>
  <c r="R7"/>
  <c r="U7" s="1"/>
  <c r="J7" i="45"/>
  <c r="H55"/>
  <c r="H53"/>
  <c r="H51"/>
  <c r="H49"/>
  <c r="H47"/>
  <c r="H45"/>
  <c r="H43"/>
  <c r="H41"/>
  <c r="H39"/>
  <c r="J37"/>
  <c r="J35"/>
  <c r="J33"/>
  <c r="J31"/>
  <c r="J29"/>
  <c r="J27"/>
  <c r="J25"/>
  <c r="J23"/>
  <c r="H21"/>
  <c r="H19"/>
  <c r="H17"/>
  <c r="H15"/>
  <c r="H13"/>
  <c r="H11"/>
  <c r="J9"/>
  <c r="R40" i="40"/>
  <c r="U40" s="1"/>
  <c r="R32"/>
  <c r="U32" s="1"/>
  <c r="R24"/>
  <c r="U24" s="1"/>
  <c r="R16"/>
  <c r="U16" s="1"/>
  <c r="R8"/>
  <c r="U8" s="1"/>
  <c r="F55" i="45"/>
  <c r="F53"/>
  <c r="F51"/>
  <c r="F49"/>
  <c r="F47"/>
  <c r="F45"/>
  <c r="F43"/>
  <c r="F41"/>
  <c r="F39"/>
  <c r="D37"/>
  <c r="D35"/>
  <c r="D33"/>
  <c r="D31"/>
  <c r="D29"/>
  <c r="D27"/>
  <c r="D25"/>
  <c r="D23"/>
  <c r="F21"/>
  <c r="F19"/>
  <c r="F17"/>
  <c r="F15"/>
  <c r="F13"/>
  <c r="F11"/>
  <c r="D9"/>
  <c r="R41" i="40"/>
  <c r="U41" s="1"/>
  <c r="R33"/>
  <c r="U33" s="1"/>
  <c r="R25"/>
  <c r="U25" s="1"/>
  <c r="R17"/>
  <c r="U17" s="1"/>
  <c r="R9"/>
  <c r="U9" s="1"/>
  <c r="R6"/>
  <c r="U6" s="1"/>
  <c r="F7" i="45"/>
  <c r="D56"/>
  <c r="D54"/>
  <c r="D52"/>
  <c r="D50"/>
  <c r="D48"/>
  <c r="D46"/>
  <c r="D44"/>
  <c r="D42"/>
  <c r="D40"/>
  <c r="D38"/>
  <c r="F36"/>
  <c r="F34"/>
  <c r="F32"/>
  <c r="F30"/>
  <c r="F28"/>
  <c r="F26"/>
  <c r="F24"/>
  <c r="F22"/>
  <c r="D20"/>
  <c r="D18"/>
  <c r="D16"/>
  <c r="D14"/>
  <c r="D12"/>
  <c r="D10"/>
  <c r="F8"/>
  <c r="R34" i="40"/>
  <c r="U34" s="1"/>
  <c r="R26"/>
  <c r="U26" s="1"/>
  <c r="R18"/>
  <c r="U18" s="1"/>
  <c r="R10"/>
  <c r="U10" s="1"/>
  <c r="J55" i="45"/>
  <c r="J53"/>
  <c r="J51"/>
  <c r="J49"/>
  <c r="J47"/>
  <c r="J45"/>
  <c r="J43"/>
  <c r="J41"/>
  <c r="J39"/>
  <c r="H37"/>
  <c r="H35"/>
  <c r="H33"/>
  <c r="H31"/>
  <c r="H29"/>
  <c r="H27"/>
  <c r="H25"/>
  <c r="H23"/>
  <c r="J21"/>
  <c r="J19"/>
  <c r="J17"/>
  <c r="J15"/>
  <c r="J13"/>
  <c r="J11"/>
  <c r="H9"/>
  <c r="X3" i="40"/>
  <c r="R35"/>
  <c r="U35" s="1"/>
  <c r="R27"/>
  <c r="U27" s="1"/>
  <c r="R19"/>
  <c r="U19" s="1"/>
  <c r="R11"/>
  <c r="U11" s="1"/>
  <c r="R3"/>
  <c r="U3" s="1"/>
  <c r="H7" i="45"/>
  <c r="X38" i="40"/>
  <c r="AA38" s="1"/>
  <c r="X30"/>
  <c r="AA30" s="1"/>
  <c r="X22"/>
  <c r="AA22" s="1"/>
  <c r="X14"/>
  <c r="AA14" s="1"/>
  <c r="X6"/>
  <c r="AA6" s="1"/>
  <c r="X37"/>
  <c r="AA37" s="1"/>
  <c r="X29"/>
  <c r="AA29" s="1"/>
  <c r="X21"/>
  <c r="AA21" s="1"/>
  <c r="X13"/>
  <c r="AA13" s="1"/>
  <c r="X5"/>
  <c r="AA5" s="1"/>
  <c r="X40"/>
  <c r="AA40" s="1"/>
  <c r="X32"/>
  <c r="AA32" s="1"/>
  <c r="X24"/>
  <c r="AA24" s="1"/>
  <c r="X16"/>
  <c r="AA16" s="1"/>
  <c r="X8"/>
  <c r="AA8" s="1"/>
  <c r="X39"/>
  <c r="AA39" s="1"/>
  <c r="X31"/>
  <c r="AA31" s="1"/>
  <c r="X23"/>
  <c r="AA23" s="1"/>
  <c r="X15"/>
  <c r="AA15" s="1"/>
  <c r="X7"/>
  <c r="AA7" s="1"/>
  <c r="X34"/>
  <c r="AA34" s="1"/>
  <c r="X26"/>
  <c r="AA26" s="1"/>
  <c r="X18"/>
  <c r="AA18" s="1"/>
  <c r="X10"/>
  <c r="AA10" s="1"/>
  <c r="X33"/>
  <c r="AA33" s="1"/>
  <c r="X25"/>
  <c r="AA25" s="1"/>
  <c r="X17"/>
  <c r="AA17" s="1"/>
  <c r="X9"/>
  <c r="AA9" s="1"/>
  <c r="X36"/>
  <c r="AA36" s="1"/>
  <c r="X28"/>
  <c r="AA28" s="1"/>
  <c r="X20"/>
  <c r="AA20" s="1"/>
  <c r="X12"/>
  <c r="AA12" s="1"/>
  <c r="X4"/>
  <c r="AA4" s="1"/>
  <c r="X35"/>
  <c r="AA35" s="1"/>
  <c r="X27"/>
  <c r="AA27" s="1"/>
  <c r="X19"/>
  <c r="AA19" s="1"/>
  <c r="X11"/>
  <c r="AA11" s="1"/>
  <c r="C32" i="43" a="1"/>
  <c r="C12" a="1"/>
  <c r="C31" a="1"/>
  <c r="C26" a="1"/>
  <c r="C18" a="1"/>
  <c r="C35" a="1"/>
  <c r="C21" a="1"/>
  <c r="C30" a="1"/>
  <c r="C30" s="1"/>
  <c r="C28" a="1"/>
  <c r="C14" a="1"/>
  <c r="C11" a="1"/>
  <c r="C27" a="1"/>
  <c r="C33" a="1"/>
  <c r="C34" a="1"/>
  <c r="C15" a="1"/>
  <c r="C36" a="1"/>
  <c r="C29" a="1"/>
  <c r="C22" a="1"/>
  <c r="C24" a="1"/>
  <c r="C20" a="1"/>
  <c r="C17" a="1"/>
  <c r="C13" a="1"/>
  <c r="C16" a="1"/>
  <c r="C16" s="1"/>
  <c r="C19" a="1"/>
  <c r="C37" a="1"/>
  <c r="C37" s="1"/>
  <c r="C38" a="1"/>
  <c r="C23" a="1"/>
  <c r="C12" i="42"/>
  <c r="D12" s="1"/>
  <c r="L29" i="43"/>
  <c r="F24"/>
  <c r="F14"/>
  <c r="F21"/>
  <c r="L24"/>
  <c r="F27"/>
  <c r="L14"/>
  <c r="F15"/>
  <c r="L31"/>
  <c r="F28"/>
  <c r="F18"/>
  <c r="F25"/>
  <c r="F33"/>
  <c r="F38"/>
  <c r="AD38" a="1"/>
  <c r="AD30" a="1"/>
  <c r="AD19" a="1"/>
  <c r="AD22" a="1"/>
  <c r="C25" a="1"/>
  <c r="D10" a="1"/>
  <c r="D10" s="1"/>
  <c r="C40" a="1"/>
  <c r="L18"/>
  <c r="L17"/>
  <c r="L33"/>
  <c r="F32"/>
  <c r="AD39" a="1"/>
  <c r="AD35" a="1"/>
  <c r="AD31" a="1"/>
  <c r="AD27" a="1"/>
  <c r="AD21" a="1"/>
  <c r="AD13" a="1"/>
  <c r="AD20" a="1"/>
  <c r="AD11" a="1"/>
  <c r="F22"/>
  <c r="F29"/>
  <c r="L32"/>
  <c r="F35"/>
  <c r="F11"/>
  <c r="L27"/>
  <c r="F20"/>
  <c r="F17"/>
  <c r="F23"/>
  <c r="L12"/>
  <c r="L40"/>
  <c r="AD34" a="1"/>
  <c r="AD26" a="1"/>
  <c r="AD12" a="1"/>
  <c r="AD14" a="1"/>
  <c r="F31"/>
  <c r="AD28" a="1"/>
  <c r="AD18" a="1"/>
  <c r="L28"/>
  <c r="AD36" a="1"/>
  <c r="AD16" a="1"/>
  <c r="N11"/>
  <c r="N37"/>
  <c r="N27"/>
  <c r="C49" i="42"/>
  <c r="D49" s="1"/>
  <c r="C24"/>
  <c r="D24" s="1"/>
  <c r="C31"/>
  <c r="D31" s="1"/>
  <c r="H18" i="43"/>
  <c r="G18" s="1"/>
  <c r="C45" i="42"/>
  <c r="D45" s="1"/>
  <c r="H35" i="43"/>
  <c r="C14" i="42"/>
  <c r="D14" s="1"/>
  <c r="C21"/>
  <c r="D21" s="1"/>
  <c r="N12" i="43"/>
  <c r="N35"/>
  <c r="N36"/>
  <c r="H38"/>
  <c r="N14"/>
  <c r="H17"/>
  <c r="N16"/>
  <c r="N21"/>
  <c r="N23"/>
  <c r="N29"/>
  <c r="H11"/>
  <c r="H21"/>
  <c r="H24"/>
  <c r="G24" s="1"/>
  <c r="C10" i="42"/>
  <c r="D10" s="1"/>
  <c r="C51"/>
  <c r="D51" s="1"/>
  <c r="C35"/>
  <c r="D35" s="1"/>
  <c r="H10" i="43"/>
  <c r="N34"/>
  <c r="N19"/>
  <c r="N13"/>
  <c r="H15"/>
  <c r="G15" s="1"/>
  <c r="H37"/>
  <c r="C28" i="42"/>
  <c r="D28" s="1"/>
  <c r="L21" i="43"/>
  <c r="L37"/>
  <c r="L38"/>
  <c r="F30"/>
  <c r="F37"/>
  <c r="L11"/>
  <c r="F39"/>
  <c r="L30"/>
  <c r="L23"/>
  <c r="F12"/>
  <c r="L39"/>
  <c r="F34"/>
  <c r="C42" i="42"/>
  <c r="D42" s="1"/>
  <c r="H23" i="43"/>
  <c r="G23" s="1"/>
  <c r="C44" i="42"/>
  <c r="D44" s="1"/>
  <c r="C17"/>
  <c r="D17" s="1"/>
  <c r="C11"/>
  <c r="D11" s="1"/>
  <c r="C25"/>
  <c r="D25" s="1"/>
  <c r="H19" i="43"/>
  <c r="C13" i="42"/>
  <c r="D13" s="1"/>
  <c r="C6"/>
  <c r="D6" s="1"/>
  <c r="C38"/>
  <c r="D38" s="1"/>
  <c r="H12" i="43"/>
  <c r="H26"/>
  <c r="C23" i="42"/>
  <c r="D23" s="1"/>
  <c r="C16"/>
  <c r="D16" s="1"/>
  <c r="C50"/>
  <c r="D50" s="1"/>
  <c r="H14" i="43"/>
  <c r="C37" i="42"/>
  <c r="D37" s="1"/>
  <c r="H33" i="43"/>
  <c r="C15" i="42"/>
  <c r="D15" s="1"/>
  <c r="C8"/>
  <c r="D8" s="1"/>
  <c r="C52"/>
  <c r="D52" s="1"/>
  <c r="N40" i="43"/>
  <c r="C27" i="42"/>
  <c r="D27" s="1"/>
  <c r="C41"/>
  <c r="D41" s="1"/>
  <c r="N38" i="43"/>
  <c r="C19" i="42"/>
  <c r="D19" s="1"/>
  <c r="N10" i="43"/>
  <c r="H34"/>
  <c r="G34" s="1"/>
  <c r="H22"/>
  <c r="H16"/>
  <c r="H32"/>
  <c r="G32" s="1"/>
  <c r="H40"/>
  <c r="C10" a="1"/>
  <c r="C33" i="42"/>
  <c r="D33" s="1"/>
  <c r="C20"/>
  <c r="D20" s="1"/>
  <c r="C9"/>
  <c r="D9" s="1"/>
  <c r="C34"/>
  <c r="D34" s="1"/>
  <c r="H25" i="43"/>
  <c r="G25" s="1"/>
  <c r="N33"/>
  <c r="C43" i="42"/>
  <c r="D43" s="1"/>
  <c r="N18" i="43"/>
  <c r="N31"/>
  <c r="N30"/>
  <c r="N15"/>
  <c r="H27"/>
  <c r="N24"/>
  <c r="L13"/>
  <c r="AE10" a="1"/>
  <c r="AE10" s="1"/>
  <c r="AD32" a="1"/>
  <c r="L20"/>
  <c r="F36"/>
  <c r="F19"/>
  <c r="L19"/>
  <c r="F13"/>
  <c r="AD15" a="1"/>
  <c r="AD17" a="1"/>
  <c r="AD29" a="1"/>
  <c r="AD37" a="1"/>
  <c r="F16"/>
  <c r="L34"/>
  <c r="L15"/>
  <c r="C46" i="42"/>
  <c r="D46" s="1"/>
  <c r="C26"/>
  <c r="D26" s="1"/>
  <c r="H28" i="43"/>
  <c r="H36"/>
  <c r="G36" s="1"/>
  <c r="C36" i="42"/>
  <c r="D36" s="1"/>
  <c r="C54"/>
  <c r="D54" s="1"/>
  <c r="C18"/>
  <c r="D18" s="1"/>
  <c r="H39" i="43"/>
  <c r="C29" i="42"/>
  <c r="D29" s="1"/>
  <c r="C22"/>
  <c r="D22" s="1"/>
  <c r="C48"/>
  <c r="D48" s="1"/>
  <c r="H13" i="43"/>
  <c r="C7" i="42"/>
  <c r="D7" s="1"/>
  <c r="C39"/>
  <c r="D39" s="1"/>
  <c r="C32"/>
  <c r="D32" s="1"/>
  <c r="C53"/>
  <c r="D53" s="1"/>
  <c r="C5"/>
  <c r="D5" s="1"/>
  <c r="C30"/>
  <c r="D30" s="1"/>
  <c r="H20" i="43"/>
  <c r="C40" i="42"/>
  <c r="D40" s="1"/>
  <c r="N22" i="43"/>
  <c r="C47" i="42"/>
  <c r="D47" s="1"/>
  <c r="H30" i="43"/>
  <c r="N25"/>
  <c r="N28"/>
  <c r="N20"/>
  <c r="H29"/>
  <c r="H31"/>
  <c r="N32"/>
  <c r="N17"/>
  <c r="N39"/>
  <c r="N26"/>
  <c r="L26"/>
  <c r="L36"/>
  <c r="AD23" a="1"/>
  <c r="AD40" a="1"/>
  <c r="F26"/>
  <c r="L35"/>
  <c r="L22"/>
  <c r="L16"/>
  <c r="AD10" a="1"/>
  <c r="AD24" a="1"/>
  <c r="AD25" a="1"/>
  <c r="AD33" a="1"/>
  <c r="F40"/>
  <c r="L25"/>
  <c r="C39" a="1"/>
  <c r="G17" l="1"/>
  <c r="G35"/>
  <c r="G11"/>
  <c r="E22" i="45"/>
  <c r="E26"/>
  <c r="E30"/>
  <c r="E34"/>
  <c r="E8"/>
  <c r="E24"/>
  <c r="E28"/>
  <c r="E32"/>
  <c r="E36"/>
  <c r="G29" i="43"/>
  <c r="X49" i="40"/>
  <c r="AA51" s="1"/>
  <c r="E11" i="45"/>
  <c r="E15"/>
  <c r="E19"/>
  <c r="E39"/>
  <c r="E43"/>
  <c r="E47"/>
  <c r="E51"/>
  <c r="E55"/>
  <c r="I55" i="47"/>
  <c r="X55"/>
  <c r="I47"/>
  <c r="X47"/>
  <c r="I39"/>
  <c r="X39"/>
  <c r="I31"/>
  <c r="X31"/>
  <c r="I23"/>
  <c r="X23"/>
  <c r="I15"/>
  <c r="X15"/>
  <c r="I54"/>
  <c r="X54"/>
  <c r="I46"/>
  <c r="X46"/>
  <c r="I38"/>
  <c r="X38"/>
  <c r="I30"/>
  <c r="X30"/>
  <c r="I22"/>
  <c r="X22"/>
  <c r="I14"/>
  <c r="X14"/>
  <c r="I53"/>
  <c r="X53"/>
  <c r="I45"/>
  <c r="X45"/>
  <c r="I37"/>
  <c r="X37"/>
  <c r="I29"/>
  <c r="X29"/>
  <c r="I21"/>
  <c r="X21"/>
  <c r="I13"/>
  <c r="X13"/>
  <c r="F59"/>
  <c r="E8"/>
  <c r="I52"/>
  <c r="X52"/>
  <c r="I44"/>
  <c r="X44"/>
  <c r="I36"/>
  <c r="X36"/>
  <c r="I28"/>
  <c r="X28"/>
  <c r="I20"/>
  <c r="X20"/>
  <c r="I12"/>
  <c r="X12"/>
  <c r="D59"/>
  <c r="E50"/>
  <c r="E42"/>
  <c r="E34"/>
  <c r="E26"/>
  <c r="E18"/>
  <c r="E10"/>
  <c r="E57"/>
  <c r="E49"/>
  <c r="E41"/>
  <c r="E33"/>
  <c r="E25"/>
  <c r="E17"/>
  <c r="E9"/>
  <c r="E56"/>
  <c r="E48"/>
  <c r="E40"/>
  <c r="E32"/>
  <c r="E24"/>
  <c r="E16"/>
  <c r="I51"/>
  <c r="X51"/>
  <c r="I43"/>
  <c r="X43"/>
  <c r="I35"/>
  <c r="X35"/>
  <c r="I27"/>
  <c r="X27"/>
  <c r="I19"/>
  <c r="X19"/>
  <c r="I11"/>
  <c r="X11"/>
  <c r="I50"/>
  <c r="X50"/>
  <c r="I42"/>
  <c r="X42"/>
  <c r="I34"/>
  <c r="X34"/>
  <c r="I26"/>
  <c r="X26"/>
  <c r="I18"/>
  <c r="X18"/>
  <c r="I10"/>
  <c r="X10"/>
  <c r="I57"/>
  <c r="X57"/>
  <c r="I49"/>
  <c r="X49"/>
  <c r="I41"/>
  <c r="X41"/>
  <c r="I33"/>
  <c r="X33"/>
  <c r="I25"/>
  <c r="X25"/>
  <c r="I17"/>
  <c r="X17"/>
  <c r="I9"/>
  <c r="X9"/>
  <c r="I56"/>
  <c r="X56"/>
  <c r="I48"/>
  <c r="X48"/>
  <c r="I40"/>
  <c r="X40"/>
  <c r="I32"/>
  <c r="X32"/>
  <c r="I24"/>
  <c r="X24"/>
  <c r="I16"/>
  <c r="X16"/>
  <c r="I8"/>
  <c r="J59"/>
  <c r="X8"/>
  <c r="E54"/>
  <c r="E46"/>
  <c r="E38"/>
  <c r="E30"/>
  <c r="E22"/>
  <c r="E14"/>
  <c r="H59"/>
  <c r="E53"/>
  <c r="E45"/>
  <c r="E37"/>
  <c r="E29"/>
  <c r="E21"/>
  <c r="E13"/>
  <c r="E52"/>
  <c r="E44"/>
  <c r="E36"/>
  <c r="E28"/>
  <c r="E20"/>
  <c r="E12"/>
  <c r="AA41" i="40"/>
  <c r="G39" i="43"/>
  <c r="G28"/>
  <c r="E13" i="45"/>
  <c r="E17"/>
  <c r="E21"/>
  <c r="E41"/>
  <c r="E45"/>
  <c r="E49"/>
  <c r="E53"/>
  <c r="G27" i="43"/>
  <c r="G20"/>
  <c r="G21"/>
  <c r="G38"/>
  <c r="E42"/>
  <c r="M11"/>
  <c r="H58" i="45"/>
  <c r="U43" i="40"/>
  <c r="E23" i="45"/>
  <c r="E27"/>
  <c r="E31"/>
  <c r="E35"/>
  <c r="D58"/>
  <c r="E12"/>
  <c r="E16"/>
  <c r="E20"/>
  <c r="E40"/>
  <c r="E44"/>
  <c r="E48"/>
  <c r="E52"/>
  <c r="E56"/>
  <c r="R43" i="40"/>
  <c r="E9" i="45"/>
  <c r="E25"/>
  <c r="E29"/>
  <c r="E33"/>
  <c r="E37"/>
  <c r="E10"/>
  <c r="E14"/>
  <c r="E18"/>
  <c r="E38"/>
  <c r="E42"/>
  <c r="E46"/>
  <c r="E50"/>
  <c r="E54"/>
  <c r="I11"/>
  <c r="X11"/>
  <c r="I13"/>
  <c r="X13"/>
  <c r="I15"/>
  <c r="X15"/>
  <c r="I17"/>
  <c r="X17"/>
  <c r="I19"/>
  <c r="X19"/>
  <c r="I21"/>
  <c r="X21"/>
  <c r="I39"/>
  <c r="X39"/>
  <c r="I41"/>
  <c r="X41"/>
  <c r="I43"/>
  <c r="X43"/>
  <c r="I45"/>
  <c r="X45"/>
  <c r="I47"/>
  <c r="X47"/>
  <c r="I49"/>
  <c r="X49"/>
  <c r="I51"/>
  <c r="X51"/>
  <c r="I53"/>
  <c r="X53"/>
  <c r="I55"/>
  <c r="X55"/>
  <c r="F58"/>
  <c r="E7"/>
  <c r="I9"/>
  <c r="X9"/>
  <c r="I23"/>
  <c r="X23"/>
  <c r="I25"/>
  <c r="X25"/>
  <c r="I27"/>
  <c r="X27"/>
  <c r="I29"/>
  <c r="X29"/>
  <c r="I31"/>
  <c r="X31"/>
  <c r="I33"/>
  <c r="X33"/>
  <c r="I35"/>
  <c r="X35"/>
  <c r="I37"/>
  <c r="X37"/>
  <c r="J58"/>
  <c r="I7"/>
  <c r="X7"/>
  <c r="I10"/>
  <c r="X10"/>
  <c r="I12"/>
  <c r="X12"/>
  <c r="I14"/>
  <c r="X14"/>
  <c r="I16"/>
  <c r="X16"/>
  <c r="I18"/>
  <c r="X18"/>
  <c r="I20"/>
  <c r="X20"/>
  <c r="I38"/>
  <c r="X38"/>
  <c r="I40"/>
  <c r="X40"/>
  <c r="I42"/>
  <c r="X42"/>
  <c r="I44"/>
  <c r="X44"/>
  <c r="I46"/>
  <c r="X46"/>
  <c r="I48"/>
  <c r="X48"/>
  <c r="I50"/>
  <c r="X50"/>
  <c r="I52"/>
  <c r="X52"/>
  <c r="I54"/>
  <c r="X54"/>
  <c r="I56"/>
  <c r="X56"/>
  <c r="I8"/>
  <c r="X8"/>
  <c r="I22"/>
  <c r="X22"/>
  <c r="I24"/>
  <c r="X24"/>
  <c r="I26"/>
  <c r="X26"/>
  <c r="I28"/>
  <c r="X28"/>
  <c r="I30"/>
  <c r="X30"/>
  <c r="I32"/>
  <c r="X32"/>
  <c r="I34"/>
  <c r="X34"/>
  <c r="I36"/>
  <c r="X36"/>
  <c r="AA3" i="40"/>
  <c r="G30" i="43"/>
  <c r="G22"/>
  <c r="G33"/>
  <c r="G14"/>
  <c r="G13"/>
  <c r="G12"/>
  <c r="G31"/>
  <c r="M26"/>
  <c r="AK26"/>
  <c r="M17"/>
  <c r="AK17"/>
  <c r="M20"/>
  <c r="AK20"/>
  <c r="M25"/>
  <c r="AK25"/>
  <c r="E6" i="42" a="1"/>
  <c r="E6" s="1"/>
  <c r="O6" s="1"/>
  <c r="M24" i="43"/>
  <c r="AK24"/>
  <c r="AK15"/>
  <c r="M15"/>
  <c r="AK31"/>
  <c r="M31"/>
  <c r="M10"/>
  <c r="AK10"/>
  <c r="N42"/>
  <c r="AK38"/>
  <c r="M38"/>
  <c r="M13"/>
  <c r="AK13"/>
  <c r="M34"/>
  <c r="AK34"/>
  <c r="AK29"/>
  <c r="M29"/>
  <c r="AK21"/>
  <c r="M21"/>
  <c r="M35"/>
  <c r="AK35"/>
  <c r="M27"/>
  <c r="AK27"/>
  <c r="AK11"/>
  <c r="F42"/>
  <c r="L42"/>
  <c r="G19"/>
  <c r="G37"/>
  <c r="M39"/>
  <c r="AK39"/>
  <c r="AK32"/>
  <c r="M32"/>
  <c r="AK28"/>
  <c r="M28"/>
  <c r="M22"/>
  <c r="AK22"/>
  <c r="AK30"/>
  <c r="M30"/>
  <c r="AK18"/>
  <c r="M18"/>
  <c r="M33"/>
  <c r="AK33"/>
  <c r="M40"/>
  <c r="AK40"/>
  <c r="AK19"/>
  <c r="M19"/>
  <c r="H42"/>
  <c r="G10"/>
  <c r="M23"/>
  <c r="AK23"/>
  <c r="M16"/>
  <c r="AK16"/>
  <c r="M14"/>
  <c r="AK14"/>
  <c r="AK36"/>
  <c r="M36"/>
  <c r="M12"/>
  <c r="AK12"/>
  <c r="M37"/>
  <c r="AK37"/>
  <c r="G40"/>
  <c r="G16"/>
  <c r="G26"/>
  <c r="AC56" i="45" l="1"/>
  <c r="AC54"/>
  <c r="AC52"/>
  <c r="AC50"/>
  <c r="AC48"/>
  <c r="AC46"/>
  <c r="AC44"/>
  <c r="AC42"/>
  <c r="AC40"/>
  <c r="AC38"/>
  <c r="AC36"/>
  <c r="AC34"/>
  <c r="AC32"/>
  <c r="AC30"/>
  <c r="AC28"/>
  <c r="AC26"/>
  <c r="AC24"/>
  <c r="AC22"/>
  <c r="AC20"/>
  <c r="AC18"/>
  <c r="AC16"/>
  <c r="AC14"/>
  <c r="AC12"/>
  <c r="AC10"/>
  <c r="AC8"/>
  <c r="AB7"/>
  <c r="AB8" s="1"/>
  <c r="AB9" s="1"/>
  <c r="AC55"/>
  <c r="AC53"/>
  <c r="AC51"/>
  <c r="AC49"/>
  <c r="AC47"/>
  <c r="AC45"/>
  <c r="AC43"/>
  <c r="AC41"/>
  <c r="AC39"/>
  <c r="AC37"/>
  <c r="AC35"/>
  <c r="AC33"/>
  <c r="AC31"/>
  <c r="AC29"/>
  <c r="AC27"/>
  <c r="AC25"/>
  <c r="AC23"/>
  <c r="AC21"/>
  <c r="AC19"/>
  <c r="AC17"/>
  <c r="AC15"/>
  <c r="AC13"/>
  <c r="AC11"/>
  <c r="AC9"/>
  <c r="AC7"/>
  <c r="E58"/>
  <c r="AA49" i="40"/>
  <c r="I59" i="47"/>
  <c r="E59"/>
  <c r="X59"/>
  <c r="I58" i="45"/>
  <c r="X58"/>
  <c r="AE11" i="43" a="1"/>
  <c r="AE11" s="1"/>
  <c r="AE32" a="1"/>
  <c r="AE32" s="1"/>
  <c r="J39" a="1"/>
  <c r="J39" s="1"/>
  <c r="AE39" a="1"/>
  <c r="AE39" s="1"/>
  <c r="AE38" a="1"/>
  <c r="AE38" s="1"/>
  <c r="AE12" a="1"/>
  <c r="AE12" s="1"/>
  <c r="AE30" a="1"/>
  <c r="AE30" s="1"/>
  <c r="AE13" a="1"/>
  <c r="AE13" s="1"/>
  <c r="J10" a="1"/>
  <c r="J10" s="1"/>
  <c r="AE18" a="1"/>
  <c r="AE18" s="1"/>
  <c r="AE17" a="1"/>
  <c r="AE17" s="1"/>
  <c r="AE24" a="1"/>
  <c r="AE24" s="1"/>
  <c r="AE34" a="1"/>
  <c r="AE34" s="1"/>
  <c r="AE21" a="1"/>
  <c r="AE21" s="1"/>
  <c r="J25" a="1"/>
  <c r="J25" s="1"/>
  <c r="AE14" a="1"/>
  <c r="AE14" s="1"/>
  <c r="AE29" a="1"/>
  <c r="AE29" s="1"/>
  <c r="AE26" a="1"/>
  <c r="AE26" s="1"/>
  <c r="AE33" a="1"/>
  <c r="AE33" s="1"/>
  <c r="AE19" a="1"/>
  <c r="AE19" s="1"/>
  <c r="AE27" a="1"/>
  <c r="AE27" s="1"/>
  <c r="AE25" a="1"/>
  <c r="AE25" s="1"/>
  <c r="AE16" a="1"/>
  <c r="AE16" s="1"/>
  <c r="AE40" a="1"/>
  <c r="AE40" s="1"/>
  <c r="AE15" a="1"/>
  <c r="AE15" s="1"/>
  <c r="AE20" a="1"/>
  <c r="AE20" s="1"/>
  <c r="J40" a="1"/>
  <c r="J40" s="1"/>
  <c r="AE23" a="1"/>
  <c r="AE23" s="1"/>
  <c r="AE31" a="1"/>
  <c r="AE31" s="1"/>
  <c r="AE35" a="1"/>
  <c r="AE35" s="1"/>
  <c r="J27" a="1"/>
  <c r="J27" s="1"/>
  <c r="J22" a="1"/>
  <c r="J22" s="1"/>
  <c r="J15" a="1"/>
  <c r="J15" s="1"/>
  <c r="J12" a="1"/>
  <c r="J12" s="1"/>
  <c r="J34" a="1"/>
  <c r="J34" s="1"/>
  <c r="J29" a="1"/>
  <c r="J29" s="1"/>
  <c r="J24" a="1"/>
  <c r="J24" s="1"/>
  <c r="J17" a="1"/>
  <c r="J17" s="1"/>
  <c r="J14" a="1"/>
  <c r="J14" s="1"/>
  <c r="J36" a="1"/>
  <c r="J36" s="1"/>
  <c r="J31" a="1"/>
  <c r="J31" s="1"/>
  <c r="J26" a="1"/>
  <c r="J26" s="1"/>
  <c r="J19" a="1"/>
  <c r="J19" s="1"/>
  <c r="J16" a="1"/>
  <c r="J16" s="1"/>
  <c r="J38" a="1"/>
  <c r="J38" s="1"/>
  <c r="AE37" a="1"/>
  <c r="AE37" s="1"/>
  <c r="J33" a="1"/>
  <c r="J33" s="1"/>
  <c r="J28" a="1"/>
  <c r="J28" s="1"/>
  <c r="J21" a="1"/>
  <c r="J21" s="1"/>
  <c r="J18" a="1"/>
  <c r="J18" s="1"/>
  <c r="J11" a="1"/>
  <c r="J11" s="1"/>
  <c r="J35" a="1"/>
  <c r="J35" s="1"/>
  <c r="J30" a="1"/>
  <c r="J30" s="1"/>
  <c r="J23" a="1"/>
  <c r="J23" s="1"/>
  <c r="J20" a="1"/>
  <c r="J20" s="1"/>
  <c r="J13" a="1"/>
  <c r="J13" s="1"/>
  <c r="J37" a="1"/>
  <c r="J37" s="1"/>
  <c r="J32" a="1"/>
  <c r="J32" s="1"/>
  <c r="AE36" a="1"/>
  <c r="AE36" s="1"/>
  <c r="AE28" a="1"/>
  <c r="AE28" s="1"/>
  <c r="AE22" a="1"/>
  <c r="AE22" s="1"/>
  <c r="AK42"/>
  <c r="G42"/>
  <c r="M42"/>
  <c r="E7" i="42" a="1"/>
  <c r="E7" s="1"/>
  <c r="AD43" i="45"/>
  <c r="AD35"/>
  <c r="AD37"/>
  <c r="AD38"/>
  <c r="AD24"/>
  <c r="AD12"/>
  <c r="AD47"/>
  <c r="AD11"/>
  <c r="AD39"/>
  <c r="AD34"/>
  <c r="AD18"/>
  <c r="AD45"/>
  <c r="AD33"/>
  <c r="AD9"/>
  <c r="AD15"/>
  <c r="AD28"/>
  <c r="AD51"/>
  <c r="AD20"/>
  <c r="AD31"/>
  <c r="AD26"/>
  <c r="AD13"/>
  <c r="AD44"/>
  <c r="AD52"/>
  <c r="AD46"/>
  <c r="AD14"/>
  <c r="AD23"/>
  <c r="AD8"/>
  <c r="AD55"/>
  <c r="AD53"/>
  <c r="AD41"/>
  <c r="AD21"/>
  <c r="AD48"/>
  <c r="AD27"/>
  <c r="AD42"/>
  <c r="AD40"/>
  <c r="AD25"/>
  <c r="AD29"/>
  <c r="AD30"/>
  <c r="AD50"/>
  <c r="AD49"/>
  <c r="AD7"/>
  <c r="AD54"/>
  <c r="AD32"/>
  <c r="AD10"/>
  <c r="AD19"/>
  <c r="AD16"/>
  <c r="AD56"/>
  <c r="AD36"/>
  <c r="AD22"/>
  <c r="AD17"/>
  <c r="AB10" l="1"/>
  <c r="O7" i="42"/>
  <c r="E8" a="1"/>
  <c r="E8" s="1"/>
  <c r="O8" s="1"/>
  <c r="AB11" i="45" l="1"/>
  <c r="AB12" s="1"/>
  <c r="E9" i="42" a="1"/>
  <c r="E9" s="1"/>
  <c r="O9" s="1"/>
  <c r="AB13" i="45" l="1"/>
  <c r="E10" i="42" a="1"/>
  <c r="E10" s="1"/>
  <c r="O10" s="1"/>
  <c r="AB14" i="45" l="1"/>
  <c r="AB15" s="1"/>
  <c r="E11" i="42" a="1"/>
  <c r="E11" s="1"/>
  <c r="O11" s="1"/>
  <c r="AB16" i="45" l="1"/>
  <c r="AB17" s="1"/>
  <c r="AB18" s="1"/>
  <c r="AB19" s="1"/>
  <c r="AB20" s="1"/>
  <c r="AB21" s="1"/>
  <c r="AB22" s="1"/>
  <c r="AB23" s="1"/>
  <c r="AB24" s="1"/>
  <c r="AB25" s="1"/>
  <c r="AB26" s="1"/>
  <c r="AB27" s="1"/>
  <c r="AB28" s="1"/>
  <c r="AB29" s="1"/>
  <c r="AB30" s="1"/>
  <c r="AB31" s="1"/>
  <c r="AB32" s="1"/>
  <c r="AB33" s="1"/>
  <c r="AB34" s="1"/>
  <c r="AB35" s="1"/>
  <c r="AB36" s="1"/>
  <c r="AB37" s="1"/>
  <c r="AB38" s="1"/>
  <c r="AB39" s="1"/>
  <c r="AB40" s="1"/>
  <c r="AB41" s="1"/>
  <c r="AB42" s="1"/>
  <c r="AB43" s="1"/>
  <c r="AB44" s="1"/>
  <c r="AB45" s="1"/>
  <c r="AB46" s="1"/>
  <c r="AB47" s="1"/>
  <c r="AB48" s="1"/>
  <c r="AB49" s="1"/>
  <c r="AB50" s="1"/>
  <c r="AB51" s="1"/>
  <c r="AB52" s="1"/>
  <c r="AB53" s="1"/>
  <c r="AB54" s="1"/>
  <c r="AB55" s="1"/>
  <c r="AB56" s="1"/>
  <c r="E12" i="42" a="1"/>
  <c r="E12" s="1"/>
  <c r="O12" s="1"/>
  <c r="E13" l="1" a="1"/>
  <c r="E13" s="1"/>
  <c r="E14" s="1" a="1"/>
  <c r="E14" s="1"/>
  <c r="O13" l="1"/>
  <c r="E15" a="1"/>
  <c r="E15" s="1"/>
  <c r="E16" s="1" a="1"/>
  <c r="E16" s="1"/>
  <c r="O14"/>
  <c r="O15" l="1"/>
  <c r="O16"/>
  <c r="E17" a="1"/>
  <c r="E17" s="1"/>
  <c r="O17" l="1"/>
  <c r="E18" a="1"/>
  <c r="E18" s="1"/>
  <c r="O18" l="1"/>
  <c r="E19" a="1"/>
  <c r="E19" s="1"/>
  <c r="O19" l="1"/>
  <c r="E20" a="1"/>
  <c r="E20" s="1"/>
  <c r="O20" l="1"/>
  <c r="E21" a="1"/>
  <c r="E21" s="1"/>
  <c r="O21" l="1"/>
  <c r="E22" a="1"/>
  <c r="E22" s="1"/>
  <c r="O22" l="1"/>
  <c r="E23" a="1"/>
  <c r="E23" s="1"/>
  <c r="O23" l="1"/>
  <c r="E24" a="1"/>
  <c r="E24" s="1"/>
  <c r="M3" i="1" l="1"/>
  <c r="O24" i="42"/>
  <c r="E25" a="1"/>
  <c r="E25" s="1"/>
  <c r="AT24" i="1" l="1"/>
  <c r="D21"/>
  <c r="CF20" a="1"/>
  <c r="CF20" s="1"/>
  <c r="CE19" a="1"/>
  <c r="CE19" s="1"/>
  <c r="CG20" a="1"/>
  <c r="CG20" s="1"/>
  <c r="CF16" a="1"/>
  <c r="CF16" s="1"/>
  <c r="CF19" a="1"/>
  <c r="CF19" s="1"/>
  <c r="CG17" a="1"/>
  <c r="CG17" s="1"/>
  <c r="CF18" a="1"/>
  <c r="CF18" s="1"/>
  <c r="CF17" a="1"/>
  <c r="CF17" s="1"/>
  <c r="CE17" a="1"/>
  <c r="CE17" s="1"/>
  <c r="CG16" a="1"/>
  <c r="CG16" s="1"/>
  <c r="CE18" a="1"/>
  <c r="CE18" s="1"/>
  <c r="CE20" a="1"/>
  <c r="CE20" s="1"/>
  <c r="CE16" a="1"/>
  <c r="CE16" s="1"/>
  <c r="AX28"/>
  <c r="CG18" a="1"/>
  <c r="CG18" s="1"/>
  <c r="G9" a="1"/>
  <c r="G9" s="1"/>
  <c r="CG19" a="1"/>
  <c r="CG19" s="1"/>
  <c r="O25" i="42"/>
  <c r="E26" a="1"/>
  <c r="E26" s="1"/>
  <c r="D18" i="1" l="1"/>
  <c r="D19" s="1"/>
  <c r="AV19" s="1"/>
  <c r="BD18"/>
  <c r="AV18"/>
  <c r="AF18"/>
  <c r="O26" i="42"/>
  <c r="E27" a="1"/>
  <c r="E27" s="1"/>
  <c r="AO18" i="1" l="1"/>
  <c r="BD19"/>
  <c r="R16" s="1"/>
  <c r="AF19"/>
  <c r="AM19" s="1"/>
  <c r="AT20"/>
  <c r="O27" i="42"/>
  <c r="E28" a="1"/>
  <c r="E28" s="1"/>
  <c r="AO19" i="1" l="1"/>
  <c r="H26"/>
  <c r="C2" i="2" s="1"/>
  <c r="F11" s="1"/>
  <c r="BY12" i="1"/>
  <c r="O28" i="42"/>
  <c r="E29" a="1"/>
  <c r="E29" s="1"/>
  <c r="E11" i="2" l="1"/>
  <c r="E13" s="1"/>
  <c r="D11"/>
  <c r="D13" s="1"/>
  <c r="C11"/>
  <c r="C13" s="1"/>
  <c r="F14"/>
  <c r="F13"/>
  <c r="F12"/>
  <c r="O29" i="42"/>
  <c r="E30" a="1"/>
  <c r="E30" s="1"/>
  <c r="E14" i="2" l="1"/>
  <c r="E12"/>
  <c r="C14"/>
  <c r="D14"/>
  <c r="D12"/>
  <c r="C12"/>
  <c r="F15"/>
  <c r="F16" s="1"/>
  <c r="O30" i="42"/>
  <c r="E31" a="1"/>
  <c r="E31" s="1"/>
  <c r="E15" i="2" l="1"/>
  <c r="E16" s="1"/>
  <c r="C15"/>
  <c r="C16" s="1"/>
  <c r="D15"/>
  <c r="D16" s="1"/>
  <c r="O31" i="42"/>
  <c r="E32" a="1"/>
  <c r="E32" s="1"/>
  <c r="C3" i="2" l="1"/>
  <c r="R13" i="1" s="1"/>
  <c r="O32" i="42"/>
  <c r="E33" a="1"/>
  <c r="E33" s="1"/>
  <c r="O33" l="1"/>
  <c r="E34" a="1"/>
  <c r="E34" s="1"/>
  <c r="O34" l="1"/>
  <c r="E35" a="1"/>
  <c r="E35" s="1"/>
  <c r="O35" l="1"/>
  <c r="E36" a="1"/>
  <c r="E36" s="1"/>
  <c r="O36" l="1"/>
  <c r="E37" a="1"/>
  <c r="E37" s="1"/>
  <c r="O37" l="1"/>
  <c r="E38" a="1"/>
  <c r="E38" s="1"/>
  <c r="O38" l="1"/>
  <c r="E39" a="1"/>
  <c r="E39" s="1"/>
  <c r="O39" l="1"/>
  <c r="E40" a="1"/>
  <c r="E40" s="1"/>
  <c r="O40" l="1"/>
  <c r="E41" a="1"/>
  <c r="E41" s="1"/>
  <c r="O41" l="1"/>
  <c r="E42" a="1"/>
  <c r="E42" s="1"/>
  <c r="O42" l="1"/>
  <c r="E43" a="1"/>
  <c r="E43" s="1"/>
  <c r="O43" l="1"/>
  <c r="E44" a="1"/>
  <c r="E44" s="1"/>
  <c r="O44" l="1"/>
  <c r="E45" a="1"/>
  <c r="E45" s="1"/>
  <c r="O45" l="1"/>
  <c r="E46" a="1"/>
  <c r="E46" s="1"/>
  <c r="O46" l="1"/>
  <c r="E47" a="1"/>
  <c r="E47" s="1"/>
  <c r="O47" l="1"/>
  <c r="E48" a="1"/>
  <c r="E48" s="1"/>
  <c r="O48" l="1"/>
  <c r="E49" a="1"/>
  <c r="E49" s="1"/>
  <c r="O49" l="1"/>
  <c r="E50" a="1"/>
  <c r="E50" s="1"/>
  <c r="O50" l="1"/>
  <c r="E51" a="1"/>
  <c r="E51" s="1"/>
  <c r="O51" l="1"/>
  <c r="E52" a="1"/>
  <c r="E52" s="1"/>
  <c r="O52" l="1"/>
  <c r="E53" a="1"/>
  <c r="E53" s="1"/>
  <c r="O53" l="1"/>
  <c r="E54" a="1"/>
  <c r="E54" s="1"/>
  <c r="O54" s="1"/>
  <c r="BX2" i="1" l="1"/>
  <c r="Q1" i="51" s="1"/>
  <c r="CD2" i="1"/>
  <c r="G43" i="50" l="1"/>
  <c r="F43" s="1"/>
  <c r="C10" i="43" l="1"/>
  <c r="C11" s="1"/>
  <c r="C12" s="1"/>
  <c r="C13" s="1"/>
  <c r="C14" s="1"/>
  <c r="C15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1" s="1"/>
  <c r="C32" s="1"/>
  <c r="C33" s="1"/>
  <c r="C34" s="1"/>
  <c r="C35" s="1"/>
  <c r="C36" s="1"/>
  <c r="C38" s="1"/>
  <c r="C39" s="1"/>
  <c r="C40" s="1"/>
  <c r="AD10" s="1"/>
  <c r="AD11" s="1"/>
  <c r="AD12" s="1"/>
  <c r="AD13" s="1"/>
  <c r="AD17" s="1"/>
  <c r="AD18" s="1"/>
  <c r="AD19" s="1"/>
  <c r="AD22" s="1"/>
  <c r="AD23" s="1"/>
  <c r="AD25" s="1"/>
  <c r="AD27" s="1"/>
  <c r="AD30" s="1"/>
  <c r="AD34" s="1"/>
  <c r="AD35" s="1"/>
  <c r="AD36" s="1"/>
  <c r="AD37" s="1"/>
  <c r="AD38" s="1"/>
  <c r="AD14" l="1"/>
  <c r="AD15" s="1"/>
  <c r="AD16" s="1"/>
  <c r="AD20" s="1"/>
  <c r="AD21" s="1"/>
  <c r="AD24" s="1"/>
  <c r="AD26" s="1"/>
  <c r="AD28" s="1"/>
  <c r="AD29" s="1"/>
  <c r="AD31" s="1"/>
  <c r="AD32" s="1"/>
  <c r="AD33" s="1"/>
  <c r="AD39" s="1"/>
  <c r="AD40" s="1"/>
</calcChain>
</file>

<file path=xl/comments1.xml><?xml version="1.0" encoding="utf-8"?>
<comments xmlns="http://schemas.openxmlformats.org/spreadsheetml/2006/main">
  <authors>
    <author>rudi</author>
  </authors>
  <commentList>
    <comment ref="AO18" authorId="0">
      <text>
        <r>
          <rPr>
            <b/>
            <sz val="18"/>
            <color indexed="81"/>
            <rFont val="Tahoma"/>
            <family val="2"/>
          </rPr>
          <t>rudi:</t>
        </r>
        <r>
          <rPr>
            <sz val="18"/>
            <color indexed="81"/>
            <rFont val="Tahoma"/>
            <family val="2"/>
          </rPr>
          <t xml:space="preserve">
set harga secara manual jika tidak sama dengan usulan.</t>
        </r>
      </text>
    </comment>
    <comment ref="AO19" authorId="0">
      <text>
        <r>
          <rPr>
            <b/>
            <sz val="18"/>
            <color indexed="81"/>
            <rFont val="Tahoma"/>
            <family val="2"/>
          </rPr>
          <t>rudi:</t>
        </r>
        <r>
          <rPr>
            <sz val="18"/>
            <color indexed="81"/>
            <rFont val="Tahoma"/>
            <family val="2"/>
          </rPr>
          <t xml:space="preserve">
set harga secara manual jika tidak sama dengan usulan.</t>
        </r>
      </text>
    </comment>
    <comment ref="BY24" authorId="0">
      <text>
        <r>
          <rPr>
            <b/>
            <sz val="24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jika tanggal pembuatan kwitansi lebih dari satu hari dari terima bahan baku maka atur nilai sesuai tanggal pelaporan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GA5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UD IKAT KE ISK</t>
        </r>
      </text>
    </comment>
    <comment ref="FV10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rijek ampas kering
</t>
        </r>
      </text>
    </comment>
    <comment ref="FV14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RIJEK AMPAS KERING
</t>
        </r>
      </text>
    </comment>
  </commentList>
</comments>
</file>

<file path=xl/comments3.xml><?xml version="1.0" encoding="utf-8"?>
<comments xmlns="http://schemas.openxmlformats.org/spreadsheetml/2006/main">
  <authors>
    <author>rudi</author>
  </authors>
  <commentList>
    <comment ref="K4" authorId="0">
      <text>
        <r>
          <rPr>
            <b/>
            <sz val="9"/>
            <color indexed="81"/>
            <rFont val="Tahoma"/>
            <family val="2"/>
          </rPr>
          <t>rudi:</t>
        </r>
        <r>
          <rPr>
            <sz val="9"/>
            <color indexed="81"/>
            <rFont val="Tahoma"/>
            <family val="2"/>
          </rPr>
          <t xml:space="preserve">
081378586666</t>
        </r>
      </text>
    </comment>
    <comment ref="K49" authorId="0">
      <text>
        <r>
          <rPr>
            <b/>
            <sz val="9"/>
            <color indexed="81"/>
            <rFont val="Tahoma"/>
            <family val="2"/>
          </rPr>
          <t>rudi:</t>
        </r>
        <r>
          <rPr>
            <sz val="9"/>
            <color indexed="81"/>
            <rFont val="Tahoma"/>
            <family val="2"/>
          </rPr>
          <t xml:space="preserve">
'082384368509</t>
        </r>
      </text>
    </comment>
  </commentList>
</comments>
</file>

<file path=xl/sharedStrings.xml><?xml version="1.0" encoding="utf-8"?>
<sst xmlns="http://schemas.openxmlformats.org/spreadsheetml/2006/main" count="5482" uniqueCount="943">
  <si>
    <t>NO.</t>
  </si>
  <si>
    <t>KWITANSI</t>
  </si>
  <si>
    <t>Telah terima dari</t>
  </si>
  <si>
    <t>:</t>
  </si>
  <si>
    <t>Uang sejumlah</t>
  </si>
  <si>
    <t>Untuk Pembayaran</t>
  </si>
  <si>
    <t>Rp</t>
  </si>
  <si>
    <t>(</t>
  </si>
  <si>
    <t>)</t>
  </si>
  <si>
    <t>Nilai</t>
  </si>
  <si>
    <t>Terbilang</t>
  </si>
  <si>
    <t xml:space="preserve"> </t>
  </si>
  <si>
    <t>Milyar</t>
  </si>
  <si>
    <t>Jutaan</t>
  </si>
  <si>
    <t>Ratusan Ribu
s.d. Ribuan</t>
  </si>
  <si>
    <t>Ratusan 
s.d. Satuan</t>
  </si>
  <si>
    <t>Posisi</t>
  </si>
  <si>
    <t>Digit</t>
  </si>
  <si>
    <t>NILAI</t>
  </si>
  <si>
    <t>Ratusan</t>
  </si>
  <si>
    <t>Puluhan</t>
  </si>
  <si>
    <t>Belasan &amp; Satuan</t>
  </si>
  <si>
    <t>Tahap 1</t>
  </si>
  <si>
    <t>Tahap 2</t>
  </si>
  <si>
    <t xml:space="preserve">Angka        </t>
  </si>
  <si>
    <t>satu</t>
  </si>
  <si>
    <t>dua</t>
  </si>
  <si>
    <t>tiga</t>
  </si>
  <si>
    <t>empat</t>
  </si>
  <si>
    <t>lima</t>
  </si>
  <si>
    <t>enam</t>
  </si>
  <si>
    <t>tujuh</t>
  </si>
  <si>
    <t>delapan</t>
  </si>
  <si>
    <t>sembilan</t>
  </si>
  <si>
    <t>sepuluh</t>
  </si>
  <si>
    <t>sebelas</t>
  </si>
  <si>
    <t>dua belas</t>
  </si>
  <si>
    <t>tiga belas</t>
  </si>
  <si>
    <t>empat belas</t>
  </si>
  <si>
    <t>lima belas</t>
  </si>
  <si>
    <t>enam belas</t>
  </si>
  <si>
    <t>tujuh belas</t>
  </si>
  <si>
    <t>delapan belas</t>
  </si>
  <si>
    <t>sembilan belas</t>
  </si>
  <si>
    <t>Quantity</t>
  </si>
  <si>
    <t>Doc Number</t>
  </si>
  <si>
    <t>Kg</t>
  </si>
  <si>
    <t>Nominal</t>
  </si>
  <si>
    <t>Harga</t>
  </si>
  <si>
    <t>Kelapa Bulat Type B</t>
  </si>
  <si>
    <t>Jumlah</t>
  </si>
  <si>
    <t>ADEN</t>
  </si>
  <si>
    <t>PT. COCOMAS  INDONESIA</t>
  </si>
  <si>
    <t>Kelapa Bulat Type A</t>
  </si>
  <si>
    <t>NODOC</t>
  </si>
  <si>
    <t>SUPPLIER</t>
  </si>
  <si>
    <t>AREA</t>
  </si>
  <si>
    <t>TN</t>
  </si>
  <si>
    <t>BRUTO</t>
  </si>
  <si>
    <t>TARRA</t>
  </si>
  <si>
    <t>NETTO</t>
  </si>
  <si>
    <t>POTKARUNG</t>
  </si>
  <si>
    <t>TPOT1</t>
  </si>
  <si>
    <t>POTAIR</t>
  </si>
  <si>
    <t>TPOT2</t>
  </si>
  <si>
    <t>NETTOA</t>
  </si>
  <si>
    <t>NETTOB</t>
  </si>
  <si>
    <t>HARGA</t>
  </si>
  <si>
    <t>TOTAL</t>
  </si>
  <si>
    <t>KOM</t>
  </si>
  <si>
    <t>H+KP</t>
  </si>
  <si>
    <t>TBAYAR2</t>
  </si>
  <si>
    <t>POTPPH</t>
  </si>
  <si>
    <t>TPEMBAYARAN</t>
  </si>
  <si>
    <t>ENOK</t>
  </si>
  <si>
    <t>001</t>
  </si>
  <si>
    <t>DARMI</t>
  </si>
  <si>
    <t>SEI SEJUK</t>
  </si>
  <si>
    <t>H.HAMID</t>
  </si>
  <si>
    <t>INDRAYANI</t>
  </si>
  <si>
    <t>JOHAN</t>
  </si>
  <si>
    <t>BATAM</t>
  </si>
  <si>
    <t>M.FUADI R.</t>
  </si>
  <si>
    <t>TBH</t>
  </si>
  <si>
    <t>SAIRI</t>
  </si>
  <si>
    <t>R.MAKMUR</t>
  </si>
  <si>
    <t>RELASI</t>
  </si>
  <si>
    <t>POT</t>
  </si>
  <si>
    <t>TPOT</t>
  </si>
  <si>
    <t>NETTO2</t>
  </si>
  <si>
    <t>TBAYAR</t>
  </si>
  <si>
    <t>PEPJ</t>
  </si>
  <si>
    <t>ABU NAWAS</t>
  </si>
  <si>
    <t>SIMBAR</t>
  </si>
  <si>
    <t>SUKAMTO</t>
  </si>
  <si>
    <t>P.PALAS</t>
  </si>
  <si>
    <t>LAHANG</t>
  </si>
  <si>
    <t>SENDAWA</t>
  </si>
  <si>
    <t>NETTO1</t>
  </si>
  <si>
    <t>MC</t>
  </si>
  <si>
    <t>DC</t>
  </si>
  <si>
    <t>DC2</t>
  </si>
  <si>
    <t>NETTO3</t>
  </si>
  <si>
    <t>TBAYAR1</t>
  </si>
  <si>
    <t>TANGGAL</t>
  </si>
  <si>
    <t>BAHAN BAKU</t>
  </si>
  <si>
    <t>TGL</t>
  </si>
  <si>
    <t>BLN</t>
  </si>
  <si>
    <t>THN</t>
  </si>
  <si>
    <t>DOC</t>
  </si>
  <si>
    <t>D</t>
  </si>
  <si>
    <t>POTKRG</t>
  </si>
  <si>
    <t>NO</t>
  </si>
  <si>
    <t>NAMA</t>
  </si>
  <si>
    <t>ALAMAT</t>
  </si>
  <si>
    <t>NAMA REKENING</t>
  </si>
  <si>
    <t>NO REKENING</t>
  </si>
  <si>
    <t>BANK</t>
  </si>
  <si>
    <t>CABANG</t>
  </si>
  <si>
    <t>NAMA KWI</t>
  </si>
  <si>
    <t>NAMA FILE</t>
  </si>
  <si>
    <t>BRI</t>
  </si>
  <si>
    <t/>
  </si>
  <si>
    <t>081371061382</t>
  </si>
  <si>
    <t>085272480744</t>
  </si>
  <si>
    <t>7008-01-000122-53-2</t>
  </si>
  <si>
    <t>Simbar</t>
  </si>
  <si>
    <t xml:space="preserve">BRI </t>
  </si>
  <si>
    <t>Tembilahan</t>
  </si>
  <si>
    <t xml:space="preserve">ABDUL HAMID </t>
  </si>
  <si>
    <t>SIHOMBING</t>
  </si>
  <si>
    <t>Mumpa</t>
  </si>
  <si>
    <t>Unit Berjaya</t>
  </si>
  <si>
    <t>EDBERT</t>
  </si>
  <si>
    <t>0175-01-052110-50-5</t>
  </si>
  <si>
    <t>ABU N</t>
  </si>
  <si>
    <t>Enok</t>
  </si>
  <si>
    <t>YANADI</t>
  </si>
  <si>
    <t>7008-01-000785-53-4</t>
  </si>
  <si>
    <t>AHMAD TARMIZI</t>
  </si>
  <si>
    <t>AHUAT</t>
  </si>
  <si>
    <t>Belaras</t>
  </si>
  <si>
    <t>MONG HUAT / WILL YANTO</t>
  </si>
  <si>
    <t>0175-01-002085-53-0</t>
  </si>
  <si>
    <t>085272015588</t>
  </si>
  <si>
    <t>AHWA</t>
  </si>
  <si>
    <t>Sei Piring</t>
  </si>
  <si>
    <t>RUSDIANTO HS</t>
  </si>
  <si>
    <t>0175-01-019010-50-0</t>
  </si>
  <si>
    <t>08127568868</t>
  </si>
  <si>
    <t>AMIRUDDIN</t>
  </si>
  <si>
    <t>P. Enok</t>
  </si>
  <si>
    <t>5629-01-010132-53-9</t>
  </si>
  <si>
    <t>Kuala Enok</t>
  </si>
  <si>
    <t>Sei. Sejuk</t>
  </si>
  <si>
    <t>ERAWATI</t>
  </si>
  <si>
    <t>7008-01-000006-53-2</t>
  </si>
  <si>
    <t>081266668066</t>
  </si>
  <si>
    <t>DINI CHAIRANI</t>
  </si>
  <si>
    <t>0175-01-034381-50-4</t>
  </si>
  <si>
    <t>DINI C</t>
  </si>
  <si>
    <t>085375286579</t>
  </si>
  <si>
    <t>H.ARSAD</t>
  </si>
  <si>
    <t>Tokolan</t>
  </si>
  <si>
    <t>M. ARSYAD</t>
  </si>
  <si>
    <t>0175-01-005055-50-0</t>
  </si>
  <si>
    <t>ARSYAD</t>
  </si>
  <si>
    <t>Kilo 8</t>
  </si>
  <si>
    <t>7008-01-000051-53-7</t>
  </si>
  <si>
    <t>HAMID</t>
  </si>
  <si>
    <t>H.HARIS</t>
  </si>
  <si>
    <t>T. Pinang</t>
  </si>
  <si>
    <t>HARIS</t>
  </si>
  <si>
    <t>0175-01-021173-50-6</t>
  </si>
  <si>
    <t>085376122142</t>
  </si>
  <si>
    <t>H.SALINDRI</t>
  </si>
  <si>
    <t>SALINDRIK</t>
  </si>
  <si>
    <t>5574-01-012103-53-3</t>
  </si>
  <si>
    <t>SALINDRI</t>
  </si>
  <si>
    <t>HAMLAN</t>
  </si>
  <si>
    <t>5578-01-011803-53-4</t>
  </si>
  <si>
    <t>HENDRY JOHANES</t>
  </si>
  <si>
    <t>5572-01-009862-53-0</t>
  </si>
  <si>
    <t>HENDRY J</t>
  </si>
  <si>
    <t>7008-01-014476-53-3</t>
  </si>
  <si>
    <t>ISANG</t>
  </si>
  <si>
    <t>Guntung</t>
  </si>
  <si>
    <t xml:space="preserve">WAIISANG </t>
  </si>
  <si>
    <t>7421-01-001264-53-1</t>
  </si>
  <si>
    <t>08127686202</t>
  </si>
  <si>
    <t>M.ALI-KTM</t>
  </si>
  <si>
    <t>Kateman</t>
  </si>
  <si>
    <t>M ALI</t>
  </si>
  <si>
    <t>2214-01-000207-56-8</t>
  </si>
  <si>
    <t>M ALI-KTM</t>
  </si>
  <si>
    <t>M.AMIN</t>
  </si>
  <si>
    <t>Lahang</t>
  </si>
  <si>
    <t>M AMIN</t>
  </si>
  <si>
    <t>085264268021</t>
  </si>
  <si>
    <t>M.ASNAWI</t>
  </si>
  <si>
    <t>M. ASNAWI</t>
  </si>
  <si>
    <t>7008-01-010180-53-8</t>
  </si>
  <si>
    <t>M ASNAWI</t>
  </si>
  <si>
    <t>0175-01-000297-56-3</t>
  </si>
  <si>
    <t>M.FUADI</t>
  </si>
  <si>
    <t>M FUADI R</t>
  </si>
  <si>
    <t>M.RIDWAN ARSYAD</t>
  </si>
  <si>
    <t>0175-01-042163-50-0</t>
  </si>
  <si>
    <t>M.RIDWAN A</t>
  </si>
  <si>
    <t>M RIDWAN ARSYAD</t>
  </si>
  <si>
    <t>MARTONO</t>
  </si>
  <si>
    <t>0175-01-035727-50-9</t>
  </si>
  <si>
    <t>085365909788</t>
  </si>
  <si>
    <t>MASRI</t>
  </si>
  <si>
    <t>Pelanduk</t>
  </si>
  <si>
    <t>0175-01-014723-50-6</t>
  </si>
  <si>
    <t>MINSAR</t>
  </si>
  <si>
    <t>0175-01-025397-50-0</t>
  </si>
  <si>
    <t>MUHAMMAD ARAB</t>
  </si>
  <si>
    <t>L. Hulu</t>
  </si>
  <si>
    <t>0175-01-013384-50-3</t>
  </si>
  <si>
    <t>BR</t>
  </si>
  <si>
    <t>M.ARAB</t>
  </si>
  <si>
    <t>RITA ERNITA</t>
  </si>
  <si>
    <t>0175-01-000204-56-0</t>
  </si>
  <si>
    <t>Sungai Salak</t>
  </si>
  <si>
    <t>0175-01-018192-50-3</t>
  </si>
  <si>
    <t>081371331059</t>
  </si>
  <si>
    <t>WARTINI</t>
  </si>
  <si>
    <t>Sendawa</t>
  </si>
  <si>
    <t>0174-01-000341-56-2</t>
  </si>
  <si>
    <t>ZAINAL ABIDIN</t>
  </si>
  <si>
    <t>Sei. Salak</t>
  </si>
  <si>
    <t>0175-01-049451-50-6</t>
  </si>
  <si>
    <t>SITI FATIMAH</t>
  </si>
  <si>
    <t>SITI FATIMAH. AMD</t>
  </si>
  <si>
    <t>0175-01-011287-50-1</t>
  </si>
  <si>
    <t>IWAN</t>
  </si>
  <si>
    <t>Batang Tuaka</t>
  </si>
  <si>
    <t>7008-01-014979-53-1</t>
  </si>
  <si>
    <t>AMIR</t>
  </si>
  <si>
    <t>5572-01-000284-50-7</t>
  </si>
  <si>
    <t>Rukun Makmur</t>
  </si>
  <si>
    <t>7008-01-007104-53-5</t>
  </si>
  <si>
    <t>Batam</t>
  </si>
  <si>
    <t>2117-01-000378-56-7</t>
  </si>
  <si>
    <t>BUMDESA AMANAH NEGERI</t>
  </si>
  <si>
    <t>0175-01-001191-30-4</t>
  </si>
  <si>
    <t>BUMDESA</t>
  </si>
  <si>
    <t>NK</t>
  </si>
  <si>
    <t>TYPE</t>
  </si>
  <si>
    <t>KOPRA</t>
  </si>
  <si>
    <t>KPR</t>
  </si>
  <si>
    <t>KB</t>
  </si>
  <si>
    <t>KBS</t>
  </si>
  <si>
    <t>ARG</t>
  </si>
  <si>
    <t>CK</t>
  </si>
  <si>
    <t>D2</t>
  </si>
  <si>
    <t>DOCKB</t>
  </si>
  <si>
    <t>Kopra</t>
  </si>
  <si>
    <t>KELAPA BULAT</t>
  </si>
  <si>
    <t>KELAPA BERSABUT</t>
  </si>
  <si>
    <t>ARANG</t>
  </si>
  <si>
    <t>Arang</t>
  </si>
  <si>
    <t>KELAPA BULAT B</t>
  </si>
  <si>
    <t>Kelapa Bersabut</t>
  </si>
  <si>
    <t>DOCKBS</t>
  </si>
  <si>
    <t>DOCKPR</t>
  </si>
  <si>
    <t>DOCARG</t>
  </si>
  <si>
    <t>BYR</t>
  </si>
  <si>
    <t>N2</t>
  </si>
  <si>
    <t>Kuala Enok Unit Tembilahan</t>
  </si>
  <si>
    <t>Unit Pasar Jambi</t>
  </si>
  <si>
    <t>Unit Tembilahan</t>
  </si>
  <si>
    <t>Berjaya</t>
  </si>
  <si>
    <t>Kanca Tembilahan</t>
  </si>
  <si>
    <t xml:space="preserve">Guntung  </t>
  </si>
  <si>
    <t>Unit Teluk Pinang</t>
  </si>
  <si>
    <t>Tanjung Pinang</t>
  </si>
  <si>
    <t>KCP Batam Center</t>
  </si>
  <si>
    <t>PEMBAYARAN</t>
  </si>
  <si>
    <t>TAHUN</t>
  </si>
  <si>
    <t>BULAN</t>
  </si>
  <si>
    <t>BB</t>
  </si>
  <si>
    <t>C1</t>
  </si>
  <si>
    <t>C2</t>
  </si>
  <si>
    <t>C3</t>
  </si>
  <si>
    <t>-</t>
  </si>
  <si>
    <t>PT.SINAR KELAPA TEMBILAHAN</t>
  </si>
  <si>
    <t>2117-01-000360-30-2</t>
  </si>
  <si>
    <t>MURYADI</t>
  </si>
  <si>
    <t>Sp. Gaung</t>
  </si>
  <si>
    <t>5578-01-019581-53-4</t>
  </si>
  <si>
    <t>Unit Tembilahan Kota</t>
  </si>
  <si>
    <t>TANGGAL :</t>
  </si>
  <si>
    <t>NO. HP</t>
  </si>
  <si>
    <t>081268684848</t>
  </si>
  <si>
    <t>085385338888</t>
  </si>
  <si>
    <t>0811704406</t>
  </si>
  <si>
    <t>08127683994</t>
  </si>
  <si>
    <t>082386180566</t>
  </si>
  <si>
    <t>0811763594</t>
  </si>
  <si>
    <t>085274986729</t>
  </si>
  <si>
    <t>085265928339</t>
  </si>
  <si>
    <t>081365205085</t>
  </si>
  <si>
    <t>081224449904</t>
  </si>
  <si>
    <t>082170024102</t>
  </si>
  <si>
    <t>081371885566</t>
  </si>
  <si>
    <t>085278301438</t>
  </si>
  <si>
    <t>08117003899</t>
  </si>
  <si>
    <t>082387207421</t>
  </si>
  <si>
    <t>1982788788</t>
  </si>
  <si>
    <t>ABUNAWAS</t>
  </si>
  <si>
    <t>BNI</t>
  </si>
  <si>
    <t>082283865812</t>
  </si>
  <si>
    <t>MURYADI.H</t>
  </si>
  <si>
    <t>KB A + B</t>
  </si>
  <si>
    <t>KBA</t>
  </si>
  <si>
    <t>KBB</t>
  </si>
  <si>
    <t>0175-01-042517-50-5</t>
  </si>
  <si>
    <t>0175-01-000893-56-3</t>
  </si>
  <si>
    <t>HP</t>
  </si>
  <si>
    <t>untuk tanggal diset manual berdasarkan tanggal penerimaan bahan baku</t>
  </si>
  <si>
    <t>copy data dari rekap terima bahan baku lalu paste value pada sheet berdasarkan bahan baku (KPR,KB,KBS dan ARG)</t>
  </si>
  <si>
    <t>QR Code SMS Laporan :</t>
  </si>
  <si>
    <t>QR_SMS</t>
  </si>
  <si>
    <t>file</t>
  </si>
  <si>
    <t>folder</t>
  </si>
  <si>
    <t>qr.exe, dan</t>
  </si>
  <si>
    <t>MACRO KWITANSI 06062018.xlsm,</t>
  </si>
  <si>
    <t>klik AMBIL DATA</t>
  </si>
  <si>
    <t>M AMIN AB</t>
  </si>
  <si>
    <t>ada yang kurang tambahkan aja disini</t>
  </si>
  <si>
    <t>H.SYAMSUDDIN</t>
  </si>
  <si>
    <t>SYAMSUDDIN</t>
  </si>
  <si>
    <t>7008-01-016194-53-5</t>
  </si>
  <si>
    <t>REKAPAN LAPORAN PBL</t>
  </si>
  <si>
    <t xml:space="preserve">KELAPA BULAT TYPE A </t>
  </si>
  <si>
    <t xml:space="preserve">KELAPA BULAT TYPE B </t>
  </si>
  <si>
    <t>KULIT ARI</t>
  </si>
  <si>
    <t>TEMPURUNG</t>
  </si>
  <si>
    <t>CANGKANG</t>
  </si>
  <si>
    <t>SABUT</t>
  </si>
  <si>
    <t>KELAPA BULAT BERSABUT</t>
  </si>
  <si>
    <t>KULIT RUMBIA</t>
  </si>
  <si>
    <t>FIBER</t>
  </si>
  <si>
    <t>Hasil Tempurung PBL Non Supplier</t>
  </si>
  <si>
    <t>BATU BARA</t>
  </si>
  <si>
    <t>TUMBUNG KELAPA</t>
  </si>
  <si>
    <t>KELAPA KUPAS</t>
  </si>
  <si>
    <t>KB B KE MP2</t>
  </si>
  <si>
    <t xml:space="preserve"> RIJEK AMPAS BASAH</t>
  </si>
  <si>
    <t>TEMPURUNG PT.ISK UD IKAT</t>
  </si>
  <si>
    <t xml:space="preserve">TEMPURUNG MP2 KE BOILER </t>
  </si>
  <si>
    <t>KC KB B</t>
  </si>
  <si>
    <t>KC MP2 PMK</t>
  </si>
  <si>
    <t>KELAPA SORTIR SILO+PETAK KEMP2</t>
  </si>
  <si>
    <t>TEMPURUNG RMP KIRIM KE BOILER PT.ASI</t>
  </si>
  <si>
    <t>BUNGKIL</t>
  </si>
  <si>
    <t>CNO &amp; VCO</t>
  </si>
  <si>
    <t>C. CREAM,C.WATER,DC,CC DRINK</t>
  </si>
  <si>
    <t>KELAPA SORTIR MP2</t>
  </si>
  <si>
    <t>BERAT BRUTO (Kg)</t>
  </si>
  <si>
    <t>BERAT TARRA (Kg)</t>
  </si>
  <si>
    <t>BERAT NETTO 1 (Kg)</t>
  </si>
  <si>
    <t>POTONGAN</t>
  </si>
  <si>
    <t>BERAT NETTO 2  (Kg)</t>
  </si>
  <si>
    <t>HARGA Per Kg</t>
  </si>
  <si>
    <t>TOTAL HARGA KB (Rp)</t>
  </si>
  <si>
    <t>Kompensasi PPh Pasal 22 (Rp 0.5% dari harga)</t>
  </si>
  <si>
    <t>TOTAL HARGA+KOMPENSASI</t>
  </si>
  <si>
    <t>Pajak PPh Pasal 22 (0.50%)</t>
  </si>
  <si>
    <t>BERAT</t>
  </si>
  <si>
    <t>POT. KARUNG</t>
  </si>
  <si>
    <t>PAJAK PPh PASAL 22</t>
  </si>
  <si>
    <t>TOTAL HARGA  (Rp)</t>
  </si>
  <si>
    <t>PPN 10 %</t>
  </si>
  <si>
    <t>Harga (Include PPN 10%)</t>
  </si>
  <si>
    <t>POT.  KADAR AIR</t>
  </si>
  <si>
    <t>NETTO 2a   (N2 Kopra Stock)</t>
  </si>
  <si>
    <t>NETTO 2b (N2 Nota)</t>
  </si>
  <si>
    <t>BERAT NETTO 2  (NOTA)</t>
  </si>
  <si>
    <t>KADAR AIR (MC)</t>
  </si>
  <si>
    <t>POT. % DUST &amp; IMPURITIES</t>
  </si>
  <si>
    <t>TOTAL HARGA ARANG (Rp)</t>
  </si>
  <si>
    <t>TOTAL HARGA CANGKANG  (Rp)</t>
  </si>
  <si>
    <t>TAMBANG (Rp)</t>
  </si>
  <si>
    <t>KOMISI (Rp)</t>
  </si>
  <si>
    <t>TOTAL BAYAR (Rp)</t>
  </si>
  <si>
    <t>BERAT NETTO 2 (Kg)</t>
  </si>
  <si>
    <t>TOTAL HARGA TEMPURUNG (Rp)</t>
  </si>
  <si>
    <t>TOTAL HARGA SABUT (Rp)</t>
  </si>
  <si>
    <t>Pajak PPh Pasal 22 (0.25% / 0.50%)</t>
  </si>
  <si>
    <t>TAMBANG</t>
  </si>
  <si>
    <t>KOMISI</t>
  </si>
  <si>
    <t>KE CAD</t>
  </si>
  <si>
    <t>KE BOILER</t>
  </si>
  <si>
    <t>PAJAK Pph22</t>
  </si>
  <si>
    <t>KC PBL(UD IKAT) KE PMK</t>
  </si>
  <si>
    <t>KELAPA RIJECT</t>
  </si>
  <si>
    <t>KC MP 1</t>
  </si>
  <si>
    <t>RIJECT MEAT MP</t>
  </si>
  <si>
    <t>%</t>
  </si>
  <si>
    <t>BAYAR (Rp)</t>
  </si>
  <si>
    <t>PEMBAYARAN (Rp)</t>
  </si>
  <si>
    <t>BRUTO (Kg)</t>
  </si>
  <si>
    <t>TARRA (Kg)</t>
  </si>
  <si>
    <t>NETTO 1 (Kg)</t>
  </si>
  <si>
    <t>Lbr</t>
  </si>
  <si>
    <t>0.3 Kg/Lbr</t>
  </si>
  <si>
    <t>NETTO 2</t>
  </si>
  <si>
    <t>Per Kg</t>
  </si>
  <si>
    <t>HARGA KA (Rp)</t>
  </si>
  <si>
    <t>HARGA (Rp)</t>
  </si>
  <si>
    <t>% D&amp;I</t>
  </si>
  <si>
    <t>Kg D&amp;I</t>
  </si>
  <si>
    <t>PENYESUAIAN AKIBAT PENYUSUTAN</t>
  </si>
  <si>
    <t>HARGA(Rp)</t>
  </si>
  <si>
    <t>(Rp)</t>
  </si>
  <si>
    <t>POT 5%</t>
  </si>
  <si>
    <t xml:space="preserve">KELAPA BULAT </t>
  </si>
  <si>
    <t>VIA LAUT</t>
  </si>
  <si>
    <t>VIA DARAT</t>
  </si>
  <si>
    <t>VIA DARAT KB TYPE B</t>
  </si>
  <si>
    <t>VIA SUNGAI KB TYPE B</t>
  </si>
  <si>
    <t>POT. HARGA</t>
  </si>
  <si>
    <t xml:space="preserve"> KARUNG (Rp)</t>
  </si>
  <si>
    <t xml:space="preserve">RENCANA BELI </t>
  </si>
  <si>
    <t>SELISIH DARI AKTUAL</t>
  </si>
  <si>
    <t>4=(2-3)</t>
  </si>
  <si>
    <t>6=(5X0.3)+a</t>
  </si>
  <si>
    <t>8=((4-6) x 7%)</t>
  </si>
  <si>
    <t>9=(4-6-8)</t>
  </si>
  <si>
    <t>10=(4-6)</t>
  </si>
  <si>
    <t>12=(10X11)</t>
  </si>
  <si>
    <t>13=(bXRp.200)</t>
  </si>
  <si>
    <t>14=(12-13)</t>
  </si>
  <si>
    <t>16=(14-15)</t>
  </si>
  <si>
    <t>KELAPA  BULAT TYPE A</t>
  </si>
  <si>
    <t>PAJAK Pph PASAL 22</t>
  </si>
  <si>
    <t>HARGA KB (Rp)</t>
  </si>
  <si>
    <t>BAYAR</t>
  </si>
  <si>
    <t>4 =(2-3)</t>
  </si>
  <si>
    <t>6=(4 X 5)%</t>
  </si>
  <si>
    <t>7 = (4-6)</t>
  </si>
  <si>
    <t>9 =(7 X 8)</t>
  </si>
  <si>
    <t>10 = (7 X Rp…)</t>
  </si>
  <si>
    <t>12 = (9 + 10 + 11)</t>
  </si>
  <si>
    <t>14 = (12-13)</t>
  </si>
  <si>
    <t>KELAPA  BULAT TYPE B</t>
  </si>
  <si>
    <t>KELAPA  BERSABUT</t>
  </si>
  <si>
    <t>NETTO 2 (Kg)</t>
  </si>
  <si>
    <t>4 =( 3-2)</t>
  </si>
  <si>
    <t>6 =(4 x 5)</t>
  </si>
  <si>
    <t>9 =(7 X 8))</t>
  </si>
  <si>
    <t>081268060807</t>
  </si>
  <si>
    <t>REKAP TH :</t>
  </si>
  <si>
    <t>KETERANGAN</t>
  </si>
  <si>
    <t>TRANSPORT</t>
  </si>
  <si>
    <t>TOTAL PEMBAYARAN (Rp)</t>
  </si>
  <si>
    <t>TAHUN :</t>
  </si>
  <si>
    <t>BULAN :</t>
  </si>
  <si>
    <t>085272729666</t>
  </si>
  <si>
    <t>semua file harus dalam satu folder.</t>
  </si>
  <si>
    <t>KWITANSI DAN USULAN</t>
  </si>
  <si>
    <t xml:space="preserve">                                                                                                                                              </t>
  </si>
  <si>
    <t>KERTAS</t>
  </si>
  <si>
    <t>L</t>
  </si>
  <si>
    <t>P</t>
  </si>
  <si>
    <t>s</t>
  </si>
  <si>
    <t>081371651871;081268221381</t>
  </si>
  <si>
    <t>HENDRI</t>
  </si>
  <si>
    <t>HENDRI SE</t>
  </si>
  <si>
    <t>0175-01-001023-56-9</t>
  </si>
  <si>
    <t>0811755101</t>
  </si>
  <si>
    <t>TEMBILAHAN</t>
  </si>
  <si>
    <t>ROSDIANTO</t>
  </si>
  <si>
    <t xml:space="preserve">T A N G G A L : </t>
  </si>
  <si>
    <t>P. Palas</t>
  </si>
  <si>
    <t>RUSLAN JAYA, SH</t>
  </si>
  <si>
    <t>0175-01-000609-30-4</t>
  </si>
  <si>
    <t>RUSLAN JAYA</t>
  </si>
  <si>
    <t>Sumber data dari rekap bayar TERIMA BAHAN BAKU</t>
  </si>
  <si>
    <t>atur tanggal menggunakan spin button dan atur nama pembuat laporan</t>
  </si>
  <si>
    <t>JULYASNO</t>
  </si>
  <si>
    <t>Teluk Pinang</t>
  </si>
  <si>
    <t>0175-01-001179-53-0</t>
  </si>
  <si>
    <t>082385169999</t>
  </si>
  <si>
    <t>setelah data didapat klik BUAT QR CODE, otomatis QR Code akan dibuat didalam folder sesuai tanggal data yang tetentukan</t>
  </si>
  <si>
    <t>id_supp</t>
  </si>
  <si>
    <t>n1</t>
  </si>
  <si>
    <t>n2</t>
  </si>
  <si>
    <t>pembayaran</t>
  </si>
  <si>
    <t>bahan</t>
  </si>
  <si>
    <t>for me</t>
  </si>
  <si>
    <t>conversi data dari PC menjadi QR code</t>
  </si>
  <si>
    <t>scan di andoid</t>
  </si>
  <si>
    <t>hasilnya di proses menjadi</t>
  </si>
  <si>
    <t>rekap yang tersimpan didalam hp atau bisa di cloud</t>
  </si>
  <si>
    <t>data yang sudah tersimpan</t>
  </si>
  <si>
    <t>dan untuk sms</t>
  </si>
  <si>
    <t>bisa di expor ke excel/pdf/text</t>
  </si>
  <si>
    <t>085363887915</t>
  </si>
  <si>
    <t>Kepada Yth. Supplier PT. ISK a/n</t>
  </si>
  <si>
    <t>rata-rata</t>
  </si>
  <si>
    <t>081270643333</t>
  </si>
  <si>
    <t>ERAWATI/KM.PUTRI DUYUNG</t>
  </si>
  <si>
    <t>HENDRI/KM.HARAPAN JAYA</t>
  </si>
  <si>
    <t>MARTONO/KM.HASLINA</t>
  </si>
  <si>
    <t>MARTONO/KM.WASI</t>
  </si>
  <si>
    <t>MASRI/KM.BUTIRAN MAS 02</t>
  </si>
  <si>
    <t>PELANDUK</t>
  </si>
  <si>
    <t>PT.SINAR KELAPA TEMBILAHAN/KM.SETIA DAMAI</t>
  </si>
  <si>
    <t>RITA ERNITA/KM.BINTANG JAYA</t>
  </si>
  <si>
    <t>YANADI/KM.BASTIAN</t>
  </si>
  <si>
    <t>002</t>
  </si>
  <si>
    <t>DINI CHAIRANI/KM.ALIPA</t>
  </si>
  <si>
    <t>DINI CHAIRANI/KM.AQILA</t>
  </si>
  <si>
    <t>HENDRI/KM.NAFISA</t>
  </si>
  <si>
    <t>MARTONO/KM.SYIRA</t>
  </si>
  <si>
    <t>MASRI/KM.WIJAYA 2</t>
  </si>
  <si>
    <t>003</t>
  </si>
  <si>
    <t>MARTONO/KM.RISKY</t>
  </si>
  <si>
    <t>SUKAMTO/KM.RONI</t>
  </si>
  <si>
    <t>S.SALAK</t>
  </si>
  <si>
    <t>DINI CHAIRANI/KM.LISA</t>
  </si>
  <si>
    <t>004</t>
  </si>
  <si>
    <t>HENDRI/KM.ADI SURYA</t>
  </si>
  <si>
    <t>MARTONO/KM.HASLINA 1</t>
  </si>
  <si>
    <t>MARTONO/KM.USAHA BERSAMA</t>
  </si>
  <si>
    <t>MASRI/KM.ERMA JAYA</t>
  </si>
  <si>
    <t>YANADI/KM.SAHABAT</t>
  </si>
  <si>
    <t>005</t>
  </si>
  <si>
    <t>MASRI/KM.DUA SAUDARA</t>
  </si>
  <si>
    <t>ZAINAL ABIDIN/AAN/KM.SUMBER REZKI</t>
  </si>
  <si>
    <t>Doc No : PRO-RMP-001    Tgl / Revisi No : 01.03.2013 / 02         Tgl / Perubahan No : 15.04.2015 / 03</t>
  </si>
  <si>
    <t>Lampiran 2</t>
  </si>
  <si>
    <t>PT. INHIL SARIMAS KELAPA</t>
  </si>
  <si>
    <t>DOK</t>
  </si>
  <si>
    <t>JUDUL</t>
  </si>
  <si>
    <t>VENDOR EVALUATION CHCKLIST                                                   ( Daftar Pemeriksaan Penilaian Relasi )</t>
  </si>
  <si>
    <t>HLM</t>
  </si>
  <si>
    <t>:    1     dari      1</t>
  </si>
  <si>
    <t>NAMA SUPPLIER</t>
  </si>
  <si>
    <t>NO. TELEPON</t>
  </si>
  <si>
    <t>ORARI</t>
  </si>
  <si>
    <t>JENIS BAHAN BAKU</t>
  </si>
  <si>
    <t>NO.FAX</t>
  </si>
  <si>
    <t>PERSONEL YG DIHUBUNGI</t>
  </si>
  <si>
    <t>Item</t>
  </si>
  <si>
    <t>Checklist</t>
  </si>
  <si>
    <t>Ok / No</t>
  </si>
  <si>
    <t>Angka</t>
  </si>
  <si>
    <t xml:space="preserve">Keterangan </t>
  </si>
  <si>
    <t>Standar</t>
  </si>
  <si>
    <t>1.</t>
  </si>
  <si>
    <t>SPECIFICATION</t>
  </si>
  <si>
    <t>0 - 15</t>
  </si>
  <si>
    <t>Mutu pengiriman bahan baku</t>
  </si>
  <si>
    <t>0 - 20</t>
  </si>
  <si>
    <t>2.</t>
  </si>
  <si>
    <t>QUANTITY/CAPACITY</t>
  </si>
  <si>
    <t>Quantity/kapasitas supplier</t>
  </si>
  <si>
    <t>3.</t>
  </si>
  <si>
    <t>DELIVERY</t>
  </si>
  <si>
    <t>5 - 15</t>
  </si>
  <si>
    <t>Schedule dan kontinyunitas pengiriman</t>
  </si>
  <si>
    <t>4.</t>
  </si>
  <si>
    <t>FACILITY CONDITION</t>
  </si>
  <si>
    <t>7 - 15</t>
  </si>
  <si>
    <t>Fasilitas transportasi &amp; storage</t>
  </si>
  <si>
    <t>5.</t>
  </si>
  <si>
    <t>PAYMENT TERMS</t>
  </si>
  <si>
    <t>7 - 10</t>
  </si>
  <si>
    <t>Modal usaha</t>
  </si>
  <si>
    <t>6.</t>
  </si>
  <si>
    <t>INTERNAL QUALITY CONTROL</t>
  </si>
  <si>
    <t>Inspeksi/seleksi bahan baku</t>
  </si>
  <si>
    <t>7.</t>
  </si>
  <si>
    <t>ORGANIC PRODUCT</t>
  </si>
  <si>
    <t>Bahan baku organik</t>
  </si>
  <si>
    <t>8.</t>
  </si>
  <si>
    <t>QUALITY CULTURE</t>
  </si>
  <si>
    <t xml:space="preserve">Budaya kesetian terhadap perusahaan </t>
  </si>
  <si>
    <t>HASIL</t>
  </si>
  <si>
    <t xml:space="preserve">: </t>
  </si>
  <si>
    <t>DISETUJUI / TOLAK</t>
  </si>
  <si>
    <t>TOTAL NILAI :</t>
  </si>
  <si>
    <t xml:space="preserve">KETERANGAN </t>
  </si>
  <si>
    <t>B</t>
  </si>
  <si>
    <t>C</t>
  </si>
  <si>
    <t>K</t>
  </si>
  <si>
    <t>- Item 1-8 berlaku untuk relasi Kelapa Bulat</t>
  </si>
  <si>
    <t>- Item 7 tidak berlaku untuk relasi Arang dan Kelapa Cungkil</t>
  </si>
  <si>
    <t>- * : untuk penilaian Kelapa Cungkil dan Arang</t>
  </si>
  <si>
    <t>SUNGAI SEJUK</t>
  </si>
  <si>
    <t>PREPARED BY</t>
  </si>
  <si>
    <t>CONFIRMED BY</t>
  </si>
  <si>
    <t>APPROVED BY</t>
  </si>
  <si>
    <t>(Dibuat oleh)</t>
  </si>
  <si>
    <t>(Diketahui oleh)</t>
  </si>
  <si>
    <t>(Disetujui Oleh)</t>
  </si>
  <si>
    <t>(               )</t>
  </si>
  <si>
    <t>(                  )</t>
  </si>
  <si>
    <t>DEFINISI</t>
  </si>
  <si>
    <t>KRITERIA</t>
  </si>
  <si>
    <t>KODE</t>
  </si>
  <si>
    <t>= BAIK</t>
  </si>
  <si>
    <t>74 - 100</t>
  </si>
  <si>
    <t>BAIK</t>
  </si>
  <si>
    <t>DITERIMA</t>
  </si>
  <si>
    <t>= CUKUP</t>
  </si>
  <si>
    <t>50 - 74</t>
  </si>
  <si>
    <t>CUKUP</t>
  </si>
  <si>
    <t>= KURANG</t>
  </si>
  <si>
    <t>40 &lt; 50</t>
  </si>
  <si>
    <t>KURANG</t>
  </si>
  <si>
    <t>DITOLAK</t>
  </si>
  <si>
    <t>= KELAPA BULAT</t>
  </si>
  <si>
    <t>KC/ARANG</t>
  </si>
  <si>
    <t>76 - 100</t>
  </si>
  <si>
    <t>KC</t>
  </si>
  <si>
    <t>= KELAPA CUNGKIL</t>
  </si>
  <si>
    <t>50 &lt; 76</t>
  </si>
  <si>
    <t>Mulai berlaku : 15.04.2015</t>
  </si>
  <si>
    <t>FRM-PBL-002-02</t>
  </si>
  <si>
    <t>Doc No : PRO-RMP-001    Tgl / Revisi No : 01.03.2013 / 02         Tgl / Perubahan No : 01.03.2013 / 01</t>
  </si>
  <si>
    <t>Lampiran 3</t>
  </si>
  <si>
    <t>VENDOR MONITORING RECORD</t>
  </si>
  <si>
    <t>( LAPORAN PEMANTAUAN RELASI )</t>
  </si>
  <si>
    <t>JUMLAH</t>
  </si>
  <si>
    <t>NAMA RELASI</t>
  </si>
  <si>
    <t xml:space="preserve">POTONGAN </t>
  </si>
  <si>
    <t>Keterangan Kriteria Penilaian :</t>
  </si>
  <si>
    <t>Dibuat Oleh,</t>
  </si>
  <si>
    <t>Disetujui Oleh,</t>
  </si>
  <si>
    <t>QUANTITY</t>
  </si>
  <si>
    <t>Netto 2 ( Kg )</t>
  </si>
  <si>
    <t>Baik</t>
  </si>
  <si>
    <t>&gt; 200.000</t>
  </si>
  <si>
    <t>&lt; 3</t>
  </si>
  <si>
    <t>&gt; 60.000</t>
  </si>
  <si>
    <t>≥ 80</t>
  </si>
  <si>
    <t>&gt; 10.000</t>
  </si>
  <si>
    <t>&lt; 10</t>
  </si>
  <si>
    <t>Cukup</t>
  </si>
  <si>
    <t>≥ 30.000 ≤ 200.000</t>
  </si>
  <si>
    <r>
      <t xml:space="preserve">&gt; 3 </t>
    </r>
    <r>
      <rPr>
        <sz val="9"/>
        <color theme="1"/>
        <rFont val="Calibri"/>
        <family val="2"/>
      </rPr>
      <t>≤ 6</t>
    </r>
  </si>
  <si>
    <t>≥ 60 &lt; 80</t>
  </si>
  <si>
    <t>≥ 5.000 ≤ 10.000</t>
  </si>
  <si>
    <t xml:space="preserve"> &lt;24≥10</t>
  </si>
  <si>
    <t>JABTAN</t>
  </si>
  <si>
    <t>Kurang</t>
  </si>
  <si>
    <t>&lt; 30.000</t>
  </si>
  <si>
    <t>&gt; 6</t>
  </si>
  <si>
    <t>≤ 60</t>
  </si>
  <si>
    <t>&lt; 5.000</t>
  </si>
  <si>
    <t>≥ 24</t>
  </si>
  <si>
    <t>Mulai berlaku : 23.7.09</t>
  </si>
  <si>
    <t>FRM-PBL-003-01</t>
  </si>
  <si>
    <t>Lampiran 4</t>
  </si>
  <si>
    <t>Dok   :</t>
  </si>
  <si>
    <t>Bln    :</t>
  </si>
  <si>
    <t>VENDOR MONITORING RECORD UNTUK CALON AVL</t>
  </si>
  <si>
    <t>HLM  :</t>
  </si>
  <si>
    <t>( Laporan Pemantauan Relasi Untuk Calon AVL )</t>
  </si>
  <si>
    <t>( Bulan ……………………. )</t>
  </si>
  <si>
    <t>KET</t>
  </si>
  <si>
    <t>( Kg )</t>
  </si>
  <si>
    <t>Keterangan :</t>
  </si>
  <si>
    <t>AVL = Approved Vendor List ( Daftar relasi yang di setujui )</t>
  </si>
  <si>
    <t>Dibuat oleh</t>
  </si>
  <si>
    <t>Disetujui Oleh</t>
  </si>
  <si>
    <t>Mulai berlaku : 23.07.09</t>
  </si>
  <si>
    <t>FRM-PBL-004-01</t>
  </si>
  <si>
    <t>Lampiran 1</t>
  </si>
  <si>
    <t>DOK  :</t>
  </si>
  <si>
    <t>HANYA KIRA2 10.000 TON</t>
  </si>
  <si>
    <t>BLN  :</t>
  </si>
  <si>
    <t>TAFSIRAN PEMBELIAN KB/KC/ARANG DARI RELASI</t>
  </si>
  <si>
    <t>HLM :  1  DARI 1</t>
  </si>
  <si>
    <t>(                        )</t>
  </si>
  <si>
    <t>FRM-PBL-001-01</t>
  </si>
  <si>
    <t>Kelapa Bulat</t>
  </si>
  <si>
    <t>KB - Jambul 95%</t>
  </si>
  <si>
    <t xml:space="preserve">Rata² 584 ribu Kg/bln  </t>
  </si>
  <si>
    <t>Kontinyu (27x kirim dalam satu bulan)</t>
  </si>
  <si>
    <t>Mobil sendiri</t>
  </si>
  <si>
    <t>Modal Sendiri</t>
  </si>
  <si>
    <t>Telah dilakukan inspeksi bahan baku dan dilakukan inspeksi pest</t>
  </si>
  <si>
    <t xml:space="preserve">95 % jual ke PT.ISK </t>
  </si>
  <si>
    <t>DOK  : 20/VMR-PS/2019</t>
  </si>
  <si>
    <t>ok</t>
  </si>
  <si>
    <t>TGL  : 01 Januari - 31 Desember 2019</t>
  </si>
  <si>
    <r>
      <rPr>
        <sz val="16"/>
        <rFont val="Times New Roman"/>
        <family val="1"/>
      </rPr>
      <t xml:space="preserve">VENDOR  MONITORING  RECORD  PER-SUPPLIER      </t>
    </r>
    <r>
      <rPr>
        <sz val="14"/>
        <rFont val="Times New Roman"/>
        <family val="1"/>
      </rPr>
      <t xml:space="preserve">                                                                                                                                     </t>
    </r>
    <r>
      <rPr>
        <sz val="12"/>
        <rFont val="Times New Roman"/>
        <family val="1"/>
      </rPr>
      <t xml:space="preserve"> (LAPORAN  PEMANTAUAN  RELASI  PER-SUPPLIER)</t>
    </r>
  </si>
  <si>
    <t>HLM  : 1 dari 1</t>
  </si>
  <si>
    <t>NO. TELEPON / HP</t>
  </si>
  <si>
    <t>0811-7044-06</t>
  </si>
  <si>
    <t>OK</t>
  </si>
  <si>
    <t>Jan 2019</t>
  </si>
  <si>
    <t>Feb 2019</t>
  </si>
  <si>
    <t>Mar 2019</t>
  </si>
  <si>
    <t>Apr 2019</t>
  </si>
  <si>
    <t>May 2019</t>
  </si>
  <si>
    <t>Juni 2019</t>
  </si>
  <si>
    <t>Juli 2019</t>
  </si>
  <si>
    <t>Aug.  2019</t>
  </si>
  <si>
    <t>Sep. 2019</t>
  </si>
  <si>
    <t>Okt. 2019</t>
  </si>
  <si>
    <t>Nov. 2019</t>
  </si>
  <si>
    <t>Dec. 2019</t>
  </si>
  <si>
    <t>Total</t>
  </si>
  <si>
    <t>Rata²</t>
  </si>
  <si>
    <t>Aktual</t>
  </si>
  <si>
    <t>Point</t>
  </si>
  <si>
    <t>SPECIFICATION / Mutu Pengiriman Bahan Baku ( % )</t>
  </si>
  <si>
    <t>QUANTITY/CAPACITY ( Satuan Ribu butir )</t>
  </si>
  <si>
    <t>DELIVERY ( schedule dan countinue pengiriman )</t>
  </si>
  <si>
    <t>FACILITY CONDITION ( Fasilitas transportasi &amp; Strorage )</t>
  </si>
  <si>
    <t>PAYMENT TERMS ( Modal Usaha )</t>
  </si>
  <si>
    <t>INTERNAL QUALITY CONTROL  (Inspeksi / Seleksi bahan baku)</t>
  </si>
  <si>
    <t>ORGANIC PRODUCT ( bahan Baku Organik )</t>
  </si>
  <si>
    <t>QUALITY CULTURE  ( Budaya kesetiaan terhadap perusahaan )</t>
  </si>
  <si>
    <t>Nama</t>
  </si>
  <si>
    <t>Umroh M</t>
  </si>
  <si>
    <t>Jabatan</t>
  </si>
  <si>
    <t>M.ADM</t>
  </si>
  <si>
    <t>Tanggal</t>
  </si>
  <si>
    <t>DOK  : 04/VMR-PS/2019</t>
  </si>
  <si>
    <r>
      <rPr>
        <sz val="16"/>
        <rFont val="Times New Roman"/>
        <family val="1"/>
      </rPr>
      <t xml:space="preserve">VENDOR  MONITORING  RECORD  PER-SUPPLIER      </t>
    </r>
    <r>
      <rPr>
        <sz val="14"/>
        <rFont val="Times New Roman"/>
        <family val="1"/>
      </rPr>
      <t xml:space="preserve">                                                                                                                                     </t>
    </r>
    <r>
      <rPr>
        <sz val="12"/>
        <rFont val="Times New Roman"/>
        <family val="1"/>
      </rPr>
      <t xml:space="preserve"> (LAPORAN  PEMANTAUAN  RELASI  PER-SUPPLIER) </t>
    </r>
  </si>
  <si>
    <t>0813-7165-1871</t>
  </si>
  <si>
    <t>DOK  : 05/VMR-PS/2019</t>
  </si>
  <si>
    <t>0823-9177-3800</t>
  </si>
  <si>
    <t>TELUK  PINANG</t>
  </si>
  <si>
    <t>DOK  : 10/VMR-PS/2019</t>
  </si>
  <si>
    <t>0823-7738-5137</t>
  </si>
  <si>
    <t>DOK  : 11/VMR-PS/2019</t>
  </si>
  <si>
    <t xml:space="preserve">:       </t>
  </si>
  <si>
    <t>0852-7248-0744</t>
  </si>
  <si>
    <t>KUALA ENOK</t>
  </si>
  <si>
    <t>DOK  : 13/VMR-PS/2019</t>
  </si>
  <si>
    <t>0853-6590-9788</t>
  </si>
  <si>
    <t>DOK  : 15/VMR-PS/2019</t>
  </si>
  <si>
    <t>0812-6190-396</t>
  </si>
  <si>
    <t>SEI SIMBAR</t>
  </si>
  <si>
    <t>DOK  : 16/VMR-PS/2019</t>
  </si>
  <si>
    <t>0812-7589-6666</t>
  </si>
  <si>
    <t>DOK  : 17/VMR-PS/2019</t>
  </si>
  <si>
    <t>M.FUADI R</t>
  </si>
  <si>
    <t>0852-6580-3852</t>
  </si>
  <si>
    <t>DOK  : 03/VMR-PS/2019</t>
  </si>
  <si>
    <t>0813-7858-6666</t>
  </si>
  <si>
    <t>DOK  : 18/VMR-PS/2019</t>
  </si>
  <si>
    <t>0812-2444-9904</t>
  </si>
  <si>
    <t>TOKOLAN</t>
  </si>
  <si>
    <t>DOK  : 19/VMR-PS/201</t>
  </si>
  <si>
    <t>RITA  ERNITA</t>
  </si>
  <si>
    <t>0852-6426-8021</t>
  </si>
  <si>
    <t>02 Januari 2020</t>
  </si>
  <si>
    <t>006</t>
  </si>
  <si>
    <t>ERAWATI/KM.TIRTA KENCANA</t>
  </si>
  <si>
    <t>MARTONO/KM.BANUA LAWAS</t>
  </si>
  <si>
    <t>MARTONO/KM.MAWAR JAYA</t>
  </si>
  <si>
    <t>007</t>
  </si>
  <si>
    <t>MASRI/KM.NURSYAPA HIDAYAH</t>
  </si>
  <si>
    <t>MUHAMMAD ARAB/KM.PAISAL</t>
  </si>
  <si>
    <t>L.HULU</t>
  </si>
  <si>
    <t>008</t>
  </si>
  <si>
    <t>YANADI/KM.CHANDRA JAYA</t>
  </si>
  <si>
    <t>009</t>
  </si>
  <si>
    <t>HENDRI/KM.CHANDRA JAYA</t>
  </si>
  <si>
    <t>MASRI/KM.BUTIRAN MAS 03</t>
  </si>
  <si>
    <t>DINI CHAIRANI/KM.HASLINA</t>
  </si>
  <si>
    <t>010</t>
  </si>
  <si>
    <t>HENDRI/KM.ROBI JAYA</t>
  </si>
  <si>
    <t>MASRI/KM.ISMAIL JAYA</t>
  </si>
  <si>
    <t>MASRI/KM.RIZKI</t>
  </si>
  <si>
    <t>011</t>
  </si>
  <si>
    <t>012</t>
  </si>
  <si>
    <t>DINI CHAIRANI/KM.SIMPANG JAYA</t>
  </si>
  <si>
    <t>013</t>
  </si>
  <si>
    <t>014</t>
  </si>
  <si>
    <t>AMIR/KM.CHANDRATIKA</t>
  </si>
  <si>
    <t>K.ENOK</t>
  </si>
  <si>
    <t>HENDRI/KM.FAIZ</t>
  </si>
  <si>
    <t>HENDRI/KM.MARDINATA</t>
  </si>
  <si>
    <t>HENDRI/KM.YARJAYA</t>
  </si>
  <si>
    <t>MARTONO/KM.RINDU IBU 2</t>
  </si>
  <si>
    <t>MASRI/KM.WIJAYA</t>
  </si>
  <si>
    <t>015</t>
  </si>
  <si>
    <t>HENDRI/KM.BINTANG SELATAN</t>
  </si>
  <si>
    <t>MARTONO/KM.MUSLIM</t>
  </si>
  <si>
    <t>MARTONO/KM.WASEK</t>
  </si>
  <si>
    <t>RITA ERNITA/KM.BINTANG TERANG</t>
  </si>
  <si>
    <t>WARTINI/KM.DEPAVALI</t>
  </si>
  <si>
    <t>YANADI/KM.SUMBER REJEKI 2</t>
  </si>
  <si>
    <t>016</t>
  </si>
  <si>
    <t>MARTONO/KM.MERPATI JAYA</t>
  </si>
  <si>
    <t>017</t>
  </si>
  <si>
    <t>DINI CHAIRANI/KM.SABAR MENANTI</t>
  </si>
  <si>
    <t>HENDRI/KM.RAHMAT</t>
  </si>
  <si>
    <t>MARTONO/KM.SUWIT</t>
  </si>
  <si>
    <t>MASRI/KM.BUTIRAN MAS 01</t>
  </si>
  <si>
    <t>018</t>
  </si>
  <si>
    <t>MARTONO/KM.HASLINA SATU</t>
  </si>
  <si>
    <t>MARTONO/KM.MUSDALIPA</t>
  </si>
  <si>
    <t>PT.SINAR KELAPA TEMBILAHAN/KM.ELMA JAYA 6</t>
  </si>
  <si>
    <t>PT.SINAR KELAPA TEMBILAHAN/KM.HASLINA</t>
  </si>
  <si>
    <t>PT.SINAR KELAPA TEMBILAHAN/KM.SUMBER REZEKI 2</t>
  </si>
  <si>
    <t>NOTA</t>
  </si>
  <si>
    <t>019</t>
  </si>
  <si>
    <t>MARTONO/KM.CHANDRA JAYA</t>
  </si>
  <si>
    <t>MASRI/KM.USAHA BERSAMA</t>
  </si>
  <si>
    <t>PT.SINAR KELAPA TEMBILAHAN/KM.BERKAH</t>
  </si>
  <si>
    <t>PT.SINAR KELAPA TEMBILAHAN/KM.ELMA JAYA 8</t>
  </si>
  <si>
    <t>ROSDIANTO/KM.SUKUR 1</t>
  </si>
  <si>
    <t>SEI PIRING</t>
  </si>
  <si>
    <t>ZAINAL ABIDIN/AAN/KM.SUMBER REZEKI</t>
  </si>
  <si>
    <t>020</t>
  </si>
  <si>
    <t>AMIR/KM.SRI INDAH</t>
  </si>
  <si>
    <t>DINI CHAIRANI/KM.RUSLI</t>
  </si>
  <si>
    <t>PT.SINAR KELAPA TEMBILAHAN/KM.BERKAH MANDIRI</t>
  </si>
  <si>
    <t>PT.SINAR KELAPA TEMBILAHAN/KM.WILDAN 01</t>
  </si>
  <si>
    <t>021</t>
  </si>
  <si>
    <t>YANADI/KM.SUMBER REZEKI 2</t>
  </si>
  <si>
    <t>DINI CHAIRANI/KM.INDAH</t>
  </si>
  <si>
    <t>DINI CHAIRANI/KM.LANI JAYA</t>
  </si>
  <si>
    <t>PT.SINAR KELAPA TEMBILAHAN/KM.BINTANG SELATAN</t>
  </si>
  <si>
    <t>PT.SINAR KELAPA TEMBILAHAN/KM.CAHAYA TRI PUTRI</t>
  </si>
  <si>
    <t>PT.SINAR KELAPA TEMBILAHAN/KM.ELMA JAYA 5</t>
  </si>
  <si>
    <t>PT.SINAR KELAPA TEMBILAHAN/KM.INDRAWAN</t>
  </si>
  <si>
    <t>PT.SINAR KELAPA TEMBILAHAN/KM.MERPATI JAYA</t>
  </si>
  <si>
    <t>PT.SINAR KELAPA TEMBILAHAN/KM.SAHABAT</t>
  </si>
  <si>
    <t>PT.SINAR KELAPA TEMBILAHAN/KM.YARJAYA 2</t>
  </si>
  <si>
    <t>SUKAMTO/KM.HARAPAN JAYA 2</t>
  </si>
  <si>
    <t>SUKAMTO/KM.HASLINA 01</t>
  </si>
  <si>
    <t>WARTINI/KM.ABUDABI</t>
  </si>
  <si>
    <t>022</t>
  </si>
  <si>
    <t>HENDRY JOHANES/KM.ACC 2</t>
  </si>
  <si>
    <t>HENDRY JOHANES/KM.ACC 3</t>
  </si>
  <si>
    <t>PT.SINAR KELAPA TEMBILAHAN/KM.NAHDA JAYA 2</t>
  </si>
  <si>
    <t>PT.SINAR KELAPA TEMBILAHAN/KM.YARJAYA</t>
  </si>
  <si>
    <t>ROSDIANTO/KM.SUKUR 2</t>
  </si>
  <si>
    <t>023</t>
  </si>
  <si>
    <t>024</t>
  </si>
  <si>
    <t>MARTONO/KM.LANCENG JAYA</t>
  </si>
  <si>
    <t>MASRI/KM.AULIA JAYA</t>
  </si>
  <si>
    <t>PT.SINAR KELAPA TEMBILAHAN/KM.POMPONG</t>
  </si>
  <si>
    <t>SUKAMTO/KM.APAN</t>
  </si>
  <si>
    <t>ZAINAL ABIDIN/AAN /KM.SUMBER REZKI</t>
  </si>
  <si>
    <t>025</t>
  </si>
  <si>
    <t>AMIR/KM.PUTRA MANDIRI</t>
  </si>
  <si>
    <t>026</t>
  </si>
  <si>
    <t>027</t>
  </si>
  <si>
    <t>028</t>
  </si>
  <si>
    <t>HENDRY JOHANES/KM.ACC 02</t>
  </si>
  <si>
    <t>PT.SINAR KELAPA TEMBILAHAN/KM.SEPAKAT JAYA</t>
  </si>
  <si>
    <t>029</t>
  </si>
  <si>
    <t xml:space="preserve">PT.SINAR KELAPA TEMBILAHAN/KM.MERPATI JAYA </t>
  </si>
  <si>
    <t>PT.SINAR KELAPA TEMBILAHAN/KM.MERPATI JAYA 1</t>
  </si>
  <si>
    <t>030</t>
  </si>
  <si>
    <t>PT.SINAR KELAPA TEMBILAHAN/KM.MERPATI JAYA 01</t>
  </si>
  <si>
    <t>PT.SINAR KELAPA TEMBILAHAN/KM.MERPATI JAYA 2</t>
  </si>
  <si>
    <t>031</t>
  </si>
  <si>
    <t>DINI CHAIRANI/KM.WASI</t>
  </si>
  <si>
    <t>HELMANSYAH/KM.BERKAH</t>
  </si>
  <si>
    <t>SEI.SALAK</t>
  </si>
  <si>
    <t>HELMANSYAH/KM.INDRAWAN</t>
  </si>
  <si>
    <t>HELMANSYAH/KM.MERPATI</t>
  </si>
  <si>
    <t>HELMANSYAH/KM.POMPONG</t>
  </si>
  <si>
    <t>HELMANSYAH/KM.YARJAYA</t>
  </si>
  <si>
    <t>MASRI/KM.PEMBANGUNAN</t>
  </si>
  <si>
    <t>HELMANSYAH</t>
  </si>
  <si>
    <t>Tempuling</t>
  </si>
  <si>
    <t>032</t>
  </si>
  <si>
    <t>YANADI/KM.CHANDRAJAYA</t>
  </si>
  <si>
    <t xml:space="preserve">DINI CHAIRANI/KM.LISA </t>
  </si>
  <si>
    <t>HELMANSYAH/KM.ARDINATA</t>
  </si>
  <si>
    <t>HELMANSYAH/KM.BINTANG SELATAN</t>
  </si>
  <si>
    <t>HELMANSYAH/KM.SEPAKAT JAYA</t>
  </si>
  <si>
    <t>033</t>
  </si>
  <si>
    <t>HELMANSYAH/KM.MERPATI JAYA</t>
  </si>
  <si>
    <t>HELMANSYAH/KM.SETIA DAMAI</t>
  </si>
  <si>
    <t>HELMANSYAH/KM.WILDAN 02</t>
  </si>
  <si>
    <t>MARTONO/KM.HASLINA 01</t>
  </si>
  <si>
    <t>034</t>
  </si>
  <si>
    <t>HELMANSYAH/KM.MERPATI JAYA 2</t>
  </si>
  <si>
    <t>035</t>
  </si>
  <si>
    <t>036</t>
  </si>
  <si>
    <t>037</t>
  </si>
  <si>
    <t>038</t>
  </si>
  <si>
    <t>YANADI/KM.INDRAWAN</t>
  </si>
  <si>
    <t>YANADI/KM.MARDINATA</t>
  </si>
  <si>
    <t>039</t>
  </si>
  <si>
    <t>040</t>
  </si>
  <si>
    <t>041</t>
  </si>
  <si>
    <t>MARTONO/KM.BERKAH</t>
  </si>
  <si>
    <t>MARTONO/KM.HASLINA 2</t>
  </si>
  <si>
    <t>042</t>
  </si>
  <si>
    <t>043</t>
  </si>
  <si>
    <t>YANADI/KM.CANDRA JAYA</t>
  </si>
  <si>
    <t>MARTONO/KM.HASLINA 02</t>
  </si>
  <si>
    <t>MARTONO/KM.RUPI</t>
  </si>
  <si>
    <t>MARTONO/KM.RUPI 2</t>
  </si>
  <si>
    <t>DINI CHAIRANI/KM.WASI 2</t>
  </si>
  <si>
    <t>044</t>
  </si>
  <si>
    <t xml:space="preserve">MARTONO/KM.HASLINA 1 </t>
  </si>
  <si>
    <t>045</t>
  </si>
  <si>
    <t>046</t>
  </si>
  <si>
    <t>047</t>
  </si>
  <si>
    <t>048</t>
  </si>
  <si>
    <t>DINI CHAIRANI/KM.LISSA</t>
  </si>
  <si>
    <t>049</t>
  </si>
  <si>
    <t>050</t>
  </si>
  <si>
    <t>051</t>
  </si>
  <si>
    <t>052</t>
  </si>
  <si>
    <t xml:space="preserve">MARTONO/KM.HASLINA </t>
  </si>
  <si>
    <t>SUKAMTO/KM.HASLINA 2</t>
  </si>
  <si>
    <t>053</t>
  </si>
  <si>
    <t>054</t>
  </si>
  <si>
    <t>055</t>
  </si>
  <si>
    <t>056</t>
  </si>
  <si>
    <t>SUKAMTO/KM.HASLINA</t>
  </si>
  <si>
    <t>057</t>
  </si>
  <si>
    <t>058</t>
  </si>
  <si>
    <t>059</t>
  </si>
  <si>
    <t>060</t>
  </si>
  <si>
    <t>061</t>
  </si>
  <si>
    <t>062</t>
  </si>
  <si>
    <t>HENDRI/KM.NAPISA</t>
  </si>
  <si>
    <t>WARTINI/KM.KOTA MISISSIPI</t>
  </si>
  <si>
    <t>063</t>
  </si>
  <si>
    <t>HENDRI/KM.SETIA</t>
  </si>
  <si>
    <t>064</t>
  </si>
  <si>
    <t>HENDRI/KM.WASI</t>
  </si>
  <si>
    <t>065</t>
  </si>
  <si>
    <t>HENDRI/KM.TIRTA</t>
  </si>
  <si>
    <t>Kelapa</t>
  </si>
  <si>
    <t>066</t>
  </si>
  <si>
    <t>HENDRI/KM.BERSAMA</t>
  </si>
  <si>
    <t>HENDRI/KM.RESKI</t>
  </si>
  <si>
    <t>HENDRI/KM.INDRA JAYA</t>
  </si>
  <si>
    <t>Rkp By: Rudi (Adm RMP PT. ISK)</t>
  </si>
</sst>
</file>

<file path=xl/styles.xml><?xml version="1.0" encoding="utf-8"?>
<styleSheet xmlns="http://schemas.openxmlformats.org/spreadsheetml/2006/main">
  <numFmts count="13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#.00"/>
    <numFmt numFmtId="166" formatCode="dd\-mmm\-yyyy"/>
    <numFmt numFmtId="167" formatCode="000"/>
    <numFmt numFmtId="168" formatCode="dd/mm"/>
    <numFmt numFmtId="169" formatCode="_(* #,##0.0_);_(* \(#,##0.0\);_(* &quot;-&quot;??_);_(@_)"/>
    <numFmt numFmtId="170" formatCode="_(* #,##0.0_);_(* \(#,##0.0\);_(* &quot;-&quot;_);_(@_)"/>
    <numFmt numFmtId="171" formatCode="_(* #,##0.00_);_(* \(#,##0.00\);_(* &quot;-&quot;_);_(@_)"/>
    <numFmt numFmtId="172" formatCode="mmm\ yyyy"/>
    <numFmt numFmtId="173" formatCode="[$-421]mmmm\ yyyy;@"/>
    <numFmt numFmtId="174" formatCode="&quot;RATA-RATA TERIMA TAHUN LALU &quot;0"/>
  </numFmts>
  <fonts count="170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2"/>
      <color indexed="17"/>
      <name val="????"/>
      <family val="1"/>
      <charset val="136"/>
    </font>
    <font>
      <sz val="12"/>
      <name val="????"/>
      <family val="1"/>
      <charset val="136"/>
    </font>
    <font>
      <b/>
      <sz val="15"/>
      <color indexed="62"/>
      <name val="????"/>
      <family val="1"/>
      <charset val="136"/>
    </font>
    <font>
      <b/>
      <sz val="13"/>
      <color indexed="62"/>
      <name val="????"/>
      <family val="1"/>
      <charset val="136"/>
    </font>
    <font>
      <b/>
      <sz val="11"/>
      <color indexed="62"/>
      <name val="????"/>
      <family val="1"/>
      <charset val="136"/>
    </font>
    <font>
      <i/>
      <sz val="12"/>
      <color indexed="23"/>
      <name val="????"/>
      <family val="1"/>
      <charset val="136"/>
    </font>
    <font>
      <b/>
      <sz val="12"/>
      <color indexed="9"/>
      <name val="????"/>
      <family val="1"/>
      <charset val="136"/>
    </font>
    <font>
      <sz val="12"/>
      <color indexed="52"/>
      <name val="????"/>
      <family val="1"/>
      <charset val="136"/>
    </font>
    <font>
      <sz val="12"/>
      <color indexed="10"/>
      <name val="????"/>
      <family val="1"/>
      <charset val="136"/>
    </font>
    <font>
      <b/>
      <sz val="12"/>
      <color indexed="63"/>
      <name val="????"/>
      <family val="1"/>
      <charset val="136"/>
    </font>
    <font>
      <sz val="12"/>
      <color indexed="9"/>
      <name val="????"/>
      <family val="1"/>
      <charset val="136"/>
    </font>
    <font>
      <sz val="12"/>
      <color indexed="20"/>
      <name val="????"/>
      <family val="1"/>
      <charset val="136"/>
    </font>
    <font>
      <sz val="12"/>
      <color indexed="63"/>
      <name val="????"/>
      <family val="1"/>
      <charset val="136"/>
    </font>
    <font>
      <sz val="12"/>
      <color indexed="63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8"/>
      <name val="Courier"/>
      <family val="3"/>
    </font>
    <font>
      <sz val="18"/>
      <color indexed="8"/>
      <name val="Courier"/>
      <family val="3"/>
    </font>
    <font>
      <sz val="8"/>
      <color indexed="8"/>
      <name val="Courier"/>
      <family val="3"/>
    </font>
    <font>
      <i/>
      <sz val="12"/>
      <color indexed="8"/>
      <name val="Courier"/>
      <family val="3"/>
    </font>
    <font>
      <b/>
      <sz val="18"/>
      <color indexed="8"/>
      <name val="Courier"/>
      <family val="3"/>
    </font>
    <font>
      <b/>
      <sz val="12"/>
      <color indexed="8"/>
      <name val="Courier"/>
      <family val="3"/>
    </font>
    <font>
      <u/>
      <sz val="10"/>
      <color indexed="12"/>
      <name val="Arial"/>
      <family val="2"/>
    </font>
    <font>
      <sz val="12"/>
      <name val="Times New Roman"/>
      <family val="1"/>
    </font>
    <font>
      <sz val="12"/>
      <color indexed="60"/>
      <name val="新細明體"/>
      <family val="1"/>
      <charset val="136"/>
    </font>
    <font>
      <sz val="1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62"/>
      <name val="新細明體"/>
      <family val="1"/>
      <charset val="136"/>
    </font>
    <font>
      <sz val="12"/>
      <color indexed="52"/>
      <name val="新細明體"/>
      <family val="1"/>
      <charset val="136"/>
    </font>
    <font>
      <b/>
      <sz val="25"/>
      <color indexed="8"/>
      <name val="Verdana"/>
      <family val="2"/>
    </font>
    <font>
      <b/>
      <sz val="18"/>
      <color indexed="8"/>
      <name val="Verdana"/>
      <family val="2"/>
    </font>
    <font>
      <sz val="20"/>
      <color indexed="8"/>
      <name val="Verdana"/>
      <family val="2"/>
    </font>
    <font>
      <sz val="10"/>
      <name val="Arial"/>
      <family val="2"/>
    </font>
    <font>
      <b/>
      <sz val="9"/>
      <name val="Trebuchet MS"/>
      <family val="2"/>
    </font>
    <font>
      <sz val="8"/>
      <name val="Verdana"/>
      <family val="2"/>
    </font>
    <font>
      <sz val="9"/>
      <name val="Arial"/>
      <family val="2"/>
    </font>
    <font>
      <sz val="11"/>
      <name val="Calibri"/>
      <family val="2"/>
      <scheme val="minor"/>
    </font>
    <font>
      <sz val="18"/>
      <color indexed="8"/>
      <name val="Verdana"/>
      <family val="2"/>
    </font>
    <font>
      <sz val="11"/>
      <color indexed="8"/>
      <name val="Verdana"/>
      <family val="2"/>
    </font>
    <font>
      <b/>
      <u/>
      <sz val="33"/>
      <color indexed="8"/>
      <name val="Verdana"/>
      <family val="2"/>
    </font>
    <font>
      <b/>
      <sz val="11"/>
      <color indexed="8"/>
      <name val="Verdana"/>
      <family val="2"/>
    </font>
    <font>
      <b/>
      <sz val="20"/>
      <color indexed="8"/>
      <name val="Verdana"/>
      <family val="2"/>
    </font>
    <font>
      <sz val="11"/>
      <color rgb="FFFF0000"/>
      <name val="Verdana"/>
      <family val="2"/>
    </font>
    <font>
      <sz val="16"/>
      <color indexed="8"/>
      <name val="Verdana"/>
      <family val="2"/>
    </font>
    <font>
      <sz val="14"/>
      <color indexed="8"/>
      <name val="Verdana"/>
      <family val="2"/>
    </font>
    <font>
      <sz val="11"/>
      <color theme="0"/>
      <name val="Verdana"/>
      <family val="2"/>
    </font>
    <font>
      <sz val="11"/>
      <name val="Verdana"/>
      <family val="2"/>
    </font>
    <font>
      <sz val="20"/>
      <color theme="1"/>
      <name val="Calibri"/>
      <family val="2"/>
      <scheme val="minor"/>
    </font>
    <font>
      <b/>
      <i/>
      <sz val="20"/>
      <color indexed="8"/>
      <name val="Verdana"/>
      <family val="2"/>
    </font>
    <font>
      <b/>
      <u/>
      <sz val="16"/>
      <color indexed="8"/>
      <name val="Verdana"/>
      <family val="2"/>
    </font>
    <font>
      <b/>
      <sz val="16"/>
      <color indexed="8"/>
      <name val="Verdana"/>
      <family val="2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indexed="8"/>
      <name val="Verdana"/>
      <family val="2"/>
    </font>
    <font>
      <b/>
      <sz val="20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4"/>
      <color rgb="FF00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28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8"/>
      <color indexed="81"/>
      <name val="Tahoma"/>
      <family val="2"/>
    </font>
    <font>
      <sz val="14"/>
      <color indexed="81"/>
      <name val="Tahoma"/>
      <family val="2"/>
    </font>
    <font>
      <b/>
      <sz val="24"/>
      <color indexed="81"/>
      <name val="Tahoma"/>
      <family val="2"/>
    </font>
    <font>
      <b/>
      <sz val="18"/>
      <color indexed="81"/>
      <name val="Tahoma"/>
      <family val="2"/>
    </font>
    <font>
      <sz val="18"/>
      <color indexed="81"/>
      <name val="Tahoma"/>
      <family val="2"/>
    </font>
    <font>
      <b/>
      <sz val="16"/>
      <name val="Arial Narrow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11"/>
      <name val="Times New Roman"/>
      <family val="1"/>
    </font>
    <font>
      <sz val="6"/>
      <name val="Verdana"/>
      <family val="2"/>
    </font>
    <font>
      <sz val="11"/>
      <name val="Arial"/>
      <family val="2"/>
    </font>
    <font>
      <sz val="8"/>
      <name val="Arial"/>
      <family val="2"/>
    </font>
    <font>
      <sz val="8"/>
      <name val="Times New Roman"/>
      <family val="1"/>
    </font>
    <font>
      <sz val="11"/>
      <color indexed="10"/>
      <name val="Times New Roman"/>
      <family val="1"/>
    </font>
    <font>
      <sz val="11"/>
      <color indexed="10"/>
      <name val="Arial"/>
      <family val="2"/>
    </font>
    <font>
      <sz val="11"/>
      <color indexed="12"/>
      <name val="Times New Roman"/>
      <family val="1"/>
    </font>
    <font>
      <sz val="11"/>
      <color indexed="12"/>
      <name val="Arial"/>
      <family val="2"/>
    </font>
    <font>
      <sz val="6"/>
      <name val="Times New Roman"/>
      <family val="1"/>
    </font>
    <font>
      <sz val="10"/>
      <color indexed="8"/>
      <name val="Arial"/>
      <family val="2"/>
    </font>
    <font>
      <sz val="8"/>
      <color theme="1"/>
      <name val="Verdana"/>
      <family val="2"/>
    </font>
    <font>
      <sz val="10"/>
      <color theme="1"/>
      <name val="Times New Roman"/>
      <family val="1"/>
    </font>
    <font>
      <sz val="8"/>
      <color indexed="42"/>
      <name val="Calibri"/>
      <family val="2"/>
    </font>
    <font>
      <sz val="8"/>
      <color indexed="44"/>
      <name val="Calibri"/>
      <family val="2"/>
    </font>
    <font>
      <sz val="8"/>
      <name val="Calibri"/>
      <family val="2"/>
    </font>
    <font>
      <sz val="9"/>
      <color indexed="8"/>
      <name val="Calibri"/>
      <family val="2"/>
    </font>
    <font>
      <sz val="11"/>
      <color indexed="42"/>
      <name val="Calibri"/>
      <family val="2"/>
    </font>
    <font>
      <sz val="11"/>
      <color indexed="44"/>
      <name val="Calibri"/>
      <family val="2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8"/>
      <name val="Times New Roman"/>
      <family val="1"/>
    </font>
    <font>
      <sz val="8"/>
      <color indexed="62"/>
      <name val="Verdana"/>
      <family val="2"/>
    </font>
    <font>
      <sz val="11"/>
      <color indexed="10"/>
      <name val="Calibri"/>
      <family val="2"/>
    </font>
    <font>
      <sz val="8"/>
      <color indexed="10"/>
      <name val="Calibri"/>
      <family val="2"/>
    </font>
    <font>
      <b/>
      <sz val="6"/>
      <name val="Verdana"/>
      <family val="2"/>
    </font>
    <font>
      <sz val="9"/>
      <name val="Verdana"/>
      <family val="2"/>
    </font>
    <font>
      <sz val="9"/>
      <color indexed="10"/>
      <name val="Verdana"/>
      <family val="2"/>
    </font>
    <font>
      <sz val="9"/>
      <color indexed="9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b/>
      <sz val="12"/>
      <name val="Times New Roman"/>
      <family val="1"/>
    </font>
    <font>
      <b/>
      <sz val="8"/>
      <name val="Times New Roman"/>
      <family val="1"/>
    </font>
    <font>
      <b/>
      <sz val="10"/>
      <name val="Arial"/>
      <family val="2"/>
    </font>
    <font>
      <b/>
      <sz val="9"/>
      <color indexed="63"/>
      <name val="新細明體"/>
      <family val="1"/>
      <charset val="136"/>
    </font>
    <font>
      <sz val="20"/>
      <name val="Arial"/>
      <family val="2"/>
    </font>
    <font>
      <b/>
      <sz val="18"/>
      <name val="Times New Roman"/>
      <family val="1"/>
    </font>
    <font>
      <b/>
      <sz val="18"/>
      <color rgb="FF0000CC"/>
      <name val="Rockwell Extra Bold"/>
      <family val="1"/>
    </font>
    <font>
      <b/>
      <sz val="20"/>
      <name val="Bernard MT Condensed"/>
      <family val="1"/>
    </font>
    <font>
      <sz val="18"/>
      <color rgb="FF000000"/>
      <name val="Verdana"/>
      <family val="2"/>
    </font>
    <font>
      <sz val="60"/>
      <color theme="8" tint="-0.249977111117893"/>
      <name val="Bauhaus 93"/>
      <family val="5"/>
    </font>
    <font>
      <b/>
      <sz val="80"/>
      <color theme="4" tint="-0.249977111117893"/>
      <name val="Cooper Black"/>
      <family val="1"/>
    </font>
    <font>
      <b/>
      <sz val="72"/>
      <color theme="6" tint="-0.499984740745262"/>
      <name val="Bernard MT Condensed"/>
      <family val="1"/>
    </font>
    <font>
      <sz val="50"/>
      <color rgb="FF0000CC"/>
      <name val="Bernard MT Condensed"/>
      <family val="1"/>
    </font>
    <font>
      <b/>
      <sz val="16"/>
      <color rgb="FF00000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40"/>
      <color indexed="8"/>
      <name val="Verdana"/>
      <family val="2"/>
    </font>
    <font>
      <b/>
      <sz val="24"/>
      <color rgb="FFFF0000"/>
      <name val="Calibri"/>
      <family val="2"/>
      <scheme val="minor"/>
    </font>
    <font>
      <sz val="9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8"/>
      <color theme="1"/>
      <name val="Times New Roman"/>
      <family val="1"/>
    </font>
    <font>
      <sz val="8"/>
      <color theme="1"/>
      <name val="Times New Roman"/>
      <family val="1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9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  <charset val="1"/>
      <scheme val="minor"/>
    </font>
    <font>
      <sz val="14"/>
      <name val="Times New Roman"/>
      <family val="1"/>
    </font>
    <font>
      <sz val="18"/>
      <name val="Times New Roman"/>
      <family val="1"/>
    </font>
    <font>
      <sz val="16"/>
      <name val="Times New Roman"/>
      <family val="1"/>
    </font>
    <font>
      <b/>
      <sz val="11"/>
      <name val="Times New Roman"/>
      <family val="1"/>
    </font>
    <font>
      <sz val="11"/>
      <color rgb="FFFF0000"/>
      <name val="Times New Roman"/>
      <family val="1"/>
    </font>
    <font>
      <sz val="9"/>
      <name val="Times New Roman"/>
      <family val="1"/>
    </font>
    <font>
      <sz val="12"/>
      <color theme="0"/>
      <name val="Times New Roman"/>
      <family val="1"/>
    </font>
    <font>
      <u/>
      <sz val="10"/>
      <name val="Times New Roman"/>
      <family val="1"/>
    </font>
    <font>
      <sz val="10"/>
      <color indexed="57"/>
      <name val="Times New Roman"/>
      <family val="1"/>
    </font>
    <font>
      <sz val="10"/>
      <color indexed="11"/>
      <name val="Times New Roman"/>
      <family val="1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theme="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theme="7"/>
      </patternFill>
    </fill>
    <fill>
      <patternFill patternType="solid">
        <fgColor theme="8" tint="0.39997558519241921"/>
        <bgColor theme="7"/>
      </patternFill>
    </fill>
    <fill>
      <patternFill patternType="solid">
        <fgColor theme="5" tint="0.39997558519241921"/>
        <bgColor theme="7"/>
      </patternFill>
    </fill>
    <fill>
      <patternFill patternType="solid">
        <fgColor rgb="FFFFFF00"/>
        <bgColor theme="7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5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rgb="FF002060"/>
      </left>
      <right style="thin">
        <color theme="4"/>
      </right>
      <top style="thick">
        <color rgb="FF002060"/>
      </top>
      <bottom style="thick">
        <color rgb="FF002060"/>
      </bottom>
      <diagonal/>
    </border>
    <border>
      <left style="thin">
        <color theme="4"/>
      </left>
      <right style="thin">
        <color theme="4"/>
      </right>
      <top style="thick">
        <color rgb="FF002060"/>
      </top>
      <bottom style="thick">
        <color rgb="FF002060"/>
      </bottom>
      <diagonal/>
    </border>
    <border>
      <left style="thin">
        <color theme="4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 style="thick">
        <color theme="0" tint="-0.499984740745262"/>
      </left>
      <right style="thin">
        <color theme="4"/>
      </right>
      <top style="thick">
        <color rgb="FF002060"/>
      </top>
      <bottom style="thick">
        <color theme="0" tint="-0.499984740745262"/>
      </bottom>
      <diagonal/>
    </border>
    <border>
      <left style="thin">
        <color theme="4"/>
      </left>
      <right style="thin">
        <color theme="4"/>
      </right>
      <top style="thick">
        <color rgb="FF002060"/>
      </top>
      <bottom style="thick">
        <color theme="0" tint="-0.499984740745262"/>
      </bottom>
      <diagonal/>
    </border>
    <border>
      <left style="thin">
        <color theme="4"/>
      </left>
      <right style="thick">
        <color theme="0" tint="-0.499984740745262"/>
      </right>
      <top style="thick">
        <color rgb="FF002060"/>
      </top>
      <bottom style="thick">
        <color theme="0" tint="-0.499984740745262"/>
      </bottom>
      <diagonal/>
    </border>
    <border>
      <left style="thick">
        <color theme="0" tint="-0.34998626667073579"/>
      </left>
      <right style="thin">
        <color theme="4"/>
      </right>
      <top style="thick">
        <color theme="0" tint="-0.499984740745262"/>
      </top>
      <bottom style="thick">
        <color theme="0" tint="-0.34998626667073579"/>
      </bottom>
      <diagonal/>
    </border>
    <border>
      <left style="thin">
        <color theme="4"/>
      </left>
      <right style="thin">
        <color theme="4"/>
      </right>
      <top style="thick">
        <color theme="0" tint="-0.499984740745262"/>
      </top>
      <bottom style="thick">
        <color theme="0" tint="-0.34998626667073579"/>
      </bottom>
      <diagonal/>
    </border>
    <border>
      <left style="thin">
        <color theme="4"/>
      </left>
      <right style="thick">
        <color theme="0" tint="-0.34998626667073579"/>
      </right>
      <top style="thick">
        <color theme="0" tint="-0.499984740745262"/>
      </top>
      <bottom style="thick">
        <color theme="0" tint="-0.34998626667073579"/>
      </bottom>
      <diagonal/>
    </border>
    <border>
      <left style="thick">
        <color rgb="FFFFFF00"/>
      </left>
      <right style="thin">
        <color theme="4"/>
      </right>
      <top style="thick">
        <color theme="0" tint="-0.34998626667073579"/>
      </top>
      <bottom style="thick">
        <color rgb="FFFFFF00"/>
      </bottom>
      <diagonal/>
    </border>
    <border>
      <left style="thin">
        <color theme="4"/>
      </left>
      <right style="thin">
        <color theme="4"/>
      </right>
      <top style="thick">
        <color theme="0" tint="-0.34998626667073579"/>
      </top>
      <bottom style="thick">
        <color rgb="FFFFFF00"/>
      </bottom>
      <diagonal/>
    </border>
    <border>
      <left style="thin">
        <color theme="4"/>
      </left>
      <right style="thick">
        <color rgb="FFFFFF00"/>
      </right>
      <top style="thick">
        <color theme="0" tint="-0.34998626667073579"/>
      </top>
      <bottom style="thick">
        <color rgb="FFFFFF00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 style="mediumDashDotDot">
        <color auto="1"/>
      </right>
      <top/>
      <bottom/>
      <diagonal/>
    </border>
    <border>
      <left style="dotted">
        <color rgb="FFFFFF00"/>
      </left>
      <right/>
      <top style="dotted">
        <color rgb="FFFFFF00"/>
      </top>
      <bottom style="dotted">
        <color rgb="FFFFFF00"/>
      </bottom>
      <diagonal/>
    </border>
    <border>
      <left/>
      <right style="dotted">
        <color rgb="FFFFFF00"/>
      </right>
      <top style="dotted">
        <color rgb="FFFFFF00"/>
      </top>
      <bottom style="dotted">
        <color rgb="FFFFFF00"/>
      </bottom>
      <diagonal/>
    </border>
    <border>
      <left/>
      <right/>
      <top style="thin">
        <color theme="4"/>
      </top>
      <bottom/>
      <diagonal/>
    </border>
    <border>
      <left style="dotted">
        <color rgb="FFFFFF00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indexed="64"/>
      </right>
      <top/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dotted">
        <color rgb="FFFFFF00"/>
      </top>
      <bottom style="dotted">
        <color rgb="FFFFFF0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hair">
        <color indexed="64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12"/>
      </bottom>
      <diagonal/>
    </border>
    <border>
      <left/>
      <right style="thin">
        <color indexed="64"/>
      </right>
      <top style="thin">
        <color indexed="64"/>
      </top>
      <bottom style="hair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1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hair">
        <color indexed="12"/>
      </bottom>
      <diagonal/>
    </border>
    <border>
      <left/>
      <right/>
      <top style="thin">
        <color indexed="64"/>
      </top>
      <bottom style="hair">
        <color indexed="12"/>
      </bottom>
      <diagonal/>
    </border>
    <border>
      <left/>
      <right style="thin">
        <color indexed="8"/>
      </right>
      <top style="thin">
        <color indexed="64"/>
      </top>
      <bottom style="hair">
        <color indexed="1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8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8"/>
      </right>
      <top style="hair">
        <color indexed="12"/>
      </top>
      <bottom style="medium">
        <color indexed="64"/>
      </bottom>
      <diagonal/>
    </border>
    <border>
      <left style="thin">
        <color indexed="8"/>
      </left>
      <right style="thin">
        <color indexed="64"/>
      </right>
      <top style="hair">
        <color indexed="12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12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12"/>
      </top>
      <bottom/>
      <diagonal/>
    </border>
    <border>
      <left/>
      <right/>
      <top style="hair">
        <color indexed="12"/>
      </top>
      <bottom/>
      <diagonal/>
    </border>
    <border>
      <left style="thin">
        <color indexed="8"/>
      </left>
      <right/>
      <top style="hair">
        <color indexed="12"/>
      </top>
      <bottom/>
      <diagonal/>
    </border>
    <border>
      <left style="thin">
        <color indexed="64"/>
      </left>
      <right style="thin">
        <color indexed="8"/>
      </right>
      <top style="hair">
        <color indexed="12"/>
      </top>
      <bottom/>
      <diagonal/>
    </border>
    <border>
      <left style="thin">
        <color indexed="8"/>
      </left>
      <right style="thin">
        <color indexed="64"/>
      </right>
      <top style="hair">
        <color indexed="12"/>
      </top>
      <bottom/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8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12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8"/>
      </right>
      <top style="hair">
        <color indexed="12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12"/>
      </top>
      <bottom style="medium">
        <color indexed="64"/>
      </bottom>
      <diagonal/>
    </border>
    <border>
      <left style="thin">
        <color indexed="8"/>
      </left>
      <right/>
      <top style="hair">
        <color indexed="12"/>
      </top>
      <bottom style="medium">
        <color indexed="64"/>
      </bottom>
      <diagonal/>
    </border>
    <border>
      <left style="thin">
        <color indexed="64"/>
      </left>
      <right style="thin">
        <color indexed="8"/>
      </right>
      <top style="hair">
        <color indexed="12"/>
      </top>
      <bottom style="medium">
        <color indexed="64"/>
      </bottom>
      <diagonal/>
    </border>
    <border>
      <left style="thin">
        <color indexed="8"/>
      </left>
      <right style="thin">
        <color indexed="64"/>
      </right>
      <top style="hair">
        <color indexed="12"/>
      </top>
      <bottom style="medium">
        <color indexed="64"/>
      </bottom>
      <diagonal/>
    </border>
    <border>
      <left/>
      <right/>
      <top style="hair">
        <color indexed="12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12"/>
      </top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8"/>
      </right>
      <top style="hair">
        <color indexed="12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12"/>
      </top>
      <bottom style="medium">
        <color indexed="64"/>
      </bottom>
      <diagonal/>
    </border>
    <border>
      <left style="thin">
        <color indexed="8"/>
      </left>
      <right/>
      <top style="hair">
        <color indexed="12"/>
      </top>
      <bottom style="medium">
        <color indexed="64"/>
      </bottom>
      <diagonal/>
    </border>
    <border>
      <left style="thin">
        <color indexed="64"/>
      </left>
      <right style="thin">
        <color indexed="8"/>
      </right>
      <top style="hair">
        <color indexed="12"/>
      </top>
      <bottom style="medium">
        <color indexed="64"/>
      </bottom>
      <diagonal/>
    </border>
    <border>
      <left style="thin">
        <color indexed="8"/>
      </left>
      <right style="thin">
        <color indexed="64"/>
      </right>
      <top style="hair">
        <color indexed="12"/>
      </top>
      <bottom style="medium">
        <color indexed="64"/>
      </bottom>
      <diagonal/>
    </border>
    <border>
      <left/>
      <right/>
      <top style="hair">
        <color indexed="12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12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tted">
        <color rgb="FFFFFF00"/>
      </left>
      <right/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</borders>
  <cellStyleXfs count="2962">
    <xf numFmtId="0" fontId="0" fillId="0" borderId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13" borderId="0" applyNumberFormat="0" applyBorder="0" applyAlignment="0" applyProtection="0">
      <alignment vertical="center"/>
    </xf>
    <xf numFmtId="0" fontId="14" fillId="14" borderId="27" applyNumberFormat="0" applyFont="0" applyAlignment="0" applyProtection="0">
      <alignment vertical="center"/>
    </xf>
    <xf numFmtId="0" fontId="15" fillId="0" borderId="28" applyNumberFormat="0" applyFill="0" applyAlignment="0" applyProtection="0">
      <alignment vertical="center"/>
    </xf>
    <xf numFmtId="0" fontId="16" fillId="0" borderId="29" applyNumberFormat="0" applyFill="0" applyAlignment="0" applyProtection="0">
      <alignment vertical="center"/>
    </xf>
    <xf numFmtId="0" fontId="17" fillId="0" borderId="30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15" borderId="31" applyNumberFormat="0" applyAlignment="0" applyProtection="0">
      <alignment vertical="center"/>
    </xf>
    <xf numFmtId="0" fontId="20" fillId="0" borderId="32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33" applyNumberFormat="0" applyFill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28" fillId="0" borderId="0">
      <protection locked="0"/>
    </xf>
    <xf numFmtId="0" fontId="12" fillId="0" borderId="0" applyFont="0" applyFill="0" applyBorder="0" applyAlignment="0" applyProtection="0"/>
    <xf numFmtId="0" fontId="29" fillId="0" borderId="0">
      <protection locked="0"/>
    </xf>
    <xf numFmtId="0" fontId="30" fillId="0" borderId="0">
      <protection locked="0"/>
    </xf>
    <xf numFmtId="0" fontId="31" fillId="0" borderId="0">
      <protection locked="0"/>
    </xf>
    <xf numFmtId="0" fontId="28" fillId="0" borderId="0">
      <protection locked="0"/>
    </xf>
    <xf numFmtId="0" fontId="29" fillId="0" borderId="0">
      <protection locked="0"/>
    </xf>
    <xf numFmtId="0" fontId="30" fillId="0" borderId="0">
      <protection locked="0"/>
    </xf>
    <xf numFmtId="0" fontId="31" fillId="0" borderId="0">
      <protection locked="0"/>
    </xf>
    <xf numFmtId="165" fontId="28" fillId="0" borderId="0">
      <protection locked="0"/>
    </xf>
    <xf numFmtId="0" fontId="32" fillId="0" borderId="0">
      <protection locked="0"/>
    </xf>
    <xf numFmtId="0" fontId="33" fillId="0" borderId="0"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12" fillId="0" borderId="0"/>
    <xf numFmtId="0" fontId="1" fillId="0" borderId="0"/>
    <xf numFmtId="0" fontId="12" fillId="0" borderId="0"/>
    <xf numFmtId="0" fontId="35" fillId="0" borderId="0" applyAlignment="0"/>
    <xf numFmtId="0" fontId="36" fillId="27" borderId="0" applyNumberFormat="0" applyBorder="0" applyAlignment="0" applyProtection="0">
      <alignment vertical="center"/>
    </xf>
    <xf numFmtId="0" fontId="37" fillId="14" borderId="27" applyNumberFormat="0" applyFont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28" applyNumberFormat="0" applyFill="0" applyAlignment="0" applyProtection="0">
      <alignment vertical="center"/>
    </xf>
    <xf numFmtId="0" fontId="43" fillId="0" borderId="29" applyNumberFormat="0" applyFill="0" applyAlignment="0" applyProtection="0">
      <alignment vertical="center"/>
    </xf>
    <xf numFmtId="0" fontId="44" fillId="0" borderId="30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15" borderId="31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50" fillId="0" borderId="32" applyNumberFormat="0" applyFill="0" applyAlignment="0" applyProtection="0">
      <alignment vertical="center"/>
    </xf>
    <xf numFmtId="0" fontId="54" fillId="0" borderId="0"/>
    <xf numFmtId="0" fontId="12" fillId="0" borderId="0"/>
    <xf numFmtId="0" fontId="12" fillId="0" borderId="0"/>
    <xf numFmtId="41" fontId="1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41" fontId="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1" fontId="1" fillId="0" borderId="0" applyFont="0" applyFill="0" applyBorder="0" applyAlignment="0" applyProtection="0"/>
    <xf numFmtId="0" fontId="12" fillId="0" borderId="0"/>
    <xf numFmtId="41" fontId="1" fillId="0" borderId="0" applyFont="0" applyFill="0" applyBorder="0" applyAlignment="0" applyProtection="0"/>
    <xf numFmtId="0" fontId="12" fillId="0" borderId="0"/>
    <xf numFmtId="0" fontId="12" fillId="0" borderId="0"/>
    <xf numFmtId="0" fontId="2" fillId="0" borderId="0"/>
    <xf numFmtId="0" fontId="12" fillId="0" borderId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30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9" fillId="15" borderId="207" applyNumberFormat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9" fillId="15" borderId="207" applyNumberFormat="0" applyAlignment="0" applyProtection="0">
      <alignment vertical="center"/>
    </xf>
    <xf numFmtId="0" fontId="45" fillId="15" borderId="207" applyNumberFormat="0" applyAlignment="0" applyProtection="0">
      <alignment vertical="center"/>
    </xf>
    <xf numFmtId="41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45" fillId="15" borderId="207" applyNumberFormat="0" applyAlignment="0" applyProtection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14" borderId="27" applyNumberFormat="0" applyFont="0" applyAlignment="0" applyProtection="0">
      <alignment vertical="center"/>
    </xf>
    <xf numFmtId="0" fontId="14" fillId="14" borderId="27" applyNumberFormat="0" applyFont="0" applyAlignment="0" applyProtection="0">
      <alignment vertical="center"/>
    </xf>
    <xf numFmtId="0" fontId="14" fillId="14" borderId="27" applyNumberFormat="0" applyFont="0" applyAlignment="0" applyProtection="0">
      <alignment vertical="center"/>
    </xf>
    <xf numFmtId="0" fontId="14" fillId="14" borderId="27" applyNumberFormat="0" applyFont="0" applyAlignment="0" applyProtection="0">
      <alignment vertical="center"/>
    </xf>
    <xf numFmtId="0" fontId="14" fillId="14" borderId="27" applyNumberFormat="0" applyFont="0" applyAlignment="0" applyProtection="0">
      <alignment vertical="center"/>
    </xf>
    <xf numFmtId="0" fontId="14" fillId="14" borderId="27" applyNumberFormat="0" applyFont="0" applyAlignment="0" applyProtection="0">
      <alignment vertical="center"/>
    </xf>
    <xf numFmtId="0" fontId="14" fillId="14" borderId="27" applyNumberFormat="0" applyFont="0" applyAlignment="0" applyProtection="0">
      <alignment vertical="center"/>
    </xf>
    <xf numFmtId="0" fontId="19" fillId="15" borderId="31" applyNumberFormat="0" applyAlignment="0" applyProtection="0">
      <alignment vertical="center"/>
    </xf>
    <xf numFmtId="0" fontId="19" fillId="15" borderId="31" applyNumberFormat="0" applyAlignment="0" applyProtection="0">
      <alignment vertical="center"/>
    </xf>
    <xf numFmtId="0" fontId="19" fillId="15" borderId="31" applyNumberFormat="0" applyAlignment="0" applyProtection="0">
      <alignment vertical="center"/>
    </xf>
    <xf numFmtId="0" fontId="19" fillId="15" borderId="31" applyNumberFormat="0" applyAlignment="0" applyProtection="0">
      <alignment vertical="center"/>
    </xf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28" fillId="0" borderId="0">
      <protection locked="0"/>
    </xf>
    <xf numFmtId="0" fontId="28" fillId="0" borderId="0">
      <protection locked="0"/>
    </xf>
    <xf numFmtId="0" fontId="28" fillId="0" borderId="0"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65" fontId="28" fillId="0" borderId="0">
      <protection locked="0"/>
    </xf>
    <xf numFmtId="165" fontId="28" fillId="0" borderId="0">
      <protection locked="0"/>
    </xf>
    <xf numFmtId="165" fontId="28" fillId="0" borderId="0">
      <protection locked="0"/>
    </xf>
    <xf numFmtId="0" fontId="32" fillId="0" borderId="0">
      <protection locked="0"/>
    </xf>
    <xf numFmtId="0" fontId="32" fillId="0" borderId="0">
      <protection locked="0"/>
    </xf>
    <xf numFmtId="0" fontId="32" fillId="0" borderId="0">
      <protection locked="0"/>
    </xf>
    <xf numFmtId="0" fontId="33" fillId="0" borderId="0">
      <protection locked="0"/>
    </xf>
    <xf numFmtId="0" fontId="33" fillId="0" borderId="0">
      <protection locked="0"/>
    </xf>
    <xf numFmtId="0" fontId="33" fillId="0" borderId="0">
      <protection locked="0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2" fillId="0" borderId="0"/>
    <xf numFmtId="0" fontId="12" fillId="0" borderId="0"/>
    <xf numFmtId="0" fontId="12" fillId="0" borderId="0"/>
    <xf numFmtId="0" fontId="157" fillId="0" borderId="0"/>
    <xf numFmtId="0" fontId="12" fillId="0" borderId="0"/>
    <xf numFmtId="0" fontId="12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8" fillId="0" borderId="227">
      <protection locked="0"/>
    </xf>
    <xf numFmtId="0" fontId="28" fillId="0" borderId="227">
      <protection locked="0"/>
    </xf>
    <xf numFmtId="0" fontId="28" fillId="0" borderId="227">
      <protection locked="0"/>
    </xf>
    <xf numFmtId="0" fontId="28" fillId="0" borderId="227">
      <protection locked="0"/>
    </xf>
    <xf numFmtId="0" fontId="37" fillId="14" borderId="27" applyNumberFormat="0" applyFont="0" applyAlignment="0" applyProtection="0">
      <alignment vertical="center"/>
    </xf>
    <xf numFmtId="0" fontId="37" fillId="14" borderId="27" applyNumberFormat="0" applyFont="0" applyAlignment="0" applyProtection="0">
      <alignment vertical="center"/>
    </xf>
    <xf numFmtId="0" fontId="37" fillId="14" borderId="27" applyNumberFormat="0" applyFont="0" applyAlignment="0" applyProtection="0">
      <alignment vertical="center"/>
    </xf>
    <xf numFmtId="0" fontId="37" fillId="14" borderId="27" applyNumberFormat="0" applyFont="0" applyAlignment="0" applyProtection="0">
      <alignment vertical="center"/>
    </xf>
    <xf numFmtId="0" fontId="37" fillId="14" borderId="27" applyNumberFormat="0" applyFont="0" applyAlignment="0" applyProtection="0">
      <alignment vertical="center"/>
    </xf>
    <xf numFmtId="0" fontId="37" fillId="14" borderId="27" applyNumberFormat="0" applyFont="0" applyAlignment="0" applyProtection="0">
      <alignment vertical="center"/>
    </xf>
    <xf numFmtId="0" fontId="37" fillId="14" borderId="27" applyNumberFormat="0" applyFont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45" fillId="15" borderId="31" applyNumberFormat="0" applyAlignment="0" applyProtection="0">
      <alignment vertical="center"/>
    </xf>
    <xf numFmtId="0" fontId="45" fillId="15" borderId="31" applyNumberFormat="0" applyAlignment="0" applyProtection="0">
      <alignment vertical="center"/>
    </xf>
    <xf numFmtId="0" fontId="45" fillId="15" borderId="31" applyNumberFormat="0" applyAlignment="0" applyProtection="0">
      <alignment vertical="center"/>
    </xf>
    <xf numFmtId="0" fontId="45" fillId="15" borderId="31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6" fillId="22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49" fillId="23" borderId="34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38" fillId="22" borderId="35" applyNumberFormat="0" applyAlignment="0" applyProtection="0">
      <alignment vertical="center"/>
    </xf>
    <xf numFmtId="0" fontId="12" fillId="0" borderId="0"/>
  </cellStyleXfs>
  <cellXfs count="1499">
    <xf numFmtId="0" fontId="0" fillId="0" borderId="0" xfId="0"/>
    <xf numFmtId="0" fontId="0" fillId="0" borderId="0" xfId="0" applyFont="1"/>
    <xf numFmtId="164" fontId="0" fillId="0" borderId="0" xfId="2" applyNumberFormat="1" applyFont="1"/>
    <xf numFmtId="0" fontId="6" fillId="4" borderId="0" xfId="0" applyFont="1" applyFill="1" applyAlignment="1">
      <alignment vertical="center"/>
    </xf>
    <xf numFmtId="164" fontId="6" fillId="5" borderId="0" xfId="2" applyNumberFormat="1" applyFont="1" applyFill="1" applyAlignment="1">
      <alignment vertical="center"/>
    </xf>
    <xf numFmtId="164" fontId="7" fillId="0" borderId="0" xfId="2" applyNumberFormat="1" applyFont="1"/>
    <xf numFmtId="164" fontId="10" fillId="8" borderId="12" xfId="2" applyNumberFormat="1" applyFont="1" applyFill="1" applyBorder="1" applyAlignment="1">
      <alignment horizontal="right"/>
    </xf>
    <xf numFmtId="164" fontId="10" fillId="8" borderId="13" xfId="2" applyNumberFormat="1" applyFont="1" applyFill="1" applyBorder="1" applyAlignment="1">
      <alignment horizontal="right"/>
    </xf>
    <xf numFmtId="164" fontId="10" fillId="8" borderId="13" xfId="2" applyNumberFormat="1" applyFont="1" applyFill="1" applyBorder="1" applyAlignment="1">
      <alignment horizontal="right" wrapText="1"/>
    </xf>
    <xf numFmtId="164" fontId="10" fillId="8" borderId="14" xfId="2" applyNumberFormat="1" applyFont="1" applyFill="1" applyBorder="1" applyAlignment="1">
      <alignment horizontal="right" wrapText="1"/>
    </xf>
    <xf numFmtId="164" fontId="3" fillId="9" borderId="15" xfId="2" applyNumberFormat="1" applyFont="1" applyFill="1" applyBorder="1"/>
    <xf numFmtId="164" fontId="5" fillId="9" borderId="16" xfId="2" applyNumberFormat="1" applyFont="1" applyFill="1" applyBorder="1"/>
    <xf numFmtId="164" fontId="5" fillId="9" borderId="17" xfId="2" applyNumberFormat="1" applyFont="1" applyFill="1" applyBorder="1"/>
    <xf numFmtId="164" fontId="3" fillId="10" borderId="18" xfId="2" applyNumberFormat="1" applyFont="1" applyFill="1" applyBorder="1"/>
    <xf numFmtId="164" fontId="5" fillId="10" borderId="19" xfId="2" applyNumberFormat="1" applyFont="1" applyFill="1" applyBorder="1"/>
    <xf numFmtId="164" fontId="5" fillId="10" borderId="20" xfId="2" applyNumberFormat="1" applyFont="1" applyFill="1" applyBorder="1"/>
    <xf numFmtId="164" fontId="11" fillId="5" borderId="21" xfId="2" applyNumberFormat="1" applyFont="1" applyFill="1" applyBorder="1"/>
    <xf numFmtId="164" fontId="11" fillId="5" borderId="22" xfId="2" applyNumberFormat="1" applyFont="1" applyFill="1" applyBorder="1"/>
    <xf numFmtId="164" fontId="11" fillId="5" borderId="23" xfId="2" applyNumberFormat="1" applyFont="1" applyFill="1" applyBorder="1"/>
    <xf numFmtId="164" fontId="4" fillId="0" borderId="24" xfId="2" applyNumberFormat="1" applyFont="1" applyBorder="1"/>
    <xf numFmtId="164" fontId="0" fillId="0" borderId="24" xfId="2" applyNumberFormat="1" applyFont="1" applyBorder="1"/>
    <xf numFmtId="164" fontId="4" fillId="0" borderId="25" xfId="2" applyNumberFormat="1" applyFont="1" applyBorder="1"/>
    <xf numFmtId="164" fontId="0" fillId="0" borderId="25" xfId="2" applyNumberFormat="1" applyFont="1" applyBorder="1"/>
    <xf numFmtId="164" fontId="4" fillId="11" borderId="25" xfId="2" applyNumberFormat="1" applyFont="1" applyFill="1" applyBorder="1" applyAlignment="1">
      <alignment horizontal="left" vertical="top"/>
    </xf>
    <xf numFmtId="164" fontId="0" fillId="11" borderId="25" xfId="2" applyNumberFormat="1" applyFont="1" applyFill="1" applyBorder="1" applyAlignment="1">
      <alignment horizontal="right" vertical="top" wrapText="1"/>
    </xf>
    <xf numFmtId="164" fontId="4" fillId="12" borderId="25" xfId="2" applyNumberFormat="1" applyFont="1" applyFill="1" applyBorder="1" applyAlignment="1">
      <alignment horizontal="left" vertical="top"/>
    </xf>
    <xf numFmtId="164" fontId="0" fillId="12" borderId="25" xfId="2" applyNumberFormat="1" applyFont="1" applyFill="1" applyBorder="1" applyAlignment="1">
      <alignment horizontal="right" vertical="top" wrapText="1"/>
    </xf>
    <xf numFmtId="0" fontId="4" fillId="0" borderId="0" xfId="0" applyFont="1" applyAlignment="1">
      <alignment horizontal="right"/>
    </xf>
    <xf numFmtId="164" fontId="4" fillId="0" borderId="0" xfId="2" applyNumberFormat="1" applyFont="1"/>
    <xf numFmtId="0" fontId="0" fillId="0" borderId="0" xfId="0" applyBorder="1"/>
    <xf numFmtId="0" fontId="55" fillId="0" borderId="0" xfId="417" applyFont="1" applyFill="1" applyBorder="1" applyAlignment="1">
      <alignment horizontal="center" vertical="center" wrapText="1"/>
    </xf>
    <xf numFmtId="0" fontId="0" fillId="0" borderId="0" xfId="0" applyFill="1" applyBorder="1"/>
    <xf numFmtId="0" fontId="55" fillId="29" borderId="0" xfId="417" applyFont="1" applyFill="1" applyBorder="1" applyAlignment="1">
      <alignment horizontal="center" vertical="center" wrapText="1"/>
    </xf>
    <xf numFmtId="0" fontId="0" fillId="0" borderId="0" xfId="0" applyFill="1"/>
    <xf numFmtId="166" fontId="0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Border="1" applyAlignment="1">
      <alignment horizontal="center"/>
    </xf>
    <xf numFmtId="0" fontId="0" fillId="0" borderId="0" xfId="0" applyNumberFormat="1" applyFill="1" applyBorder="1"/>
    <xf numFmtId="166" fontId="0" fillId="0" borderId="0" xfId="0" applyNumberFormat="1" applyFont="1" applyFill="1" applyBorder="1" applyAlignment="1" applyProtection="1">
      <alignment horizontal="center"/>
      <protection locked="0"/>
    </xf>
    <xf numFmtId="166" fontId="0" fillId="0" borderId="0" xfId="0" applyNumberFormat="1" applyFill="1" applyBorder="1" applyAlignment="1" applyProtection="1">
      <alignment horizontal="center"/>
      <protection locked="0"/>
    </xf>
    <xf numFmtId="3" fontId="58" fillId="0" borderId="0" xfId="418" applyNumberFormat="1" applyFont="1" applyFill="1" applyAlignment="1" applyProtection="1">
      <alignment horizontal="left" vertical="center"/>
      <protection locked="0"/>
    </xf>
    <xf numFmtId="0" fontId="58" fillId="0" borderId="0" xfId="418" applyFont="1" applyFill="1" applyAlignment="1" applyProtection="1">
      <alignment horizontal="left" vertical="center"/>
      <protection locked="0"/>
    </xf>
    <xf numFmtId="3" fontId="58" fillId="0" borderId="0" xfId="418" applyNumberFormat="1" applyFont="1" applyFill="1" applyAlignment="1" applyProtection="1">
      <alignment horizontal="center" vertical="center"/>
      <protection locked="0"/>
    </xf>
    <xf numFmtId="43" fontId="58" fillId="0" borderId="0" xfId="1" applyFont="1" applyFill="1" applyAlignment="1" applyProtection="1">
      <alignment horizontal="right" vertical="center"/>
      <protection locked="0"/>
    </xf>
    <xf numFmtId="3" fontId="58" fillId="0" borderId="0" xfId="418" applyNumberFormat="1" applyFont="1" applyFill="1" applyBorder="1" applyAlignment="1" applyProtection="1">
      <alignment horizontal="left" vertical="center"/>
      <protection locked="0"/>
    </xf>
    <xf numFmtId="0" fontId="58" fillId="0" borderId="0" xfId="418" applyFont="1" applyFill="1" applyBorder="1" applyAlignment="1" applyProtection="1">
      <alignment horizontal="left" vertical="center"/>
      <protection locked="0"/>
    </xf>
    <xf numFmtId="3" fontId="58" fillId="0" borderId="0" xfId="418" applyNumberFormat="1" applyFont="1" applyFill="1" applyBorder="1" applyAlignment="1" applyProtection="1">
      <alignment horizontal="center" vertical="center"/>
      <protection locked="0"/>
    </xf>
    <xf numFmtId="43" fontId="58" fillId="0" borderId="0" xfId="1" applyFont="1" applyFill="1" applyBorder="1" applyAlignment="1" applyProtection="1">
      <alignment horizontal="right" vertical="center"/>
      <protection locked="0"/>
    </xf>
    <xf numFmtId="0" fontId="60" fillId="0" borderId="0" xfId="0" applyFont="1" applyAlignment="1">
      <alignment horizontal="left" vertical="center"/>
    </xf>
    <xf numFmtId="0" fontId="60" fillId="0" borderId="8" xfId="0" applyFont="1" applyBorder="1" applyAlignment="1">
      <alignment horizontal="left" vertical="center"/>
    </xf>
    <xf numFmtId="0" fontId="60" fillId="0" borderId="0" xfId="0" applyFont="1" applyBorder="1" applyAlignment="1">
      <alignment horizontal="left" vertical="center"/>
    </xf>
    <xf numFmtId="0" fontId="60" fillId="0" borderId="9" xfId="0" applyFont="1" applyBorder="1" applyAlignment="1">
      <alignment horizontal="left" vertical="center"/>
    </xf>
    <xf numFmtId="0" fontId="59" fillId="0" borderId="0" xfId="0" applyFont="1" applyBorder="1" applyAlignment="1">
      <alignment horizontal="left" vertical="center"/>
    </xf>
    <xf numFmtId="0" fontId="61" fillId="0" borderId="0" xfId="0" applyFont="1" applyBorder="1" applyAlignment="1">
      <alignment vertical="top"/>
    </xf>
    <xf numFmtId="0" fontId="60" fillId="0" borderId="0" xfId="0" applyFont="1" applyBorder="1" applyAlignment="1">
      <alignment horizontal="center" vertical="center"/>
    </xf>
    <xf numFmtId="0" fontId="59" fillId="0" borderId="1" xfId="0" applyFont="1" applyBorder="1" applyAlignment="1">
      <alignment vertical="center"/>
    </xf>
    <xf numFmtId="0" fontId="53" fillId="0" borderId="0" xfId="0" applyFont="1" applyBorder="1" applyAlignment="1">
      <alignment horizontal="left" vertical="center"/>
    </xf>
    <xf numFmtId="0" fontId="53" fillId="0" borderId="0" xfId="0" applyFont="1" applyBorder="1" applyAlignment="1">
      <alignment horizontal="center" vertical="center"/>
    </xf>
    <xf numFmtId="0" fontId="59" fillId="0" borderId="26" xfId="0" applyFont="1" applyBorder="1" applyAlignment="1">
      <alignment vertical="center"/>
    </xf>
    <xf numFmtId="0" fontId="53" fillId="0" borderId="1" xfId="0" applyFont="1" applyBorder="1" applyAlignment="1">
      <alignment horizontal="left" vertical="center"/>
    </xf>
    <xf numFmtId="0" fontId="53" fillId="0" borderId="1" xfId="0" applyFont="1" applyBorder="1" applyAlignment="1">
      <alignment vertical="center"/>
    </xf>
    <xf numFmtId="0" fontId="63" fillId="0" borderId="1" xfId="0" applyFont="1" applyBorder="1" applyAlignment="1">
      <alignment vertical="center"/>
    </xf>
    <xf numFmtId="0" fontId="64" fillId="0" borderId="0" xfId="0" applyFont="1" applyBorder="1" applyAlignment="1">
      <alignment horizontal="left" vertical="center"/>
    </xf>
    <xf numFmtId="0" fontId="65" fillId="0" borderId="0" xfId="0" applyFont="1" applyBorder="1" applyAlignment="1">
      <alignment vertical="center"/>
    </xf>
    <xf numFmtId="0" fontId="60" fillId="0" borderId="10" xfId="0" applyFont="1" applyBorder="1" applyAlignment="1">
      <alignment horizontal="left" vertical="center"/>
    </xf>
    <xf numFmtId="0" fontId="60" fillId="0" borderId="5" xfId="0" applyFont="1" applyBorder="1" applyAlignment="1">
      <alignment horizontal="left" vertical="center"/>
    </xf>
    <xf numFmtId="0" fontId="60" fillId="0" borderId="11" xfId="0" applyFont="1" applyBorder="1" applyAlignment="1">
      <alignment horizontal="left" vertical="center"/>
    </xf>
    <xf numFmtId="0" fontId="67" fillId="0" borderId="6" xfId="0" applyFont="1" applyFill="1" applyBorder="1" applyAlignment="1">
      <alignment vertical="center" wrapText="1"/>
    </xf>
    <xf numFmtId="0" fontId="67" fillId="0" borderId="4" xfId="0" applyFont="1" applyFill="1" applyBorder="1" applyAlignment="1">
      <alignment vertical="center" wrapText="1"/>
    </xf>
    <xf numFmtId="0" fontId="68" fillId="0" borderId="4" xfId="0" applyFont="1" applyFill="1" applyBorder="1" applyAlignment="1">
      <alignment vertical="center" wrapText="1"/>
    </xf>
    <xf numFmtId="0" fontId="60" fillId="0" borderId="4" xfId="0" applyFont="1" applyFill="1" applyBorder="1" applyAlignment="1">
      <alignment vertical="center" wrapText="1"/>
    </xf>
    <xf numFmtId="0" fontId="60" fillId="0" borderId="7" xfId="0" applyFont="1" applyFill="1" applyBorder="1" applyAlignment="1">
      <alignment vertical="center" wrapText="1"/>
    </xf>
    <xf numFmtId="0" fontId="52" fillId="0" borderId="39" xfId="0" applyNumberFormat="1" applyFont="1" applyBorder="1" applyAlignment="1">
      <alignment vertical="center"/>
    </xf>
    <xf numFmtId="0" fontId="62" fillId="0" borderId="2" xfId="0" applyNumberFormat="1" applyFont="1" applyBorder="1" applyAlignment="1">
      <alignment vertical="center"/>
    </xf>
    <xf numFmtId="0" fontId="62" fillId="0" borderId="40" xfId="0" applyNumberFormat="1" applyFont="1" applyBorder="1" applyAlignment="1">
      <alignment vertical="center"/>
    </xf>
    <xf numFmtId="0" fontId="62" fillId="0" borderId="39" xfId="0" applyFont="1" applyBorder="1" applyAlignment="1">
      <alignment vertical="center"/>
    </xf>
    <xf numFmtId="0" fontId="52" fillId="0" borderId="2" xfId="0" applyNumberFormat="1" applyFont="1" applyBorder="1" applyAlignment="1">
      <alignment vertical="center"/>
    </xf>
    <xf numFmtId="0" fontId="62" fillId="0" borderId="39" xfId="0" applyFont="1" applyBorder="1" applyAlignment="1">
      <alignment horizontal="left" vertical="center"/>
    </xf>
    <xf numFmtId="0" fontId="52" fillId="0" borderId="39" xfId="0" applyFont="1" applyBorder="1" applyAlignment="1">
      <alignment horizontal="left" vertical="center"/>
    </xf>
    <xf numFmtId="0" fontId="62" fillId="0" borderId="2" xfId="0" applyFont="1" applyBorder="1" applyAlignment="1">
      <alignment horizontal="left" vertical="center"/>
    </xf>
    <xf numFmtId="0" fontId="53" fillId="0" borderId="1" xfId="0" applyFont="1" applyBorder="1" applyAlignment="1">
      <alignment horizontal="center" vertical="center"/>
    </xf>
    <xf numFmtId="166" fontId="0" fillId="0" borderId="36" xfId="0" applyNumberFormat="1" applyFont="1" applyFill="1" applyBorder="1" applyAlignment="1"/>
    <xf numFmtId="0" fontId="53" fillId="3" borderId="0" xfId="0" applyFont="1" applyFill="1" applyBorder="1" applyAlignment="1">
      <alignment horizontal="left" vertical="center"/>
    </xf>
    <xf numFmtId="0" fontId="65" fillId="0" borderId="8" xfId="0" applyFont="1" applyBorder="1" applyAlignment="1">
      <alignment horizontal="left" vertical="center"/>
    </xf>
    <xf numFmtId="0" fontId="65" fillId="0" borderId="0" xfId="0" applyFont="1" applyBorder="1" applyAlignment="1">
      <alignment horizontal="left" vertical="center"/>
    </xf>
    <xf numFmtId="0" fontId="71" fillId="0" borderId="0" xfId="0" applyFont="1" applyBorder="1" applyAlignment="1">
      <alignment vertical="top"/>
    </xf>
    <xf numFmtId="0" fontId="65" fillId="0" borderId="9" xfId="0" applyFont="1" applyBorder="1" applyAlignment="1">
      <alignment horizontal="left" vertical="center"/>
    </xf>
    <xf numFmtId="0" fontId="65" fillId="0" borderId="0" xfId="0" applyFont="1" applyAlignment="1">
      <alignment horizontal="left" vertical="center"/>
    </xf>
    <xf numFmtId="0" fontId="65" fillId="0" borderId="2" xfId="0" applyFont="1" applyBorder="1" applyAlignment="1">
      <alignment vertical="center"/>
    </xf>
    <xf numFmtId="0" fontId="65" fillId="0" borderId="2" xfId="0" applyFont="1" applyBorder="1" applyAlignment="1">
      <alignment horizontal="left" vertical="center"/>
    </xf>
    <xf numFmtId="0" fontId="65" fillId="0" borderId="2" xfId="0" applyFont="1" applyBorder="1" applyAlignment="1">
      <alignment horizontal="center" vertical="center"/>
    </xf>
    <xf numFmtId="0" fontId="53" fillId="0" borderId="2" xfId="0" applyFont="1" applyBorder="1" applyAlignment="1">
      <alignment vertical="center"/>
    </xf>
    <xf numFmtId="0" fontId="53" fillId="0" borderId="0" xfId="0" applyFont="1" applyAlignment="1">
      <alignment horizontal="left" vertical="center"/>
    </xf>
    <xf numFmtId="0" fontId="72" fillId="0" borderId="1" xfId="0" applyFont="1" applyBorder="1" applyAlignment="1">
      <alignment vertical="center"/>
    </xf>
    <xf numFmtId="166" fontId="0" fillId="0" borderId="0" xfId="0" applyNumberFormat="1" applyFont="1" applyFill="1" applyBorder="1" applyAlignment="1"/>
    <xf numFmtId="0" fontId="0" fillId="31" borderId="41" xfId="0" applyNumberFormat="1" applyFont="1" applyFill="1" applyBorder="1" applyAlignment="1">
      <alignment horizontal="center"/>
    </xf>
    <xf numFmtId="0" fontId="0" fillId="31" borderId="42" xfId="0" applyFont="1" applyFill="1" applyBorder="1" applyAlignment="1">
      <alignment horizontal="center" vertical="center"/>
    </xf>
    <xf numFmtId="0" fontId="0" fillId="31" borderId="42" xfId="0" applyFont="1" applyFill="1" applyBorder="1"/>
    <xf numFmtId="0" fontId="0" fillId="5" borderId="43" xfId="0" applyFill="1" applyBorder="1"/>
    <xf numFmtId="0" fontId="0" fillId="0" borderId="41" xfId="0" applyNumberFormat="1" applyFont="1" applyFill="1" applyBorder="1" applyAlignment="1">
      <alignment horizontal="center"/>
    </xf>
    <xf numFmtId="0" fontId="0" fillId="0" borderId="42" xfId="0" applyFont="1" applyFill="1" applyBorder="1" applyAlignment="1">
      <alignment horizontal="center" vertical="center"/>
    </xf>
    <xf numFmtId="0" fontId="0" fillId="0" borderId="42" xfId="0" applyFont="1" applyFill="1" applyBorder="1"/>
    <xf numFmtId="0" fontId="0" fillId="0" borderId="44" xfId="0" applyNumberFormat="1" applyFont="1" applyFill="1" applyBorder="1" applyAlignment="1">
      <alignment horizontal="center"/>
    </xf>
    <xf numFmtId="0" fontId="0" fillId="0" borderId="45" xfId="0" applyFont="1" applyFill="1" applyBorder="1" applyAlignment="1">
      <alignment horizontal="center" vertical="center"/>
    </xf>
    <xf numFmtId="0" fontId="0" fillId="0" borderId="45" xfId="0" applyFont="1" applyFill="1" applyBorder="1"/>
    <xf numFmtId="0" fontId="0" fillId="0" borderId="45" xfId="0" applyFill="1" applyBorder="1"/>
    <xf numFmtId="0" fontId="0" fillId="0" borderId="45" xfId="0" applyFill="1" applyBorder="1" applyAlignment="1">
      <alignment horizontal="center" vertical="center"/>
    </xf>
    <xf numFmtId="0" fontId="0" fillId="5" borderId="46" xfId="0" applyFill="1" applyBorder="1"/>
    <xf numFmtId="0" fontId="0" fillId="31" borderId="47" xfId="0" applyNumberFormat="1" applyFont="1" applyFill="1" applyBorder="1" applyAlignment="1">
      <alignment horizontal="center"/>
    </xf>
    <xf numFmtId="0" fontId="0" fillId="31" borderId="48" xfId="0" applyFont="1" applyFill="1" applyBorder="1" applyAlignment="1">
      <alignment horizontal="center" vertical="center"/>
    </xf>
    <xf numFmtId="0" fontId="0" fillId="31" borderId="48" xfId="0" applyFont="1" applyFill="1" applyBorder="1"/>
    <xf numFmtId="0" fontId="0" fillId="5" borderId="49" xfId="0" applyFill="1" applyBorder="1"/>
    <xf numFmtId="0" fontId="74" fillId="30" borderId="50" xfId="0" applyFont="1" applyFill="1" applyBorder="1" applyAlignment="1">
      <alignment horizontal="center" vertical="center"/>
    </xf>
    <xf numFmtId="0" fontId="74" fillId="30" borderId="51" xfId="0" applyFont="1" applyFill="1" applyBorder="1" applyAlignment="1">
      <alignment vertical="center"/>
    </xf>
    <xf numFmtId="0" fontId="74" fillId="32" borderId="51" xfId="0" applyFont="1" applyFill="1" applyBorder="1" applyAlignment="1">
      <alignment vertical="center"/>
    </xf>
    <xf numFmtId="0" fontId="4" fillId="5" borderId="52" xfId="0" applyFont="1" applyFill="1" applyBorder="1"/>
    <xf numFmtId="0" fontId="0" fillId="0" borderId="0" xfId="0" applyFont="1" applyBorder="1" applyProtection="1"/>
    <xf numFmtId="0" fontId="11" fillId="29" borderId="0" xfId="417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56" fillId="0" borderId="0" xfId="418" applyFont="1" applyFill="1" applyAlignment="1" applyProtection="1">
      <alignment horizontal="left"/>
      <protection locked="0"/>
    </xf>
    <xf numFmtId="0" fontId="56" fillId="0" borderId="0" xfId="418" applyFont="1" applyFill="1" applyAlignment="1" applyProtection="1">
      <alignment horizontal="center"/>
      <protection locked="0"/>
    </xf>
    <xf numFmtId="43" fontId="56" fillId="0" borderId="0" xfId="1" applyFont="1" applyFill="1" applyBorder="1" applyAlignment="1" applyProtection="1">
      <alignment horizontal="center" vertical="center"/>
      <protection locked="0"/>
    </xf>
    <xf numFmtId="43" fontId="73" fillId="0" borderId="0" xfId="1" applyFont="1" applyFill="1" applyBorder="1" applyProtection="1">
      <protection locked="0"/>
    </xf>
    <xf numFmtId="0" fontId="0" fillId="0" borderId="0" xfId="0" applyProtection="1">
      <protection locked="0"/>
    </xf>
    <xf numFmtId="3" fontId="57" fillId="0" borderId="0" xfId="418" applyNumberFormat="1" applyFont="1" applyFill="1" applyAlignment="1" applyProtection="1">
      <alignment horizontal="left" vertical="center"/>
      <protection locked="0"/>
    </xf>
    <xf numFmtId="0" fontId="57" fillId="0" borderId="0" xfId="418" applyFont="1" applyFill="1" applyAlignment="1" applyProtection="1">
      <alignment horizontal="left" vertical="center"/>
      <protection locked="0"/>
    </xf>
    <xf numFmtId="3" fontId="57" fillId="0" borderId="0" xfId="418" applyNumberFormat="1" applyFont="1" applyFill="1" applyAlignment="1" applyProtection="1">
      <alignment horizontal="center" vertical="center"/>
      <protection locked="0"/>
    </xf>
    <xf numFmtId="4" fontId="57" fillId="0" borderId="0" xfId="418" applyNumberFormat="1" applyFont="1" applyFill="1" applyAlignment="1" applyProtection="1">
      <alignment horizontal="right" vertical="center"/>
      <protection locked="0"/>
    </xf>
    <xf numFmtId="0" fontId="0" fillId="0" borderId="0" xfId="0" applyBorder="1" applyProtection="1">
      <protection locked="0"/>
    </xf>
    <xf numFmtId="0" fontId="52" fillId="0" borderId="1" xfId="0" applyFont="1" applyFill="1" applyBorder="1" applyAlignment="1">
      <alignment vertical="center"/>
    </xf>
    <xf numFmtId="0" fontId="52" fillId="0" borderId="1" xfId="0" quotePrefix="1" applyFont="1" applyFill="1" applyBorder="1" applyAlignment="1">
      <alignment vertical="center"/>
    </xf>
    <xf numFmtId="0" fontId="59" fillId="0" borderId="0" xfId="0" applyFont="1" applyFill="1" applyBorder="1" applyAlignment="1">
      <alignment horizontal="left" vertical="center"/>
    </xf>
    <xf numFmtId="0" fontId="52" fillId="0" borderId="0" xfId="0" quotePrefix="1" applyFont="1" applyFill="1" applyBorder="1" applyAlignment="1"/>
    <xf numFmtId="0" fontId="61" fillId="0" borderId="0" xfId="0" applyFont="1" applyFill="1" applyBorder="1" applyAlignment="1"/>
    <xf numFmtId="0" fontId="52" fillId="0" borderId="0" xfId="0" applyFont="1" applyBorder="1" applyAlignment="1">
      <alignment vertical="center"/>
    </xf>
    <xf numFmtId="0" fontId="0" fillId="33" borderId="0" xfId="0" applyNumberFormat="1" applyFont="1" applyFill="1" applyBorder="1"/>
    <xf numFmtId="0" fontId="0" fillId="33" borderId="0" xfId="0" applyNumberFormat="1" applyFont="1" applyFill="1" applyBorder="1" applyAlignment="1">
      <alignment horizontal="center" vertical="center"/>
    </xf>
    <xf numFmtId="166" fontId="0" fillId="33" borderId="0" xfId="0" applyNumberFormat="1" applyFont="1" applyFill="1" applyBorder="1" applyAlignment="1">
      <alignment horizontal="center"/>
    </xf>
    <xf numFmtId="0" fontId="0" fillId="33" borderId="0" xfId="0" applyNumberFormat="1" applyFont="1" applyFill="1" applyBorder="1" applyProtection="1"/>
    <xf numFmtId="0" fontId="0" fillId="33" borderId="0" xfId="0" applyNumberFormat="1" applyFont="1" applyFill="1" applyBorder="1" applyAlignment="1" applyProtection="1">
      <alignment horizontal="center" vertical="center"/>
    </xf>
    <xf numFmtId="0" fontId="0" fillId="33" borderId="0" xfId="0" applyNumberFormat="1" applyFill="1" applyBorder="1"/>
    <xf numFmtId="3" fontId="52" fillId="0" borderId="1" xfId="0" applyNumberFormat="1" applyFont="1" applyBorder="1" applyAlignment="1">
      <alignment vertical="center"/>
    </xf>
    <xf numFmtId="0" fontId="72" fillId="5" borderId="53" xfId="0" applyFont="1" applyFill="1" applyBorder="1" applyAlignment="1" applyProtection="1">
      <alignment horizontal="center" vertical="center"/>
      <protection locked="0"/>
    </xf>
    <xf numFmtId="0" fontId="52" fillId="5" borderId="2" xfId="0" applyNumberFormat="1" applyFont="1" applyFill="1" applyBorder="1" applyAlignment="1" applyProtection="1">
      <alignment vertical="center"/>
      <protection locked="0"/>
    </xf>
    <xf numFmtId="0" fontId="52" fillId="5" borderId="40" xfId="0" applyNumberFormat="1" applyFont="1" applyFill="1" applyBorder="1" applyAlignment="1" applyProtection="1">
      <alignment vertical="center"/>
      <protection locked="0"/>
    </xf>
    <xf numFmtId="0" fontId="11" fillId="29" borderId="58" xfId="417" applyFont="1" applyFill="1" applyBorder="1" applyAlignment="1">
      <alignment horizontal="center" vertical="center" wrapText="1"/>
    </xf>
    <xf numFmtId="0" fontId="68" fillId="0" borderId="0" xfId="0" applyFont="1" applyAlignment="1">
      <alignment horizontal="left" vertical="center"/>
    </xf>
    <xf numFmtId="0" fontId="60" fillId="0" borderId="0" xfId="0" applyFont="1" applyBorder="1" applyAlignment="1" applyProtection="1">
      <alignment horizontal="left" vertical="center"/>
      <protection locked="0"/>
    </xf>
    <xf numFmtId="0" fontId="66" fillId="0" borderId="0" xfId="0" applyFont="1" applyBorder="1" applyAlignment="1">
      <alignment horizontal="left" vertical="center"/>
    </xf>
    <xf numFmtId="43" fontId="66" fillId="0" borderId="0" xfId="1" applyFont="1" applyBorder="1" applyAlignment="1">
      <alignment horizontal="left" vertical="center"/>
    </xf>
    <xf numFmtId="167" fontId="56" fillId="0" borderId="0" xfId="418" applyNumberFormat="1" applyFont="1" applyFill="1" applyAlignment="1" applyProtection="1">
      <alignment horizontal="center"/>
      <protection locked="0"/>
    </xf>
    <xf numFmtId="167" fontId="58" fillId="0" borderId="0" xfId="418" applyNumberFormat="1" applyFont="1" applyFill="1" applyAlignment="1" applyProtection="1">
      <alignment horizontal="center" vertical="center"/>
      <protection locked="0"/>
    </xf>
    <xf numFmtId="167" fontId="58" fillId="0" borderId="0" xfId="418" applyNumberFormat="1" applyFont="1" applyFill="1" applyBorder="1" applyAlignment="1" applyProtection="1">
      <alignment horizontal="center" vertical="center"/>
      <protection locked="0"/>
    </xf>
    <xf numFmtId="0" fontId="11" fillId="29" borderId="91" xfId="417" applyFont="1" applyFill="1" applyBorder="1" applyAlignment="1">
      <alignment horizontal="center" vertical="center"/>
    </xf>
    <xf numFmtId="0" fontId="11" fillId="29" borderId="58" xfId="417" applyFont="1" applyFill="1" applyBorder="1" applyAlignment="1">
      <alignment horizontal="center" vertical="center"/>
    </xf>
    <xf numFmtId="43" fontId="0" fillId="0" borderId="0" xfId="1" applyFont="1"/>
    <xf numFmtId="0" fontId="0" fillId="0" borderId="0" xfId="0" applyNumberFormat="1" applyFont="1" applyBorder="1" applyProtection="1"/>
    <xf numFmtId="0" fontId="0" fillId="0" borderId="0" xfId="0" applyNumberFormat="1" applyBorder="1" applyProtection="1"/>
    <xf numFmtId="0" fontId="0" fillId="0" borderId="0" xfId="0" applyNumberFormat="1" applyFont="1" applyBorder="1" applyAlignment="1" applyProtection="1">
      <alignment horizontal="center" vertical="center"/>
    </xf>
    <xf numFmtId="0" fontId="0" fillId="0" borderId="0" xfId="0" applyNumberFormat="1" applyBorder="1"/>
    <xf numFmtId="0" fontId="0" fillId="0" borderId="0" xfId="0" quotePrefix="1" applyNumberFormat="1" applyFill="1"/>
    <xf numFmtId="0" fontId="0" fillId="0" borderId="0" xfId="0" quotePrefix="1" applyNumberFormat="1" applyFill="1" applyBorder="1"/>
    <xf numFmtId="0" fontId="0" fillId="0" borderId="0" xfId="0" applyAlignment="1">
      <alignment vertical="center"/>
    </xf>
    <xf numFmtId="166" fontId="4" fillId="5" borderId="0" xfId="0" applyNumberFormat="1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left" vertical="center"/>
      <protection locked="0"/>
    </xf>
    <xf numFmtId="0" fontId="0" fillId="5" borderId="0" xfId="0" applyFill="1" applyBorder="1"/>
    <xf numFmtId="0" fontId="0" fillId="5" borderId="0" xfId="0" quotePrefix="1" applyFill="1" applyBorder="1"/>
    <xf numFmtId="0" fontId="0" fillId="5" borderId="0" xfId="0" quotePrefix="1" applyNumberFormat="1" applyFill="1"/>
    <xf numFmtId="166" fontId="0" fillId="0" borderId="0" xfId="0" applyNumberFormat="1"/>
    <xf numFmtId="0" fontId="3" fillId="30" borderId="93" xfId="0" applyFont="1" applyFill="1" applyBorder="1" applyAlignment="1">
      <alignment horizontal="center" vertical="center"/>
    </xf>
    <xf numFmtId="0" fontId="0" fillId="0" borderId="0" xfId="0" applyAlignment="1" applyProtection="1"/>
    <xf numFmtId="0" fontId="0" fillId="0" borderId="0" xfId="0" applyFont="1" applyFill="1" applyBorder="1" applyAlignment="1" applyProtection="1"/>
    <xf numFmtId="0" fontId="81" fillId="35" borderId="56" xfId="0" applyFont="1" applyFill="1" applyBorder="1" applyAlignment="1" applyProtection="1">
      <alignment horizontal="left" indent="2"/>
    </xf>
    <xf numFmtId="0" fontId="75" fillId="35" borderId="57" xfId="0" applyFont="1" applyFill="1" applyBorder="1" applyAlignment="1" applyProtection="1"/>
    <xf numFmtId="0" fontId="75" fillId="35" borderId="0" xfId="0" applyFont="1" applyFill="1" applyBorder="1" applyAlignment="1" applyProtection="1">
      <alignment horizontal="center" vertical="center"/>
    </xf>
    <xf numFmtId="0" fontId="81" fillId="35" borderId="92" xfId="0" applyFont="1" applyFill="1" applyBorder="1" applyAlignment="1" applyProtection="1">
      <alignment horizontal="left" indent="2"/>
    </xf>
    <xf numFmtId="0" fontId="75" fillId="35" borderId="0" xfId="0" applyFont="1" applyFill="1" applyBorder="1" applyAlignment="1" applyProtection="1"/>
    <xf numFmtId="0" fontId="75" fillId="35" borderId="0" xfId="0" applyFont="1" applyFill="1" applyBorder="1" applyAlignment="1" applyProtection="1">
      <alignment vertical="center"/>
    </xf>
    <xf numFmtId="0" fontId="75" fillId="35" borderId="55" xfId="0" applyFont="1" applyFill="1" applyBorder="1" applyAlignment="1" applyProtection="1">
      <alignment vertical="center"/>
    </xf>
    <xf numFmtId="0" fontId="62" fillId="0" borderId="0" xfId="0" applyFont="1" applyFill="1" applyBorder="1" applyAlignment="1" applyProtection="1">
      <alignment vertical="center"/>
    </xf>
    <xf numFmtId="0" fontId="58" fillId="0" borderId="0" xfId="0" applyFont="1" applyFill="1" applyAlignment="1" applyProtection="1"/>
    <xf numFmtId="0" fontId="11" fillId="0" borderId="56" xfId="0" applyFont="1" applyFill="1" applyBorder="1" applyAlignment="1" applyProtection="1">
      <alignment horizontal="left" indent="2"/>
    </xf>
    <xf numFmtId="0" fontId="11" fillId="0" borderId="57" xfId="0" applyFont="1" applyFill="1" applyBorder="1" applyAlignment="1" applyProtection="1"/>
    <xf numFmtId="0" fontId="11" fillId="0" borderId="0" xfId="0" applyFont="1" applyFill="1" applyBorder="1" applyAlignment="1" applyProtection="1">
      <alignment horizontal="center" vertical="center"/>
    </xf>
    <xf numFmtId="0" fontId="58" fillId="0" borderId="0" xfId="0" applyFont="1" applyFill="1" applyBorder="1" applyAlignment="1" applyProtection="1"/>
    <xf numFmtId="0" fontId="11" fillId="0" borderId="59" xfId="0" applyFont="1" applyFill="1" applyBorder="1" applyAlignment="1" applyProtection="1">
      <alignment horizontal="centerContinuous" vertical="center"/>
    </xf>
    <xf numFmtId="0" fontId="11" fillId="0" borderId="60" xfId="0" applyFont="1" applyFill="1" applyBorder="1" applyAlignment="1" applyProtection="1">
      <alignment horizontal="centerContinuous" vertical="center"/>
    </xf>
    <xf numFmtId="0" fontId="55" fillId="37" borderId="70" xfId="417" applyFont="1" applyFill="1" applyBorder="1" applyAlignment="1" applyProtection="1">
      <alignment horizontal="center" vertical="center"/>
    </xf>
    <xf numFmtId="0" fontId="55" fillId="37" borderId="71" xfId="417" applyFont="1" applyFill="1" applyBorder="1" applyAlignment="1" applyProtection="1">
      <alignment horizontal="center" vertical="center"/>
    </xf>
    <xf numFmtId="0" fontId="55" fillId="37" borderId="86" xfId="417" applyFont="1" applyFill="1" applyBorder="1" applyAlignment="1" applyProtection="1">
      <alignment horizontal="center" vertical="center"/>
    </xf>
    <xf numFmtId="0" fontId="0" fillId="36" borderId="61" xfId="0" applyFont="1" applyFill="1" applyBorder="1" applyAlignment="1" applyProtection="1"/>
    <xf numFmtId="0" fontId="55" fillId="37" borderId="89" xfId="417" applyFont="1" applyFill="1" applyBorder="1" applyAlignment="1" applyProtection="1">
      <alignment horizontal="center" vertical="center"/>
    </xf>
    <xf numFmtId="0" fontId="55" fillId="37" borderId="72" xfId="417" applyFont="1" applyFill="1" applyBorder="1" applyAlignment="1" applyProtection="1">
      <alignment horizontal="center" vertical="center"/>
    </xf>
    <xf numFmtId="0" fontId="55" fillId="34" borderId="79" xfId="417" applyFont="1" applyFill="1" applyBorder="1" applyAlignment="1" applyProtection="1">
      <alignment horizontal="center" vertical="center"/>
    </xf>
    <xf numFmtId="0" fontId="55" fillId="34" borderId="80" xfId="417" applyFont="1" applyFill="1" applyBorder="1" applyAlignment="1" applyProtection="1">
      <alignment horizontal="center" vertical="center"/>
    </xf>
    <xf numFmtId="0" fontId="55" fillId="34" borderId="81" xfId="417" applyFont="1" applyFill="1" applyBorder="1" applyAlignment="1" applyProtection="1">
      <alignment horizontal="center" vertical="center"/>
    </xf>
    <xf numFmtId="0" fontId="55" fillId="39" borderId="82" xfId="417" applyFont="1" applyFill="1" applyBorder="1" applyAlignment="1" applyProtection="1">
      <alignment horizontal="center" vertical="center"/>
    </xf>
    <xf numFmtId="0" fontId="55" fillId="39" borderId="75" xfId="417" applyFont="1" applyFill="1" applyBorder="1" applyAlignment="1" applyProtection="1">
      <alignment horizontal="center" vertical="center"/>
    </xf>
    <xf numFmtId="0" fontId="55" fillId="39" borderId="83" xfId="417" applyFont="1" applyFill="1" applyBorder="1" applyAlignment="1" applyProtection="1">
      <alignment horizontal="center" vertical="center"/>
    </xf>
    <xf numFmtId="0" fontId="55" fillId="40" borderId="83" xfId="417" applyFont="1" applyFill="1" applyBorder="1" applyAlignment="1" applyProtection="1">
      <alignment horizontal="center" vertical="center"/>
    </xf>
    <xf numFmtId="0" fontId="0" fillId="0" borderId="0" xfId="0" applyFill="1" applyAlignment="1" applyProtection="1"/>
    <xf numFmtId="0" fontId="55" fillId="0" borderId="73" xfId="417" applyFont="1" applyFill="1" applyBorder="1" applyAlignment="1" applyProtection="1">
      <alignment horizontal="center" vertical="center"/>
    </xf>
    <xf numFmtId="0" fontId="55" fillId="0" borderId="74" xfId="417" applyFont="1" applyFill="1" applyBorder="1" applyAlignment="1" applyProtection="1">
      <alignment horizontal="center" vertical="center"/>
    </xf>
    <xf numFmtId="0" fontId="55" fillId="0" borderId="87" xfId="417" applyFont="1" applyFill="1" applyBorder="1" applyAlignment="1" applyProtection="1">
      <alignment horizontal="center" vertical="center"/>
    </xf>
    <xf numFmtId="0" fontId="0" fillId="0" borderId="54" xfId="0" applyFont="1" applyFill="1" applyBorder="1" applyAlignment="1" applyProtection="1"/>
    <xf numFmtId="0" fontId="55" fillId="0" borderId="90" xfId="417" applyFont="1" applyFill="1" applyBorder="1" applyAlignment="1" applyProtection="1">
      <alignment horizontal="center" vertical="center"/>
    </xf>
    <xf numFmtId="0" fontId="55" fillId="0" borderId="62" xfId="417" applyFont="1" applyFill="1" applyBorder="1" applyAlignment="1" applyProtection="1">
      <alignment horizontal="center" vertical="center"/>
    </xf>
    <xf numFmtId="0" fontId="55" fillId="0" borderId="63" xfId="417" applyFont="1" applyFill="1" applyBorder="1" applyAlignment="1" applyProtection="1">
      <alignment horizontal="center" vertical="center"/>
    </xf>
    <xf numFmtId="0" fontId="55" fillId="0" borderId="64" xfId="417" applyFont="1" applyFill="1" applyBorder="1" applyAlignment="1" applyProtection="1">
      <alignment horizontal="center" vertical="center"/>
    </xf>
    <xf numFmtId="166" fontId="0" fillId="0" borderId="65" xfId="0" applyNumberFormat="1" applyFont="1" applyFill="1" applyBorder="1" applyAlignment="1" applyProtection="1">
      <alignment horizontal="center"/>
    </xf>
    <xf numFmtId="0" fontId="0" fillId="0" borderId="42" xfId="0" applyNumberFormat="1" applyFont="1" applyFill="1" applyBorder="1" applyAlignment="1" applyProtection="1">
      <alignment horizontal="center" vertical="center"/>
    </xf>
    <xf numFmtId="166" fontId="0" fillId="0" borderId="42" xfId="0" applyNumberFormat="1" applyFont="1" applyFill="1" applyBorder="1" applyAlignment="1" applyProtection="1">
      <alignment horizontal="center"/>
    </xf>
    <xf numFmtId="43" fontId="0" fillId="0" borderId="42" xfId="1" applyFont="1" applyBorder="1" applyAlignment="1" applyProtection="1"/>
    <xf numFmtId="43" fontId="0" fillId="0" borderId="88" xfId="1" applyFont="1" applyBorder="1" applyAlignment="1" applyProtection="1"/>
    <xf numFmtId="0" fontId="0" fillId="0" borderId="77" xfId="0" applyFont="1" applyFill="1" applyBorder="1" applyAlignment="1" applyProtection="1"/>
    <xf numFmtId="43" fontId="0" fillId="0" borderId="66" xfId="1" applyFont="1" applyBorder="1" applyAlignment="1" applyProtection="1"/>
    <xf numFmtId="0" fontId="0" fillId="0" borderId="65" xfId="0" applyNumberFormat="1" applyFont="1" applyFill="1" applyBorder="1" applyAlignment="1" applyProtection="1">
      <alignment horizontal="center" vertical="center"/>
    </xf>
    <xf numFmtId="0" fontId="0" fillId="0" borderId="42" xfId="0" applyNumberFormat="1" applyFill="1" applyBorder="1" applyAlignment="1" applyProtection="1">
      <alignment horizontal="center" vertical="center"/>
    </xf>
    <xf numFmtId="166" fontId="0" fillId="0" borderId="42" xfId="0" applyNumberFormat="1" applyFill="1" applyBorder="1" applyAlignment="1" applyProtection="1">
      <alignment horizontal="center"/>
    </xf>
    <xf numFmtId="0" fontId="0" fillId="0" borderId="78" xfId="0" applyFont="1" applyFill="1" applyBorder="1" applyAlignment="1" applyProtection="1"/>
    <xf numFmtId="0" fontId="0" fillId="0" borderId="65" xfId="0" applyNumberFormat="1" applyFill="1" applyBorder="1" applyAlignment="1" applyProtection="1">
      <alignment horizontal="center" vertical="center"/>
    </xf>
    <xf numFmtId="0" fontId="0" fillId="0" borderId="73" xfId="0" applyBorder="1" applyAlignment="1" applyProtection="1"/>
    <xf numFmtId="0" fontId="0" fillId="0" borderId="74" xfId="0" applyFill="1" applyBorder="1" applyAlignment="1" applyProtection="1"/>
    <xf numFmtId="0" fontId="0" fillId="0" borderId="74" xfId="0" applyBorder="1" applyAlignment="1" applyProtection="1"/>
    <xf numFmtId="0" fontId="0" fillId="0" borderId="87" xfId="0" applyBorder="1" applyAlignment="1" applyProtection="1"/>
    <xf numFmtId="0" fontId="0" fillId="0" borderId="90" xfId="0" applyFont="1" applyFill="1" applyBorder="1" applyAlignment="1" applyProtection="1"/>
    <xf numFmtId="0" fontId="0" fillId="0" borderId="74" xfId="0" applyFont="1" applyFill="1" applyBorder="1" applyAlignment="1" applyProtection="1"/>
    <xf numFmtId="0" fontId="0" fillId="0" borderId="67" xfId="0" applyFill="1" applyBorder="1" applyAlignment="1" applyProtection="1"/>
    <xf numFmtId="0" fontId="0" fillId="0" borderId="68" xfId="0" applyFont="1" applyFill="1" applyBorder="1" applyAlignment="1" applyProtection="1"/>
    <xf numFmtId="0" fontId="0" fillId="0" borderId="69" xfId="0" applyFont="1" applyFill="1" applyBorder="1" applyAlignment="1" applyProtection="1"/>
    <xf numFmtId="0" fontId="4" fillId="5" borderId="70" xfId="0" applyFont="1" applyFill="1" applyBorder="1" applyAlignment="1" applyProtection="1">
      <alignment vertical="center"/>
    </xf>
    <xf numFmtId="0" fontId="4" fillId="5" borderId="71" xfId="0" applyFont="1" applyFill="1" applyBorder="1" applyAlignment="1" applyProtection="1">
      <alignment vertical="center"/>
    </xf>
    <xf numFmtId="43" fontId="4" fillId="5" borderId="71" xfId="0" applyNumberFormat="1" applyFont="1" applyFill="1" applyBorder="1" applyAlignment="1" applyProtection="1">
      <alignment vertical="center"/>
    </xf>
    <xf numFmtId="43" fontId="4" fillId="5" borderId="86" xfId="0" applyNumberFormat="1" applyFont="1" applyFill="1" applyBorder="1" applyAlignment="1" applyProtection="1">
      <alignment vertical="center"/>
    </xf>
    <xf numFmtId="0" fontId="0" fillId="0" borderId="61" xfId="0" applyFont="1" applyFill="1" applyBorder="1" applyAlignment="1" applyProtection="1"/>
    <xf numFmtId="0" fontId="4" fillId="5" borderId="89" xfId="0" applyFont="1" applyFill="1" applyBorder="1" applyAlignment="1" applyProtection="1">
      <alignment vertical="center"/>
    </xf>
    <xf numFmtId="43" fontId="4" fillId="5" borderId="72" xfId="0" applyNumberFormat="1" applyFont="1" applyFill="1" applyBorder="1" applyAlignment="1" applyProtection="1">
      <alignment vertical="center"/>
    </xf>
    <xf numFmtId="0" fontId="4" fillId="5" borderId="84" xfId="0" applyFont="1" applyFill="1" applyBorder="1" applyAlignment="1" applyProtection="1">
      <alignment vertical="center"/>
    </xf>
    <xf numFmtId="0" fontId="4" fillId="5" borderId="76" xfId="0" applyFont="1" applyFill="1" applyBorder="1" applyAlignment="1" applyProtection="1">
      <alignment vertical="center"/>
    </xf>
    <xf numFmtId="43" fontId="4" fillId="5" borderId="76" xfId="0" applyNumberFormat="1" applyFont="1" applyFill="1" applyBorder="1" applyAlignment="1" applyProtection="1">
      <alignment vertical="center"/>
    </xf>
    <xf numFmtId="43" fontId="4" fillId="5" borderId="85" xfId="0" applyNumberFormat="1" applyFont="1" applyFill="1" applyBorder="1" applyAlignment="1" applyProtection="1">
      <alignment vertical="center"/>
    </xf>
    <xf numFmtId="43" fontId="0" fillId="0" borderId="0" xfId="0" applyNumberFormat="1"/>
    <xf numFmtId="43" fontId="4" fillId="5" borderId="0" xfId="1" applyFont="1" applyFill="1" applyAlignment="1">
      <alignment vertical="center"/>
    </xf>
    <xf numFmtId="0" fontId="0" fillId="0" borderId="65" xfId="0" applyNumberFormat="1" applyFont="1" applyFill="1" applyBorder="1" applyAlignment="1" applyProtection="1">
      <alignment horizontal="left"/>
    </xf>
    <xf numFmtId="0" fontId="0" fillId="0" borderId="0" xfId="0" applyAlignment="1" applyProtection="1">
      <alignment horizontal="center" vertical="center"/>
    </xf>
    <xf numFmtId="0" fontId="55" fillId="0" borderId="0" xfId="417" applyFont="1" applyFill="1" applyBorder="1" applyAlignment="1" applyProtection="1">
      <alignment horizontal="center" vertical="center"/>
    </xf>
    <xf numFmtId="0" fontId="81" fillId="35" borderId="56" xfId="0" applyFont="1" applyFill="1" applyBorder="1" applyAlignment="1" applyProtection="1">
      <alignment horizontal="center" vertical="center"/>
    </xf>
    <xf numFmtId="0" fontId="0" fillId="0" borderId="76" xfId="0" applyFont="1" applyFill="1" applyBorder="1" applyAlignment="1" applyProtection="1"/>
    <xf numFmtId="0" fontId="0" fillId="0" borderId="85" xfId="0" applyFont="1" applyFill="1" applyBorder="1" applyAlignment="1" applyProtection="1"/>
    <xf numFmtId="0" fontId="0" fillId="0" borderId="67" xfId="0" applyNumberFormat="1" applyFont="1" applyFill="1" applyBorder="1" applyAlignment="1" applyProtection="1">
      <alignment horizontal="left"/>
    </xf>
    <xf numFmtId="43" fontId="0" fillId="0" borderId="42" xfId="1" applyFont="1" applyFill="1" applyBorder="1" applyAlignment="1" applyProtection="1"/>
    <xf numFmtId="43" fontId="0" fillId="0" borderId="68" xfId="1" applyFont="1" applyBorder="1" applyAlignment="1" applyProtection="1"/>
    <xf numFmtId="43" fontId="0" fillId="0" borderId="68" xfId="1" applyFont="1" applyFill="1" applyBorder="1" applyAlignment="1" applyProtection="1"/>
    <xf numFmtId="43" fontId="0" fillId="0" borderId="69" xfId="1" applyFont="1" applyBorder="1" applyAlignment="1" applyProtection="1"/>
    <xf numFmtId="0" fontId="0" fillId="0" borderId="0" xfId="0" applyFill="1" applyBorder="1" applyAlignment="1" applyProtection="1"/>
    <xf numFmtId="0" fontId="55" fillId="0" borderId="80" xfId="417" applyFont="1" applyFill="1" applyBorder="1" applyAlignment="1" applyProtection="1">
      <alignment horizontal="center" vertical="center"/>
    </xf>
    <xf numFmtId="0" fontId="55" fillId="0" borderId="81" xfId="417" applyFont="1" applyFill="1" applyBorder="1" applyAlignment="1" applyProtection="1">
      <alignment horizontal="center" vertical="center"/>
    </xf>
    <xf numFmtId="43" fontId="0" fillId="0" borderId="42" xfId="1" applyFont="1" applyBorder="1" applyProtection="1"/>
    <xf numFmtId="43" fontId="0" fillId="0" borderId="68" xfId="1" applyFont="1" applyBorder="1" applyProtection="1"/>
    <xf numFmtId="0" fontId="77" fillId="35" borderId="56" xfId="0" applyFont="1" applyFill="1" applyBorder="1" applyAlignment="1" applyProtection="1">
      <alignment horizontal="center" vertical="center"/>
      <protection locked="0"/>
    </xf>
    <xf numFmtId="0" fontId="11" fillId="41" borderId="60" xfId="0" applyNumberFormat="1" applyFont="1" applyFill="1" applyBorder="1" applyAlignment="1" applyProtection="1">
      <alignment horizontal="centerContinuous" vertical="center"/>
    </xf>
    <xf numFmtId="0" fontId="11" fillId="41" borderId="60" xfId="0" applyFont="1" applyFill="1" applyBorder="1" applyAlignment="1" applyProtection="1">
      <alignment horizontal="centerContinuous" vertical="center"/>
    </xf>
    <xf numFmtId="0" fontId="55" fillId="38" borderId="70" xfId="417" applyFont="1" applyFill="1" applyBorder="1" applyAlignment="1" applyProtection="1">
      <alignment horizontal="center" vertical="center"/>
    </xf>
    <xf numFmtId="0" fontId="55" fillId="38" borderId="71" xfId="417" applyFont="1" applyFill="1" applyBorder="1" applyAlignment="1" applyProtection="1">
      <alignment horizontal="center" vertical="center"/>
    </xf>
    <xf numFmtId="0" fontId="55" fillId="38" borderId="72" xfId="417" applyFont="1" applyFill="1" applyBorder="1" applyAlignment="1" applyProtection="1">
      <alignment horizontal="center" vertical="center"/>
    </xf>
    <xf numFmtId="0" fontId="83" fillId="0" borderId="0" xfId="0" applyFont="1" applyFill="1" applyBorder="1"/>
    <xf numFmtId="0" fontId="74" fillId="0" borderId="0" xfId="0" applyFont="1" applyFill="1" applyBorder="1"/>
    <xf numFmtId="0" fontId="55" fillId="40" borderId="94" xfId="417" applyFont="1" applyFill="1" applyBorder="1" applyAlignment="1" applyProtection="1">
      <alignment horizontal="center" vertical="center"/>
    </xf>
    <xf numFmtId="0" fontId="55" fillId="0" borderId="94" xfId="417" applyFont="1" applyFill="1" applyBorder="1" applyAlignment="1" applyProtection="1">
      <alignment horizontal="center" vertical="center"/>
    </xf>
    <xf numFmtId="43" fontId="0" fillId="0" borderId="95" xfId="1" applyFont="1" applyBorder="1" applyAlignment="1" applyProtection="1"/>
    <xf numFmtId="43" fontId="0" fillId="0" borderId="96" xfId="1" applyFont="1" applyBorder="1" applyAlignment="1" applyProtection="1"/>
    <xf numFmtId="0" fontId="0" fillId="0" borderId="97" xfId="0" applyFont="1" applyFill="1" applyBorder="1" applyAlignment="1" applyProtection="1"/>
    <xf numFmtId="43" fontId="4" fillId="5" borderId="97" xfId="0" applyNumberFormat="1" applyFont="1" applyFill="1" applyBorder="1" applyAlignment="1" applyProtection="1">
      <alignment vertical="center"/>
    </xf>
    <xf numFmtId="0" fontId="55" fillId="0" borderId="79" xfId="417" applyFont="1" applyFill="1" applyBorder="1" applyAlignment="1" applyProtection="1">
      <alignment horizontal="center" vertical="center"/>
    </xf>
    <xf numFmtId="43" fontId="0" fillId="0" borderId="65" xfId="1" applyFont="1" applyBorder="1" applyAlignment="1" applyProtection="1"/>
    <xf numFmtId="43" fontId="0" fillId="0" borderId="67" xfId="1" applyFont="1" applyBorder="1" applyAlignment="1" applyProtection="1"/>
    <xf numFmtId="0" fontId="0" fillId="0" borderId="84" xfId="0" applyFont="1" applyFill="1" applyBorder="1" applyAlignment="1" applyProtection="1"/>
    <xf numFmtId="43" fontId="4" fillId="5" borderId="84" xfId="0" applyNumberFormat="1" applyFont="1" applyFill="1" applyBorder="1" applyAlignment="1" applyProtection="1">
      <alignment vertical="center"/>
    </xf>
    <xf numFmtId="0" fontId="55" fillId="37" borderId="98" xfId="417" applyFont="1" applyFill="1" applyBorder="1" applyAlignment="1" applyProtection="1">
      <alignment horizontal="center" vertical="center"/>
    </xf>
    <xf numFmtId="43" fontId="0" fillId="0" borderId="65" xfId="1" applyFont="1" applyBorder="1" applyProtection="1"/>
    <xf numFmtId="43" fontId="0" fillId="0" borderId="67" xfId="1" applyFont="1" applyBorder="1" applyProtection="1"/>
    <xf numFmtId="43" fontId="4" fillId="5" borderId="70" xfId="0" applyNumberFormat="1" applyFont="1" applyFill="1" applyBorder="1" applyAlignment="1" applyProtection="1">
      <alignment vertical="center"/>
    </xf>
    <xf numFmtId="0" fontId="55" fillId="37" borderId="61" xfId="417" applyFont="1" applyFill="1" applyBorder="1" applyAlignment="1" applyProtection="1">
      <alignment horizontal="center" vertical="center"/>
    </xf>
    <xf numFmtId="0" fontId="55" fillId="0" borderId="99" xfId="417" applyFont="1" applyFill="1" applyBorder="1" applyAlignment="1" applyProtection="1">
      <alignment horizontal="center" vertical="center"/>
    </xf>
    <xf numFmtId="0" fontId="55" fillId="0" borderId="100" xfId="417" applyFont="1" applyFill="1" applyBorder="1" applyAlignment="1" applyProtection="1">
      <alignment horizontal="center" vertical="center"/>
    </xf>
    <xf numFmtId="0" fontId="0" fillId="0" borderId="101" xfId="0" applyBorder="1" applyAlignment="1" applyProtection="1"/>
    <xf numFmtId="43" fontId="0" fillId="0" borderId="66" xfId="1" applyFont="1" applyBorder="1" applyProtection="1"/>
    <xf numFmtId="43" fontId="0" fillId="0" borderId="69" xfId="1" applyFont="1" applyBorder="1" applyProtection="1"/>
    <xf numFmtId="0" fontId="11" fillId="0" borderId="0" xfId="0" applyFont="1" applyFill="1" applyBorder="1" applyAlignment="1" applyProtection="1">
      <alignment horizontal="centerContinuous" vertical="center"/>
    </xf>
    <xf numFmtId="43" fontId="0" fillId="0" borderId="0" xfId="1" applyFont="1" applyFill="1" applyBorder="1" applyAlignment="1" applyProtection="1"/>
    <xf numFmtId="0" fontId="0" fillId="0" borderId="0" xfId="0" applyFont="1" applyFill="1" applyBorder="1" applyAlignment="1" applyProtection="1">
      <alignment horizontal="center"/>
    </xf>
    <xf numFmtId="0" fontId="81" fillId="0" borderId="0" xfId="0" applyFont="1" applyFill="1" applyBorder="1" applyAlignment="1" applyProtection="1">
      <alignment horizontal="center" vertical="center"/>
    </xf>
    <xf numFmtId="0" fontId="90" fillId="0" borderId="0" xfId="427" applyFont="1" applyFill="1" applyAlignment="1">
      <alignment vertical="center"/>
    </xf>
    <xf numFmtId="168" fontId="91" fillId="0" borderId="0" xfId="428" applyNumberFormat="1" applyFont="1" applyFill="1" applyBorder="1" applyAlignment="1">
      <alignment horizontal="center"/>
    </xf>
    <xf numFmtId="4" fontId="91" fillId="0" borderId="0" xfId="428" applyNumberFormat="1" applyFont="1" applyFill="1" applyBorder="1" applyAlignment="1">
      <alignment horizontal="center"/>
    </xf>
    <xf numFmtId="0" fontId="92" fillId="29" borderId="37" xfId="428" applyFont="1" applyFill="1" applyBorder="1" applyAlignment="1">
      <alignment horizontal="center"/>
    </xf>
    <xf numFmtId="0" fontId="92" fillId="29" borderId="39" xfId="428" applyFont="1" applyFill="1" applyBorder="1" applyAlignment="1">
      <alignment horizontal="center"/>
    </xf>
    <xf numFmtId="0" fontId="92" fillId="43" borderId="40" xfId="428" applyFont="1" applyFill="1" applyBorder="1" applyAlignment="1">
      <alignment horizontal="center"/>
    </xf>
    <xf numFmtId="0" fontId="91" fillId="45" borderId="38" xfId="428" applyFont="1" applyFill="1" applyBorder="1" applyAlignment="1">
      <alignment horizontal="center" vertical="center" wrapText="1"/>
    </xf>
    <xf numFmtId="0" fontId="56" fillId="0" borderId="109" xfId="430" applyFont="1" applyFill="1" applyBorder="1" applyAlignment="1">
      <alignment horizontal="center"/>
    </xf>
    <xf numFmtId="0" fontId="91" fillId="0" borderId="110" xfId="429" applyFont="1" applyFill="1" applyBorder="1" applyAlignment="1">
      <alignment horizontal="center" vertical="center" wrapText="1"/>
    </xf>
    <xf numFmtId="0" fontId="91" fillId="0" borderId="111" xfId="431" applyFont="1" applyFill="1" applyBorder="1" applyAlignment="1">
      <alignment horizontal="center" vertical="center"/>
    </xf>
    <xf numFmtId="0" fontId="56" fillId="0" borderId="114" xfId="430" applyFont="1" applyFill="1" applyBorder="1" applyAlignment="1">
      <alignment horizontal="center"/>
    </xf>
    <xf numFmtId="0" fontId="56" fillId="0" borderId="115" xfId="430" applyFont="1" applyFill="1" applyBorder="1" applyAlignment="1">
      <alignment horizontal="center"/>
    </xf>
    <xf numFmtId="0" fontId="56" fillId="0" borderId="109" xfId="432" applyFont="1" applyFill="1" applyBorder="1" applyAlignment="1">
      <alignment horizontal="center" vertical="center"/>
    </xf>
    <xf numFmtId="0" fontId="56" fillId="0" borderId="114" xfId="431" applyFont="1" applyFill="1" applyBorder="1" applyAlignment="1">
      <alignment horizontal="center" vertical="center"/>
    </xf>
    <xf numFmtId="0" fontId="56" fillId="0" borderId="115" xfId="431" applyFont="1" applyFill="1" applyBorder="1" applyAlignment="1">
      <alignment horizontal="center" vertical="center"/>
    </xf>
    <xf numFmtId="0" fontId="56" fillId="0" borderId="109" xfId="431" applyFont="1" applyFill="1" applyBorder="1" applyAlignment="1">
      <alignment horizontal="center" vertical="center"/>
    </xf>
    <xf numFmtId="0" fontId="91" fillId="0" borderId="114" xfId="429" applyFont="1" applyFill="1" applyBorder="1" applyAlignment="1">
      <alignment horizontal="center"/>
    </xf>
    <xf numFmtId="0" fontId="91" fillId="0" borderId="115" xfId="429" applyFont="1" applyFill="1" applyBorder="1" applyAlignment="1">
      <alignment horizontal="center"/>
    </xf>
    <xf numFmtId="0" fontId="91" fillId="0" borderId="109" xfId="429" applyFont="1" applyFill="1" applyBorder="1" applyAlignment="1">
      <alignment horizontal="center"/>
    </xf>
    <xf numFmtId="0" fontId="91" fillId="45" borderId="103" xfId="428" applyFont="1" applyFill="1" applyBorder="1" applyAlignment="1">
      <alignment horizontal="center" vertical="center" wrapText="1"/>
    </xf>
    <xf numFmtId="171" fontId="91" fillId="0" borderId="123" xfId="429" applyNumberFormat="1" applyFont="1" applyFill="1" applyBorder="1" applyAlignment="1">
      <alignment horizontal="center" vertical="center" wrapText="1"/>
    </xf>
    <xf numFmtId="0" fontId="91" fillId="0" borderId="124" xfId="429" applyFont="1" applyFill="1" applyBorder="1" applyAlignment="1">
      <alignment horizontal="center" vertical="center" wrapText="1"/>
    </xf>
    <xf numFmtId="0" fontId="56" fillId="0" borderId="126" xfId="430" applyFont="1" applyFill="1" applyBorder="1" applyAlignment="1">
      <alignment horizontal="center"/>
    </xf>
    <xf numFmtId="0" fontId="91" fillId="0" borderId="127" xfId="429" applyFont="1" applyFill="1" applyBorder="1" applyAlignment="1">
      <alignment horizontal="center" vertical="center" wrapText="1"/>
    </xf>
    <xf numFmtId="0" fontId="91" fillId="0" borderId="128" xfId="431" applyFont="1" applyFill="1" applyBorder="1" applyAlignment="1">
      <alignment horizontal="center" vertical="center"/>
    </xf>
    <xf numFmtId="170" fontId="91" fillId="0" borderId="128" xfId="431" applyNumberFormat="1" applyFont="1" applyFill="1" applyBorder="1" applyAlignment="1">
      <alignment horizontal="center" vertical="center"/>
    </xf>
    <xf numFmtId="0" fontId="56" fillId="0" borderId="129" xfId="430" applyFont="1" applyFill="1" applyBorder="1" applyAlignment="1">
      <alignment horizontal="center"/>
    </xf>
    <xf numFmtId="0" fontId="56" fillId="0" borderId="130" xfId="430" applyFont="1" applyFill="1" applyBorder="1" applyAlignment="1">
      <alignment horizontal="center"/>
    </xf>
    <xf numFmtId="0" fontId="56" fillId="0" borderId="126" xfId="432" applyFont="1" applyFill="1" applyBorder="1" applyAlignment="1">
      <alignment horizontal="center" vertical="center"/>
    </xf>
    <xf numFmtId="0" fontId="56" fillId="0" borderId="129" xfId="431" applyFont="1" applyFill="1" applyBorder="1" applyAlignment="1">
      <alignment horizontal="center" vertical="center"/>
    </xf>
    <xf numFmtId="0" fontId="56" fillId="0" borderId="131" xfId="431" applyFont="1" applyFill="1" applyBorder="1" applyAlignment="1">
      <alignment horizontal="center" vertical="center"/>
    </xf>
    <xf numFmtId="170" fontId="56" fillId="0" borderId="132" xfId="431" applyNumberFormat="1" applyFont="1" applyFill="1" applyBorder="1" applyAlignment="1">
      <alignment horizontal="center" vertical="center"/>
    </xf>
    <xf numFmtId="171" fontId="56" fillId="0" borderId="132" xfId="431" applyNumberFormat="1" applyFont="1" applyFill="1" applyBorder="1" applyAlignment="1">
      <alignment horizontal="center" vertical="center"/>
    </xf>
    <xf numFmtId="0" fontId="56" fillId="0" borderId="133" xfId="431" applyFont="1" applyFill="1" applyBorder="1" applyAlignment="1">
      <alignment horizontal="center" vertical="center"/>
    </xf>
    <xf numFmtId="0" fontId="56" fillId="0" borderId="130" xfId="431" applyFont="1" applyFill="1" applyBorder="1" applyAlignment="1">
      <alignment horizontal="center" vertical="center"/>
    </xf>
    <xf numFmtId="0" fontId="56" fillId="0" borderId="126" xfId="431" applyFont="1" applyFill="1" applyBorder="1" applyAlignment="1">
      <alignment horizontal="center" vertical="center"/>
    </xf>
    <xf numFmtId="170" fontId="91" fillId="0" borderId="120" xfId="431" applyNumberFormat="1" applyFont="1" applyFill="1" applyBorder="1" applyAlignment="1">
      <alignment horizontal="center" vertical="center" wrapText="1"/>
    </xf>
    <xf numFmtId="0" fontId="91" fillId="0" borderId="135" xfId="431" applyFont="1" applyFill="1" applyBorder="1" applyAlignment="1">
      <alignment horizontal="center" vertical="center" wrapText="1"/>
    </xf>
    <xf numFmtId="171" fontId="102" fillId="0" borderId="123" xfId="429" applyNumberFormat="1" applyFont="1" applyFill="1" applyBorder="1" applyAlignment="1">
      <alignment horizontal="center" vertical="top" wrapText="1"/>
    </xf>
    <xf numFmtId="0" fontId="91" fillId="0" borderId="124" xfId="429" applyFont="1" applyFill="1" applyBorder="1" applyAlignment="1">
      <alignment horizontal="center" vertical="top"/>
    </xf>
    <xf numFmtId="0" fontId="91" fillId="0" borderId="129" xfId="429" applyFont="1" applyFill="1" applyBorder="1" applyAlignment="1">
      <alignment horizontal="center"/>
    </xf>
    <xf numFmtId="0" fontId="91" fillId="0" borderId="131" xfId="429" applyFont="1" applyFill="1" applyBorder="1" applyAlignment="1">
      <alignment horizontal="center"/>
    </xf>
    <xf numFmtId="171" fontId="91" fillId="0" borderId="132" xfId="429" applyNumberFormat="1" applyFont="1" applyFill="1" applyBorder="1" applyAlignment="1">
      <alignment horizontal="center"/>
    </xf>
    <xf numFmtId="0" fontId="91" fillId="0" borderId="133" xfId="429" applyFont="1" applyFill="1" applyBorder="1" applyAlignment="1">
      <alignment horizontal="center"/>
    </xf>
    <xf numFmtId="0" fontId="91" fillId="0" borderId="130" xfId="429" applyFont="1" applyFill="1" applyBorder="1" applyAlignment="1">
      <alignment horizontal="center"/>
    </xf>
    <xf numFmtId="0" fontId="91" fillId="0" borderId="126" xfId="429" applyFont="1" applyFill="1" applyBorder="1" applyAlignment="1">
      <alignment horizontal="center"/>
    </xf>
    <xf numFmtId="0" fontId="93" fillId="44" borderId="119" xfId="434" applyFont="1" applyFill="1" applyBorder="1" applyAlignment="1">
      <alignment horizontal="center" vertical="center" wrapText="1"/>
    </xf>
    <xf numFmtId="0" fontId="93" fillId="44" borderId="127" xfId="434" applyFont="1" applyFill="1" applyBorder="1" applyAlignment="1">
      <alignment horizontal="center" vertical="center" wrapText="1"/>
    </xf>
    <xf numFmtId="0" fontId="93" fillId="44" borderId="136" xfId="434" applyFont="1" applyFill="1" applyBorder="1" applyAlignment="1">
      <alignment horizontal="center" vertical="center" wrapText="1"/>
    </xf>
    <xf numFmtId="0" fontId="93" fillId="47" borderId="137" xfId="434" applyFont="1" applyFill="1" applyBorder="1" applyAlignment="1">
      <alignment horizontal="center" vertical="center" wrapText="1"/>
    </xf>
    <xf numFmtId="0" fontId="93" fillId="47" borderId="127" xfId="434" applyFont="1" applyFill="1" applyBorder="1" applyAlignment="1">
      <alignment horizontal="center" vertical="center" wrapText="1"/>
    </xf>
    <xf numFmtId="0" fontId="93" fillId="47" borderId="138" xfId="434" applyFont="1" applyFill="1" applyBorder="1" applyAlignment="1">
      <alignment horizontal="center" vertical="center" wrapText="1"/>
    </xf>
    <xf numFmtId="0" fontId="91" fillId="45" borderId="119" xfId="428" applyFont="1" applyFill="1" applyBorder="1" applyAlignment="1">
      <alignment horizontal="center" vertical="center" wrapText="1"/>
    </xf>
    <xf numFmtId="171" fontId="12" fillId="0" borderId="139" xfId="435" applyNumberFormat="1" applyFont="1" applyFill="1" applyBorder="1" applyAlignment="1">
      <alignment vertical="center"/>
    </xf>
    <xf numFmtId="171" fontId="12" fillId="0" borderId="102" xfId="174" applyNumberFormat="1" applyFont="1" applyFill="1" applyBorder="1" applyAlignment="1">
      <alignment horizontal="right" vertical="center"/>
    </xf>
    <xf numFmtId="0" fontId="104" fillId="0" borderId="0" xfId="0" applyFont="1"/>
    <xf numFmtId="171" fontId="12" fillId="0" borderId="102" xfId="436" applyNumberFormat="1" applyFont="1" applyFill="1" applyBorder="1" applyAlignment="1">
      <alignment vertical="center"/>
    </xf>
    <xf numFmtId="171" fontId="12" fillId="0" borderId="140" xfId="174" applyNumberFormat="1" applyFont="1" applyFill="1" applyBorder="1" applyAlignment="1">
      <alignment horizontal="right" vertical="center"/>
    </xf>
    <xf numFmtId="171" fontId="12" fillId="0" borderId="102" xfId="426" applyNumberFormat="1" applyFont="1" applyFill="1" applyBorder="1" applyAlignment="1">
      <alignment horizontal="right" vertical="center"/>
    </xf>
    <xf numFmtId="171" fontId="12" fillId="0" borderId="139" xfId="229" applyNumberFormat="1" applyFont="1" applyFill="1" applyBorder="1" applyAlignment="1">
      <alignment vertical="center"/>
    </xf>
    <xf numFmtId="171" fontId="91" fillId="0" borderId="139" xfId="229" applyNumberFormat="1" applyFont="1" applyFill="1" applyBorder="1" applyAlignment="1">
      <alignment vertical="center"/>
    </xf>
    <xf numFmtId="171" fontId="56" fillId="0" borderId="102" xfId="174" applyNumberFormat="1" applyFont="1" applyFill="1" applyBorder="1" applyAlignment="1">
      <alignment horizontal="right" vertical="center"/>
    </xf>
    <xf numFmtId="171" fontId="12" fillId="0" borderId="141" xfId="435" applyNumberFormat="1" applyFont="1" applyFill="1" applyBorder="1" applyAlignment="1">
      <alignment vertical="center"/>
    </xf>
    <xf numFmtId="39" fontId="103" fillId="0" borderId="102" xfId="272" applyNumberFormat="1" applyFont="1" applyFill="1" applyBorder="1" applyAlignment="1">
      <alignment horizontal="right" vertical="center"/>
    </xf>
    <xf numFmtId="0" fontId="104" fillId="0" borderId="0" xfId="0" applyFont="1" applyFill="1"/>
    <xf numFmtId="39" fontId="12" fillId="0" borderId="102" xfId="272" applyNumberFormat="1" applyFont="1" applyFill="1" applyBorder="1" applyAlignment="1">
      <alignment vertical="center"/>
    </xf>
    <xf numFmtId="171" fontId="12" fillId="0" borderId="139" xfId="228" applyNumberFormat="1" applyFont="1" applyFill="1" applyBorder="1" applyAlignment="1">
      <alignment vertical="center"/>
    </xf>
    <xf numFmtId="171" fontId="56" fillId="0" borderId="139" xfId="228" applyNumberFormat="1" applyFont="1" applyFill="1" applyBorder="1" applyAlignment="1">
      <alignment vertical="center"/>
    </xf>
    <xf numFmtId="171" fontId="12" fillId="0" borderId="139" xfId="437" applyNumberFormat="1" applyFont="1" applyFill="1" applyBorder="1" applyAlignment="1">
      <alignment vertical="center"/>
    </xf>
    <xf numFmtId="171" fontId="56" fillId="0" borderId="139" xfId="437" applyNumberFormat="1" applyFont="1" applyFill="1" applyBorder="1" applyAlignment="1">
      <alignment vertical="center"/>
    </xf>
    <xf numFmtId="171" fontId="96" fillId="0" borderId="102" xfId="174" applyNumberFormat="1" applyFont="1" applyFill="1" applyBorder="1" applyAlignment="1">
      <alignment horizontal="right" vertical="center"/>
    </xf>
    <xf numFmtId="4" fontId="91" fillId="0" borderId="142" xfId="228" applyNumberFormat="1" applyFont="1" applyFill="1" applyBorder="1" applyAlignment="1">
      <alignment vertical="center"/>
    </xf>
    <xf numFmtId="4" fontId="91" fillId="0" borderId="143" xfId="228" applyNumberFormat="1" applyFont="1" applyFill="1" applyBorder="1" applyAlignment="1">
      <alignment vertical="center"/>
    </xf>
    <xf numFmtId="171" fontId="91" fillId="0" borderId="139" xfId="228" applyNumberFormat="1" applyFont="1" applyFill="1" applyBorder="1" applyAlignment="1">
      <alignment vertical="center"/>
    </xf>
    <xf numFmtId="171" fontId="91" fillId="0" borderId="102" xfId="438" applyNumberFormat="1" applyFont="1" applyFill="1" applyBorder="1" applyAlignment="1"/>
    <xf numFmtId="171" fontId="91" fillId="0" borderId="139" xfId="438" applyNumberFormat="1" applyFont="1" applyFill="1" applyBorder="1" applyAlignment="1"/>
    <xf numFmtId="4" fontId="0" fillId="0" borderId="144" xfId="0" applyNumberFormat="1" applyFill="1" applyBorder="1"/>
    <xf numFmtId="4" fontId="91" fillId="0" borderId="146" xfId="0" applyNumberFormat="1" applyFont="1" applyFill="1" applyBorder="1" applyAlignment="1">
      <alignment vertical="center" wrapText="1"/>
    </xf>
    <xf numFmtId="171" fontId="105" fillId="0" borderId="146" xfId="0" applyNumberFormat="1" applyFont="1" applyFill="1" applyBorder="1"/>
    <xf numFmtId="0" fontId="58" fillId="0" borderId="0" xfId="0" applyFont="1"/>
    <xf numFmtId="4" fontId="58" fillId="0" borderId="0" xfId="0" applyNumberFormat="1" applyFont="1"/>
    <xf numFmtId="171" fontId="0" fillId="0" borderId="0" xfId="0" applyNumberFormat="1"/>
    <xf numFmtId="4" fontId="0" fillId="0" borderId="0" xfId="0" applyNumberFormat="1"/>
    <xf numFmtId="4" fontId="0" fillId="0" borderId="0" xfId="0" applyNumberFormat="1" applyFill="1"/>
    <xf numFmtId="4" fontId="106" fillId="0" borderId="0" xfId="0" applyNumberFormat="1" applyFont="1" applyFill="1"/>
    <xf numFmtId="4" fontId="107" fillId="0" borderId="0" xfId="0" applyNumberFormat="1" applyFont="1" applyFill="1"/>
    <xf numFmtId="4" fontId="108" fillId="0" borderId="0" xfId="0" applyNumberFormat="1" applyFont="1" applyFill="1"/>
    <xf numFmtId="4" fontId="109" fillId="0" borderId="0" xfId="0" applyNumberFormat="1" applyFont="1"/>
    <xf numFmtId="4" fontId="108" fillId="0" borderId="0" xfId="0" applyNumberFormat="1" applyFont="1"/>
    <xf numFmtId="4" fontId="110" fillId="0" borderId="0" xfId="0" applyNumberFormat="1" applyFont="1" applyFill="1"/>
    <xf numFmtId="4" fontId="111" fillId="0" borderId="0" xfId="0" applyNumberFormat="1" applyFont="1" applyFill="1"/>
    <xf numFmtId="4" fontId="112" fillId="0" borderId="0" xfId="0" applyNumberFormat="1" applyFont="1"/>
    <xf numFmtId="4" fontId="112" fillId="0" borderId="0" xfId="0" applyNumberFormat="1" applyFont="1" applyFill="1"/>
    <xf numFmtId="171" fontId="0" fillId="0" borderId="0" xfId="0" applyNumberFormat="1" applyFill="1"/>
    <xf numFmtId="171" fontId="91" fillId="0" borderId="139" xfId="435" applyNumberFormat="1" applyFont="1" applyFill="1" applyBorder="1" applyAlignment="1">
      <alignment vertical="center"/>
    </xf>
    <xf numFmtId="168" fontId="91" fillId="0" borderId="0" xfId="439" applyNumberFormat="1" applyFont="1" applyFill="1" applyBorder="1" applyAlignment="1">
      <alignment horizontal="center"/>
    </xf>
    <xf numFmtId="4" fontId="91" fillId="0" borderId="0" xfId="439" applyNumberFormat="1" applyFont="1" applyFill="1" applyBorder="1" applyAlignment="1">
      <alignment horizontal="center"/>
    </xf>
    <xf numFmtId="0" fontId="2" fillId="0" borderId="0" xfId="440"/>
    <xf numFmtId="168" fontId="91" fillId="0" borderId="147" xfId="428" applyNumberFormat="1" applyFont="1" applyFill="1" applyBorder="1" applyAlignment="1">
      <alignment horizontal="center"/>
    </xf>
    <xf numFmtId="0" fontId="92" fillId="29" borderId="2" xfId="439" applyFont="1" applyFill="1" applyBorder="1" applyAlignment="1">
      <alignment horizontal="center"/>
    </xf>
    <xf numFmtId="0" fontId="92" fillId="29" borderId="40" xfId="439" applyFont="1" applyFill="1" applyBorder="1" applyAlignment="1">
      <alignment horizontal="center"/>
    </xf>
    <xf numFmtId="0" fontId="92" fillId="5" borderId="39" xfId="439" applyFont="1" applyFill="1" applyBorder="1" applyAlignment="1">
      <alignment horizontal="center"/>
    </xf>
    <xf numFmtId="0" fontId="92" fillId="5" borderId="2" xfId="439" applyFont="1" applyFill="1" applyBorder="1" applyAlignment="1">
      <alignment horizontal="center"/>
    </xf>
    <xf numFmtId="0" fontId="92" fillId="5" borderId="40" xfId="439" applyFont="1" applyFill="1" applyBorder="1" applyAlignment="1">
      <alignment horizontal="center"/>
    </xf>
    <xf numFmtId="0" fontId="92" fillId="50" borderId="2" xfId="439" applyFont="1" applyFill="1" applyBorder="1" applyAlignment="1">
      <alignment horizontal="center"/>
    </xf>
    <xf numFmtId="0" fontId="91" fillId="0" borderId="110" xfId="441" applyFont="1" applyFill="1" applyBorder="1" applyAlignment="1">
      <alignment horizontal="center" vertical="center" wrapText="1"/>
    </xf>
    <xf numFmtId="0" fontId="91" fillId="0" borderId="38" xfId="441" applyFont="1" applyFill="1" applyBorder="1" applyAlignment="1">
      <alignment horizontal="center" vertical="center" wrapText="1"/>
    </xf>
    <xf numFmtId="0" fontId="115" fillId="0" borderId="0" xfId="440" applyFont="1"/>
    <xf numFmtId="0" fontId="56" fillId="0" borderId="111" xfId="431" applyFont="1" applyFill="1" applyBorder="1" applyAlignment="1">
      <alignment horizontal="center" vertical="center"/>
    </xf>
    <xf numFmtId="171" fontId="91" fillId="0" borderId="132" xfId="441" applyNumberFormat="1" applyFont="1" applyFill="1" applyBorder="1" applyAlignment="1">
      <alignment horizontal="center" vertical="center" wrapText="1"/>
    </xf>
    <xf numFmtId="0" fontId="91" fillId="0" borderId="133" xfId="441" applyFont="1" applyFill="1" applyBorder="1" applyAlignment="1">
      <alignment horizontal="center" vertical="center" wrapText="1"/>
    </xf>
    <xf numFmtId="0" fontId="91" fillId="0" borderId="153" xfId="441" applyFont="1" applyFill="1" applyBorder="1" applyAlignment="1">
      <alignment horizontal="center" vertical="center" wrapText="1"/>
    </xf>
    <xf numFmtId="0" fontId="91" fillId="0" borderId="103" xfId="441" applyFont="1" applyFill="1" applyBorder="1" applyAlignment="1">
      <alignment horizontal="center" vertical="center" wrapText="1"/>
    </xf>
    <xf numFmtId="0" fontId="56" fillId="0" borderId="128" xfId="431" applyFont="1" applyFill="1" applyBorder="1" applyAlignment="1">
      <alignment horizontal="center" vertical="center"/>
    </xf>
    <xf numFmtId="170" fontId="56" fillId="0" borderId="128" xfId="431" applyNumberFormat="1" applyFont="1" applyFill="1" applyBorder="1" applyAlignment="1">
      <alignment horizontal="center" vertical="center"/>
    </xf>
    <xf numFmtId="171" fontId="56" fillId="0" borderId="128" xfId="431" applyNumberFormat="1" applyFont="1" applyFill="1" applyBorder="1" applyAlignment="1">
      <alignment horizontal="center" vertical="center"/>
    </xf>
    <xf numFmtId="0" fontId="56" fillId="0" borderId="128" xfId="431" applyFont="1" applyFill="1" applyBorder="1" applyAlignment="1">
      <alignment horizontal="center" vertical="center" wrapText="1"/>
    </xf>
    <xf numFmtId="0" fontId="56" fillId="0" borderId="155" xfId="431" applyFont="1" applyFill="1" applyBorder="1" applyAlignment="1">
      <alignment horizontal="center" vertical="center"/>
    </xf>
    <xf numFmtId="0" fontId="56" fillId="0" borderId="156" xfId="431" applyFont="1" applyFill="1" applyBorder="1" applyAlignment="1">
      <alignment horizontal="center" vertical="center"/>
    </xf>
    <xf numFmtId="0" fontId="56" fillId="0" borderId="42" xfId="431" applyFont="1" applyFill="1" applyBorder="1" applyAlignment="1">
      <alignment horizontal="center" vertical="center"/>
    </xf>
    <xf numFmtId="0" fontId="56" fillId="0" borderId="42" xfId="431" applyFont="1" applyFill="1" applyBorder="1" applyAlignment="1">
      <alignment horizontal="center" vertical="center" wrapText="1"/>
    </xf>
    <xf numFmtId="15" fontId="91" fillId="0" borderId="102" xfId="439" applyNumberFormat="1" applyFont="1" applyFill="1" applyBorder="1" applyAlignment="1">
      <alignment horizontal="center"/>
    </xf>
    <xf numFmtId="43" fontId="116" fillId="0" borderId="157" xfId="440" applyNumberFormat="1" applyFont="1" applyFill="1" applyBorder="1"/>
    <xf numFmtId="43" fontId="116" fillId="0" borderId="102" xfId="440" applyNumberFormat="1" applyFont="1" applyFill="1" applyBorder="1"/>
    <xf numFmtId="0" fontId="2" fillId="0" borderId="0" xfId="440" applyFill="1"/>
    <xf numFmtId="43" fontId="118" fillId="0" borderId="74" xfId="442" applyFont="1" applyFill="1" applyBorder="1" applyAlignment="1"/>
    <xf numFmtId="43" fontId="115" fillId="0" borderId="0" xfId="440" applyNumberFormat="1" applyFont="1" applyFill="1"/>
    <xf numFmtId="171" fontId="91" fillId="0" borderId="144" xfId="435" applyNumberFormat="1" applyFont="1" applyFill="1" applyBorder="1" applyAlignment="1">
      <alignment vertical="center"/>
    </xf>
    <xf numFmtId="171" fontId="91" fillId="0" borderId="158" xfId="435" applyNumberFormat="1" applyFont="1" applyFill="1" applyBorder="1" applyAlignment="1">
      <alignment vertical="center"/>
    </xf>
    <xf numFmtId="171" fontId="91" fillId="0" borderId="139" xfId="437" applyNumberFormat="1" applyFont="1" applyFill="1" applyBorder="1" applyAlignment="1">
      <alignment vertical="center"/>
    </xf>
    <xf numFmtId="171" fontId="91" fillId="0" borderId="141" xfId="437" applyNumberFormat="1" applyFont="1" applyFill="1" applyBorder="1" applyAlignment="1">
      <alignment vertical="center"/>
    </xf>
    <xf numFmtId="171" fontId="91" fillId="0" borderId="159" xfId="437" applyNumberFormat="1" applyFont="1" applyFill="1" applyBorder="1" applyAlignment="1">
      <alignment vertical="center"/>
    </xf>
    <xf numFmtId="171" fontId="91" fillId="0" borderId="102" xfId="437" applyNumberFormat="1" applyFont="1" applyFill="1" applyBorder="1" applyAlignment="1">
      <alignment vertical="center"/>
    </xf>
    <xf numFmtId="4" fontId="91" fillId="0" borderId="146" xfId="440" applyNumberFormat="1" applyFont="1" applyFill="1" applyBorder="1" applyAlignment="1">
      <alignment vertical="center" wrapText="1"/>
    </xf>
    <xf numFmtId="4" fontId="97" fillId="0" borderId="145" xfId="428" applyNumberFormat="1" applyFont="1" applyFill="1" applyBorder="1" applyAlignment="1">
      <alignment horizontal="center" vertical="center" wrapText="1"/>
    </xf>
    <xf numFmtId="4" fontId="97" fillId="0" borderId="146" xfId="428" applyNumberFormat="1" applyFont="1" applyFill="1" applyBorder="1" applyAlignment="1">
      <alignment horizontal="center" vertical="center" wrapText="1"/>
    </xf>
    <xf numFmtId="4" fontId="0" fillId="0" borderId="147" xfId="0" applyNumberFormat="1" applyBorder="1"/>
    <xf numFmtId="0" fontId="119" fillId="0" borderId="0" xfId="440" applyFont="1"/>
    <xf numFmtId="43" fontId="120" fillId="0" borderId="0" xfId="440" applyNumberFormat="1" applyFont="1"/>
    <xf numFmtId="43" fontId="119" fillId="0" borderId="0" xfId="440" applyNumberFormat="1" applyFont="1"/>
    <xf numFmtId="43" fontId="119" fillId="0" borderId="0" xfId="0" applyNumberFormat="1" applyFont="1"/>
    <xf numFmtId="0" fontId="119" fillId="0" borderId="0" xfId="0" applyFont="1"/>
    <xf numFmtId="0" fontId="119" fillId="0" borderId="147" xfId="0" applyFont="1" applyBorder="1"/>
    <xf numFmtId="4" fontId="119" fillId="0" borderId="0" xfId="440" applyNumberFormat="1" applyFont="1"/>
    <xf numFmtId="4" fontId="119" fillId="0" borderId="0" xfId="0" applyNumberFormat="1" applyFont="1"/>
    <xf numFmtId="171" fontId="119" fillId="0" borderId="0" xfId="0" applyNumberFormat="1" applyFont="1"/>
    <xf numFmtId="0" fontId="112" fillId="0" borderId="0" xfId="440" applyFont="1"/>
    <xf numFmtId="43" fontId="2" fillId="0" borderId="0" xfId="440" applyNumberFormat="1"/>
    <xf numFmtId="0" fontId="0" fillId="0" borderId="147" xfId="0" applyBorder="1"/>
    <xf numFmtId="0" fontId="12" fillId="0" borderId="0" xfId="328"/>
    <xf numFmtId="1" fontId="94" fillId="0" borderId="38" xfId="439" applyNumberFormat="1" applyFont="1" applyFill="1" applyBorder="1" applyAlignment="1">
      <alignment horizontal="center" vertical="center"/>
    </xf>
    <xf numFmtId="1" fontId="121" fillId="0" borderId="110" xfId="431" applyNumberFormat="1" applyFont="1" applyFill="1" applyBorder="1" applyAlignment="1">
      <alignment horizontal="center"/>
    </xf>
    <xf numFmtId="1" fontId="121" fillId="0" borderId="38" xfId="431" applyNumberFormat="1" applyFont="1" applyFill="1" applyBorder="1" applyAlignment="1">
      <alignment horizontal="center"/>
    </xf>
    <xf numFmtId="1" fontId="121" fillId="0" borderId="148" xfId="431" applyNumberFormat="1" applyFont="1" applyFill="1" applyBorder="1" applyAlignment="1">
      <alignment horizontal="center"/>
    </xf>
    <xf numFmtId="1" fontId="121" fillId="0" borderId="103" xfId="431" applyNumberFormat="1" applyFont="1" applyFill="1" applyBorder="1" applyAlignment="1">
      <alignment horizontal="center"/>
    </xf>
    <xf numFmtId="1" fontId="121" fillId="29" borderId="103" xfId="431" applyNumberFormat="1" applyFont="1" applyFill="1" applyBorder="1" applyAlignment="1">
      <alignment horizontal="center"/>
    </xf>
    <xf numFmtId="1" fontId="121" fillId="0" borderId="26" xfId="431" applyNumberFormat="1" applyFont="1" applyFill="1" applyBorder="1" applyAlignment="1">
      <alignment horizontal="center"/>
    </xf>
    <xf numFmtId="1" fontId="94" fillId="0" borderId="38" xfId="431" applyNumberFormat="1" applyFont="1" applyFill="1" applyBorder="1" applyAlignment="1">
      <alignment horizontal="center"/>
    </xf>
    <xf numFmtId="0" fontId="91" fillId="0" borderId="0" xfId="439" applyFont="1"/>
    <xf numFmtId="171" fontId="123" fillId="0" borderId="161" xfId="228" applyNumberFormat="1" applyFont="1" applyFill="1" applyBorder="1" applyAlignment="1">
      <alignment horizontal="right" vertical="center"/>
    </xf>
    <xf numFmtId="0" fontId="97" fillId="0" borderId="116" xfId="441" applyFont="1" applyFill="1" applyBorder="1" applyAlignment="1">
      <alignment horizontal="center"/>
    </xf>
    <xf numFmtId="0" fontId="97" fillId="0" borderId="114" xfId="441" applyFont="1" applyFill="1" applyBorder="1" applyAlignment="1">
      <alignment horizontal="center"/>
    </xf>
    <xf numFmtId="0" fontId="97" fillId="0" borderId="115" xfId="441" applyFont="1" applyFill="1" applyBorder="1" applyAlignment="1">
      <alignment horizontal="center"/>
    </xf>
    <xf numFmtId="0" fontId="128" fillId="29" borderId="114" xfId="441" applyFont="1" applyFill="1" applyBorder="1" applyAlignment="1">
      <alignment horizontal="center"/>
    </xf>
    <xf numFmtId="0" fontId="97" fillId="0" borderId="109" xfId="441" applyFont="1" applyFill="1" applyBorder="1" applyAlignment="1">
      <alignment horizontal="center"/>
    </xf>
    <xf numFmtId="0" fontId="97" fillId="0" borderId="167" xfId="441" applyFont="1" applyFill="1" applyBorder="1" applyAlignment="1">
      <alignment horizontal="center"/>
    </xf>
    <xf numFmtId="0" fontId="97" fillId="0" borderId="168" xfId="441" applyFont="1" applyFill="1" applyBorder="1" applyAlignment="1">
      <alignment horizontal="center"/>
    </xf>
    <xf numFmtId="0" fontId="97" fillId="0" borderId="169" xfId="441" applyFont="1" applyFill="1" applyBorder="1" applyAlignment="1">
      <alignment horizontal="center"/>
    </xf>
    <xf numFmtId="171" fontId="97" fillId="0" borderId="170" xfId="441" applyNumberFormat="1" applyFont="1" applyFill="1" applyBorder="1" applyAlignment="1">
      <alignment horizontal="center"/>
    </xf>
    <xf numFmtId="0" fontId="97" fillId="0" borderId="171" xfId="441" applyFont="1" applyFill="1" applyBorder="1" applyAlignment="1">
      <alignment horizontal="center"/>
    </xf>
    <xf numFmtId="0" fontId="128" fillId="29" borderId="168" xfId="441" applyFont="1" applyFill="1" applyBorder="1" applyAlignment="1">
      <alignment horizontal="center"/>
    </xf>
    <xf numFmtId="0" fontId="97" fillId="0" borderId="172" xfId="441" applyFont="1" applyFill="1" applyBorder="1" applyAlignment="1">
      <alignment horizontal="center"/>
    </xf>
    <xf numFmtId="0" fontId="97" fillId="0" borderId="173" xfId="441" applyFont="1" applyFill="1" applyBorder="1" applyAlignment="1">
      <alignment horizontal="center"/>
    </xf>
    <xf numFmtId="1" fontId="121" fillId="0" borderId="174" xfId="439" applyNumberFormat="1" applyFont="1" applyFill="1" applyBorder="1" applyAlignment="1">
      <alignment horizontal="center" vertical="center"/>
    </xf>
    <xf numFmtId="1" fontId="121" fillId="0" borderId="175" xfId="431" applyNumberFormat="1" applyFont="1" applyFill="1" applyBorder="1" applyAlignment="1">
      <alignment horizontal="center"/>
    </xf>
    <xf numFmtId="1" fontId="121" fillId="0" borderId="176" xfId="431" applyNumberFormat="1" applyFont="1" applyFill="1" applyBorder="1" applyAlignment="1">
      <alignment horizontal="center"/>
    </xf>
    <xf numFmtId="1" fontId="121" fillId="0" borderId="177" xfId="431" applyNumberFormat="1" applyFont="1" applyFill="1" applyBorder="1" applyAlignment="1">
      <alignment horizontal="center"/>
    </xf>
    <xf numFmtId="1" fontId="121" fillId="29" borderId="175" xfId="431" applyNumberFormat="1" applyFont="1" applyFill="1" applyBorder="1" applyAlignment="1">
      <alignment horizontal="center"/>
    </xf>
    <xf numFmtId="0" fontId="129" fillId="0" borderId="0" xfId="328" applyFont="1"/>
    <xf numFmtId="0" fontId="97" fillId="0" borderId="178" xfId="441" applyFont="1" applyFill="1" applyBorder="1" applyAlignment="1">
      <alignment horizontal="center"/>
    </xf>
    <xf numFmtId="0" fontId="97" fillId="0" borderId="179" xfId="441" applyFont="1" applyFill="1" applyBorder="1" applyAlignment="1">
      <alignment horizontal="center"/>
    </xf>
    <xf numFmtId="0" fontId="97" fillId="0" borderId="180" xfId="441" applyFont="1" applyFill="1" applyBorder="1" applyAlignment="1">
      <alignment horizontal="center"/>
    </xf>
    <xf numFmtId="171" fontId="97" fillId="0" borderId="181" xfId="441" applyNumberFormat="1" applyFont="1" applyFill="1" applyBorder="1" applyAlignment="1">
      <alignment horizontal="center"/>
    </xf>
    <xf numFmtId="0" fontId="97" fillId="0" borderId="182" xfId="441" applyFont="1" applyFill="1" applyBorder="1" applyAlignment="1">
      <alignment horizontal="center"/>
    </xf>
    <xf numFmtId="0" fontId="128" fillId="29" borderId="179" xfId="441" applyFont="1" applyFill="1" applyBorder="1" applyAlignment="1">
      <alignment horizontal="center"/>
    </xf>
    <xf numFmtId="0" fontId="97" fillId="0" borderId="183" xfId="441" applyFont="1" applyFill="1" applyBorder="1" applyAlignment="1">
      <alignment horizontal="center"/>
    </xf>
    <xf numFmtId="0" fontId="97" fillId="0" borderId="184" xfId="441" applyFont="1" applyFill="1" applyBorder="1" applyAlignment="1">
      <alignment horizontal="center"/>
    </xf>
    <xf numFmtId="168" fontId="92" fillId="0" borderId="0" xfId="439" applyNumberFormat="1" applyFont="1" applyFill="1" applyBorder="1" applyAlignment="1">
      <alignment horizontal="center" vertical="center"/>
    </xf>
    <xf numFmtId="0" fontId="97" fillId="0" borderId="181" xfId="441" applyFont="1" applyFill="1" applyBorder="1" applyAlignment="1">
      <alignment horizontal="center"/>
    </xf>
    <xf numFmtId="0" fontId="128" fillId="29" borderId="180" xfId="441" applyFont="1" applyFill="1" applyBorder="1" applyAlignment="1">
      <alignment horizontal="center"/>
    </xf>
    <xf numFmtId="1" fontId="94" fillId="0" borderId="177" xfId="439" applyNumberFormat="1" applyFont="1" applyFill="1" applyBorder="1" applyAlignment="1">
      <alignment horizontal="center" vertical="center"/>
    </xf>
    <xf numFmtId="1" fontId="94" fillId="0" borderId="175" xfId="431" applyNumberFormat="1" applyFont="1" applyFill="1" applyBorder="1" applyAlignment="1">
      <alignment horizontal="center"/>
    </xf>
    <xf numFmtId="1" fontId="94" fillId="0" borderId="176" xfId="431" applyNumberFormat="1" applyFont="1" applyFill="1" applyBorder="1" applyAlignment="1">
      <alignment horizontal="center"/>
    </xf>
    <xf numFmtId="1" fontId="94" fillId="0" borderId="177" xfId="431" applyNumberFormat="1" applyFont="1" applyFill="1" applyBorder="1" applyAlignment="1">
      <alignment horizontal="center"/>
    </xf>
    <xf numFmtId="0" fontId="91" fillId="0" borderId="0" xfId="439" applyFont="1" applyBorder="1" applyAlignment="1"/>
    <xf numFmtId="171" fontId="122" fillId="0" borderId="0" xfId="228" applyNumberFormat="1" applyFont="1" applyFill="1" applyBorder="1" applyAlignment="1">
      <alignment horizontal="right" vertical="center"/>
    </xf>
    <xf numFmtId="171" fontId="123" fillId="0" borderId="0" xfId="228" applyNumberFormat="1" applyFont="1" applyFill="1" applyBorder="1" applyAlignment="1">
      <alignment horizontal="right" vertical="center"/>
    </xf>
    <xf numFmtId="0" fontId="12" fillId="0" borderId="0" xfId="328" applyBorder="1" applyAlignment="1"/>
    <xf numFmtId="0" fontId="12" fillId="0" borderId="0" xfId="328" applyAlignment="1"/>
    <xf numFmtId="172" fontId="56" fillId="0" borderId="161" xfId="439" quotePrefix="1" applyNumberFormat="1" applyFont="1" applyFill="1" applyBorder="1" applyAlignment="1">
      <alignment horizontal="center" vertical="center"/>
    </xf>
    <xf numFmtId="172" fontId="56" fillId="0" borderId="185" xfId="439" quotePrefix="1" applyNumberFormat="1" applyFont="1" applyFill="1" applyBorder="1" applyAlignment="1">
      <alignment horizontal="center" vertical="center"/>
    </xf>
    <xf numFmtId="4" fontId="96" fillId="0" borderId="185" xfId="328" applyNumberFormat="1" applyFont="1" applyBorder="1"/>
    <xf numFmtId="171" fontId="124" fillId="0" borderId="0" xfId="228" applyNumberFormat="1" applyFont="1" applyFill="1" applyBorder="1" applyAlignment="1">
      <alignment horizontal="right" vertical="center"/>
    </xf>
    <xf numFmtId="0" fontId="56" fillId="0" borderId="185" xfId="431" applyFont="1" applyFill="1" applyBorder="1" applyAlignment="1">
      <alignment horizontal="center" vertical="center"/>
    </xf>
    <xf numFmtId="1" fontId="121" fillId="0" borderId="0" xfId="431" applyNumberFormat="1" applyFont="1" applyFill="1" applyBorder="1" applyAlignment="1">
      <alignment horizontal="center"/>
    </xf>
    <xf numFmtId="0" fontId="12" fillId="0" borderId="186" xfId="328" applyBorder="1"/>
    <xf numFmtId="0" fontId="12" fillId="0" borderId="188" xfId="328" applyBorder="1"/>
    <xf numFmtId="0" fontId="12" fillId="0" borderId="0" xfId="328" applyFill="1"/>
    <xf numFmtId="0" fontId="92" fillId="0" borderId="148" xfId="428" applyFont="1" applyFill="1" applyBorder="1" applyAlignment="1">
      <alignment horizontal="center"/>
    </xf>
    <xf numFmtId="0" fontId="12" fillId="0" borderId="186" xfId="328" applyFill="1" applyBorder="1"/>
    <xf numFmtId="0" fontId="12" fillId="0" borderId="187" xfId="328" applyFill="1" applyBorder="1"/>
    <xf numFmtId="4" fontId="96" fillId="0" borderId="187" xfId="328" applyNumberFormat="1" applyFont="1" applyFill="1" applyBorder="1"/>
    <xf numFmtId="0" fontId="12" fillId="0" borderId="188" xfId="328" applyFill="1" applyBorder="1"/>
    <xf numFmtId="0" fontId="12" fillId="0" borderId="0" xfId="328" applyFill="1" applyBorder="1"/>
    <xf numFmtId="1" fontId="121" fillId="0" borderId="153" xfId="439" applyNumberFormat="1" applyFont="1" applyFill="1" applyBorder="1" applyAlignment="1">
      <alignment horizontal="center" vertical="center"/>
    </xf>
    <xf numFmtId="1" fontId="121" fillId="0" borderId="185" xfId="431" applyNumberFormat="1" applyFont="1" applyFill="1" applyBorder="1" applyAlignment="1">
      <alignment horizontal="center"/>
    </xf>
    <xf numFmtId="1" fontId="121" fillId="0" borderId="147" xfId="431" applyNumberFormat="1" applyFont="1" applyFill="1" applyBorder="1" applyAlignment="1">
      <alignment horizontal="center"/>
    </xf>
    <xf numFmtId="1" fontId="121" fillId="0" borderId="153" xfId="431" applyNumberFormat="1" applyFont="1" applyFill="1" applyBorder="1" applyAlignment="1">
      <alignment horizontal="center"/>
    </xf>
    <xf numFmtId="1" fontId="121" fillId="29" borderId="185" xfId="431" applyNumberFormat="1" applyFont="1" applyFill="1" applyBorder="1" applyAlignment="1">
      <alignment horizontal="center"/>
    </xf>
    <xf numFmtId="1" fontId="94" fillId="0" borderId="185" xfId="431" applyNumberFormat="1" applyFont="1" applyFill="1" applyBorder="1" applyAlignment="1">
      <alignment horizontal="center"/>
    </xf>
    <xf numFmtId="1" fontId="94" fillId="0" borderId="153" xfId="439" applyNumberFormat="1" applyFont="1" applyFill="1" applyBorder="1" applyAlignment="1">
      <alignment horizontal="center" vertical="center"/>
    </xf>
    <xf numFmtId="1" fontId="94" fillId="0" borderId="147" xfId="431" applyNumberFormat="1" applyFont="1" applyFill="1" applyBorder="1" applyAlignment="1">
      <alignment horizontal="center"/>
    </xf>
    <xf numFmtId="1" fontId="94" fillId="0" borderId="153" xfId="431" applyNumberFormat="1" applyFont="1" applyFill="1" applyBorder="1" applyAlignment="1">
      <alignment horizontal="center"/>
    </xf>
    <xf numFmtId="15" fontId="125" fillId="0" borderId="125" xfId="439" applyNumberFormat="1" applyFont="1" applyFill="1" applyBorder="1" applyAlignment="1">
      <alignment horizontal="center" vertical="center"/>
    </xf>
    <xf numFmtId="172" fontId="56" fillId="0" borderId="189" xfId="439" quotePrefix="1" applyNumberFormat="1" applyFont="1" applyFill="1" applyBorder="1" applyAlignment="1">
      <alignment horizontal="center" vertical="center"/>
    </xf>
    <xf numFmtId="43" fontId="96" fillId="0" borderId="189" xfId="1" applyFont="1" applyBorder="1"/>
    <xf numFmtId="0" fontId="12" fillId="0" borderId="190" xfId="328" applyBorder="1"/>
    <xf numFmtId="1" fontId="94" fillId="0" borderId="157" xfId="439" applyNumberFormat="1" applyFont="1" applyFill="1" applyBorder="1" applyAlignment="1">
      <alignment horizontal="center" vertical="center"/>
    </xf>
    <xf numFmtId="1" fontId="121" fillId="0" borderId="157" xfId="431" applyNumberFormat="1" applyFont="1" applyFill="1" applyBorder="1" applyAlignment="1">
      <alignment horizontal="center"/>
    </xf>
    <xf numFmtId="1" fontId="121" fillId="29" borderId="157" xfId="431" applyNumberFormat="1" applyFont="1" applyFill="1" applyBorder="1" applyAlignment="1">
      <alignment horizontal="center"/>
    </xf>
    <xf numFmtId="1" fontId="94" fillId="0" borderId="157" xfId="431" applyNumberFormat="1" applyFont="1" applyFill="1" applyBorder="1" applyAlignment="1">
      <alignment horizontal="center"/>
    </xf>
    <xf numFmtId="172" fontId="56" fillId="0" borderId="190" xfId="439" quotePrefix="1" applyNumberFormat="1" applyFont="1" applyFill="1" applyBorder="1" applyAlignment="1">
      <alignment horizontal="center" vertical="center"/>
    </xf>
    <xf numFmtId="4" fontId="96" fillId="0" borderId="190" xfId="328" applyNumberFormat="1" applyFont="1" applyBorder="1"/>
    <xf numFmtId="0" fontId="12" fillId="0" borderId="194" xfId="328" applyBorder="1"/>
    <xf numFmtId="0" fontId="12" fillId="0" borderId="195" xfId="328" applyBorder="1"/>
    <xf numFmtId="0" fontId="11" fillId="29" borderId="0" xfId="417" applyFont="1" applyFill="1" applyAlignment="1" applyProtection="1">
      <alignment horizontal="center" vertical="center" wrapText="1"/>
    </xf>
    <xf numFmtId="0" fontId="58" fillId="0" borderId="0" xfId="418" applyNumberFormat="1" applyFont="1" applyFill="1" applyAlignment="1" applyProtection="1">
      <alignment horizontal="right" vertical="center"/>
    </xf>
    <xf numFmtId="4" fontId="91" fillId="0" borderId="0" xfId="418" applyNumberFormat="1" applyFont="1" applyFill="1" applyBorder="1" applyAlignment="1">
      <alignment horizontal="right" vertical="center"/>
    </xf>
    <xf numFmtId="168" fontId="91" fillId="0" borderId="0" xfId="428" applyNumberFormat="1" applyFont="1" applyFill="1" applyBorder="1" applyAlignment="1">
      <alignment horizontal="center" vertical="center"/>
    </xf>
    <xf numFmtId="0" fontId="91" fillId="0" borderId="0" xfId="429" applyFont="1" applyFill="1" applyBorder="1" applyAlignment="1">
      <alignment horizontal="center" vertical="center" wrapText="1"/>
    </xf>
    <xf numFmtId="0" fontId="91" fillId="0" borderId="147" xfId="429" applyFont="1" applyFill="1" applyBorder="1" applyAlignment="1">
      <alignment horizontal="center" vertical="center" wrapText="1"/>
    </xf>
    <xf numFmtId="0" fontId="91" fillId="0" borderId="153" xfId="429" applyFont="1" applyFill="1" applyBorder="1" applyAlignment="1">
      <alignment horizontal="center" vertical="center" wrapText="1"/>
    </xf>
    <xf numFmtId="171" fontId="91" fillId="0" borderId="0" xfId="429" applyNumberFormat="1" applyFont="1" applyFill="1" applyBorder="1" applyAlignment="1">
      <alignment horizontal="center" vertical="center" wrapText="1"/>
    </xf>
    <xf numFmtId="0" fontId="56" fillId="0" borderId="147" xfId="430" applyFont="1" applyFill="1" applyBorder="1" applyAlignment="1">
      <alignment horizontal="center"/>
    </xf>
    <xf numFmtId="0" fontId="91" fillId="0" borderId="196" xfId="431" applyFont="1" applyFill="1" applyBorder="1" applyAlignment="1">
      <alignment horizontal="center" vertical="center"/>
    </xf>
    <xf numFmtId="170" fontId="91" fillId="0" borderId="196" xfId="431" applyNumberFormat="1" applyFont="1" applyFill="1" applyBorder="1" applyAlignment="1">
      <alignment horizontal="center" vertical="center"/>
    </xf>
    <xf numFmtId="0" fontId="56" fillId="0" borderId="0" xfId="430" applyFont="1" applyFill="1" applyBorder="1" applyAlignment="1">
      <alignment horizontal="center"/>
    </xf>
    <xf numFmtId="0" fontId="94" fillId="0" borderId="147" xfId="430" applyFont="1" applyFill="1" applyBorder="1" applyAlignment="1">
      <alignment horizontal="center" vertical="center" wrapText="1"/>
    </xf>
    <xf numFmtId="0" fontId="56" fillId="0" borderId="147" xfId="430" applyFont="1" applyFill="1" applyBorder="1" applyAlignment="1">
      <alignment horizontal="center" vertical="center" wrapText="1"/>
    </xf>
    <xf numFmtId="0" fontId="56" fillId="0" borderId="147" xfId="371" applyFont="1" applyFill="1" applyBorder="1" applyAlignment="1">
      <alignment horizontal="center" vertical="center" wrapText="1"/>
    </xf>
    <xf numFmtId="0" fontId="56" fillId="0" borderId="147" xfId="432" applyFont="1" applyFill="1" applyBorder="1" applyAlignment="1">
      <alignment horizontal="center" vertical="center"/>
    </xf>
    <xf numFmtId="0" fontId="95" fillId="0" borderId="147" xfId="433" applyFont="1" applyFill="1" applyBorder="1" applyAlignment="1">
      <alignment horizontal="center" vertical="center" wrapText="1"/>
    </xf>
    <xf numFmtId="0" fontId="96" fillId="0" borderId="147" xfId="433" applyFont="1" applyFill="1" applyBorder="1" applyAlignment="1">
      <alignment horizontal="center" vertical="center" wrapText="1"/>
    </xf>
    <xf numFmtId="0" fontId="56" fillId="0" borderId="0" xfId="431" applyFont="1" applyFill="1" applyBorder="1" applyAlignment="1">
      <alignment horizontal="center" vertical="center"/>
    </xf>
    <xf numFmtId="170" fontId="56" fillId="0" borderId="0" xfId="431" applyNumberFormat="1" applyFont="1" applyFill="1" applyBorder="1" applyAlignment="1">
      <alignment horizontal="center" vertical="center"/>
    </xf>
    <xf numFmtId="171" fontId="56" fillId="0" borderId="0" xfId="431" applyNumberFormat="1" applyFont="1" applyFill="1" applyBorder="1" applyAlignment="1">
      <alignment horizontal="center" vertical="center"/>
    </xf>
    <xf numFmtId="170" fontId="91" fillId="0" borderId="0" xfId="431" applyNumberFormat="1" applyFont="1" applyFill="1" applyBorder="1" applyAlignment="1">
      <alignment horizontal="center" vertical="center" wrapText="1"/>
    </xf>
    <xf numFmtId="0" fontId="91" fillId="0" borderId="0" xfId="431" applyFont="1" applyFill="1" applyBorder="1" applyAlignment="1">
      <alignment horizontal="center" vertical="center" wrapText="1"/>
    </xf>
    <xf numFmtId="171" fontId="102" fillId="0" borderId="0" xfId="429" applyNumberFormat="1" applyFont="1" applyFill="1" applyBorder="1" applyAlignment="1">
      <alignment horizontal="center" vertical="top" wrapText="1"/>
    </xf>
    <xf numFmtId="0" fontId="91" fillId="0" borderId="147" xfId="429" applyFont="1" applyFill="1" applyBorder="1" applyAlignment="1">
      <alignment horizontal="center" vertical="top"/>
    </xf>
    <xf numFmtId="0" fontId="91" fillId="0" borderId="0" xfId="429" applyFont="1" applyFill="1" applyBorder="1" applyAlignment="1">
      <alignment horizontal="center"/>
    </xf>
    <xf numFmtId="171" fontId="91" fillId="0" borderId="0" xfId="429" applyNumberFormat="1" applyFont="1" applyFill="1" applyBorder="1" applyAlignment="1">
      <alignment horizontal="center"/>
    </xf>
    <xf numFmtId="0" fontId="91" fillId="0" borderId="147" xfId="429" applyFont="1" applyFill="1" applyBorder="1" applyAlignment="1">
      <alignment horizontal="center"/>
    </xf>
    <xf numFmtId="0" fontId="104" fillId="0" borderId="189" xfId="0" applyFont="1" applyBorder="1" applyAlignment="1">
      <alignment horizontal="center" vertical="center"/>
    </xf>
    <xf numFmtId="171" fontId="12" fillId="0" borderId="102" xfId="438" applyNumberFormat="1" applyFont="1" applyFill="1" applyBorder="1" applyAlignment="1">
      <alignment vertical="center"/>
    </xf>
    <xf numFmtId="171" fontId="56" fillId="0" borderId="102" xfId="438" applyNumberFormat="1" applyFont="1" applyFill="1" applyBorder="1" applyAlignment="1">
      <alignment vertical="center"/>
    </xf>
    <xf numFmtId="171" fontId="96" fillId="0" borderId="102" xfId="438" applyNumberFormat="1" applyFont="1" applyFill="1" applyBorder="1" applyAlignment="1">
      <alignment vertical="center"/>
    </xf>
    <xf numFmtId="0" fontId="0" fillId="0" borderId="197" xfId="0" applyFill="1" applyBorder="1"/>
    <xf numFmtId="0" fontId="93" fillId="0" borderId="147" xfId="434" applyFont="1" applyFill="1" applyBorder="1" applyAlignment="1">
      <alignment horizontal="center" vertical="center" wrapText="1"/>
    </xf>
    <xf numFmtId="0" fontId="93" fillId="0" borderId="0" xfId="434" applyFont="1" applyFill="1" applyBorder="1" applyAlignment="1">
      <alignment horizontal="center" vertical="center" wrapText="1"/>
    </xf>
    <xf numFmtId="0" fontId="91" fillId="0" borderId="147" xfId="428" applyFont="1" applyFill="1" applyBorder="1" applyAlignment="1">
      <alignment horizontal="center" vertical="center" wrapText="1"/>
    </xf>
    <xf numFmtId="0" fontId="92" fillId="45" borderId="37" xfId="428" applyFont="1" applyFill="1" applyBorder="1" applyAlignment="1">
      <alignment horizontal="center"/>
    </xf>
    <xf numFmtId="0" fontId="92" fillId="46" borderId="37" xfId="428" applyFont="1" applyFill="1" applyBorder="1" applyAlignment="1">
      <alignment horizontal="center"/>
    </xf>
    <xf numFmtId="0" fontId="92" fillId="29" borderId="39" xfId="428" applyFont="1" applyFill="1" applyBorder="1" applyAlignment="1">
      <alignment horizontal="center"/>
    </xf>
    <xf numFmtId="168" fontId="91" fillId="0" borderId="103" xfId="439" applyNumberFormat="1" applyFont="1" applyFill="1" applyBorder="1" applyAlignment="1">
      <alignment horizontal="center" vertical="center"/>
    </xf>
    <xf numFmtId="0" fontId="91" fillId="0" borderId="103" xfId="441" applyFont="1" applyFill="1" applyBorder="1" applyAlignment="1">
      <alignment horizontal="center" vertical="center" wrapText="1"/>
    </xf>
    <xf numFmtId="0" fontId="94" fillId="0" borderId="103" xfId="430" applyFont="1" applyFill="1" applyBorder="1" applyAlignment="1">
      <alignment horizontal="center" vertical="center" wrapText="1"/>
    </xf>
    <xf numFmtId="0" fontId="56" fillId="0" borderId="103" xfId="430" applyFont="1" applyFill="1" applyBorder="1" applyAlignment="1">
      <alignment horizontal="center" vertical="center" wrapText="1"/>
    </xf>
    <xf numFmtId="0" fontId="91" fillId="0" borderId="147" xfId="441" applyFont="1" applyFill="1" applyBorder="1" applyAlignment="1">
      <alignment horizontal="center" vertical="center" wrapText="1"/>
    </xf>
    <xf numFmtId="0" fontId="91" fillId="0" borderId="103" xfId="429" applyFont="1" applyFill="1" applyBorder="1" applyAlignment="1">
      <alignment horizontal="center" vertical="center" wrapText="1"/>
    </xf>
    <xf numFmtId="0" fontId="58" fillId="0" borderId="0" xfId="418" applyNumberFormat="1" applyFont="1" applyFill="1" applyBorder="1" applyAlignment="1" applyProtection="1">
      <alignment horizontal="right" vertical="center"/>
    </xf>
    <xf numFmtId="171" fontId="12" fillId="0" borderId="187" xfId="174" applyNumberFormat="1" applyFont="1" applyFill="1" applyBorder="1" applyAlignment="1">
      <alignment horizontal="right" vertical="center"/>
    </xf>
    <xf numFmtId="171" fontId="12" fillId="0" borderId="189" xfId="174" applyNumberFormat="1" applyFont="1" applyFill="1" applyBorder="1" applyAlignment="1">
      <alignment horizontal="right" vertical="center"/>
    </xf>
    <xf numFmtId="171" fontId="91" fillId="0" borderId="198" xfId="228" applyNumberFormat="1" applyFont="1" applyFill="1" applyBorder="1" applyAlignment="1">
      <alignment vertical="center"/>
    </xf>
    <xf numFmtId="4" fontId="91" fillId="0" borderId="199" xfId="0" applyNumberFormat="1" applyFont="1" applyFill="1" applyBorder="1" applyAlignment="1">
      <alignment vertical="center" wrapText="1"/>
    </xf>
    <xf numFmtId="0" fontId="92" fillId="0" borderId="39" xfId="428" applyFont="1" applyFill="1" applyBorder="1" applyAlignment="1">
      <alignment horizontal="center"/>
    </xf>
    <xf numFmtId="0" fontId="91" fillId="0" borderId="26" xfId="429" applyFont="1" applyFill="1" applyBorder="1" applyAlignment="1">
      <alignment horizontal="center" vertical="center" wrapText="1"/>
    </xf>
    <xf numFmtId="171" fontId="12" fillId="0" borderId="187" xfId="435" applyNumberFormat="1" applyFont="1" applyFill="1" applyBorder="1" applyAlignment="1">
      <alignment vertical="center"/>
    </xf>
    <xf numFmtId="171" fontId="91" fillId="0" borderId="187" xfId="228" applyNumberFormat="1" applyFont="1" applyFill="1" applyBorder="1" applyAlignment="1">
      <alignment vertical="center"/>
    </xf>
    <xf numFmtId="0" fontId="92" fillId="0" borderId="2" xfId="428" applyFont="1" applyFill="1" applyBorder="1" applyAlignment="1">
      <alignment horizontal="center"/>
    </xf>
    <xf numFmtId="0" fontId="56" fillId="0" borderId="110" xfId="432" applyFont="1" applyFill="1" applyBorder="1" applyAlignment="1">
      <alignment horizontal="center" vertical="center"/>
    </xf>
    <xf numFmtId="0" fontId="56" fillId="0" borderId="153" xfId="432" applyFont="1" applyFill="1" applyBorder="1" applyAlignment="1">
      <alignment horizontal="center" vertical="center"/>
    </xf>
    <xf numFmtId="0" fontId="56" fillId="0" borderId="0" xfId="432" applyFont="1" applyFill="1" applyBorder="1" applyAlignment="1">
      <alignment horizontal="center" vertical="center"/>
    </xf>
    <xf numFmtId="171" fontId="56" fillId="0" borderId="189" xfId="174" applyNumberFormat="1" applyFont="1" applyFill="1" applyBorder="1" applyAlignment="1">
      <alignment horizontal="right" vertical="center"/>
    </xf>
    <xf numFmtId="171" fontId="56" fillId="0" borderId="187" xfId="228" applyNumberFormat="1" applyFont="1" applyFill="1" applyBorder="1" applyAlignment="1">
      <alignment vertical="center"/>
    </xf>
    <xf numFmtId="171" fontId="91" fillId="0" borderId="187" xfId="228" applyNumberFormat="1" applyFont="1" applyFill="1" applyBorder="1" applyAlignment="1"/>
    <xf numFmtId="0" fontId="56" fillId="0" borderId="110" xfId="431" applyFont="1" applyFill="1" applyBorder="1" applyAlignment="1">
      <alignment horizontal="center" vertical="center"/>
    </xf>
    <xf numFmtId="0" fontId="56" fillId="0" borderId="153" xfId="431" applyFont="1" applyFill="1" applyBorder="1" applyAlignment="1">
      <alignment horizontal="center" vertical="center"/>
    </xf>
    <xf numFmtId="171" fontId="12" fillId="0" borderId="187" xfId="228" applyNumberFormat="1" applyFont="1" applyFill="1" applyBorder="1" applyAlignment="1">
      <alignment vertical="center"/>
    </xf>
    <xf numFmtId="171" fontId="12" fillId="0" borderId="189" xfId="426" applyNumberFormat="1" applyFont="1" applyFill="1" applyBorder="1" applyAlignment="1">
      <alignment horizontal="right" vertical="center"/>
    </xf>
    <xf numFmtId="171" fontId="56" fillId="0" borderId="187" xfId="174" applyNumberFormat="1" applyFont="1" applyFill="1" applyBorder="1" applyAlignment="1">
      <alignment horizontal="right" vertical="center"/>
    </xf>
    <xf numFmtId="0" fontId="92" fillId="47" borderId="39" xfId="428" applyFont="1" applyFill="1" applyBorder="1" applyAlignment="1">
      <alignment horizontal="center"/>
    </xf>
    <xf numFmtId="171" fontId="56" fillId="0" borderId="189" xfId="438" applyNumberFormat="1" applyFont="1" applyFill="1" applyBorder="1" applyAlignment="1">
      <alignment vertical="center"/>
    </xf>
    <xf numFmtId="171" fontId="91" fillId="0" borderId="189" xfId="438" applyNumberFormat="1" applyFont="1" applyFill="1" applyBorder="1" applyAlignment="1"/>
    <xf numFmtId="171" fontId="12" fillId="0" borderId="189" xfId="436" applyNumberFormat="1" applyFont="1" applyFill="1" applyBorder="1" applyAlignment="1">
      <alignment vertical="center"/>
    </xf>
    <xf numFmtId="171" fontId="12" fillId="0" borderId="189" xfId="438" applyNumberFormat="1" applyFont="1" applyFill="1" applyBorder="1" applyAlignment="1">
      <alignment vertical="center"/>
    </xf>
    <xf numFmtId="0" fontId="92" fillId="0" borderId="40" xfId="428" applyFont="1" applyFill="1" applyBorder="1" applyAlignment="1">
      <alignment horizontal="center"/>
    </xf>
    <xf numFmtId="4" fontId="109" fillId="0" borderId="0" xfId="0" applyNumberFormat="1" applyFont="1" applyFill="1"/>
    <xf numFmtId="0" fontId="91" fillId="0" borderId="0" xfId="0" applyFont="1" applyFill="1" applyBorder="1"/>
    <xf numFmtId="0" fontId="91" fillId="0" borderId="0" xfId="428" applyFont="1" applyFill="1" applyBorder="1"/>
    <xf numFmtId="168" fontId="91" fillId="0" borderId="110" xfId="428" applyNumberFormat="1" applyFont="1" applyFill="1" applyBorder="1" applyAlignment="1">
      <alignment horizontal="center" vertical="center"/>
    </xf>
    <xf numFmtId="168" fontId="91" fillId="0" borderId="153" xfId="428" applyNumberFormat="1" applyFont="1" applyFill="1" applyBorder="1" applyAlignment="1">
      <alignment horizontal="center" vertical="center"/>
    </xf>
    <xf numFmtId="168" fontId="91" fillId="0" borderId="127" xfId="428" applyNumberFormat="1" applyFont="1" applyFill="1" applyBorder="1" applyAlignment="1">
      <alignment horizontal="center" vertical="center"/>
    </xf>
    <xf numFmtId="166" fontId="0" fillId="0" borderId="0" xfId="0" applyNumberFormat="1" applyFont="1" applyFill="1" applyBorder="1" applyAlignment="1">
      <alignment horizontal="center" vertical="center"/>
    </xf>
    <xf numFmtId="4" fontId="58" fillId="0" borderId="0" xfId="0" applyNumberFormat="1" applyFont="1" applyFill="1"/>
    <xf numFmtId="4" fontId="109" fillId="0" borderId="0" xfId="0" applyNumberFormat="1" applyFont="1" applyFill="1" applyBorder="1"/>
    <xf numFmtId="4" fontId="112" fillId="0" borderId="0" xfId="0" applyNumberFormat="1" applyFont="1" applyFill="1" applyBorder="1"/>
    <xf numFmtId="0" fontId="91" fillId="0" borderId="113" xfId="431" applyFont="1" applyFill="1" applyBorder="1" applyAlignment="1">
      <alignment horizontal="center" vertical="center"/>
    </xf>
    <xf numFmtId="0" fontId="91" fillId="0" borderId="200" xfId="431" applyFont="1" applyFill="1" applyBorder="1" applyAlignment="1">
      <alignment horizontal="center" vertical="center"/>
    </xf>
    <xf numFmtId="4" fontId="91" fillId="0" borderId="201" xfId="0" applyNumberFormat="1" applyFont="1" applyFill="1" applyBorder="1" applyAlignment="1">
      <alignment vertical="center" wrapText="1"/>
    </xf>
    <xf numFmtId="0" fontId="92" fillId="0" borderId="0" xfId="428" applyFont="1" applyFill="1" applyBorder="1" applyAlignment="1">
      <alignment horizontal="center"/>
    </xf>
    <xf numFmtId="171" fontId="12" fillId="0" borderId="0" xfId="435" applyNumberFormat="1" applyFont="1" applyFill="1" applyBorder="1" applyAlignment="1">
      <alignment vertical="center"/>
    </xf>
    <xf numFmtId="171" fontId="12" fillId="0" borderId="0" xfId="174" applyNumberFormat="1" applyFont="1" applyFill="1" applyBorder="1" applyAlignment="1">
      <alignment horizontal="right" vertical="center"/>
    </xf>
    <xf numFmtId="171" fontId="56" fillId="0" borderId="0" xfId="228" applyNumberFormat="1" applyFont="1" applyFill="1" applyBorder="1" applyAlignment="1">
      <alignment vertical="center"/>
    </xf>
    <xf numFmtId="171" fontId="91" fillId="0" borderId="0" xfId="228" applyNumberFormat="1" applyFont="1" applyFill="1" applyBorder="1" applyAlignment="1"/>
    <xf numFmtId="4" fontId="91" fillId="0" borderId="153" xfId="0" applyNumberFormat="1" applyFont="1" applyFill="1" applyBorder="1" applyAlignment="1">
      <alignment vertical="center" wrapText="1"/>
    </xf>
    <xf numFmtId="0" fontId="92" fillId="44" borderId="39" xfId="428" applyFont="1" applyFill="1" applyBorder="1" applyAlignment="1">
      <alignment horizontal="centerContinuous" vertical="center"/>
    </xf>
    <xf numFmtId="0" fontId="92" fillId="44" borderId="2" xfId="428" applyFont="1" applyFill="1" applyBorder="1" applyAlignment="1">
      <alignment horizontal="centerContinuous" vertical="center"/>
    </xf>
    <xf numFmtId="0" fontId="92" fillId="44" borderId="40" xfId="428" applyFont="1" applyFill="1" applyBorder="1" applyAlignment="1">
      <alignment horizontal="centerContinuous" vertical="center"/>
    </xf>
    <xf numFmtId="171" fontId="56" fillId="0" borderId="0" xfId="174" applyNumberFormat="1" applyFont="1" applyFill="1" applyBorder="1" applyAlignment="1">
      <alignment horizontal="right" vertical="center"/>
    </xf>
    <xf numFmtId="171" fontId="91" fillId="0" borderId="132" xfId="429" applyNumberFormat="1" applyFont="1" applyFill="1" applyBorder="1" applyAlignment="1">
      <alignment horizontal="center" vertical="center" wrapText="1"/>
    </xf>
    <xf numFmtId="0" fontId="91" fillId="0" borderId="133" xfId="429" applyFont="1" applyFill="1" applyBorder="1" applyAlignment="1">
      <alignment horizontal="center" vertical="center" wrapText="1"/>
    </xf>
    <xf numFmtId="170" fontId="91" fillId="0" borderId="150" xfId="431" applyNumberFormat="1" applyFont="1" applyFill="1" applyBorder="1" applyAlignment="1">
      <alignment horizontal="center" vertical="center" wrapText="1"/>
    </xf>
    <xf numFmtId="0" fontId="91" fillId="0" borderId="203" xfId="431" applyFont="1" applyFill="1" applyBorder="1" applyAlignment="1">
      <alignment horizontal="center" vertical="center" wrapText="1"/>
    </xf>
    <xf numFmtId="171" fontId="97" fillId="0" borderId="132" xfId="431" applyNumberFormat="1" applyFont="1" applyFill="1" applyBorder="1" applyAlignment="1">
      <alignment horizontal="center" vertical="center"/>
    </xf>
    <xf numFmtId="0" fontId="97" fillId="0" borderId="133" xfId="431" applyFont="1" applyFill="1" applyBorder="1" applyAlignment="1">
      <alignment horizontal="center" vertical="center"/>
    </xf>
    <xf numFmtId="0" fontId="91" fillId="0" borderId="157" xfId="429" applyFont="1" applyFill="1" applyBorder="1" applyAlignment="1">
      <alignment horizontal="center" vertical="center" wrapText="1"/>
    </xf>
    <xf numFmtId="171" fontId="91" fillId="0" borderId="157" xfId="429" applyNumberFormat="1" applyFont="1" applyFill="1" applyBorder="1" applyAlignment="1">
      <alignment horizontal="center" vertical="center" wrapText="1"/>
    </xf>
    <xf numFmtId="0" fontId="94" fillId="0" borderId="157" xfId="430" applyFont="1" applyFill="1" applyBorder="1" applyAlignment="1">
      <alignment horizontal="center" vertical="center" wrapText="1"/>
    </xf>
    <xf numFmtId="0" fontId="56" fillId="0" borderId="157" xfId="430" applyFont="1" applyFill="1" applyBorder="1" applyAlignment="1">
      <alignment horizontal="center" vertical="center" wrapText="1"/>
    </xf>
    <xf numFmtId="0" fontId="56" fillId="0" borderId="157" xfId="430" applyFont="1" applyFill="1" applyBorder="1" applyAlignment="1">
      <alignment horizontal="center"/>
    </xf>
    <xf numFmtId="0" fontId="56" fillId="0" borderId="157" xfId="431" applyFont="1" applyFill="1" applyBorder="1" applyAlignment="1">
      <alignment horizontal="center" vertical="center"/>
    </xf>
    <xf numFmtId="170" fontId="56" fillId="0" borderId="157" xfId="431" applyNumberFormat="1" applyFont="1" applyFill="1" applyBorder="1" applyAlignment="1">
      <alignment horizontal="center" vertical="center"/>
    </xf>
    <xf numFmtId="171" fontId="56" fillId="0" borderId="157" xfId="431" applyNumberFormat="1" applyFont="1" applyFill="1" applyBorder="1" applyAlignment="1">
      <alignment horizontal="center" vertical="center"/>
    </xf>
    <xf numFmtId="0" fontId="56" fillId="0" borderId="157" xfId="431" applyFont="1" applyFill="1" applyBorder="1" applyAlignment="1">
      <alignment horizontal="center" vertical="center" wrapText="1"/>
    </xf>
    <xf numFmtId="0" fontId="56" fillId="0" borderId="157" xfId="371" applyFont="1" applyFill="1" applyBorder="1" applyAlignment="1">
      <alignment horizontal="center" vertical="center" wrapText="1"/>
    </xf>
    <xf numFmtId="170" fontId="91" fillId="0" borderId="157" xfId="431" applyNumberFormat="1" applyFont="1" applyFill="1" applyBorder="1" applyAlignment="1">
      <alignment horizontal="center" vertical="center" wrapText="1"/>
    </xf>
    <xf numFmtId="0" fontId="91" fillId="0" borderId="157" xfId="431" applyFont="1" applyFill="1" applyBorder="1" applyAlignment="1">
      <alignment horizontal="center" vertical="center" wrapText="1"/>
    </xf>
    <xf numFmtId="171" fontId="97" fillId="0" borderId="157" xfId="431" applyNumberFormat="1" applyFont="1" applyFill="1" applyBorder="1" applyAlignment="1">
      <alignment horizontal="center" vertical="center"/>
    </xf>
    <xf numFmtId="0" fontId="97" fillId="0" borderId="157" xfId="431" applyFont="1" applyFill="1" applyBorder="1" applyAlignment="1">
      <alignment horizontal="center" vertical="center"/>
    </xf>
    <xf numFmtId="168" fontId="91" fillId="0" borderId="204" xfId="428" applyNumberFormat="1" applyFont="1" applyFill="1" applyBorder="1" applyAlignment="1">
      <alignment horizontal="center" vertical="center"/>
    </xf>
    <xf numFmtId="166" fontId="0" fillId="0" borderId="205" xfId="0" applyNumberFormat="1" applyFont="1" applyFill="1" applyBorder="1" applyAlignment="1">
      <alignment horizontal="center" vertical="center"/>
    </xf>
    <xf numFmtId="168" fontId="91" fillId="0" borderId="199" xfId="428" applyNumberFormat="1" applyFont="1" applyFill="1" applyBorder="1" applyAlignment="1">
      <alignment horizontal="center" vertical="center" wrapText="1"/>
    </xf>
    <xf numFmtId="168" fontId="92" fillId="0" borderId="199" xfId="428" applyNumberFormat="1" applyFont="1" applyFill="1" applyBorder="1" applyAlignment="1">
      <alignment horizontal="center" vertical="center" wrapText="1"/>
    </xf>
    <xf numFmtId="0" fontId="0" fillId="0" borderId="206" xfId="0" applyBorder="1"/>
    <xf numFmtId="15" fontId="91" fillId="0" borderId="206" xfId="428" applyNumberFormat="1" applyFont="1" applyFill="1" applyBorder="1" applyAlignment="1">
      <alignment horizontal="center"/>
    </xf>
    <xf numFmtId="15" fontId="91" fillId="0" borderId="196" xfId="428" applyNumberFormat="1" applyFont="1" applyFill="1" applyBorder="1" applyAlignment="1">
      <alignment horizontal="center"/>
    </xf>
    <xf numFmtId="4" fontId="91" fillId="0" borderId="206" xfId="228" applyNumberFormat="1" applyFont="1" applyFill="1" applyBorder="1" applyAlignment="1">
      <alignment vertical="center"/>
    </xf>
    <xf numFmtId="171" fontId="91" fillId="0" borderId="206" xfId="228" applyNumberFormat="1" applyFont="1" applyFill="1" applyBorder="1" applyAlignment="1">
      <alignment vertical="center"/>
    </xf>
    <xf numFmtId="171" fontId="91" fillId="0" borderId="206" xfId="438" applyNumberFormat="1" applyFont="1" applyFill="1" applyBorder="1" applyAlignment="1"/>
    <xf numFmtId="171" fontId="91" fillId="0" borderId="206" xfId="228" applyNumberFormat="1" applyFont="1" applyFill="1" applyBorder="1" applyAlignment="1"/>
    <xf numFmtId="4" fontId="92" fillId="0" borderId="199" xfId="0" applyNumberFormat="1" applyFont="1" applyFill="1" applyBorder="1" applyAlignment="1">
      <alignment vertical="center" wrapText="1"/>
    </xf>
    <xf numFmtId="0" fontId="131" fillId="0" borderId="0" xfId="328" applyFont="1" applyAlignment="1">
      <alignment horizontal="right" vertical="center"/>
    </xf>
    <xf numFmtId="0" fontId="132" fillId="0" borderId="0" xfId="428" applyNumberFormat="1" applyFont="1" applyFill="1" applyBorder="1" applyAlignment="1" applyProtection="1">
      <alignment horizontal="center" vertical="center"/>
      <protection locked="0"/>
    </xf>
    <xf numFmtId="168" fontId="132" fillId="0" borderId="0" xfId="428" applyNumberFormat="1" applyFont="1" applyFill="1" applyBorder="1" applyAlignment="1">
      <alignment horizontal="right" vertical="center"/>
    </xf>
    <xf numFmtId="43" fontId="12" fillId="0" borderId="189" xfId="1" applyFont="1" applyFill="1" applyBorder="1" applyAlignment="1">
      <alignment vertical="center"/>
    </xf>
    <xf numFmtId="43" fontId="12" fillId="0" borderId="189" xfId="1" applyFont="1" applyFill="1" applyBorder="1" applyAlignment="1">
      <alignment horizontal="right" vertical="center"/>
    </xf>
    <xf numFmtId="43" fontId="104" fillId="0" borderId="189" xfId="1" applyFont="1" applyBorder="1"/>
    <xf numFmtId="43" fontId="12" fillId="5" borderId="189" xfId="1" applyFont="1" applyFill="1" applyBorder="1" applyAlignment="1">
      <alignment horizontal="right" vertical="center"/>
    </xf>
    <xf numFmtId="43" fontId="12" fillId="5" borderId="189" xfId="1" applyFont="1" applyFill="1" applyBorder="1" applyAlignment="1">
      <alignment vertical="center"/>
    </xf>
    <xf numFmtId="43" fontId="56" fillId="0" borderId="189" xfId="1" applyFont="1" applyFill="1" applyBorder="1" applyAlignment="1">
      <alignment horizontal="right" vertical="center"/>
    </xf>
    <xf numFmtId="43" fontId="56" fillId="0" borderId="189" xfId="1" applyFont="1" applyFill="1" applyBorder="1" applyAlignment="1">
      <alignment vertical="center"/>
    </xf>
    <xf numFmtId="43" fontId="96" fillId="5" borderId="189" xfId="1" applyFont="1" applyFill="1" applyBorder="1"/>
    <xf numFmtId="43" fontId="96" fillId="0" borderId="161" xfId="1" applyFont="1" applyBorder="1"/>
    <xf numFmtId="43" fontId="96" fillId="5" borderId="161" xfId="1" applyFont="1" applyFill="1" applyBorder="1"/>
    <xf numFmtId="43" fontId="96" fillId="0" borderId="164" xfId="1" applyFont="1" applyBorder="1"/>
    <xf numFmtId="43" fontId="96" fillId="5" borderId="164" xfId="1" applyFont="1" applyFill="1" applyBorder="1"/>
    <xf numFmtId="43" fontId="122" fillId="0" borderId="162" xfId="1" applyFont="1" applyFill="1" applyBorder="1" applyAlignment="1">
      <alignment horizontal="right" vertical="center"/>
    </xf>
    <xf numFmtId="43" fontId="123" fillId="0" borderId="157" xfId="1" applyFont="1" applyFill="1" applyBorder="1" applyAlignment="1">
      <alignment horizontal="right" vertical="center"/>
    </xf>
    <xf numFmtId="43" fontId="122" fillId="0" borderId="163" xfId="1" applyFont="1" applyFill="1" applyBorder="1" applyAlignment="1">
      <alignment horizontal="right" vertical="center"/>
    </xf>
    <xf numFmtId="43" fontId="123" fillId="0" borderId="161" xfId="1" applyFont="1" applyFill="1" applyBorder="1" applyAlignment="1">
      <alignment horizontal="right" vertical="center"/>
    </xf>
    <xf numFmtId="43" fontId="122" fillId="0" borderId="165" xfId="1" applyFont="1" applyFill="1" applyBorder="1" applyAlignment="1">
      <alignment horizontal="right" vertical="center"/>
    </xf>
    <xf numFmtId="43" fontId="122" fillId="0" borderId="161" xfId="1" applyFont="1" applyFill="1" applyBorder="1" applyAlignment="1">
      <alignment horizontal="right" vertical="center"/>
    </xf>
    <xf numFmtId="43" fontId="122" fillId="0" borderId="166" xfId="1" applyFont="1" applyFill="1" applyBorder="1" applyAlignment="1">
      <alignment horizontal="right" vertical="center"/>
    </xf>
    <xf numFmtId="43" fontId="126" fillId="0" borderId="125" xfId="1" applyFont="1" applyBorder="1" applyAlignment="1">
      <alignment vertical="center"/>
    </xf>
    <xf numFmtId="43" fontId="126" fillId="29" borderId="125" xfId="1" applyFont="1" applyFill="1" applyBorder="1" applyAlignment="1">
      <alignment vertical="center"/>
    </xf>
    <xf numFmtId="43" fontId="125" fillId="0" borderId="37" xfId="1" applyFont="1" applyFill="1" applyBorder="1" applyAlignment="1">
      <alignment horizontal="center" vertical="center"/>
    </xf>
    <xf numFmtId="43" fontId="126" fillId="0" borderId="37" xfId="1" applyFont="1" applyBorder="1" applyAlignment="1">
      <alignment vertical="center"/>
    </xf>
    <xf numFmtId="43" fontId="126" fillId="29" borderId="37" xfId="1" applyFont="1" applyFill="1" applyBorder="1" applyAlignment="1">
      <alignment vertical="center"/>
    </xf>
    <xf numFmtId="171" fontId="91" fillId="0" borderId="0" xfId="435" applyNumberFormat="1" applyFont="1" applyFill="1" applyBorder="1" applyAlignment="1">
      <alignment vertical="center"/>
    </xf>
    <xf numFmtId="0" fontId="2" fillId="0" borderId="0" xfId="440" applyBorder="1"/>
    <xf numFmtId="0" fontId="90" fillId="0" borderId="0" xfId="427" applyFont="1" applyFill="1" applyBorder="1" applyAlignment="1">
      <alignment vertical="center"/>
    </xf>
    <xf numFmtId="0" fontId="91" fillId="0" borderId="0" xfId="441" applyFont="1" applyFill="1" applyBorder="1" applyAlignment="1">
      <alignment horizontal="center" vertical="center" wrapText="1"/>
    </xf>
    <xf numFmtId="171" fontId="91" fillId="0" borderId="153" xfId="441" applyNumberFormat="1" applyFont="1" applyFill="1" applyBorder="1" applyAlignment="1">
      <alignment horizontal="center" vertical="center" wrapText="1"/>
    </xf>
    <xf numFmtId="0" fontId="56" fillId="0" borderId="103" xfId="430" applyFont="1" applyFill="1" applyBorder="1" applyAlignment="1">
      <alignment horizontal="center"/>
    </xf>
    <xf numFmtId="0" fontId="56" fillId="0" borderId="0" xfId="431" applyFont="1" applyFill="1" applyBorder="1" applyAlignment="1">
      <alignment horizontal="center" vertical="center" wrapText="1"/>
    </xf>
    <xf numFmtId="0" fontId="56" fillId="0" borderId="147" xfId="372" applyFont="1" applyFill="1" applyBorder="1" applyAlignment="1">
      <alignment horizontal="center" vertical="center" wrapText="1"/>
    </xf>
    <xf numFmtId="0" fontId="56" fillId="0" borderId="103" xfId="431" applyFont="1" applyFill="1" applyBorder="1" applyAlignment="1">
      <alignment horizontal="center" vertical="center"/>
    </xf>
    <xf numFmtId="0" fontId="56" fillId="0" borderId="202" xfId="431" applyFont="1" applyFill="1" applyBorder="1" applyAlignment="1">
      <alignment horizontal="center" vertical="center"/>
    </xf>
    <xf numFmtId="0" fontId="56" fillId="0" borderId="202" xfId="431" applyFont="1" applyFill="1" applyBorder="1" applyAlignment="1">
      <alignment horizontal="center" vertical="center" wrapText="1"/>
    </xf>
    <xf numFmtId="0" fontId="56" fillId="0" borderId="186" xfId="372" applyFont="1" applyFill="1" applyBorder="1" applyAlignment="1">
      <alignment horizontal="center" vertical="center" wrapText="1"/>
    </xf>
    <xf numFmtId="168" fontId="91" fillId="0" borderId="153" xfId="439" applyNumberFormat="1" applyFont="1" applyFill="1" applyBorder="1" applyAlignment="1">
      <alignment horizontal="center" vertical="center"/>
    </xf>
    <xf numFmtId="166" fontId="0" fillId="0" borderId="103" xfId="0" applyNumberFormat="1" applyFont="1" applyFill="1" applyBorder="1" applyAlignment="1">
      <alignment horizontal="center" vertical="center"/>
    </xf>
    <xf numFmtId="0" fontId="2" fillId="0" borderId="0" xfId="440" applyFill="1" applyBorder="1"/>
    <xf numFmtId="15" fontId="91" fillId="0" borderId="103" xfId="439" applyNumberFormat="1" applyFont="1" applyFill="1" applyBorder="1" applyAlignment="1">
      <alignment horizontal="center"/>
    </xf>
    <xf numFmtId="0" fontId="119" fillId="0" borderId="0" xfId="440" applyFont="1" applyFill="1" applyBorder="1"/>
    <xf numFmtId="0" fontId="112" fillId="0" borderId="0" xfId="440" applyFont="1" applyFill="1" applyBorder="1"/>
    <xf numFmtId="0" fontId="92" fillId="0" borderId="0" xfId="439" applyFont="1" applyFill="1" applyBorder="1" applyAlignment="1">
      <alignment horizontal="center"/>
    </xf>
    <xf numFmtId="43" fontId="12" fillId="0" borderId="103" xfId="1" applyFont="1" applyFill="1" applyBorder="1" applyAlignment="1">
      <alignment horizontal="right" vertical="center"/>
    </xf>
    <xf numFmtId="171" fontId="91" fillId="0" borderId="147" xfId="435" applyNumberFormat="1" applyFont="1" applyFill="1" applyBorder="1" applyAlignment="1">
      <alignment vertical="center"/>
    </xf>
    <xf numFmtId="43" fontId="120" fillId="0" borderId="0" xfId="440" applyNumberFormat="1" applyFont="1" applyFill="1" applyBorder="1"/>
    <xf numFmtId="43" fontId="119" fillId="0" borderId="0" xfId="440" applyNumberFormat="1" applyFont="1" applyFill="1" applyBorder="1"/>
    <xf numFmtId="43" fontId="2" fillId="0" borderId="0" xfId="440" applyNumberFormat="1" applyFill="1" applyBorder="1"/>
    <xf numFmtId="4" fontId="119" fillId="0" borderId="0" xfId="440" applyNumberFormat="1" applyFont="1" applyFill="1" applyBorder="1"/>
    <xf numFmtId="168" fontId="92" fillId="0" borderId="145" xfId="439" applyNumberFormat="1" applyFont="1" applyFill="1" applyBorder="1" applyAlignment="1">
      <alignment horizontal="center" vertical="center" wrapText="1"/>
    </xf>
    <xf numFmtId="168" fontId="92" fillId="0" borderId="153" xfId="439" applyNumberFormat="1" applyFont="1" applyFill="1" applyBorder="1" applyAlignment="1">
      <alignment horizontal="center" vertical="center" wrapText="1"/>
    </xf>
    <xf numFmtId="4" fontId="128" fillId="0" borderId="145" xfId="439" applyNumberFormat="1" applyFont="1" applyFill="1" applyBorder="1" applyAlignment="1">
      <alignment horizontal="center" vertical="center" wrapText="1"/>
    </xf>
    <xf numFmtId="4" fontId="128" fillId="0" borderId="153" xfId="439" applyNumberFormat="1" applyFont="1" applyFill="1" applyBorder="1" applyAlignment="1">
      <alignment horizontal="center" vertical="center" wrapText="1"/>
    </xf>
    <xf numFmtId="43" fontId="116" fillId="0" borderId="102" xfId="1" applyFont="1" applyFill="1" applyBorder="1" applyAlignment="1">
      <alignment vertical="center"/>
    </xf>
    <xf numFmtId="43" fontId="116" fillId="0" borderId="157" xfId="1" applyFont="1" applyFill="1" applyBorder="1" applyAlignment="1">
      <alignment vertical="center"/>
    </xf>
    <xf numFmtId="43" fontId="116" fillId="0" borderId="103" xfId="1" applyFont="1" applyFill="1" applyBorder="1" applyAlignment="1">
      <alignment vertical="center"/>
    </xf>
    <xf numFmtId="43" fontId="2" fillId="0" borderId="0" xfId="1" applyFont="1" applyFill="1" applyBorder="1" applyAlignment="1">
      <alignment vertical="center"/>
    </xf>
    <xf numFmtId="43" fontId="117" fillId="0" borderId="102" xfId="1" applyFont="1" applyFill="1" applyBorder="1" applyAlignment="1">
      <alignment horizontal="right" vertical="center"/>
    </xf>
    <xf numFmtId="168" fontId="132" fillId="0" borderId="37" xfId="428" applyNumberFormat="1" applyFont="1" applyFill="1" applyBorder="1" applyAlignment="1">
      <alignment horizontal="right" vertical="center"/>
    </xf>
    <xf numFmtId="168" fontId="91" fillId="0" borderId="37" xfId="428" applyNumberFormat="1" applyFont="1" applyFill="1" applyBorder="1" applyAlignment="1">
      <alignment horizontal="center"/>
    </xf>
    <xf numFmtId="0" fontId="134" fillId="5" borderId="0" xfId="328" applyFont="1" applyFill="1" applyAlignment="1" applyProtection="1">
      <alignment horizontal="center" vertical="center"/>
      <protection locked="0"/>
    </xf>
    <xf numFmtId="0" fontId="90" fillId="5" borderId="37" xfId="427" applyFont="1" applyFill="1" applyBorder="1" applyAlignment="1">
      <alignment vertical="center"/>
    </xf>
    <xf numFmtId="168" fontId="132" fillId="5" borderId="37" xfId="428" applyNumberFormat="1" applyFont="1" applyFill="1" applyBorder="1" applyAlignment="1">
      <alignment horizontal="right" vertical="center"/>
    </xf>
    <xf numFmtId="0" fontId="0" fillId="5" borderId="0" xfId="0" applyFill="1"/>
    <xf numFmtId="0" fontId="0" fillId="0" borderId="0" xfId="0"/>
    <xf numFmtId="0" fontId="136" fillId="0" borderId="0" xfId="0" applyFont="1" applyAlignment="1">
      <alignment horizontal="center"/>
    </xf>
    <xf numFmtId="0" fontId="137" fillId="0" borderId="0" xfId="0" applyFont="1" applyBorder="1" applyAlignment="1">
      <alignment horizontal="center"/>
    </xf>
    <xf numFmtId="14" fontId="138" fillId="0" borderId="0" xfId="0" applyNumberFormat="1" applyFont="1" applyAlignment="1">
      <alignment horizontal="center"/>
    </xf>
    <xf numFmtId="0" fontId="139" fillId="0" borderId="0" xfId="0" applyFont="1" applyAlignment="1">
      <alignment horizontal="center"/>
    </xf>
    <xf numFmtId="0" fontId="69" fillId="0" borderId="0" xfId="0" applyFont="1" applyAlignment="1" applyProtection="1">
      <alignment vertical="center"/>
    </xf>
    <xf numFmtId="43" fontId="0" fillId="0" borderId="0" xfId="0" applyNumberFormat="1" applyFont="1" applyFill="1" applyBorder="1" applyAlignment="1" applyProtection="1"/>
    <xf numFmtId="0" fontId="0" fillId="0" borderId="0" xfId="0" quotePrefix="1"/>
    <xf numFmtId="0" fontId="141" fillId="0" borderId="0" xfId="0" applyFont="1" applyAlignment="1">
      <alignment horizontal="center" vertical="center"/>
    </xf>
    <xf numFmtId="0" fontId="77" fillId="0" borderId="0" xfId="0" applyFont="1" applyFill="1" applyBorder="1" applyAlignment="1" applyProtection="1">
      <alignment horizontal="center" vertical="center"/>
    </xf>
    <xf numFmtId="0" fontId="11" fillId="5" borderId="0" xfId="417" applyFont="1" applyFill="1" applyBorder="1" applyAlignment="1" applyProtection="1">
      <alignment horizontal="center" vertical="center" wrapText="1"/>
    </xf>
    <xf numFmtId="0" fontId="4" fillId="0" borderId="0" xfId="0" applyFont="1"/>
    <xf numFmtId="0" fontId="92" fillId="29" borderId="39" xfId="428" applyFont="1" applyFill="1" applyBorder="1" applyAlignment="1">
      <alignment horizontal="center"/>
    </xf>
    <xf numFmtId="0" fontId="91" fillId="0" borderId="117" xfId="429" applyFont="1" applyFill="1" applyBorder="1" applyAlignment="1">
      <alignment horizontal="center" vertical="center" wrapText="1"/>
    </xf>
    <xf numFmtId="43" fontId="12" fillId="0" borderId="209" xfId="1" applyFont="1" applyFill="1" applyBorder="1" applyAlignment="1">
      <alignment horizontal="right" vertical="center"/>
    </xf>
    <xf numFmtId="171" fontId="91" fillId="0" borderId="210" xfId="228" applyNumberFormat="1" applyFont="1" applyFill="1" applyBorder="1" applyAlignment="1">
      <alignment vertical="center"/>
    </xf>
    <xf numFmtId="4" fontId="92" fillId="0" borderId="211" xfId="0" applyNumberFormat="1" applyFont="1" applyFill="1" applyBorder="1" applyAlignment="1">
      <alignment vertical="center" wrapText="1"/>
    </xf>
    <xf numFmtId="0" fontId="92" fillId="0" borderId="0" xfId="428" applyNumberFormat="1" applyFont="1" applyFill="1" applyBorder="1" applyAlignment="1">
      <alignment horizontal="center"/>
    </xf>
    <xf numFmtId="0" fontId="92" fillId="0" borderId="0" xfId="428" applyNumberFormat="1" applyFont="1" applyFill="1" applyBorder="1" applyAlignment="1">
      <alignment horizontal="center" vertical="center"/>
    </xf>
    <xf numFmtId="0" fontId="93" fillId="0" borderId="0" xfId="272" applyNumberFormat="1" applyFont="1" applyFill="1" applyBorder="1" applyAlignment="1">
      <alignment horizontal="center" vertical="center"/>
    </xf>
    <xf numFmtId="0" fontId="91" fillId="0" borderId="0" xfId="428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/>
    <xf numFmtId="0" fontId="91" fillId="0" borderId="0" xfId="429" applyNumberFormat="1" applyFont="1" applyFill="1" applyBorder="1" applyAlignment="1">
      <alignment horizontal="center" vertical="center"/>
    </xf>
    <xf numFmtId="0" fontId="91" fillId="0" borderId="0" xfId="429" applyNumberFormat="1" applyFont="1" applyFill="1" applyBorder="1" applyAlignment="1">
      <alignment horizontal="center"/>
    </xf>
    <xf numFmtId="0" fontId="56" fillId="0" borderId="0" xfId="431" applyNumberFormat="1" applyFont="1" applyFill="1" applyBorder="1" applyAlignment="1">
      <alignment horizontal="center" vertical="center"/>
    </xf>
    <xf numFmtId="0" fontId="94" fillId="0" borderId="0" xfId="430" applyNumberFormat="1" applyFont="1" applyFill="1" applyBorder="1" applyAlignment="1">
      <alignment horizontal="center" vertical="center"/>
    </xf>
    <xf numFmtId="0" fontId="56" fillId="0" borderId="0" xfId="430" applyNumberFormat="1" applyFont="1" applyFill="1" applyBorder="1" applyAlignment="1">
      <alignment horizontal="center" vertical="center"/>
    </xf>
    <xf numFmtId="0" fontId="56" fillId="0" borderId="0" xfId="430" applyNumberFormat="1" applyFont="1" applyFill="1" applyBorder="1" applyAlignment="1">
      <alignment horizontal="center"/>
    </xf>
    <xf numFmtId="0" fontId="56" fillId="0" borderId="0" xfId="371" applyNumberFormat="1" applyFont="1" applyFill="1" applyBorder="1" applyAlignment="1">
      <alignment horizontal="center" vertical="center"/>
    </xf>
    <xf numFmtId="0" fontId="91" fillId="0" borderId="0" xfId="431" applyNumberFormat="1" applyFont="1" applyFill="1" applyBorder="1" applyAlignment="1">
      <alignment horizontal="center"/>
    </xf>
    <xf numFmtId="0" fontId="97" fillId="0" borderId="0" xfId="431" applyNumberFormat="1" applyFont="1" applyFill="1" applyBorder="1" applyAlignment="1">
      <alignment horizontal="center"/>
    </xf>
    <xf numFmtId="0" fontId="91" fillId="0" borderId="0" xfId="431" applyNumberFormat="1" applyFont="1" applyFill="1" applyBorder="1" applyAlignment="1">
      <alignment horizontal="center" vertical="center"/>
    </xf>
    <xf numFmtId="0" fontId="56" fillId="0" borderId="0" xfId="432" applyNumberFormat="1" applyFont="1" applyFill="1" applyBorder="1" applyAlignment="1">
      <alignment horizontal="center" vertical="center"/>
    </xf>
    <xf numFmtId="0" fontId="95" fillId="0" borderId="0" xfId="433" applyNumberFormat="1" applyFont="1" applyFill="1" applyBorder="1" applyAlignment="1">
      <alignment horizontal="center" vertical="center"/>
    </xf>
    <xf numFmtId="0" fontId="96" fillId="0" borderId="0" xfId="433" applyNumberFormat="1" applyFont="1" applyFill="1" applyBorder="1" applyAlignment="1">
      <alignment horizontal="center" vertical="center"/>
    </xf>
    <xf numFmtId="0" fontId="98" fillId="0" borderId="0" xfId="434" applyNumberFormat="1" applyFont="1" applyFill="1" applyBorder="1" applyAlignment="1">
      <alignment horizontal="center" vertical="center"/>
    </xf>
    <xf numFmtId="0" fontId="99" fillId="0" borderId="0" xfId="434" applyNumberFormat="1" applyFont="1" applyFill="1" applyBorder="1" applyAlignment="1"/>
    <xf numFmtId="0" fontId="100" fillId="0" borderId="0" xfId="434" applyNumberFormat="1" applyFont="1" applyFill="1" applyBorder="1" applyAlignment="1">
      <alignment horizontal="center" vertical="center"/>
    </xf>
    <xf numFmtId="0" fontId="101" fillId="0" borderId="0" xfId="434" applyNumberFormat="1" applyFont="1" applyFill="1" applyBorder="1" applyAlignment="1"/>
    <xf numFmtId="0" fontId="97" fillId="0" borderId="0" xfId="431" applyNumberFormat="1" applyFont="1" applyFill="1" applyBorder="1" applyAlignment="1">
      <alignment horizontal="center" vertical="center"/>
    </xf>
    <xf numFmtId="0" fontId="102" fillId="0" borderId="0" xfId="429" applyNumberFormat="1" applyFont="1" applyFill="1" applyBorder="1" applyAlignment="1">
      <alignment horizontal="center" vertical="top"/>
    </xf>
    <xf numFmtId="0" fontId="91" fillId="0" borderId="0" xfId="429" applyNumberFormat="1" applyFont="1" applyFill="1" applyBorder="1" applyAlignment="1">
      <alignment horizontal="center" vertical="top"/>
    </xf>
    <xf numFmtId="0" fontId="93" fillId="0" borderId="0" xfId="434" applyNumberFormat="1" applyFont="1" applyFill="1" applyBorder="1" applyAlignment="1">
      <alignment horizontal="center" vertical="center"/>
    </xf>
    <xf numFmtId="0" fontId="12" fillId="0" borderId="0" xfId="1" applyNumberFormat="1" applyFont="1" applyFill="1" applyBorder="1" applyAlignment="1">
      <alignment vertical="center"/>
    </xf>
    <xf numFmtId="0" fontId="12" fillId="0" borderId="0" xfId="1" applyNumberFormat="1" applyFont="1" applyFill="1" applyBorder="1" applyAlignment="1">
      <alignment horizontal="right" vertical="center"/>
    </xf>
    <xf numFmtId="0" fontId="12" fillId="0" borderId="0" xfId="435" applyNumberFormat="1" applyFont="1" applyFill="1" applyBorder="1" applyAlignment="1">
      <alignment vertical="center"/>
    </xf>
    <xf numFmtId="0" fontId="104" fillId="0" borderId="0" xfId="0" applyNumberFormat="1" applyFont="1" applyFill="1" applyBorder="1" applyAlignment="1"/>
    <xf numFmtId="0" fontId="12" fillId="0" borderId="0" xfId="174" applyNumberFormat="1" applyFont="1" applyFill="1" applyBorder="1" applyAlignment="1">
      <alignment horizontal="right" vertical="center"/>
    </xf>
    <xf numFmtId="0" fontId="12" fillId="0" borderId="0" xfId="436" applyNumberFormat="1" applyFont="1" applyFill="1" applyBorder="1" applyAlignment="1">
      <alignment vertical="center"/>
    </xf>
    <xf numFmtId="0" fontId="12" fillId="0" borderId="0" xfId="426" applyNumberFormat="1" applyFont="1" applyFill="1" applyBorder="1" applyAlignment="1">
      <alignment horizontal="right" vertical="center"/>
    </xf>
    <xf numFmtId="0" fontId="12" fillId="0" borderId="0" xfId="229" applyNumberFormat="1" applyFont="1" applyFill="1" applyBorder="1" applyAlignment="1">
      <alignment vertical="center"/>
    </xf>
    <xf numFmtId="0" fontId="91" fillId="0" borderId="0" xfId="229" applyNumberFormat="1" applyFont="1" applyFill="1" applyBorder="1" applyAlignment="1">
      <alignment vertical="center"/>
    </xf>
    <xf numFmtId="0" fontId="56" fillId="0" borderId="0" xfId="174" applyNumberFormat="1" applyFont="1" applyFill="1" applyBorder="1" applyAlignment="1">
      <alignment horizontal="right" vertical="center"/>
    </xf>
    <xf numFmtId="0" fontId="91" fillId="0" borderId="0" xfId="438" applyNumberFormat="1" applyFont="1" applyFill="1" applyBorder="1" applyAlignment="1"/>
    <xf numFmtId="0" fontId="91" fillId="0" borderId="0" xfId="228" applyNumberFormat="1" applyFont="1" applyFill="1" applyBorder="1" applyAlignment="1">
      <alignment vertical="center"/>
    </xf>
    <xf numFmtId="0" fontId="91" fillId="0" borderId="0" xfId="228" applyNumberFormat="1" applyFont="1" applyFill="1" applyBorder="1" applyAlignment="1"/>
    <xf numFmtId="0" fontId="92" fillId="0" borderId="0" xfId="0" applyNumberFormat="1" applyFont="1" applyFill="1" applyBorder="1" applyAlignment="1">
      <alignment vertical="center"/>
    </xf>
    <xf numFmtId="0" fontId="91" fillId="0" borderId="0" xfId="0" applyNumberFormat="1" applyFont="1" applyFill="1" applyBorder="1" applyAlignment="1">
      <alignment vertical="center"/>
    </xf>
    <xf numFmtId="0" fontId="105" fillId="0" borderId="0" xfId="0" applyNumberFormat="1" applyFont="1" applyFill="1" applyBorder="1" applyAlignment="1"/>
    <xf numFmtId="4" fontId="143" fillId="5" borderId="0" xfId="0" applyNumberFormat="1" applyFont="1" applyFill="1" applyAlignment="1">
      <alignment vertical="center"/>
    </xf>
    <xf numFmtId="43" fontId="12" fillId="0" borderId="0" xfId="328" applyNumberFormat="1"/>
    <xf numFmtId="0" fontId="0" fillId="0" borderId="2" xfId="0" applyBorder="1"/>
    <xf numFmtId="0" fontId="144" fillId="0" borderId="0" xfId="0" applyFont="1"/>
    <xf numFmtId="0" fontId="145" fillId="0" borderId="0" xfId="0" applyFont="1"/>
    <xf numFmtId="0" fontId="145" fillId="0" borderId="213" xfId="0" applyFont="1" applyBorder="1"/>
    <xf numFmtId="0" fontId="145" fillId="0" borderId="214" xfId="0" applyFont="1" applyBorder="1"/>
    <xf numFmtId="0" fontId="145" fillId="0" borderId="215" xfId="0" applyFont="1" applyBorder="1"/>
    <xf numFmtId="0" fontId="145" fillId="0" borderId="217" xfId="0" applyFont="1" applyBorder="1" applyAlignment="1">
      <alignment vertical="center"/>
    </xf>
    <xf numFmtId="0" fontId="145" fillId="0" borderId="218" xfId="0" applyFont="1" applyBorder="1" applyAlignment="1">
      <alignment vertical="center"/>
    </xf>
    <xf numFmtId="0" fontId="145" fillId="0" borderId="218" xfId="0" applyFont="1" applyBorder="1"/>
    <xf numFmtId="0" fontId="145" fillId="0" borderId="219" xfId="0" applyFont="1" applyBorder="1"/>
    <xf numFmtId="0" fontId="145" fillId="0" borderId="220" xfId="0" applyFont="1" applyBorder="1"/>
    <xf numFmtId="0" fontId="145" fillId="0" borderId="1" xfId="0" applyFont="1" applyBorder="1"/>
    <xf numFmtId="0" fontId="145" fillId="0" borderId="221" xfId="0" applyFont="1" applyBorder="1"/>
    <xf numFmtId="0" fontId="145" fillId="0" borderId="39" xfId="0" applyFont="1" applyBorder="1" applyAlignment="1">
      <alignment vertical="center"/>
    </xf>
    <xf numFmtId="0" fontId="145" fillId="0" borderId="2" xfId="0" applyFont="1" applyBorder="1" applyAlignment="1">
      <alignment vertical="center"/>
    </xf>
    <xf numFmtId="0" fontId="145" fillId="0" borderId="2" xfId="0" applyFont="1" applyBorder="1"/>
    <xf numFmtId="0" fontId="145" fillId="0" borderId="222" xfId="0" applyFont="1" applyBorder="1"/>
    <xf numFmtId="0" fontId="145" fillId="0" borderId="99" xfId="0" applyFont="1" applyBorder="1"/>
    <xf numFmtId="0" fontId="145" fillId="0" borderId="0" xfId="0" applyFont="1" applyBorder="1"/>
    <xf numFmtId="0" fontId="145" fillId="0" borderId="100" xfId="0" applyFont="1" applyBorder="1"/>
    <xf numFmtId="0" fontId="148" fillId="0" borderId="110" xfId="0" applyFont="1" applyBorder="1"/>
    <xf numFmtId="0" fontId="145" fillId="0" borderId="26" xfId="0" applyFont="1" applyBorder="1"/>
    <xf numFmtId="0" fontId="145" fillId="0" borderId="148" xfId="0" applyFont="1" applyBorder="1"/>
    <xf numFmtId="0" fontId="145" fillId="0" borderId="110" xfId="0" applyFont="1" applyBorder="1"/>
    <xf numFmtId="0" fontId="149" fillId="0" borderId="160" xfId="0" applyFont="1" applyBorder="1"/>
    <xf numFmtId="0" fontId="145" fillId="0" borderId="160" xfId="0" applyFont="1" applyBorder="1"/>
    <xf numFmtId="0" fontId="145" fillId="0" borderId="37" xfId="0" applyFont="1" applyBorder="1"/>
    <xf numFmtId="0" fontId="145" fillId="0" borderId="0" xfId="0" applyFont="1" applyBorder="1" applyAlignment="1">
      <alignment horizontal="center"/>
    </xf>
    <xf numFmtId="0" fontId="105" fillId="0" borderId="0" xfId="0" quotePrefix="1" applyFont="1" applyBorder="1"/>
    <xf numFmtId="0" fontId="145" fillId="0" borderId="0" xfId="0" quotePrefix="1" applyFont="1" applyBorder="1"/>
    <xf numFmtId="0" fontId="144" fillId="0" borderId="0" xfId="0" quotePrefix="1" applyFont="1" applyBorder="1"/>
    <xf numFmtId="0" fontId="144" fillId="0" borderId="226" xfId="0" applyFont="1" applyBorder="1" applyAlignment="1">
      <alignment vertical="center"/>
    </xf>
    <xf numFmtId="0" fontId="145" fillId="0" borderId="227" xfId="0" applyFont="1" applyBorder="1"/>
    <xf numFmtId="0" fontId="0" fillId="0" borderId="230" xfId="0" applyBorder="1"/>
    <xf numFmtId="0" fontId="0" fillId="0" borderId="231" xfId="0" applyBorder="1"/>
    <xf numFmtId="0" fontId="0" fillId="0" borderId="232" xfId="0" applyBorder="1"/>
    <xf numFmtId="0" fontId="0" fillId="0" borderId="233" xfId="0" applyFont="1" applyBorder="1" applyAlignment="1">
      <alignment vertical="center"/>
    </xf>
    <xf numFmtId="0" fontId="0" fillId="0" borderId="231" xfId="0" applyFont="1" applyBorder="1" applyAlignment="1">
      <alignment vertical="center"/>
    </xf>
    <xf numFmtId="0" fontId="0" fillId="0" borderId="234" xfId="0" applyBorder="1"/>
    <xf numFmtId="0" fontId="0" fillId="0" borderId="235" xfId="0" applyBorder="1"/>
    <xf numFmtId="0" fontId="0" fillId="0" borderId="1" xfId="0" applyBorder="1"/>
    <xf numFmtId="0" fontId="0" fillId="0" borderId="221" xfId="0" applyBorder="1"/>
    <xf numFmtId="0" fontId="0" fillId="0" borderId="153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236" xfId="0" applyBorder="1"/>
    <xf numFmtId="0" fontId="0" fillId="0" borderId="160" xfId="0" applyBorder="1"/>
    <xf numFmtId="0" fontId="0" fillId="0" borderId="238" xfId="0" applyBorder="1"/>
    <xf numFmtId="0" fontId="152" fillId="0" borderId="110" xfId="0" applyFont="1" applyBorder="1" applyAlignment="1">
      <alignment vertical="justify"/>
    </xf>
    <xf numFmtId="0" fontId="152" fillId="0" borderId="26" xfId="0" applyFont="1" applyBorder="1" applyAlignment="1">
      <alignment vertical="justify"/>
    </xf>
    <xf numFmtId="0" fontId="152" fillId="0" borderId="148" xfId="0" applyFont="1" applyBorder="1" applyAlignment="1">
      <alignment vertical="justify"/>
    </xf>
    <xf numFmtId="0" fontId="152" fillId="0" borderId="160" xfId="0" applyFont="1" applyBorder="1" applyAlignment="1">
      <alignment vertical="justify"/>
    </xf>
    <xf numFmtId="0" fontId="152" fillId="0" borderId="1" xfId="0" applyFont="1" applyBorder="1" applyAlignment="1">
      <alignment vertical="justify"/>
    </xf>
    <xf numFmtId="0" fontId="152" fillId="0" borderId="221" xfId="0" applyFont="1" applyBorder="1" applyAlignment="1">
      <alignment vertical="justify"/>
    </xf>
    <xf numFmtId="0" fontId="0" fillId="0" borderId="117" xfId="0" applyBorder="1"/>
    <xf numFmtId="0" fontId="0" fillId="0" borderId="224" xfId="0" applyBorder="1"/>
    <xf numFmtId="0" fontId="0" fillId="0" borderId="162" xfId="0" applyBorder="1"/>
    <xf numFmtId="0" fontId="0" fillId="0" borderId="110" xfId="0" applyBorder="1"/>
    <xf numFmtId="0" fontId="0" fillId="0" borderId="26" xfId="0" applyBorder="1"/>
    <xf numFmtId="0" fontId="0" fillId="0" borderId="148" xfId="0" applyBorder="1"/>
    <xf numFmtId="0" fontId="0" fillId="0" borderId="244" xfId="0" applyBorder="1"/>
    <xf numFmtId="0" fontId="0" fillId="0" borderId="209" xfId="0" applyBorder="1"/>
    <xf numFmtId="0" fontId="0" fillId="0" borderId="198" xfId="0" applyBorder="1"/>
    <xf numFmtId="0" fontId="0" fillId="0" borderId="187" xfId="0" applyBorder="1"/>
    <xf numFmtId="0" fontId="0" fillId="0" borderId="246" xfId="0" applyBorder="1"/>
    <xf numFmtId="0" fontId="0" fillId="0" borderId="192" xfId="0" applyBorder="1"/>
    <xf numFmtId="0" fontId="0" fillId="0" borderId="225" xfId="0" applyBorder="1"/>
    <xf numFmtId="0" fontId="0" fillId="0" borderId="193" xfId="0" applyBorder="1"/>
    <xf numFmtId="0" fontId="0" fillId="0" borderId="247" xfId="0" applyBorder="1"/>
    <xf numFmtId="0" fontId="154" fillId="0" borderId="0" xfId="0" applyFont="1" applyBorder="1"/>
    <xf numFmtId="0" fontId="0" fillId="0" borderId="240" xfId="0" applyBorder="1"/>
    <xf numFmtId="0" fontId="0" fillId="0" borderId="153" xfId="0" applyBorder="1"/>
    <xf numFmtId="0" fontId="153" fillId="0" borderId="110" xfId="0" applyFont="1" applyBorder="1" applyAlignment="1">
      <alignment vertical="center"/>
    </xf>
    <xf numFmtId="0" fontId="153" fillId="0" borderId="110" xfId="0" applyFont="1" applyBorder="1"/>
    <xf numFmtId="0" fontId="73" fillId="0" borderId="39" xfId="0" applyFont="1" applyBorder="1"/>
    <xf numFmtId="0" fontId="73" fillId="0" borderId="2" xfId="0" applyFont="1" applyBorder="1"/>
    <xf numFmtId="0" fontId="0" fillId="0" borderId="248" xfId="0" applyBorder="1"/>
    <xf numFmtId="0" fontId="153" fillId="0" borderId="153" xfId="0" applyFont="1" applyBorder="1" applyAlignment="1">
      <alignment vertical="center"/>
    </xf>
    <xf numFmtId="0" fontId="155" fillId="0" borderId="153" xfId="0" applyFont="1" applyBorder="1"/>
    <xf numFmtId="0" fontId="153" fillId="0" borderId="160" xfId="0" applyFont="1" applyBorder="1" applyAlignment="1">
      <alignment vertical="center"/>
    </xf>
    <xf numFmtId="0" fontId="153" fillId="0" borderId="160" xfId="0" applyFont="1" applyBorder="1"/>
    <xf numFmtId="0" fontId="153" fillId="0" borderId="249" xfId="0" applyFont="1" applyBorder="1" applyAlignment="1">
      <alignment vertical="center"/>
    </xf>
    <xf numFmtId="0" fontId="0" fillId="0" borderId="250" xfId="0" applyBorder="1"/>
    <xf numFmtId="0" fontId="145" fillId="0" borderId="40" xfId="0" applyFont="1" applyBorder="1"/>
    <xf numFmtId="0" fontId="145" fillId="0" borderId="153" xfId="0" applyFont="1" applyBorder="1"/>
    <xf numFmtId="0" fontId="145" fillId="0" borderId="147" xfId="0" applyFont="1" applyBorder="1"/>
    <xf numFmtId="0" fontId="145" fillId="0" borderId="38" xfId="0" applyFont="1" applyBorder="1" applyAlignment="1">
      <alignment horizontal="center" vertical="center"/>
    </xf>
    <xf numFmtId="0" fontId="145" fillId="0" borderId="125" xfId="0" applyFont="1" applyBorder="1" applyAlignment="1">
      <alignment horizontal="center" vertical="center"/>
    </xf>
    <xf numFmtId="0" fontId="145" fillId="0" borderId="157" xfId="0" applyFont="1" applyBorder="1"/>
    <xf numFmtId="0" fontId="145" fillId="0" borderId="117" xfId="0" applyFont="1" applyBorder="1"/>
    <xf numFmtId="0" fontId="145" fillId="0" borderId="162" xfId="0" applyFont="1" applyBorder="1"/>
    <xf numFmtId="0" fontId="145" fillId="0" borderId="140" xfId="0" applyFont="1" applyBorder="1"/>
    <xf numFmtId="0" fontId="145" fillId="0" borderId="194" xfId="0" applyFont="1" applyBorder="1"/>
    <xf numFmtId="0" fontId="145" fillId="0" borderId="186" xfId="0" applyFont="1" applyBorder="1"/>
    <xf numFmtId="0" fontId="145" fillId="0" borderId="161" xfId="0" applyFont="1" applyBorder="1"/>
    <xf numFmtId="0" fontId="145" fillId="0" borderId="209" xfId="0" applyFont="1" applyBorder="1"/>
    <xf numFmtId="0" fontId="145" fillId="0" borderId="187" xfId="0" applyFont="1" applyBorder="1"/>
    <xf numFmtId="0" fontId="145" fillId="0" borderId="190" xfId="0" applyFont="1" applyBorder="1"/>
    <xf numFmtId="0" fontId="145" fillId="0" borderId="192" xfId="0" applyFont="1" applyBorder="1"/>
    <xf numFmtId="0" fontId="145" fillId="0" borderId="193" xfId="0" applyFont="1" applyBorder="1"/>
    <xf numFmtId="0" fontId="144" fillId="0" borderId="39" xfId="0" applyFont="1" applyBorder="1" applyAlignment="1">
      <alignment vertical="center"/>
    </xf>
    <xf numFmtId="0" fontId="105" fillId="0" borderId="0" xfId="0" applyFont="1" applyAlignment="1">
      <alignment horizontal="right" vertical="center"/>
    </xf>
    <xf numFmtId="0" fontId="0" fillId="0" borderId="38" xfId="0" applyBorder="1"/>
    <xf numFmtId="0" fontId="0" fillId="0" borderId="37" xfId="0" applyBorder="1"/>
    <xf numFmtId="0" fontId="0" fillId="0" borderId="125" xfId="0" applyBorder="1"/>
    <xf numFmtId="0" fontId="4" fillId="0" borderId="37" xfId="0" applyFont="1" applyBorder="1" applyAlignment="1">
      <alignment horizontal="center" vertical="center"/>
    </xf>
    <xf numFmtId="0" fontId="0" fillId="0" borderId="37" xfId="0" applyBorder="1" applyAlignment="1">
      <alignment vertical="center"/>
    </xf>
    <xf numFmtId="0" fontId="0" fillId="0" borderId="157" xfId="0" applyBorder="1"/>
    <xf numFmtId="0" fontId="0" fillId="0" borderId="161" xfId="0" applyBorder="1"/>
    <xf numFmtId="0" fontId="0" fillId="0" borderId="161" xfId="0" applyBorder="1" applyAlignment="1">
      <alignment vertical="top"/>
    </xf>
    <xf numFmtId="0" fontId="0" fillId="0" borderId="252" xfId="0" applyBorder="1"/>
    <xf numFmtId="0" fontId="0" fillId="0" borderId="255" xfId="0" applyBorder="1"/>
    <xf numFmtId="0" fontId="0" fillId="0" borderId="204" xfId="0" applyBorder="1"/>
    <xf numFmtId="0" fontId="0" fillId="0" borderId="147" xfId="0" applyBorder="1" applyAlignment="1">
      <alignment horizontal="center"/>
    </xf>
    <xf numFmtId="0" fontId="152" fillId="0" borderId="39" xfId="0" applyFont="1" applyBorder="1" applyAlignment="1">
      <alignment vertical="center"/>
    </xf>
    <xf numFmtId="0" fontId="152" fillId="0" borderId="40" xfId="0" applyFont="1" applyBorder="1" applyAlignment="1">
      <alignment horizontal="right" vertical="center"/>
    </xf>
    <xf numFmtId="0" fontId="145" fillId="0" borderId="0" xfId="0" applyFont="1" applyBorder="1" applyAlignment="1">
      <alignment horizontal="right"/>
    </xf>
    <xf numFmtId="0" fontId="97" fillId="0" borderId="110" xfId="2961" applyFont="1" applyBorder="1" applyAlignment="1">
      <alignment vertical="center"/>
    </xf>
    <xf numFmtId="0" fontId="97" fillId="0" borderId="26" xfId="2961" applyFont="1" applyBorder="1" applyAlignment="1">
      <alignment vertical="center"/>
    </xf>
    <xf numFmtId="0" fontId="97" fillId="0" borderId="148" xfId="2961" applyFont="1" applyBorder="1" applyAlignment="1">
      <alignment vertical="center"/>
    </xf>
    <xf numFmtId="0" fontId="97" fillId="0" borderId="160" xfId="2961" applyFont="1" applyBorder="1" applyAlignment="1">
      <alignment vertical="center"/>
    </xf>
    <xf numFmtId="0" fontId="97" fillId="0" borderId="1" xfId="2961" applyFont="1" applyBorder="1" applyAlignment="1">
      <alignment vertical="center"/>
    </xf>
    <xf numFmtId="0" fontId="97" fillId="0" borderId="221" xfId="2961" applyFont="1" applyBorder="1" applyAlignment="1">
      <alignment vertical="center"/>
    </xf>
    <xf numFmtId="0" fontId="97" fillId="0" borderId="110" xfId="2961" applyFont="1" applyBorder="1" applyAlignment="1">
      <alignment vertical="center" wrapText="1"/>
    </xf>
    <xf numFmtId="0" fontId="97" fillId="0" borderId="26" xfId="2961" applyFont="1" applyBorder="1" applyAlignment="1">
      <alignment vertical="center" wrapText="1"/>
    </xf>
    <xf numFmtId="0" fontId="97" fillId="0" borderId="148" xfId="2961" applyFont="1" applyBorder="1" applyAlignment="1">
      <alignment vertical="center" wrapText="1"/>
    </xf>
    <xf numFmtId="0" fontId="97" fillId="0" borderId="160" xfId="2961" applyFont="1" applyBorder="1" applyAlignment="1">
      <alignment vertical="center" wrapText="1"/>
    </xf>
    <xf numFmtId="0" fontId="97" fillId="0" borderId="1" xfId="2961" applyFont="1" applyBorder="1" applyAlignment="1">
      <alignment vertical="center" wrapText="1"/>
    </xf>
    <xf numFmtId="0" fontId="97" fillId="0" borderId="221" xfId="2961" applyFont="1" applyBorder="1" applyAlignment="1">
      <alignment vertical="center" wrapText="1"/>
    </xf>
    <xf numFmtId="0" fontId="97" fillId="0" borderId="110" xfId="375" applyFont="1" applyBorder="1" applyAlignment="1">
      <alignment vertical="center"/>
    </xf>
    <xf numFmtId="0" fontId="97" fillId="0" borderId="26" xfId="375" quotePrefix="1" applyFont="1" applyBorder="1" applyAlignment="1">
      <alignment vertical="center"/>
    </xf>
    <xf numFmtId="0" fontId="97" fillId="0" borderId="148" xfId="375" quotePrefix="1" applyFont="1" applyBorder="1" applyAlignment="1">
      <alignment vertical="center"/>
    </xf>
    <xf numFmtId="0" fontId="97" fillId="0" borderId="160" xfId="375" quotePrefix="1" applyFont="1" applyBorder="1" applyAlignment="1">
      <alignment vertical="center"/>
    </xf>
    <xf numFmtId="0" fontId="97" fillId="0" borderId="1" xfId="375" quotePrefix="1" applyFont="1" applyBorder="1" applyAlignment="1">
      <alignment vertical="center"/>
    </xf>
    <xf numFmtId="0" fontId="97" fillId="0" borderId="221" xfId="375" quotePrefix="1" applyFont="1" applyBorder="1" applyAlignment="1">
      <alignment vertical="center"/>
    </xf>
    <xf numFmtId="0" fontId="97" fillId="0" borderId="110" xfId="375" quotePrefix="1" applyFont="1" applyBorder="1" applyAlignment="1">
      <alignment vertical="center"/>
    </xf>
    <xf numFmtId="0" fontId="97" fillId="0" borderId="26" xfId="375" applyFont="1" applyBorder="1" applyAlignment="1">
      <alignment vertical="center"/>
    </xf>
    <xf numFmtId="0" fontId="97" fillId="0" borderId="148" xfId="375" applyFont="1" applyBorder="1" applyAlignment="1">
      <alignment vertical="center"/>
    </xf>
    <xf numFmtId="0" fontId="97" fillId="0" borderId="160" xfId="375" applyFont="1" applyBorder="1" applyAlignment="1">
      <alignment vertical="center"/>
    </xf>
    <xf numFmtId="0" fontId="97" fillId="0" borderId="1" xfId="375" applyFont="1" applyBorder="1" applyAlignment="1">
      <alignment vertical="center"/>
    </xf>
    <xf numFmtId="0" fontId="97" fillId="0" borderId="221" xfId="375" applyFont="1" applyBorder="1" applyAlignment="1">
      <alignment vertical="center"/>
    </xf>
    <xf numFmtId="0" fontId="93" fillId="51" borderId="0" xfId="2849" applyFont="1" applyFill="1" applyAlignment="1">
      <alignment vertical="center"/>
    </xf>
    <xf numFmtId="0" fontId="93" fillId="0" borderId="0" xfId="2849" applyFont="1" applyAlignment="1">
      <alignment vertical="center"/>
    </xf>
    <xf numFmtId="0" fontId="91" fillId="0" borderId="153" xfId="2849" quotePrefix="1" applyFont="1" applyBorder="1" applyAlignment="1">
      <alignment vertical="center"/>
    </xf>
    <xf numFmtId="0" fontId="91" fillId="0" borderId="0" xfId="2849" applyFont="1" applyBorder="1" applyAlignment="1">
      <alignment vertical="center"/>
    </xf>
    <xf numFmtId="0" fontId="91" fillId="0" borderId="0" xfId="2849" quotePrefix="1" applyFont="1" applyBorder="1" applyAlignment="1">
      <alignment vertical="center"/>
    </xf>
    <xf numFmtId="0" fontId="91" fillId="0" borderId="147" xfId="2849" applyFont="1" applyBorder="1" applyAlignment="1">
      <alignment vertical="center"/>
    </xf>
    <xf numFmtId="0" fontId="161" fillId="0" borderId="153" xfId="2849" applyFont="1" applyBorder="1" applyAlignment="1">
      <alignment vertical="center"/>
    </xf>
    <xf numFmtId="0" fontId="161" fillId="0" borderId="0" xfId="2849" applyFont="1" applyBorder="1" applyAlignment="1">
      <alignment vertical="center"/>
    </xf>
    <xf numFmtId="0" fontId="161" fillId="0" borderId="0" xfId="2849" quotePrefix="1" applyFont="1" applyBorder="1" applyAlignment="1">
      <alignment vertical="center"/>
    </xf>
    <xf numFmtId="0" fontId="127" fillId="52" borderId="0" xfId="2848" applyFont="1" applyFill="1" applyBorder="1" applyAlignment="1">
      <alignment vertical="center"/>
    </xf>
    <xf numFmtId="0" fontId="93" fillId="0" borderId="0" xfId="2849" applyFont="1" applyBorder="1" applyAlignment="1">
      <alignment vertical="center"/>
    </xf>
    <xf numFmtId="0" fontId="92" fillId="0" borderId="0" xfId="2849" quotePrefix="1" applyFont="1" applyBorder="1" applyAlignment="1">
      <alignment horizontal="left" vertical="center"/>
    </xf>
    <xf numFmtId="0" fontId="162" fillId="48" borderId="0" xfId="2849" applyFont="1" applyFill="1" applyAlignment="1">
      <alignment vertical="center"/>
    </xf>
    <xf numFmtId="0" fontId="92" fillId="0" borderId="37" xfId="2849" applyFont="1" applyBorder="1" applyAlignment="1">
      <alignment horizontal="center" vertical="center"/>
    </xf>
    <xf numFmtId="0" fontId="92" fillId="0" borderId="40" xfId="2849" applyFont="1" applyBorder="1" applyAlignment="1">
      <alignment horizontal="center" vertical="center"/>
    </xf>
    <xf numFmtId="0" fontId="92" fillId="0" borderId="39" xfId="2849" applyFont="1" applyBorder="1" applyAlignment="1">
      <alignment horizontal="center" vertical="center"/>
    </xf>
    <xf numFmtId="0" fontId="92" fillId="0" borderId="256" xfId="2849" applyFont="1" applyBorder="1" applyAlignment="1">
      <alignment horizontal="center" vertical="center"/>
    </xf>
    <xf numFmtId="0" fontId="91" fillId="0" borderId="39" xfId="2849" quotePrefix="1" applyFont="1" applyBorder="1" applyAlignment="1">
      <alignment horizontal="center" vertical="center"/>
    </xf>
    <xf numFmtId="3" fontId="127" fillId="0" borderId="37" xfId="2849" applyNumberFormat="1" applyFont="1" applyBorder="1" applyAlignment="1">
      <alignment horizontal="center" vertical="center"/>
    </xf>
    <xf numFmtId="0" fontId="127" fillId="0" borderId="37" xfId="2849" applyFont="1" applyBorder="1" applyAlignment="1">
      <alignment horizontal="center" vertical="center"/>
    </xf>
    <xf numFmtId="3" fontId="35" fillId="0" borderId="256" xfId="2849" applyNumberFormat="1" applyFont="1" applyBorder="1" applyAlignment="1">
      <alignment horizontal="center" vertical="center"/>
    </xf>
    <xf numFmtId="3" fontId="35" fillId="0" borderId="37" xfId="2849" applyNumberFormat="1" applyFont="1" applyBorder="1" applyAlignment="1">
      <alignment horizontal="center" vertical="center"/>
    </xf>
    <xf numFmtId="1" fontId="35" fillId="0" borderId="37" xfId="2849" applyNumberFormat="1" applyFont="1" applyBorder="1" applyAlignment="1">
      <alignment horizontal="center" vertical="center"/>
    </xf>
    <xf numFmtId="0" fontId="163" fillId="0" borderId="147" xfId="2849" applyFont="1" applyBorder="1" applyAlignment="1">
      <alignment vertical="center"/>
    </xf>
    <xf numFmtId="0" fontId="163" fillId="0" borderId="0" xfId="2849" applyFont="1" applyAlignment="1">
      <alignment vertical="center"/>
    </xf>
    <xf numFmtId="3" fontId="93" fillId="0" borderId="256" xfId="2849" applyNumberFormat="1" applyFont="1" applyBorder="1" applyAlignment="1">
      <alignment horizontal="center" vertical="center"/>
    </xf>
    <xf numFmtId="0" fontId="35" fillId="0" borderId="37" xfId="2849" applyFont="1" applyBorder="1" applyAlignment="1">
      <alignment horizontal="center" vertical="center"/>
    </xf>
    <xf numFmtId="0" fontId="35" fillId="0" borderId="256" xfId="2849" applyFont="1" applyBorder="1" applyAlignment="1">
      <alignment horizontal="center" vertical="center"/>
    </xf>
    <xf numFmtId="0" fontId="91" fillId="0" borderId="39" xfId="2849" quotePrefix="1" applyFont="1" applyBorder="1" applyAlignment="1">
      <alignment vertical="center"/>
    </xf>
    <xf numFmtId="0" fontId="91" fillId="0" borderId="153" xfId="2849" applyFont="1" applyBorder="1" applyAlignment="1">
      <alignment vertical="center"/>
    </xf>
    <xf numFmtId="0" fontId="35" fillId="0" borderId="0" xfId="2849" applyFont="1" applyBorder="1" applyAlignment="1">
      <alignment vertical="center"/>
    </xf>
    <xf numFmtId="0" fontId="35" fillId="0" borderId="26" xfId="2849" applyFont="1" applyBorder="1" applyAlignment="1">
      <alignment vertical="center"/>
    </xf>
    <xf numFmtId="0" fontId="164" fillId="0" borderId="26" xfId="2849" applyFont="1" applyBorder="1" applyAlignment="1">
      <alignment vertical="center"/>
    </xf>
    <xf numFmtId="0" fontId="91" fillId="0" borderId="153" xfId="2849" applyFont="1" applyBorder="1" applyAlignment="1">
      <alignment horizontal="left" vertical="center"/>
    </xf>
    <xf numFmtId="0" fontId="91" fillId="0" borderId="0" xfId="2849" applyFont="1" applyBorder="1" applyAlignment="1">
      <alignment horizontal="center" vertical="center"/>
    </xf>
    <xf numFmtId="0" fontId="91" fillId="0" borderId="0" xfId="2849" applyFont="1" applyBorder="1" applyAlignment="1">
      <alignment horizontal="left" vertical="center"/>
    </xf>
    <xf numFmtId="0" fontId="93" fillId="0" borderId="147" xfId="2849" applyFont="1" applyBorder="1" applyAlignment="1">
      <alignment vertical="center"/>
    </xf>
    <xf numFmtId="0" fontId="91" fillId="0" borderId="0" xfId="2849" applyFont="1" applyBorder="1" applyAlignment="1">
      <alignment horizontal="centerContinuous" vertical="center"/>
    </xf>
    <xf numFmtId="0" fontId="165" fillId="0" borderId="0" xfId="2849" applyFont="1" applyBorder="1" applyAlignment="1">
      <alignment vertical="center"/>
    </xf>
    <xf numFmtId="0" fontId="91" fillId="0" borderId="160" xfId="2849" applyFont="1" applyBorder="1" applyAlignment="1">
      <alignment vertical="center"/>
    </xf>
    <xf numFmtId="0" fontId="91" fillId="0" borderId="1" xfId="2849" applyFont="1" applyBorder="1" applyAlignment="1">
      <alignment vertical="center"/>
    </xf>
    <xf numFmtId="0" fontId="93" fillId="0" borderId="1" xfId="2849" applyFont="1" applyBorder="1" applyAlignment="1">
      <alignment vertical="center"/>
    </xf>
    <xf numFmtId="0" fontId="91" fillId="0" borderId="221" xfId="2849" applyFont="1" applyBorder="1" applyAlignment="1">
      <alignment vertical="center"/>
    </xf>
    <xf numFmtId="0" fontId="91" fillId="0" borderId="1" xfId="2849" quotePrefix="1" applyFont="1" applyBorder="1" applyAlignment="1">
      <alignment vertical="center"/>
    </xf>
    <xf numFmtId="0" fontId="91" fillId="0" borderId="1" xfId="2849" applyFont="1" applyBorder="1" applyAlignment="1">
      <alignment horizontal="center" vertical="center"/>
    </xf>
    <xf numFmtId="0" fontId="91" fillId="0" borderId="26" xfId="2849" applyFont="1" applyBorder="1" applyAlignment="1">
      <alignment vertical="center"/>
    </xf>
    <xf numFmtId="0" fontId="91" fillId="0" borderId="26" xfId="2849" applyFont="1" applyBorder="1" applyAlignment="1">
      <alignment horizontal="center" vertical="center"/>
    </xf>
    <xf numFmtId="0" fontId="93" fillId="0" borderId="26" xfId="2849" applyFont="1" applyBorder="1" applyAlignment="1">
      <alignment vertical="center"/>
    </xf>
    <xf numFmtId="0" fontId="12" fillId="0" borderId="1" xfId="2849" applyFont="1" applyBorder="1"/>
    <xf numFmtId="0" fontId="97" fillId="0" borderId="1" xfId="2849" applyFont="1" applyBorder="1"/>
    <xf numFmtId="15" fontId="97" fillId="0" borderId="1" xfId="2849" applyNumberFormat="1" applyFont="1" applyBorder="1" applyAlignment="1"/>
    <xf numFmtId="41" fontId="97" fillId="0" borderId="1" xfId="2849" applyNumberFormat="1" applyFont="1" applyBorder="1"/>
    <xf numFmtId="0" fontId="97" fillId="0" borderId="1" xfId="2849" applyFont="1" applyBorder="1" applyAlignment="1">
      <alignment horizontal="right"/>
    </xf>
    <xf numFmtId="0" fontId="97" fillId="0" borderId="0" xfId="2849" applyFont="1"/>
    <xf numFmtId="0" fontId="93" fillId="53" borderId="0" xfId="2849" applyFont="1" applyFill="1" applyAlignment="1">
      <alignment vertical="center"/>
    </xf>
    <xf numFmtId="0" fontId="161" fillId="0" borderId="0" xfId="375" applyFont="1" applyFill="1" applyBorder="1" applyAlignment="1">
      <alignment horizontal="left" vertical="center" wrapText="1"/>
    </xf>
    <xf numFmtId="37" fontId="35" fillId="0" borderId="256" xfId="2849" applyNumberFormat="1" applyFont="1" applyBorder="1" applyAlignment="1">
      <alignment horizontal="center" vertical="center"/>
    </xf>
    <xf numFmtId="1" fontId="93" fillId="0" borderId="0" xfId="2849" applyNumberFormat="1" applyFont="1" applyAlignment="1">
      <alignment vertical="center"/>
    </xf>
    <xf numFmtId="3" fontId="97" fillId="0" borderId="256" xfId="2849" applyNumberFormat="1" applyFont="1" applyBorder="1" applyAlignment="1">
      <alignment horizontal="center" vertical="center"/>
    </xf>
    <xf numFmtId="0" fontId="93" fillId="0" borderId="37" xfId="2849" applyFont="1" applyBorder="1" applyAlignment="1">
      <alignment horizontal="center" vertical="center"/>
    </xf>
    <xf numFmtId="3" fontId="93" fillId="0" borderId="37" xfId="2849" applyNumberFormat="1" applyFont="1" applyBorder="1" applyAlignment="1">
      <alignment horizontal="center" vertical="center"/>
    </xf>
    <xf numFmtId="0" fontId="97" fillId="0" borderId="0" xfId="2849" applyFont="1" applyBorder="1"/>
    <xf numFmtId="0" fontId="93" fillId="0" borderId="0" xfId="2849" quotePrefix="1" applyFont="1" applyBorder="1" applyAlignment="1">
      <alignment horizontal="left" vertical="center"/>
    </xf>
    <xf numFmtId="0" fontId="166" fillId="0" borderId="0" xfId="2849" applyFont="1" applyBorder="1" applyAlignment="1">
      <alignment vertical="center"/>
    </xf>
    <xf numFmtId="0" fontId="35" fillId="52" borderId="37" xfId="2849" applyFont="1" applyFill="1" applyBorder="1" applyAlignment="1">
      <alignment horizontal="center" vertical="center"/>
    </xf>
    <xf numFmtId="0" fontId="12" fillId="0" borderId="26" xfId="2849" applyFont="1" applyBorder="1"/>
    <xf numFmtId="0" fontId="97" fillId="0" borderId="26" xfId="2849" applyFont="1" applyBorder="1"/>
    <xf numFmtId="15" fontId="97" fillId="0" borderId="26" xfId="2849" applyNumberFormat="1" applyFont="1" applyBorder="1" applyAlignment="1"/>
    <xf numFmtId="41" fontId="97" fillId="0" borderId="26" xfId="2849" applyNumberFormat="1" applyFont="1" applyBorder="1"/>
    <xf numFmtId="0" fontId="97" fillId="0" borderId="26" xfId="2849" applyFont="1" applyBorder="1" applyAlignment="1">
      <alignment horizontal="right"/>
    </xf>
    <xf numFmtId="0" fontId="12" fillId="0" borderId="0" xfId="2849" applyFont="1" applyBorder="1"/>
    <xf numFmtId="15" fontId="97" fillId="0" borderId="0" xfId="2849" applyNumberFormat="1" applyFont="1" applyBorder="1" applyAlignment="1"/>
    <xf numFmtId="41" fontId="97" fillId="0" borderId="0" xfId="2849" applyNumberFormat="1" applyFont="1" applyBorder="1"/>
    <xf numFmtId="0" fontId="97" fillId="0" borderId="0" xfId="2849" applyFont="1" applyBorder="1" applyAlignment="1">
      <alignment horizontal="right"/>
    </xf>
    <xf numFmtId="0" fontId="93" fillId="0" borderId="110" xfId="2849" applyFont="1" applyBorder="1" applyAlignment="1">
      <alignment vertical="center"/>
    </xf>
    <xf numFmtId="0" fontId="93" fillId="0" borderId="148" xfId="2849" applyFont="1" applyBorder="1" applyAlignment="1">
      <alignment vertical="center"/>
    </xf>
    <xf numFmtId="0" fontId="93" fillId="0" borderId="153" xfId="2849" applyFont="1" applyBorder="1" applyAlignment="1">
      <alignment vertical="center"/>
    </xf>
    <xf numFmtId="0" fontId="93" fillId="0" borderId="160" xfId="2849" applyFont="1" applyBorder="1" applyAlignment="1">
      <alignment vertical="center"/>
    </xf>
    <xf numFmtId="0" fontId="127" fillId="0" borderId="0" xfId="375" quotePrefix="1" applyFont="1" applyBorder="1" applyAlignment="1">
      <alignment horizontal="left" vertical="center"/>
    </xf>
    <xf numFmtId="0" fontId="91" fillId="0" borderId="0" xfId="2849" applyFont="1" applyAlignment="1">
      <alignment vertical="center"/>
    </xf>
    <xf numFmtId="0" fontId="97" fillId="52" borderId="0" xfId="2849" applyFont="1" applyFill="1"/>
    <xf numFmtId="0" fontId="93" fillId="52" borderId="0" xfId="2849" applyFont="1" applyFill="1" applyAlignment="1">
      <alignment vertical="center"/>
    </xf>
    <xf numFmtId="0" fontId="127" fillId="0" borderId="0" xfId="2848" applyFont="1" applyBorder="1" applyAlignment="1">
      <alignment vertical="center"/>
    </xf>
    <xf numFmtId="0" fontId="127" fillId="0" borderId="0" xfId="2849" quotePrefix="1" applyFont="1" applyBorder="1" applyAlignment="1">
      <alignment horizontal="left" vertical="center"/>
    </xf>
    <xf numFmtId="0" fontId="93" fillId="41" borderId="0" xfId="2849" applyFont="1" applyFill="1" applyAlignment="1">
      <alignment vertical="center"/>
    </xf>
    <xf numFmtId="3" fontId="93" fillId="0" borderId="0" xfId="2849" applyNumberFormat="1" applyFont="1" applyAlignment="1">
      <alignment vertical="center"/>
    </xf>
    <xf numFmtId="0" fontId="12" fillId="52" borderId="26" xfId="2849" applyFont="1" applyFill="1" applyBorder="1"/>
    <xf numFmtId="0" fontId="97" fillId="52" borderId="26" xfId="2849" applyFont="1" applyFill="1" applyBorder="1"/>
    <xf numFmtId="15" fontId="97" fillId="52" borderId="26" xfId="2849" applyNumberFormat="1" applyFont="1" applyFill="1" applyBorder="1" applyAlignment="1"/>
    <xf numFmtId="41" fontId="97" fillId="52" borderId="26" xfId="2849" applyNumberFormat="1" applyFont="1" applyFill="1" applyBorder="1"/>
    <xf numFmtId="0" fontId="97" fillId="52" borderId="26" xfId="2849" applyFont="1" applyFill="1" applyBorder="1" applyAlignment="1">
      <alignment horizontal="right"/>
    </xf>
    <xf numFmtId="0" fontId="12" fillId="52" borderId="0" xfId="2849" applyFont="1" applyFill="1" applyBorder="1"/>
    <xf numFmtId="0" fontId="97" fillId="52" borderId="0" xfId="2849" applyFont="1" applyFill="1" applyBorder="1"/>
    <xf numFmtId="15" fontId="97" fillId="52" borderId="0" xfId="2849" applyNumberFormat="1" applyFont="1" applyFill="1" applyBorder="1" applyAlignment="1"/>
    <xf numFmtId="41" fontId="97" fillId="52" borderId="0" xfId="2849" applyNumberFormat="1" applyFont="1" applyFill="1" applyBorder="1"/>
    <xf numFmtId="0" fontId="97" fillId="52" borderId="0" xfId="2849" applyFont="1" applyFill="1" applyBorder="1" applyAlignment="1">
      <alignment horizontal="right"/>
    </xf>
    <xf numFmtId="0" fontId="12" fillId="52" borderId="1" xfId="2849" applyFont="1" applyFill="1" applyBorder="1"/>
    <xf numFmtId="0" fontId="97" fillId="52" borderId="1" xfId="2849" applyFont="1" applyFill="1" applyBorder="1"/>
    <xf numFmtId="15" fontId="97" fillId="52" borderId="1" xfId="2849" applyNumberFormat="1" applyFont="1" applyFill="1" applyBorder="1" applyAlignment="1"/>
    <xf numFmtId="41" fontId="97" fillId="52" borderId="1" xfId="2849" applyNumberFormat="1" applyFont="1" applyFill="1" applyBorder="1"/>
    <xf numFmtId="0" fontId="97" fillId="52" borderId="1" xfId="2849" applyFont="1" applyFill="1" applyBorder="1" applyAlignment="1">
      <alignment horizontal="right"/>
    </xf>
    <xf numFmtId="0" fontId="161" fillId="52" borderId="0" xfId="2849" applyFont="1" applyFill="1" applyBorder="1" applyAlignment="1">
      <alignment vertical="center"/>
    </xf>
    <xf numFmtId="0" fontId="127" fillId="0" borderId="0" xfId="2849" applyFont="1" applyBorder="1" applyAlignment="1">
      <alignment vertical="center"/>
    </xf>
    <xf numFmtId="0" fontId="161" fillId="0" borderId="0" xfId="2849" quotePrefix="1" applyFont="1" applyBorder="1" applyAlignment="1">
      <alignment horizontal="left" vertical="center"/>
    </xf>
    <xf numFmtId="3" fontId="91" fillId="0" borderId="256" xfId="2849" applyNumberFormat="1" applyFont="1" applyBorder="1" applyAlignment="1">
      <alignment horizontal="center" vertical="center"/>
    </xf>
    <xf numFmtId="0" fontId="167" fillId="0" borderId="0" xfId="2849" applyFont="1" applyBorder="1" applyAlignment="1">
      <alignment vertical="center"/>
    </xf>
    <xf numFmtId="0" fontId="127" fillId="52" borderId="0" xfId="2849" applyFont="1" applyFill="1" applyBorder="1" applyAlignment="1">
      <alignment vertical="center"/>
    </xf>
    <xf numFmtId="0" fontId="93" fillId="54" borderId="0" xfId="2849" applyFont="1" applyFill="1" applyAlignment="1">
      <alignment vertical="center"/>
    </xf>
    <xf numFmtId="3" fontId="127" fillId="3" borderId="37" xfId="2849" applyNumberFormat="1" applyFont="1" applyFill="1" applyBorder="1" applyAlignment="1">
      <alignment horizontal="center" vertical="center"/>
    </xf>
    <xf numFmtId="0" fontId="127" fillId="3" borderId="37" xfId="2849" applyFont="1" applyFill="1" applyBorder="1" applyAlignment="1">
      <alignment horizontal="center" vertical="center"/>
    </xf>
    <xf numFmtId="0" fontId="127" fillId="0" borderId="0" xfId="2849" applyFont="1" applyBorder="1" applyAlignment="1">
      <alignment horizontal="center" vertical="center"/>
    </xf>
    <xf numFmtId="3" fontId="35" fillId="0" borderId="26" xfId="2849" applyNumberFormat="1" applyFont="1" applyBorder="1" applyAlignment="1">
      <alignment horizontal="center" vertical="center"/>
    </xf>
    <xf numFmtId="0" fontId="35" fillId="0" borderId="26" xfId="2849" applyFont="1" applyBorder="1" applyAlignment="1">
      <alignment horizontal="center" vertical="center"/>
    </xf>
    <xf numFmtId="1" fontId="35" fillId="0" borderId="26" xfId="2849" applyNumberFormat="1" applyFont="1" applyBorder="1" applyAlignment="1">
      <alignment horizontal="center" vertical="center"/>
    </xf>
    <xf numFmtId="0" fontId="164" fillId="0" borderId="0" xfId="2849" applyFont="1" applyBorder="1" applyAlignment="1">
      <alignment vertical="center"/>
    </xf>
    <xf numFmtId="0" fontId="0" fillId="0" borderId="243" xfId="0" applyBorder="1" applyAlignment="1">
      <alignment horizontal="center" vertical="center"/>
    </xf>
    <xf numFmtId="0" fontId="0" fillId="0" borderId="245" xfId="0" applyBorder="1" applyAlignment="1">
      <alignment horizontal="center" vertical="center"/>
    </xf>
    <xf numFmtId="0" fontId="0" fillId="0" borderId="42" xfId="1" applyNumberFormat="1" applyFont="1" applyBorder="1" applyAlignment="1" applyProtection="1">
      <alignment horizontal="center" vertical="center"/>
    </xf>
    <xf numFmtId="0" fontId="11" fillId="0" borderId="212" xfId="0" applyFont="1" applyFill="1" applyBorder="1" applyAlignment="1" applyProtection="1">
      <alignment horizontal="centerContinuous" vertical="center"/>
    </xf>
    <xf numFmtId="0" fontId="0" fillId="0" borderId="147" xfId="0" applyBorder="1"/>
    <xf numFmtId="0" fontId="0" fillId="0" borderId="196" xfId="0" applyBorder="1"/>
    <xf numFmtId="0" fontId="0" fillId="0" borderId="229" xfId="0" applyBorder="1"/>
    <xf numFmtId="0" fontId="73" fillId="0" borderId="0" xfId="0" applyFont="1" applyBorder="1"/>
    <xf numFmtId="0" fontId="0" fillId="0" borderId="257" xfId="0" applyBorder="1" applyAlignment="1">
      <alignment horizontal="center" vertical="center"/>
    </xf>
    <xf numFmtId="0" fontId="168" fillId="33" borderId="0" xfId="0" applyNumberFormat="1" applyFont="1" applyFill="1" applyBorder="1" applyProtection="1"/>
    <xf numFmtId="0" fontId="168" fillId="33" borderId="0" xfId="0" applyNumberFormat="1" applyFont="1" applyFill="1" applyBorder="1" applyAlignment="1" applyProtection="1">
      <alignment horizontal="center" vertical="center"/>
    </xf>
    <xf numFmtId="166" fontId="168" fillId="0" borderId="0" xfId="0" applyNumberFormat="1" applyFont="1" applyFill="1" applyBorder="1" applyAlignment="1" applyProtection="1">
      <alignment horizontal="center"/>
      <protection locked="0"/>
    </xf>
    <xf numFmtId="167" fontId="169" fillId="0" borderId="0" xfId="418" applyNumberFormat="1" applyFont="1" applyFill="1" applyAlignment="1" applyProtection="1">
      <alignment horizontal="center" vertical="center"/>
      <protection locked="0"/>
    </xf>
    <xf numFmtId="3" fontId="169" fillId="0" borderId="0" xfId="418" applyNumberFormat="1" applyFont="1" applyFill="1" applyAlignment="1" applyProtection="1">
      <alignment horizontal="left" vertical="center"/>
      <protection locked="0"/>
    </xf>
    <xf numFmtId="0" fontId="169" fillId="0" borderId="0" xfId="418" applyFont="1" applyFill="1" applyAlignment="1" applyProtection="1">
      <alignment horizontal="left" vertical="center"/>
      <protection locked="0"/>
    </xf>
    <xf numFmtId="3" fontId="169" fillId="0" borderId="0" xfId="418" applyNumberFormat="1" applyFont="1" applyFill="1" applyAlignment="1" applyProtection="1">
      <alignment horizontal="center" vertical="center"/>
      <protection locked="0"/>
    </xf>
    <xf numFmtId="43" fontId="169" fillId="0" borderId="0" xfId="1" applyFont="1" applyFill="1" applyBorder="1" applyAlignment="1" applyProtection="1">
      <alignment horizontal="right" vertical="center"/>
      <protection locked="0"/>
    </xf>
    <xf numFmtId="0" fontId="169" fillId="0" borderId="0" xfId="418" applyNumberFormat="1" applyFont="1" applyFill="1" applyAlignment="1" applyProtection="1">
      <alignment horizontal="right" vertical="center"/>
    </xf>
    <xf numFmtId="167" fontId="169" fillId="0" borderId="0" xfId="418" applyNumberFormat="1" applyFont="1" applyFill="1" applyBorder="1" applyAlignment="1" applyProtection="1">
      <alignment horizontal="center" vertical="center"/>
      <protection locked="0"/>
    </xf>
    <xf numFmtId="3" fontId="169" fillId="0" borderId="0" xfId="418" applyNumberFormat="1" applyFont="1" applyFill="1" applyBorder="1" applyAlignment="1" applyProtection="1">
      <alignment horizontal="left" vertical="center"/>
      <protection locked="0"/>
    </xf>
    <xf numFmtId="0" fontId="169" fillId="0" borderId="0" xfId="418" applyFont="1" applyFill="1" applyBorder="1" applyAlignment="1" applyProtection="1">
      <alignment horizontal="left" vertical="center"/>
      <protection locked="0"/>
    </xf>
    <xf numFmtId="3" fontId="169" fillId="0" borderId="0" xfId="418" applyNumberFormat="1" applyFont="1" applyFill="1" applyBorder="1" applyAlignment="1" applyProtection="1">
      <alignment horizontal="center" vertical="center"/>
      <protection locked="0"/>
    </xf>
    <xf numFmtId="0" fontId="169" fillId="0" borderId="0" xfId="418" applyNumberFormat="1" applyFont="1" applyFill="1" applyBorder="1" applyAlignment="1" applyProtection="1">
      <alignment horizontal="right" vertical="center"/>
    </xf>
    <xf numFmtId="0" fontId="80" fillId="0" borderId="0" xfId="0" applyFont="1" applyAlignment="1">
      <alignment horizontal="center" vertical="center"/>
    </xf>
    <xf numFmtId="0" fontId="0" fillId="0" borderId="0" xfId="0" applyAlignment="1" applyProtection="1">
      <alignment horizontal="left" vertical="center" wrapText="1"/>
      <protection locked="0"/>
    </xf>
    <xf numFmtId="0" fontId="59" fillId="0" borderId="1" xfId="0" applyFont="1" applyBorder="1" applyAlignment="1">
      <alignment horizontal="center" vertical="center"/>
    </xf>
    <xf numFmtId="0" fontId="65" fillId="0" borderId="2" xfId="0" applyFont="1" applyFill="1" applyBorder="1" applyAlignment="1">
      <alignment horizontal="left" vertical="center" wrapText="1"/>
    </xf>
    <xf numFmtId="0" fontId="70" fillId="2" borderId="0" xfId="0" quotePrefix="1" applyNumberFormat="1" applyFont="1" applyFill="1" applyBorder="1" applyAlignment="1">
      <alignment horizontal="left" vertical="center" wrapText="1"/>
    </xf>
    <xf numFmtId="0" fontId="70" fillId="2" borderId="0" xfId="0" applyNumberFormat="1" applyFont="1" applyFill="1" applyBorder="1" applyAlignment="1">
      <alignment horizontal="left" vertical="center" wrapText="1"/>
    </xf>
    <xf numFmtId="0" fontId="51" fillId="0" borderId="3" xfId="0" applyFont="1" applyBorder="1" applyAlignment="1">
      <alignment horizontal="left" vertical="center"/>
    </xf>
    <xf numFmtId="164" fontId="51" fillId="2" borderId="3" xfId="1" applyNumberFormat="1" applyFont="1" applyFill="1" applyBorder="1" applyAlignment="1">
      <alignment horizontal="center" vertical="center"/>
    </xf>
    <xf numFmtId="0" fontId="53" fillId="0" borderId="0" xfId="0" applyFont="1" applyBorder="1" applyAlignment="1">
      <alignment horizontal="left" vertical="center"/>
    </xf>
    <xf numFmtId="0" fontId="53" fillId="0" borderId="0" xfId="0" applyFont="1" applyBorder="1" applyAlignment="1">
      <alignment horizontal="center" vertical="center"/>
    </xf>
    <xf numFmtId="0" fontId="53" fillId="0" borderId="26" xfId="0" applyFont="1" applyBorder="1" applyAlignment="1">
      <alignment horizontal="left" vertical="top" wrapText="1"/>
    </xf>
    <xf numFmtId="0" fontId="69" fillId="0" borderId="26" xfId="0" applyFont="1" applyBorder="1"/>
    <xf numFmtId="0" fontId="69" fillId="0" borderId="1" xfId="0" applyFont="1" applyBorder="1"/>
    <xf numFmtId="0" fontId="53" fillId="0" borderId="2" xfId="0" applyFont="1" applyBorder="1" applyAlignment="1">
      <alignment horizontal="center" vertical="center"/>
    </xf>
    <xf numFmtId="3" fontId="52" fillId="0" borderId="1" xfId="0" applyNumberFormat="1" applyFont="1" applyBorder="1" applyAlignment="1">
      <alignment horizontal="right" vertical="center"/>
    </xf>
    <xf numFmtId="3" fontId="65" fillId="0" borderId="2" xfId="0" applyNumberFormat="1" applyFont="1" applyBorder="1" applyAlignment="1">
      <alignment horizontal="right" vertical="center"/>
    </xf>
    <xf numFmtId="39" fontId="65" fillId="0" borderId="2" xfId="272" applyNumberFormat="1" applyFont="1" applyBorder="1" applyAlignment="1" applyProtection="1">
      <alignment horizontal="right" vertical="center"/>
      <protection locked="0"/>
    </xf>
    <xf numFmtId="0" fontId="53" fillId="0" borderId="1" xfId="0" applyFont="1" applyBorder="1" applyAlignment="1">
      <alignment horizontal="center" vertical="center"/>
    </xf>
    <xf numFmtId="0" fontId="63" fillId="0" borderId="0" xfId="0" applyFont="1" applyAlignment="1">
      <alignment horizontal="center" vertical="center" wrapText="1"/>
    </xf>
    <xf numFmtId="0" fontId="76" fillId="5" borderId="38" xfId="0" applyNumberFormat="1" applyFont="1" applyFill="1" applyBorder="1" applyAlignment="1" applyProtection="1">
      <alignment horizontal="center" vertical="center"/>
      <protection locked="0"/>
    </xf>
    <xf numFmtId="0" fontId="52" fillId="0" borderId="37" xfId="0" applyFont="1" applyBorder="1" applyAlignment="1" applyProtection="1">
      <alignment horizontal="center" vertical="center"/>
    </xf>
    <xf numFmtId="0" fontId="52" fillId="0" borderId="37" xfId="0" applyFont="1" applyBorder="1" applyAlignment="1" applyProtection="1">
      <alignment horizontal="center" vertical="center"/>
      <protection locked="0"/>
    </xf>
    <xf numFmtId="0" fontId="76" fillId="5" borderId="39" xfId="0" applyNumberFormat="1" applyFont="1" applyFill="1" applyBorder="1" applyAlignment="1" applyProtection="1">
      <alignment horizontal="center" vertical="center"/>
      <protection locked="0"/>
    </xf>
    <xf numFmtId="0" fontId="76" fillId="5" borderId="40" xfId="0" applyNumberFormat="1" applyFont="1" applyFill="1" applyBorder="1" applyAlignment="1" applyProtection="1">
      <alignment horizontal="center" vertical="center"/>
      <protection locked="0"/>
    </xf>
    <xf numFmtId="3" fontId="142" fillId="0" borderId="0" xfId="0" applyNumberFormat="1" applyFont="1" applyAlignment="1">
      <alignment horizontal="center" vertical="center" textRotation="90"/>
    </xf>
    <xf numFmtId="39" fontId="65" fillId="0" borderId="2" xfId="272" applyNumberFormat="1" applyFont="1" applyBorder="1" applyAlignment="1">
      <alignment horizontal="right" vertical="center"/>
    </xf>
    <xf numFmtId="43" fontId="59" fillId="0" borderId="0" xfId="1" applyFont="1" applyBorder="1" applyAlignment="1">
      <alignment horizontal="center"/>
    </xf>
    <xf numFmtId="0" fontId="135" fillId="0" borderId="1" xfId="0" applyFont="1" applyBorder="1" applyAlignment="1">
      <alignment horizontal="left" vertical="center"/>
    </xf>
    <xf numFmtId="0" fontId="63" fillId="0" borderId="1" xfId="0" applyFont="1" applyBorder="1" applyAlignment="1">
      <alignment horizontal="left" vertical="center"/>
    </xf>
    <xf numFmtId="0" fontId="61" fillId="0" borderId="0" xfId="0" applyFont="1" applyBorder="1" applyAlignment="1">
      <alignment horizontal="center" vertical="top"/>
    </xf>
    <xf numFmtId="0" fontId="77" fillId="35" borderId="208" xfId="0" applyFont="1" applyFill="1" applyBorder="1" applyAlignment="1" applyProtection="1">
      <alignment horizontal="center" vertical="center"/>
      <protection locked="0"/>
    </xf>
    <xf numFmtId="0" fontId="77" fillId="35" borderId="0" xfId="0" applyFont="1" applyFill="1" applyBorder="1" applyAlignment="1" applyProtection="1">
      <alignment horizontal="center" vertical="center"/>
      <protection locked="0"/>
    </xf>
    <xf numFmtId="0" fontId="82" fillId="35" borderId="208" xfId="0" applyFont="1" applyFill="1" applyBorder="1" applyAlignment="1" applyProtection="1">
      <alignment horizontal="center" vertical="center"/>
      <protection locked="0"/>
    </xf>
    <xf numFmtId="0" fontId="82" fillId="35" borderId="0" xfId="0" applyFont="1" applyFill="1" applyBorder="1" applyAlignment="1" applyProtection="1">
      <alignment horizontal="center" vertical="center"/>
      <protection locked="0"/>
    </xf>
    <xf numFmtId="0" fontId="133" fillId="5" borderId="37" xfId="428" applyNumberFormat="1" applyFont="1" applyFill="1" applyBorder="1" applyAlignment="1" applyProtection="1">
      <alignment horizontal="center" vertical="center"/>
      <protection locked="0"/>
    </xf>
    <xf numFmtId="0" fontId="92" fillId="45" borderId="40" xfId="428" applyFont="1" applyFill="1" applyBorder="1" applyAlignment="1">
      <alignment horizontal="center"/>
    </xf>
    <xf numFmtId="0" fontId="92" fillId="45" borderId="37" xfId="428" applyFont="1" applyFill="1" applyBorder="1" applyAlignment="1">
      <alignment horizontal="center"/>
    </xf>
    <xf numFmtId="0" fontId="92" fillId="46" borderId="37" xfId="428" applyFont="1" applyFill="1" applyBorder="1" applyAlignment="1">
      <alignment horizontal="center"/>
    </xf>
    <xf numFmtId="0" fontId="91" fillId="0" borderId="38" xfId="429" applyFont="1" applyFill="1" applyBorder="1" applyAlignment="1">
      <alignment horizontal="center" vertical="center" wrapText="1"/>
    </xf>
    <xf numFmtId="0" fontId="91" fillId="0" borderId="103" xfId="429" applyFont="1" applyFill="1" applyBorder="1" applyAlignment="1">
      <alignment horizontal="center" vertical="center" wrapText="1"/>
    </xf>
    <xf numFmtId="0" fontId="56" fillId="0" borderId="38" xfId="430" applyFont="1" applyFill="1" applyBorder="1" applyAlignment="1">
      <alignment horizontal="center" vertical="center" wrapText="1"/>
    </xf>
    <xf numFmtId="0" fontId="56" fillId="0" borderId="125" xfId="430" applyFont="1" applyFill="1" applyBorder="1" applyAlignment="1">
      <alignment horizontal="center" vertical="center" wrapText="1"/>
    </xf>
    <xf numFmtId="0" fontId="56" fillId="0" borderId="38" xfId="371" applyFont="1" applyFill="1" applyBorder="1" applyAlignment="1">
      <alignment horizontal="center" vertical="center" wrapText="1"/>
    </xf>
    <xf numFmtId="0" fontId="56" fillId="0" borderId="125" xfId="371" applyFont="1" applyFill="1" applyBorder="1" applyAlignment="1">
      <alignment horizontal="center" vertical="center" wrapText="1"/>
    </xf>
    <xf numFmtId="0" fontId="91" fillId="0" borderId="104" xfId="429" applyFont="1" applyFill="1" applyBorder="1" applyAlignment="1">
      <alignment horizontal="center" vertical="center" wrapText="1"/>
    </xf>
    <xf numFmtId="0" fontId="91" fillId="0" borderId="120" xfId="429" applyFont="1" applyFill="1" applyBorder="1" applyAlignment="1">
      <alignment horizontal="center" vertical="center" wrapText="1"/>
    </xf>
    <xf numFmtId="0" fontId="91" fillId="0" borderId="105" xfId="429" applyFont="1" applyFill="1" applyBorder="1" applyAlignment="1">
      <alignment horizontal="center" vertical="center" wrapText="1"/>
    </xf>
    <xf numFmtId="0" fontId="91" fillId="0" borderId="121" xfId="429" applyFont="1" applyFill="1" applyBorder="1" applyAlignment="1">
      <alignment horizontal="center" vertical="center" wrapText="1"/>
    </xf>
    <xf numFmtId="0" fontId="91" fillId="0" borderId="106" xfId="429" applyFont="1" applyFill="1" applyBorder="1" applyAlignment="1">
      <alignment horizontal="center" vertical="center" wrapText="1"/>
    </xf>
    <xf numFmtId="0" fontId="91" fillId="0" borderId="122" xfId="429" applyFont="1" applyFill="1" applyBorder="1" applyAlignment="1">
      <alignment horizontal="center" vertical="center" wrapText="1"/>
    </xf>
    <xf numFmtId="0" fontId="91" fillId="0" borderId="107" xfId="429" applyFont="1" applyFill="1" applyBorder="1" applyAlignment="1">
      <alignment horizontal="center"/>
    </xf>
    <xf numFmtId="0" fontId="91" fillId="0" borderId="108" xfId="429" applyFont="1" applyFill="1" applyBorder="1" applyAlignment="1">
      <alignment horizontal="center"/>
    </xf>
    <xf numFmtId="0" fontId="94" fillId="0" borderId="38" xfId="430" applyFont="1" applyFill="1" applyBorder="1" applyAlignment="1">
      <alignment horizontal="center" vertical="center" wrapText="1"/>
    </xf>
    <xf numFmtId="0" fontId="94" fillId="0" borderId="103" xfId="430" applyFont="1" applyFill="1" applyBorder="1" applyAlignment="1">
      <alignment horizontal="center" vertical="center" wrapText="1"/>
    </xf>
    <xf numFmtId="0" fontId="56" fillId="0" borderId="103" xfId="430" applyFont="1" applyFill="1" applyBorder="1" applyAlignment="1">
      <alignment horizontal="center" vertical="center" wrapText="1"/>
    </xf>
    <xf numFmtId="170" fontId="91" fillId="0" borderId="112" xfId="431" applyNumberFormat="1" applyFont="1" applyFill="1" applyBorder="1" applyAlignment="1">
      <alignment horizontal="center" vertical="center"/>
    </xf>
    <xf numFmtId="170" fontId="91" fillId="0" borderId="113" xfId="431" applyNumberFormat="1" applyFont="1" applyFill="1" applyBorder="1" applyAlignment="1">
      <alignment horizontal="center" vertical="center"/>
    </xf>
    <xf numFmtId="0" fontId="94" fillId="0" borderId="125" xfId="430" applyFont="1" applyFill="1" applyBorder="1" applyAlignment="1">
      <alignment horizontal="center" vertical="center" wrapText="1"/>
    </xf>
    <xf numFmtId="170" fontId="56" fillId="0" borderId="107" xfId="431" applyNumberFormat="1" applyFont="1" applyFill="1" applyBorder="1" applyAlignment="1">
      <alignment horizontal="center" vertical="center"/>
    </xf>
    <xf numFmtId="170" fontId="56" fillId="0" borderId="116" xfId="431" applyNumberFormat="1" applyFont="1" applyFill="1" applyBorder="1" applyAlignment="1">
      <alignment horizontal="center" vertical="center"/>
    </xf>
    <xf numFmtId="0" fontId="56" fillId="0" borderId="107" xfId="431" applyFont="1" applyFill="1" applyBorder="1" applyAlignment="1">
      <alignment horizontal="center" vertical="center"/>
    </xf>
    <xf numFmtId="0" fontId="56" fillId="0" borderId="108" xfId="431" applyFont="1" applyFill="1" applyBorder="1" applyAlignment="1">
      <alignment horizontal="center" vertical="center"/>
    </xf>
    <xf numFmtId="0" fontId="56" fillId="0" borderId="106" xfId="431" applyFont="1" applyFill="1" applyBorder="1" applyAlignment="1">
      <alignment horizontal="center" vertical="center" wrapText="1"/>
    </xf>
    <xf numFmtId="0" fontId="56" fillId="0" borderId="152" xfId="431" applyFont="1" applyFill="1" applyBorder="1" applyAlignment="1">
      <alignment horizontal="center" vertical="center" wrapText="1"/>
    </xf>
    <xf numFmtId="0" fontId="92" fillId="47" borderId="37" xfId="428" applyFont="1" applyFill="1" applyBorder="1" applyAlignment="1">
      <alignment horizontal="center"/>
    </xf>
    <xf numFmtId="0" fontId="92" fillId="29" borderId="39" xfId="428" applyFont="1" applyFill="1" applyBorder="1" applyAlignment="1">
      <alignment horizontal="center" vertical="center"/>
    </xf>
    <xf numFmtId="0" fontId="92" fillId="29" borderId="2" xfId="428" applyFont="1" applyFill="1" applyBorder="1" applyAlignment="1">
      <alignment horizontal="center" vertical="center"/>
    </xf>
    <xf numFmtId="0" fontId="92" fillId="29" borderId="40" xfId="428" applyFont="1" applyFill="1" applyBorder="1" applyAlignment="1">
      <alignment horizontal="center" vertical="center"/>
    </xf>
    <xf numFmtId="0" fontId="92" fillId="48" borderId="39" xfId="428" applyFont="1" applyFill="1" applyBorder="1" applyAlignment="1">
      <alignment horizontal="center" vertical="center"/>
    </xf>
    <xf numFmtId="0" fontId="92" fillId="48" borderId="2" xfId="428" applyFont="1" applyFill="1" applyBorder="1" applyAlignment="1">
      <alignment horizontal="center" vertical="center"/>
    </xf>
    <xf numFmtId="0" fontId="92" fillId="48" borderId="40" xfId="428" applyFont="1" applyFill="1" applyBorder="1" applyAlignment="1">
      <alignment horizontal="center" vertical="center"/>
    </xf>
    <xf numFmtId="168" fontId="91" fillId="0" borderId="38" xfId="428" applyNumberFormat="1" applyFont="1" applyFill="1" applyBorder="1" applyAlignment="1">
      <alignment horizontal="center" vertical="center"/>
    </xf>
    <xf numFmtId="168" fontId="91" fillId="0" borderId="103" xfId="428" applyNumberFormat="1" applyFont="1" applyFill="1" applyBorder="1" applyAlignment="1">
      <alignment horizontal="center" vertical="center"/>
    </xf>
    <xf numFmtId="168" fontId="91" fillId="0" borderId="119" xfId="428" applyNumberFormat="1" applyFont="1" applyFill="1" applyBorder="1" applyAlignment="1">
      <alignment horizontal="center" vertical="center"/>
    </xf>
    <xf numFmtId="0" fontId="92" fillId="29" borderId="39" xfId="428" applyFont="1" applyFill="1" applyBorder="1" applyAlignment="1">
      <alignment horizontal="center"/>
    </xf>
    <xf numFmtId="0" fontId="92" fillId="29" borderId="2" xfId="428" applyFont="1" applyFill="1" applyBorder="1" applyAlignment="1">
      <alignment horizontal="center"/>
    </xf>
    <xf numFmtId="0" fontId="92" fillId="29" borderId="40" xfId="428" applyFont="1" applyFill="1" applyBorder="1" applyAlignment="1">
      <alignment horizontal="center"/>
    </xf>
    <xf numFmtId="0" fontId="92" fillId="42" borderId="39" xfId="428" applyFont="1" applyFill="1" applyBorder="1" applyAlignment="1">
      <alignment horizontal="center"/>
    </xf>
    <xf numFmtId="0" fontId="92" fillId="42" borderId="2" xfId="428" applyFont="1" applyFill="1" applyBorder="1" applyAlignment="1">
      <alignment horizontal="center"/>
    </xf>
    <xf numFmtId="0" fontId="92" fillId="42" borderId="40" xfId="428" applyFont="1" applyFill="1" applyBorder="1" applyAlignment="1">
      <alignment horizontal="center"/>
    </xf>
    <xf numFmtId="0" fontId="92" fillId="36" borderId="39" xfId="428" applyFont="1" applyFill="1" applyBorder="1" applyAlignment="1">
      <alignment horizontal="center"/>
    </xf>
    <xf numFmtId="0" fontId="92" fillId="36" borderId="2" xfId="428" applyFont="1" applyFill="1" applyBorder="1" applyAlignment="1">
      <alignment horizontal="center"/>
    </xf>
    <xf numFmtId="0" fontId="92" fillId="36" borderId="40" xfId="428" applyFont="1" applyFill="1" applyBorder="1" applyAlignment="1">
      <alignment horizontal="center"/>
    </xf>
    <xf numFmtId="0" fontId="92" fillId="43" borderId="39" xfId="428" applyFont="1" applyFill="1" applyBorder="1" applyAlignment="1">
      <alignment horizontal="center"/>
    </xf>
    <xf numFmtId="0" fontId="92" fillId="43" borderId="2" xfId="428" applyFont="1" applyFill="1" applyBorder="1" applyAlignment="1">
      <alignment horizontal="center"/>
    </xf>
    <xf numFmtId="0" fontId="92" fillId="43" borderId="40" xfId="428" applyFont="1" applyFill="1" applyBorder="1" applyAlignment="1">
      <alignment horizontal="center"/>
    </xf>
    <xf numFmtId="0" fontId="91" fillId="0" borderId="150" xfId="429" applyFont="1" applyFill="1" applyBorder="1" applyAlignment="1">
      <alignment horizontal="center" vertical="center" wrapText="1"/>
    </xf>
    <xf numFmtId="0" fontId="91" fillId="0" borderId="151" xfId="429" applyFont="1" applyFill="1" applyBorder="1" applyAlignment="1">
      <alignment horizontal="center" vertical="center" wrapText="1"/>
    </xf>
    <xf numFmtId="0" fontId="91" fillId="0" borderId="152" xfId="429" applyFont="1" applyFill="1" applyBorder="1" applyAlignment="1">
      <alignment horizontal="center" vertical="center" wrapText="1"/>
    </xf>
    <xf numFmtId="169" fontId="93" fillId="29" borderId="39" xfId="272" applyNumberFormat="1" applyFont="1" applyFill="1" applyBorder="1" applyAlignment="1">
      <alignment horizontal="center" vertical="center" wrapText="1"/>
    </xf>
    <xf numFmtId="169" fontId="93" fillId="29" borderId="2" xfId="272" applyNumberFormat="1" applyFont="1" applyFill="1" applyBorder="1" applyAlignment="1">
      <alignment horizontal="center" vertical="center" wrapText="1"/>
    </xf>
    <xf numFmtId="0" fontId="92" fillId="49" borderId="40" xfId="428" applyFont="1" applyFill="1" applyBorder="1" applyAlignment="1">
      <alignment horizontal="center"/>
    </xf>
    <xf numFmtId="0" fontId="92" fillId="49" borderId="37" xfId="428" applyFont="1" applyFill="1" applyBorder="1" applyAlignment="1">
      <alignment horizontal="center"/>
    </xf>
    <xf numFmtId="0" fontId="91" fillId="45" borderId="38" xfId="428" applyFont="1" applyFill="1" applyBorder="1" applyAlignment="1">
      <alignment horizontal="center" vertical="center" wrapText="1"/>
    </xf>
    <xf numFmtId="0" fontId="91" fillId="45" borderId="103" xfId="428" applyFont="1" applyFill="1" applyBorder="1" applyAlignment="1">
      <alignment horizontal="center" vertical="center" wrapText="1"/>
    </xf>
    <xf numFmtId="0" fontId="91" fillId="45" borderId="119" xfId="428" applyFont="1" applyFill="1" applyBorder="1" applyAlignment="1">
      <alignment horizontal="center" vertical="center" wrapText="1"/>
    </xf>
    <xf numFmtId="0" fontId="91" fillId="0" borderId="119" xfId="429" applyFont="1" applyFill="1" applyBorder="1" applyAlignment="1">
      <alignment horizontal="center" vertical="center" wrapText="1"/>
    </xf>
    <xf numFmtId="0" fontId="98" fillId="44" borderId="39" xfId="434" applyFont="1" applyFill="1" applyBorder="1" applyAlignment="1">
      <alignment horizontal="center" vertical="center" wrapText="1"/>
    </xf>
    <xf numFmtId="0" fontId="99" fillId="44" borderId="2" xfId="434" applyFont="1" applyFill="1" applyBorder="1"/>
    <xf numFmtId="0" fontId="99" fillId="44" borderId="40" xfId="434" applyFont="1" applyFill="1" applyBorder="1"/>
    <xf numFmtId="0" fontId="100" fillId="47" borderId="39" xfId="434" applyFont="1" applyFill="1" applyBorder="1" applyAlignment="1">
      <alignment horizontal="center" vertical="center" wrapText="1"/>
    </xf>
    <xf numFmtId="0" fontId="101" fillId="47" borderId="2" xfId="434" applyFont="1" applyFill="1" applyBorder="1"/>
    <xf numFmtId="0" fontId="97" fillId="0" borderId="107" xfId="431" applyFont="1" applyFill="1" applyBorder="1" applyAlignment="1">
      <alignment horizontal="center"/>
    </xf>
    <xf numFmtId="0" fontId="97" fillId="0" borderId="108" xfId="431" applyFont="1" applyFill="1" applyBorder="1" applyAlignment="1">
      <alignment horizontal="center"/>
    </xf>
    <xf numFmtId="0" fontId="56" fillId="0" borderId="103" xfId="371" applyFont="1" applyFill="1" applyBorder="1" applyAlignment="1">
      <alignment horizontal="center" vertical="center" wrapText="1"/>
    </xf>
    <xf numFmtId="170" fontId="91" fillId="0" borderId="117" xfId="431" applyNumberFormat="1" applyFont="1" applyFill="1" applyBorder="1" applyAlignment="1">
      <alignment horizontal="center"/>
    </xf>
    <xf numFmtId="170" fontId="91" fillId="0" borderId="118" xfId="431" applyNumberFormat="1" applyFont="1" applyFill="1" applyBorder="1" applyAlignment="1">
      <alignment horizontal="center"/>
    </xf>
    <xf numFmtId="0" fontId="95" fillId="0" borderId="38" xfId="433" applyFont="1" applyFill="1" applyBorder="1" applyAlignment="1">
      <alignment horizontal="center" vertical="center" wrapText="1"/>
    </xf>
    <xf numFmtId="0" fontId="95" fillId="0" borderId="125" xfId="433" applyFont="1" applyFill="1" applyBorder="1" applyAlignment="1">
      <alignment horizontal="center" vertical="center" wrapText="1"/>
    </xf>
    <xf numFmtId="0" fontId="96" fillId="0" borderId="38" xfId="433" applyFont="1" applyFill="1" applyBorder="1" applyAlignment="1">
      <alignment horizontal="center" vertical="center" wrapText="1"/>
    </xf>
    <xf numFmtId="0" fontId="96" fillId="0" borderId="125" xfId="433" applyFont="1" applyFill="1" applyBorder="1" applyAlignment="1">
      <alignment horizontal="center" vertical="center" wrapText="1"/>
    </xf>
    <xf numFmtId="171" fontId="123" fillId="0" borderId="191" xfId="228" applyNumberFormat="1" applyFont="1" applyFill="1" applyBorder="1" applyAlignment="1">
      <alignment horizontal="center" vertical="center"/>
    </xf>
    <xf numFmtId="171" fontId="123" fillId="0" borderId="187" xfId="228" applyNumberFormat="1" applyFont="1" applyFill="1" applyBorder="1" applyAlignment="1">
      <alignment horizontal="center" vertical="center"/>
    </xf>
    <xf numFmtId="171" fontId="123" fillId="0" borderId="192" xfId="228" applyNumberFormat="1" applyFont="1" applyFill="1" applyBorder="1" applyAlignment="1">
      <alignment horizontal="center" vertical="center"/>
    </xf>
    <xf numFmtId="171" fontId="123" fillId="0" borderId="193" xfId="228" applyNumberFormat="1" applyFont="1" applyFill="1" applyBorder="1" applyAlignment="1">
      <alignment horizontal="center" vertical="center"/>
    </xf>
    <xf numFmtId="168" fontId="92" fillId="0" borderId="38" xfId="439" applyNumberFormat="1" applyFont="1" applyFill="1" applyBorder="1" applyAlignment="1">
      <alignment horizontal="center" vertical="center" wrapText="1"/>
    </xf>
    <xf numFmtId="168" fontId="92" fillId="0" borderId="103" xfId="439" applyNumberFormat="1" applyFont="1" applyFill="1" applyBorder="1" applyAlignment="1">
      <alignment horizontal="center" vertical="center" wrapText="1"/>
    </xf>
    <xf numFmtId="168" fontId="92" fillId="0" borderId="119" xfId="439" applyNumberFormat="1" applyFont="1" applyFill="1" applyBorder="1" applyAlignment="1">
      <alignment horizontal="center" vertical="center" wrapText="1"/>
    </xf>
    <xf numFmtId="168" fontId="92" fillId="0" borderId="117" xfId="439" applyNumberFormat="1" applyFont="1" applyFill="1" applyBorder="1" applyAlignment="1">
      <alignment horizontal="center" vertical="center" wrapText="1"/>
    </xf>
    <xf numFmtId="168" fontId="92" fillId="0" borderId="162" xfId="439" applyNumberFormat="1" applyFont="1" applyFill="1" applyBorder="1" applyAlignment="1">
      <alignment horizontal="center" vertical="center" wrapText="1"/>
    </xf>
    <xf numFmtId="168" fontId="92" fillId="0" borderId="191" xfId="439" applyNumberFormat="1" applyFont="1" applyFill="1" applyBorder="1" applyAlignment="1">
      <alignment horizontal="center" vertical="center" wrapText="1"/>
    </xf>
    <xf numFmtId="168" fontId="92" fillId="0" borderId="187" xfId="439" applyNumberFormat="1" applyFont="1" applyFill="1" applyBorder="1" applyAlignment="1">
      <alignment horizontal="center" vertical="center" wrapText="1"/>
    </xf>
    <xf numFmtId="168" fontId="92" fillId="0" borderId="192" xfId="439" applyNumberFormat="1" applyFont="1" applyFill="1" applyBorder="1" applyAlignment="1">
      <alignment horizontal="center" vertical="center" wrapText="1"/>
    </xf>
    <xf numFmtId="168" fontId="92" fillId="0" borderId="193" xfId="439" applyNumberFormat="1" applyFont="1" applyFill="1" applyBorder="1" applyAlignment="1">
      <alignment horizontal="center" vertical="center" wrapText="1"/>
    </xf>
    <xf numFmtId="171" fontId="123" fillId="0" borderId="117" xfId="228" applyNumberFormat="1" applyFont="1" applyFill="1" applyBorder="1" applyAlignment="1">
      <alignment horizontal="center" vertical="center"/>
    </xf>
    <xf numFmtId="171" fontId="123" fillId="0" borderId="162" xfId="228" applyNumberFormat="1" applyFont="1" applyFill="1" applyBorder="1" applyAlignment="1">
      <alignment horizontal="center" vertical="center"/>
    </xf>
    <xf numFmtId="0" fontId="97" fillId="0" borderId="107" xfId="441" applyFont="1" applyFill="1" applyBorder="1" applyAlignment="1">
      <alignment horizontal="center"/>
    </xf>
    <xf numFmtId="0" fontId="97" fillId="0" borderId="108" xfId="441" applyFont="1" applyFill="1" applyBorder="1" applyAlignment="1">
      <alignment horizontal="center"/>
    </xf>
    <xf numFmtId="0" fontId="97" fillId="0" borderId="38" xfId="441" applyFont="1" applyFill="1" applyBorder="1" applyAlignment="1">
      <alignment horizontal="center" vertical="center" wrapText="1"/>
    </xf>
    <xf numFmtId="0" fontId="97" fillId="0" borderId="119" xfId="441" applyFont="1" applyFill="1" applyBorder="1" applyAlignment="1">
      <alignment horizontal="center" vertical="center" wrapText="1"/>
    </xf>
    <xf numFmtId="0" fontId="56" fillId="0" borderId="134" xfId="431" applyFont="1" applyFill="1" applyBorder="1" applyAlignment="1">
      <alignment horizontal="center" vertical="center" wrapText="1"/>
    </xf>
    <xf numFmtId="168" fontId="92" fillId="0" borderId="37" xfId="439" applyNumberFormat="1" applyFont="1" applyFill="1" applyBorder="1" applyAlignment="1">
      <alignment horizontal="center" vertical="center"/>
    </xf>
    <xf numFmtId="0" fontId="127" fillId="29" borderId="39" xfId="439" applyFont="1" applyFill="1" applyBorder="1" applyAlignment="1">
      <alignment horizontal="center" vertical="center"/>
    </xf>
    <xf numFmtId="0" fontId="127" fillId="29" borderId="2" xfId="439" applyFont="1" applyFill="1" applyBorder="1" applyAlignment="1">
      <alignment horizontal="center" vertical="center"/>
    </xf>
    <xf numFmtId="0" fontId="127" fillId="29" borderId="40" xfId="439" applyFont="1" applyFill="1" applyBorder="1" applyAlignment="1">
      <alignment horizontal="center" vertical="center"/>
    </xf>
    <xf numFmtId="168" fontId="92" fillId="0" borderId="110" xfId="439" applyNumberFormat="1" applyFont="1" applyFill="1" applyBorder="1" applyAlignment="1">
      <alignment horizontal="center" vertical="center"/>
    </xf>
    <xf numFmtId="168" fontId="92" fillId="0" borderId="153" xfId="439" applyNumberFormat="1" applyFont="1" applyFill="1" applyBorder="1" applyAlignment="1">
      <alignment horizontal="center" vertical="center"/>
    </xf>
    <xf numFmtId="168" fontId="92" fillId="0" borderId="160" xfId="439" applyNumberFormat="1" applyFont="1" applyFill="1" applyBorder="1" applyAlignment="1">
      <alignment horizontal="center" vertical="center"/>
    </xf>
    <xf numFmtId="0" fontId="132" fillId="5" borderId="37" xfId="428" applyNumberFormat="1" applyFont="1" applyFill="1" applyBorder="1" applyAlignment="1" applyProtection="1">
      <alignment horizontal="center" vertical="center"/>
      <protection locked="0"/>
    </xf>
    <xf numFmtId="168" fontId="91" fillId="0" borderId="38" xfId="439" applyNumberFormat="1" applyFont="1" applyFill="1" applyBorder="1" applyAlignment="1">
      <alignment horizontal="center" vertical="center"/>
    </xf>
    <xf numFmtId="168" fontId="91" fillId="0" borderId="103" xfId="439" applyNumberFormat="1" applyFont="1" applyFill="1" applyBorder="1" applyAlignment="1">
      <alignment horizontal="center" vertical="center"/>
    </xf>
    <xf numFmtId="168" fontId="91" fillId="0" borderId="119" xfId="439" applyNumberFormat="1" applyFont="1" applyFill="1" applyBorder="1" applyAlignment="1">
      <alignment horizontal="center" vertical="center"/>
    </xf>
    <xf numFmtId="0" fontId="92" fillId="29" borderId="39" xfId="439" applyFont="1" applyFill="1" applyBorder="1" applyAlignment="1">
      <alignment horizontal="center"/>
    </xf>
    <xf numFmtId="0" fontId="92" fillId="29" borderId="2" xfId="439" applyFont="1" applyFill="1" applyBorder="1" applyAlignment="1">
      <alignment horizontal="center"/>
    </xf>
    <xf numFmtId="0" fontId="92" fillId="29" borderId="40" xfId="439" applyFont="1" applyFill="1" applyBorder="1" applyAlignment="1">
      <alignment horizontal="center"/>
    </xf>
    <xf numFmtId="0" fontId="92" fillId="50" borderId="39" xfId="439" applyFont="1" applyFill="1" applyBorder="1" applyAlignment="1">
      <alignment horizontal="center"/>
    </xf>
    <xf numFmtId="0" fontId="92" fillId="50" borderId="2" xfId="439" applyFont="1" applyFill="1" applyBorder="1" applyAlignment="1">
      <alignment horizontal="center"/>
    </xf>
    <xf numFmtId="0" fontId="92" fillId="50" borderId="40" xfId="439" applyFont="1" applyFill="1" applyBorder="1" applyAlignment="1">
      <alignment horizontal="center"/>
    </xf>
    <xf numFmtId="0" fontId="92" fillId="5" borderId="39" xfId="439" applyFont="1" applyFill="1" applyBorder="1" applyAlignment="1">
      <alignment horizontal="center"/>
    </xf>
    <xf numFmtId="0" fontId="92" fillId="5" borderId="2" xfId="439" applyFont="1" applyFill="1" applyBorder="1" applyAlignment="1">
      <alignment horizontal="center"/>
    </xf>
    <xf numFmtId="0" fontId="92" fillId="5" borderId="40" xfId="439" applyFont="1" applyFill="1" applyBorder="1" applyAlignment="1">
      <alignment horizontal="center"/>
    </xf>
    <xf numFmtId="0" fontId="92" fillId="46" borderId="39" xfId="428" applyFont="1" applyFill="1" applyBorder="1" applyAlignment="1">
      <alignment horizontal="center"/>
    </xf>
    <xf numFmtId="0" fontId="92" fillId="46" borderId="2" xfId="428" applyFont="1" applyFill="1" applyBorder="1" applyAlignment="1">
      <alignment horizontal="center"/>
    </xf>
    <xf numFmtId="0" fontId="92" fillId="46" borderId="40" xfId="428" applyFont="1" applyFill="1" applyBorder="1" applyAlignment="1">
      <alignment horizontal="center"/>
    </xf>
    <xf numFmtId="0" fontId="91" fillId="0" borderId="106" xfId="441" applyFont="1" applyFill="1" applyBorder="1" applyAlignment="1">
      <alignment horizontal="center" vertical="center" wrapText="1"/>
    </xf>
    <xf numFmtId="0" fontId="91" fillId="0" borderId="152" xfId="441" applyFont="1" applyFill="1" applyBorder="1" applyAlignment="1">
      <alignment horizontal="center" vertical="center" wrapText="1"/>
    </xf>
    <xf numFmtId="0" fontId="91" fillId="0" borderId="38" xfId="441" applyFont="1" applyFill="1" applyBorder="1" applyAlignment="1">
      <alignment horizontal="center" vertical="center" wrapText="1"/>
    </xf>
    <xf numFmtId="0" fontId="91" fillId="0" borderId="103" xfId="441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40" xfId="0" applyBorder="1"/>
    <xf numFmtId="0" fontId="91" fillId="0" borderId="104" xfId="441" applyFont="1" applyFill="1" applyBorder="1" applyAlignment="1">
      <alignment horizontal="center" vertical="center" wrapText="1"/>
    </xf>
    <xf numFmtId="0" fontId="91" fillId="0" borderId="150" xfId="441" applyFont="1" applyFill="1" applyBorder="1" applyAlignment="1">
      <alignment horizontal="center" vertical="center" wrapText="1"/>
    </xf>
    <xf numFmtId="0" fontId="91" fillId="0" borderId="105" xfId="441" applyFont="1" applyFill="1" applyBorder="1" applyAlignment="1">
      <alignment horizontal="center" vertical="center" wrapText="1"/>
    </xf>
    <xf numFmtId="0" fontId="91" fillId="0" borderId="151" xfId="441" applyFont="1" applyFill="1" applyBorder="1" applyAlignment="1">
      <alignment horizontal="center" vertical="center" wrapText="1"/>
    </xf>
    <xf numFmtId="0" fontId="91" fillId="0" borderId="107" xfId="441" applyFont="1" applyFill="1" applyBorder="1" applyAlignment="1">
      <alignment horizontal="center"/>
    </xf>
    <xf numFmtId="0" fontId="91" fillId="0" borderId="116" xfId="441" applyFont="1" applyFill="1" applyBorder="1" applyAlignment="1">
      <alignment horizontal="center"/>
    </xf>
    <xf numFmtId="0" fontId="91" fillId="0" borderId="148" xfId="441" applyFont="1" applyFill="1" applyBorder="1" applyAlignment="1">
      <alignment horizontal="center" vertical="center" wrapText="1"/>
    </xf>
    <xf numFmtId="0" fontId="91" fillId="0" borderId="147" xfId="441" applyFont="1" applyFill="1" applyBorder="1" applyAlignment="1">
      <alignment horizontal="center" vertical="center" wrapText="1"/>
    </xf>
    <xf numFmtId="0" fontId="91" fillId="0" borderId="108" xfId="441" applyFont="1" applyFill="1" applyBorder="1" applyAlignment="1">
      <alignment horizontal="center"/>
    </xf>
    <xf numFmtId="0" fontId="56" fillId="0" borderId="149" xfId="372" applyFont="1" applyFill="1" applyBorder="1" applyAlignment="1">
      <alignment horizontal="center" vertical="center" wrapText="1"/>
    </xf>
    <xf numFmtId="0" fontId="56" fillId="0" borderId="154" xfId="372" applyFont="1" applyFill="1" applyBorder="1" applyAlignment="1">
      <alignment horizontal="center" vertical="center" wrapText="1"/>
    </xf>
    <xf numFmtId="170" fontId="56" fillId="0" borderId="111" xfId="431" applyNumberFormat="1" applyFont="1" applyFill="1" applyBorder="1" applyAlignment="1">
      <alignment horizontal="center" vertical="center"/>
    </xf>
    <xf numFmtId="0" fontId="56" fillId="0" borderId="111" xfId="431" applyFont="1" applyFill="1" applyBorder="1" applyAlignment="1">
      <alignment horizontal="center" vertical="center"/>
    </xf>
    <xf numFmtId="0" fontId="56" fillId="0" borderId="111" xfId="431" applyFont="1" applyFill="1" applyBorder="1" applyAlignment="1">
      <alignment horizontal="center" vertical="center" wrapText="1"/>
    </xf>
    <xf numFmtId="0" fontId="56" fillId="0" borderId="42" xfId="431" applyFont="1" applyFill="1" applyBorder="1" applyAlignment="1">
      <alignment horizontal="center" vertical="center" wrapText="1"/>
    </xf>
    <xf numFmtId="0" fontId="56" fillId="0" borderId="43" xfId="372" applyFont="1" applyFill="1" applyBorder="1" applyAlignment="1">
      <alignment horizontal="center" vertical="center" wrapText="1"/>
    </xf>
    <xf numFmtId="0" fontId="56" fillId="0" borderId="128" xfId="431" applyFont="1" applyFill="1" applyBorder="1" applyAlignment="1">
      <alignment horizontal="center" vertical="center" wrapText="1"/>
    </xf>
    <xf numFmtId="0" fontId="3" fillId="30" borderId="36" xfId="0" applyFont="1" applyFill="1" applyBorder="1" applyAlignment="1">
      <alignment horizontal="center" vertical="center"/>
    </xf>
    <xf numFmtId="0" fontId="84" fillId="30" borderId="36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left" vertical="center"/>
    </xf>
    <xf numFmtId="0" fontId="9" fillId="7" borderId="0" xfId="2" applyNumberFormat="1" applyFont="1" applyFill="1" applyAlignment="1">
      <alignment horizontal="left" vertical="center" wrapText="1"/>
    </xf>
    <xf numFmtId="0" fontId="151" fillId="0" borderId="110" xfId="0" applyFont="1" applyBorder="1" applyAlignment="1">
      <alignment horizontal="center" vertical="center"/>
    </xf>
    <xf numFmtId="0" fontId="151" fillId="0" borderId="26" xfId="0" applyFont="1" applyBorder="1" applyAlignment="1">
      <alignment horizontal="center" vertical="center"/>
    </xf>
    <xf numFmtId="0" fontId="151" fillId="0" borderId="148" xfId="0" applyFont="1" applyBorder="1" applyAlignment="1">
      <alignment horizontal="center" vertical="center"/>
    </xf>
    <xf numFmtId="0" fontId="151" fillId="0" borderId="160" xfId="0" applyFont="1" applyBorder="1" applyAlignment="1">
      <alignment horizontal="center" vertical="center"/>
    </xf>
    <xf numFmtId="0" fontId="151" fillId="0" borderId="1" xfId="0" applyFont="1" applyBorder="1" applyAlignment="1">
      <alignment horizontal="center" vertical="center"/>
    </xf>
    <xf numFmtId="0" fontId="151" fillId="0" borderId="221" xfId="0" applyFont="1" applyBorder="1" applyAlignment="1">
      <alignment horizontal="center" vertical="center"/>
    </xf>
    <xf numFmtId="0" fontId="151" fillId="0" borderId="39" xfId="0" applyFont="1" applyBorder="1" applyAlignment="1">
      <alignment horizontal="center" vertical="center"/>
    </xf>
    <xf numFmtId="0" fontId="151" fillId="0" borderId="2" xfId="0" applyFont="1" applyBorder="1" applyAlignment="1">
      <alignment horizontal="center" vertical="center"/>
    </xf>
    <xf numFmtId="0" fontId="151" fillId="0" borderId="40" xfId="0" applyFont="1" applyBorder="1" applyAlignment="1">
      <alignment horizontal="center" vertical="center"/>
    </xf>
    <xf numFmtId="0" fontId="7" fillId="0" borderId="253" xfId="0" applyFont="1" applyBorder="1" applyAlignment="1">
      <alignment horizontal="center" vertical="center"/>
    </xf>
    <xf numFmtId="0" fontId="7" fillId="0" borderId="254" xfId="0" applyFont="1" applyBorder="1" applyAlignment="1">
      <alignment horizontal="center" vertical="center"/>
    </xf>
    <xf numFmtId="0" fontId="0" fillId="0" borderId="233" xfId="0" applyBorder="1" applyAlignment="1">
      <alignment horizontal="center"/>
    </xf>
    <xf numFmtId="0" fontId="0" fillId="0" borderId="232" xfId="0" applyBorder="1" applyAlignment="1">
      <alignment horizontal="center"/>
    </xf>
    <xf numFmtId="0" fontId="145" fillId="0" borderId="110" xfId="0" applyFont="1" applyBorder="1" applyAlignment="1">
      <alignment horizontal="left" vertical="top" wrapText="1"/>
    </xf>
    <xf numFmtId="0" fontId="145" fillId="0" borderId="26" xfId="0" applyFont="1" applyBorder="1" applyAlignment="1">
      <alignment horizontal="left" vertical="top" wrapText="1"/>
    </xf>
    <xf numFmtId="0" fontId="145" fillId="0" borderId="148" xfId="0" applyFont="1" applyBorder="1" applyAlignment="1">
      <alignment horizontal="left" vertical="top" wrapText="1"/>
    </xf>
    <xf numFmtId="0" fontId="145" fillId="0" borderId="160" xfId="0" applyFont="1" applyBorder="1" applyAlignment="1">
      <alignment horizontal="left" vertical="top" wrapText="1"/>
    </xf>
    <xf numFmtId="0" fontId="145" fillId="0" borderId="1" xfId="0" applyFont="1" applyBorder="1" applyAlignment="1">
      <alignment horizontal="left" vertical="top" wrapText="1"/>
    </xf>
    <xf numFmtId="0" fontId="145" fillId="0" borderId="221" xfId="0" applyFont="1" applyBorder="1" applyAlignment="1">
      <alignment horizontal="left" vertical="top" wrapText="1"/>
    </xf>
    <xf numFmtId="0" fontId="145" fillId="0" borderId="160" xfId="0" applyFont="1" applyBorder="1" applyAlignment="1">
      <alignment horizontal="center"/>
    </xf>
    <xf numFmtId="0" fontId="145" fillId="0" borderId="1" xfId="0" applyFont="1" applyBorder="1" applyAlignment="1">
      <alignment horizontal="center"/>
    </xf>
    <xf numFmtId="0" fontId="145" fillId="0" borderId="221" xfId="0" applyFont="1" applyBorder="1" applyAlignment="1">
      <alignment horizontal="center"/>
    </xf>
    <xf numFmtId="0" fontId="0" fillId="0" borderId="221" xfId="0" applyBorder="1"/>
    <xf numFmtId="0" fontId="150" fillId="0" borderId="160" xfId="0" applyFont="1" applyBorder="1" applyAlignment="1">
      <alignment horizontal="center"/>
    </xf>
    <xf numFmtId="0" fontId="150" fillId="0" borderId="1" xfId="0" applyFont="1" applyBorder="1" applyAlignment="1">
      <alignment horizontal="center"/>
    </xf>
    <xf numFmtId="0" fontId="150" fillId="0" borderId="221" xfId="0" applyFont="1" applyBorder="1" applyAlignment="1">
      <alignment horizontal="center"/>
    </xf>
    <xf numFmtId="0" fontId="144" fillId="0" borderId="227" xfId="0" applyFont="1" applyBorder="1" applyAlignment="1">
      <alignment horizontal="right"/>
    </xf>
    <xf numFmtId="0" fontId="144" fillId="0" borderId="228" xfId="0" applyFont="1" applyBorder="1" applyAlignment="1">
      <alignment horizontal="right"/>
    </xf>
    <xf numFmtId="0" fontId="145" fillId="0" borderId="110" xfId="0" applyFont="1" applyBorder="1" applyAlignment="1">
      <alignment horizontal="center" vertical="center"/>
    </xf>
    <xf numFmtId="0" fontId="145" fillId="0" borderId="26" xfId="0" applyFont="1" applyBorder="1" applyAlignment="1">
      <alignment horizontal="center" vertical="center"/>
    </xf>
    <xf numFmtId="0" fontId="145" fillId="0" borderId="148" xfId="0" applyFont="1" applyBorder="1" applyAlignment="1">
      <alignment horizontal="center" vertical="center"/>
    </xf>
    <xf numFmtId="0" fontId="145" fillId="0" borderId="153" xfId="0" applyFont="1" applyBorder="1" applyAlignment="1">
      <alignment horizontal="center" vertical="center"/>
    </xf>
    <xf numFmtId="0" fontId="145" fillId="0" borderId="0" xfId="0" applyFont="1" applyBorder="1" applyAlignment="1">
      <alignment horizontal="center" vertical="center"/>
    </xf>
    <xf numFmtId="0" fontId="145" fillId="0" borderId="147" xfId="0" applyFont="1" applyBorder="1" applyAlignment="1">
      <alignment horizontal="center" vertical="center"/>
    </xf>
    <xf numFmtId="0" fontId="145" fillId="0" borderId="160" xfId="0" applyFont="1" applyBorder="1" applyAlignment="1">
      <alignment horizontal="center" vertical="center"/>
    </xf>
    <xf numFmtId="0" fontId="145" fillId="0" borderId="1" xfId="0" applyFont="1" applyBorder="1" applyAlignment="1">
      <alignment horizontal="center" vertical="center"/>
    </xf>
    <xf numFmtId="0" fontId="145" fillId="0" borderId="221" xfId="0" applyFont="1" applyBorder="1" applyAlignment="1">
      <alignment horizontal="center" vertical="center"/>
    </xf>
    <xf numFmtId="0" fontId="145" fillId="0" borderId="110" xfId="0" applyFont="1" applyBorder="1" applyAlignment="1">
      <alignment horizontal="center"/>
    </xf>
    <xf numFmtId="0" fontId="145" fillId="0" borderId="26" xfId="0" applyFont="1" applyBorder="1" applyAlignment="1">
      <alignment horizontal="center"/>
    </xf>
    <xf numFmtId="0" fontId="145" fillId="0" borderId="148" xfId="0" applyFont="1" applyBorder="1" applyAlignment="1">
      <alignment horizontal="center"/>
    </xf>
    <xf numFmtId="0" fontId="150" fillId="0" borderId="110" xfId="0" applyFont="1" applyBorder="1" applyAlignment="1">
      <alignment horizontal="center"/>
    </xf>
    <xf numFmtId="0" fontId="0" fillId="0" borderId="148" xfId="0" applyBorder="1"/>
    <xf numFmtId="0" fontId="145" fillId="0" borderId="153" xfId="0" applyFont="1" applyBorder="1" applyAlignment="1">
      <alignment horizontal="center"/>
    </xf>
    <xf numFmtId="0" fontId="145" fillId="0" borderId="0" xfId="0" applyFont="1" applyBorder="1" applyAlignment="1">
      <alignment horizontal="center"/>
    </xf>
    <xf numFmtId="0" fontId="145" fillId="0" borderId="147" xfId="0" applyFont="1" applyBorder="1" applyAlignment="1">
      <alignment horizontal="center"/>
    </xf>
    <xf numFmtId="0" fontId="150" fillId="0" borderId="153" xfId="0" applyFont="1" applyBorder="1" applyAlignment="1">
      <alignment horizontal="center"/>
    </xf>
    <xf numFmtId="0" fontId="0" fillId="0" borderId="147" xfId="0" applyBorder="1"/>
    <xf numFmtId="0" fontId="144" fillId="0" borderId="39" xfId="0" applyFont="1" applyBorder="1" applyAlignment="1">
      <alignment horizontal="center"/>
    </xf>
    <xf numFmtId="0" fontId="144" fillId="0" borderId="2" xfId="0" applyFont="1" applyBorder="1" applyAlignment="1">
      <alignment horizontal="center"/>
    </xf>
    <xf numFmtId="0" fontId="144" fillId="0" borderId="40" xfId="0" applyFont="1" applyBorder="1" applyAlignment="1">
      <alignment horizontal="center"/>
    </xf>
    <xf numFmtId="0" fontId="150" fillId="0" borderId="0" xfId="0" applyFont="1" applyBorder="1" applyAlignment="1">
      <alignment horizontal="center"/>
    </xf>
    <xf numFmtId="0" fontId="150" fillId="0" borderId="147" xfId="0" applyFont="1" applyBorder="1" applyAlignment="1">
      <alignment horizontal="center"/>
    </xf>
    <xf numFmtId="0" fontId="145" fillId="0" borderId="38" xfId="0" quotePrefix="1" applyFont="1" applyBorder="1" applyAlignment="1">
      <alignment horizontal="center" vertical="center"/>
    </xf>
    <xf numFmtId="0" fontId="145" fillId="0" borderId="125" xfId="0" applyFont="1" applyBorder="1" applyAlignment="1">
      <alignment horizontal="center" vertical="center"/>
    </xf>
    <xf numFmtId="0" fontId="145" fillId="0" borderId="110" xfId="0" quotePrefix="1" applyFont="1" applyBorder="1" applyAlignment="1">
      <alignment horizontal="center" vertical="center"/>
    </xf>
    <xf numFmtId="16" fontId="145" fillId="0" borderId="110" xfId="0" quotePrefix="1" applyNumberFormat="1" applyFont="1" applyBorder="1" applyAlignment="1">
      <alignment horizontal="center" vertical="center"/>
    </xf>
    <xf numFmtId="0" fontId="145" fillId="0" borderId="117" xfId="0" applyFont="1" applyBorder="1" applyAlignment="1">
      <alignment horizontal="center"/>
    </xf>
    <xf numFmtId="0" fontId="145" fillId="0" borderId="224" xfId="0" applyFont="1" applyBorder="1" applyAlignment="1">
      <alignment horizontal="center"/>
    </xf>
    <xf numFmtId="0" fontId="145" fillId="0" borderId="162" xfId="0" applyFont="1" applyBorder="1" applyAlignment="1">
      <alignment horizontal="center"/>
    </xf>
    <xf numFmtId="0" fontId="145" fillId="0" borderId="192" xfId="0" applyFont="1" applyBorder="1" applyAlignment="1">
      <alignment horizontal="center"/>
    </xf>
    <xf numFmtId="0" fontId="145" fillId="0" borderId="225" xfId="0" applyFont="1" applyBorder="1" applyAlignment="1">
      <alignment horizontal="center"/>
    </xf>
    <xf numFmtId="0" fontId="145" fillId="0" borderId="193" xfId="0" applyFont="1" applyBorder="1" applyAlignment="1">
      <alignment horizontal="center"/>
    </xf>
    <xf numFmtId="0" fontId="145" fillId="0" borderId="212" xfId="0" applyFont="1" applyBorder="1" applyAlignment="1">
      <alignment horizontal="right" vertical="center"/>
    </xf>
    <xf numFmtId="0" fontId="146" fillId="0" borderId="216" xfId="0" applyFont="1" applyBorder="1" applyAlignment="1">
      <alignment horizontal="center" vertical="center"/>
    </xf>
    <xf numFmtId="0" fontId="146" fillId="0" borderId="214" xfId="0" applyFont="1" applyBorder="1" applyAlignment="1">
      <alignment horizontal="center" vertical="center"/>
    </xf>
    <xf numFmtId="0" fontId="146" fillId="0" borderId="215" xfId="0" applyFont="1" applyBorder="1" applyAlignment="1">
      <alignment horizontal="center" vertical="center"/>
    </xf>
    <xf numFmtId="0" fontId="146" fillId="0" borderId="160" xfId="0" applyFont="1" applyBorder="1" applyAlignment="1">
      <alignment horizontal="center" vertical="center"/>
    </xf>
    <xf numFmtId="0" fontId="146" fillId="0" borderId="1" xfId="0" applyFont="1" applyBorder="1" applyAlignment="1">
      <alignment horizontal="center" vertical="center"/>
    </xf>
    <xf numFmtId="0" fontId="146" fillId="0" borderId="221" xfId="0" applyFont="1" applyBorder="1" applyAlignment="1">
      <alignment horizontal="center" vertical="center"/>
    </xf>
    <xf numFmtId="0" fontId="145" fillId="0" borderId="223" xfId="0" applyFont="1" applyBorder="1" applyAlignment="1">
      <alignment horizontal="center" vertical="center"/>
    </xf>
    <xf numFmtId="0" fontId="145" fillId="0" borderId="2" xfId="0" applyFont="1" applyBorder="1" applyAlignment="1">
      <alignment horizontal="center" vertical="center"/>
    </xf>
    <xf numFmtId="0" fontId="145" fillId="0" borderId="40" xfId="0" applyFont="1" applyBorder="1" applyAlignment="1">
      <alignment horizontal="center" vertical="center"/>
    </xf>
    <xf numFmtId="0" fontId="147" fillId="0" borderId="39" xfId="0" applyFont="1" applyBorder="1" applyAlignment="1">
      <alignment horizontal="center" vertical="justify"/>
    </xf>
    <xf numFmtId="0" fontId="147" fillId="0" borderId="2" xfId="0" applyFont="1" applyBorder="1" applyAlignment="1">
      <alignment horizontal="center" vertical="justify"/>
    </xf>
    <xf numFmtId="0" fontId="147" fillId="0" borderId="40" xfId="0" applyFont="1" applyBorder="1" applyAlignment="1">
      <alignment horizontal="center" vertical="justify"/>
    </xf>
    <xf numFmtId="0" fontId="145" fillId="0" borderId="38" xfId="0" applyFont="1" applyBorder="1" applyAlignment="1">
      <alignment horizontal="center" vertical="center"/>
    </xf>
    <xf numFmtId="43" fontId="0" fillId="0" borderId="39" xfId="1" applyFont="1" applyBorder="1" applyAlignment="1">
      <alignment horizontal="center"/>
    </xf>
    <xf numFmtId="43" fontId="0" fillId="0" borderId="40" xfId="1" applyFont="1" applyBorder="1" applyAlignment="1">
      <alignment horizontal="center"/>
    </xf>
    <xf numFmtId="43" fontId="0" fillId="0" borderId="117" xfId="1" applyFont="1" applyBorder="1" applyAlignment="1">
      <alignment horizontal="center"/>
    </xf>
    <xf numFmtId="43" fontId="0" fillId="0" borderId="162" xfId="1" applyFont="1" applyBorder="1" applyAlignment="1">
      <alignment horizontal="center"/>
    </xf>
    <xf numFmtId="43" fontId="0" fillId="0" borderId="224" xfId="1" applyFont="1" applyBorder="1" applyAlignment="1">
      <alignment horizontal="center"/>
    </xf>
    <xf numFmtId="43" fontId="0" fillId="0" borderId="2" xfId="1" applyFont="1" applyBorder="1" applyAlignment="1">
      <alignment horizontal="center"/>
    </xf>
    <xf numFmtId="0" fontId="152" fillId="0" borderId="0" xfId="0" applyFont="1" applyBorder="1" applyAlignment="1">
      <alignment horizontal="center" vertical="center"/>
    </xf>
    <xf numFmtId="0" fontId="152" fillId="0" borderId="147" xfId="0" applyFont="1" applyBorder="1" applyAlignment="1">
      <alignment horizontal="center" vertical="center"/>
    </xf>
    <xf numFmtId="173" fontId="153" fillId="0" borderId="39" xfId="0" applyNumberFormat="1" applyFont="1" applyBorder="1" applyAlignment="1">
      <alignment horizontal="center" vertical="center"/>
    </xf>
    <xf numFmtId="173" fontId="153" fillId="0" borderId="2" xfId="0" applyNumberFormat="1" applyFont="1" applyBorder="1" applyAlignment="1">
      <alignment horizontal="center" vertical="center"/>
    </xf>
    <xf numFmtId="173" fontId="153" fillId="0" borderId="40" xfId="0" applyNumberFormat="1" applyFont="1" applyBorder="1" applyAlignment="1">
      <alignment horizontal="center" vertical="center"/>
    </xf>
    <xf numFmtId="0" fontId="153" fillId="0" borderId="26" xfId="0" applyFont="1" applyBorder="1" applyAlignment="1">
      <alignment horizontal="center" vertical="justify"/>
    </xf>
    <xf numFmtId="0" fontId="153" fillId="0" borderId="148" xfId="0" applyFont="1" applyBorder="1" applyAlignment="1">
      <alignment horizontal="center" vertical="justify"/>
    </xf>
    <xf numFmtId="0" fontId="153" fillId="0" borderId="1" xfId="0" applyFont="1" applyBorder="1" applyAlignment="1">
      <alignment horizontal="center" vertical="justify"/>
    </xf>
    <xf numFmtId="0" fontId="153" fillId="0" borderId="221" xfId="0" applyFont="1" applyBorder="1" applyAlignment="1">
      <alignment horizontal="center" vertical="justify"/>
    </xf>
    <xf numFmtId="0" fontId="153" fillId="0" borderId="39" xfId="0" applyFont="1" applyBorder="1" applyAlignment="1">
      <alignment horizontal="center" vertical="center"/>
    </xf>
    <xf numFmtId="0" fontId="153" fillId="0" borderId="2" xfId="0" applyFont="1" applyBorder="1" applyAlignment="1">
      <alignment horizontal="center" vertical="center"/>
    </xf>
    <xf numFmtId="0" fontId="153" fillId="0" borderId="40" xfId="0" applyFont="1" applyBorder="1" applyAlignment="1">
      <alignment horizontal="center" vertical="center"/>
    </xf>
    <xf numFmtId="0" fontId="153" fillId="0" borderId="110" xfId="0" applyFont="1" applyBorder="1" applyAlignment="1">
      <alignment horizontal="center" vertical="justify"/>
    </xf>
    <xf numFmtId="0" fontId="153" fillId="0" borderId="160" xfId="0" applyFont="1" applyBorder="1" applyAlignment="1">
      <alignment horizontal="center" vertical="justify"/>
    </xf>
    <xf numFmtId="43" fontId="0" fillId="0" borderId="110" xfId="1" applyFont="1" applyBorder="1" applyAlignment="1">
      <alignment horizontal="center"/>
    </xf>
    <xf numFmtId="43" fontId="0" fillId="0" borderId="148" xfId="1" applyFont="1" applyBorder="1" applyAlignment="1">
      <alignment horizontal="center"/>
    </xf>
    <xf numFmtId="43" fontId="0" fillId="0" borderId="26" xfId="1" applyFont="1" applyBorder="1" applyAlignment="1">
      <alignment horizontal="center"/>
    </xf>
    <xf numFmtId="0" fontId="153" fillId="0" borderId="250" xfId="0" applyFont="1" applyBorder="1" applyAlignment="1">
      <alignment horizontal="right"/>
    </xf>
    <xf numFmtId="0" fontId="153" fillId="0" borderId="251" xfId="0" applyFont="1" applyBorder="1" applyAlignment="1">
      <alignment horizontal="right"/>
    </xf>
    <xf numFmtId="0" fontId="152" fillId="0" borderId="39" xfId="0" applyFont="1" applyBorder="1" applyAlignment="1">
      <alignment horizontal="center"/>
    </xf>
    <xf numFmtId="0" fontId="152" fillId="0" borderId="2" xfId="0" applyFont="1" applyBorder="1" applyAlignment="1">
      <alignment horizontal="center"/>
    </xf>
    <xf numFmtId="0" fontId="152" fillId="0" borderId="248" xfId="0" applyFont="1" applyBorder="1" applyAlignment="1">
      <alignment horizontal="center"/>
    </xf>
    <xf numFmtId="0" fontId="153" fillId="0" borderId="240" xfId="0" applyFont="1" applyBorder="1" applyAlignment="1">
      <alignment horizontal="center" vertical="justify"/>
    </xf>
    <xf numFmtId="0" fontId="153" fillId="0" borderId="238" xfId="0" applyFont="1" applyBorder="1" applyAlignment="1">
      <alignment horizontal="center" vertical="justify"/>
    </xf>
    <xf numFmtId="0" fontId="153" fillId="0" borderId="153" xfId="0" applyFont="1" applyBorder="1" applyAlignment="1">
      <alignment horizontal="center" vertical="center"/>
    </xf>
    <xf numFmtId="0" fontId="153" fillId="0" borderId="147" xfId="0" applyFont="1" applyBorder="1" applyAlignment="1">
      <alignment horizontal="center" vertical="center"/>
    </xf>
    <xf numFmtId="0" fontId="156" fillId="0" borderId="153" xfId="0" applyFont="1" applyBorder="1" applyAlignment="1">
      <alignment horizontal="center" vertical="center"/>
    </xf>
    <xf numFmtId="0" fontId="73" fillId="0" borderId="147" xfId="0" applyFont="1" applyBorder="1" applyAlignment="1">
      <alignment horizontal="center" vertical="center"/>
    </xf>
    <xf numFmtId="0" fontId="153" fillId="0" borderId="160" xfId="0" applyFont="1" applyBorder="1" applyAlignment="1">
      <alignment horizontal="center" vertical="center"/>
    </xf>
    <xf numFmtId="0" fontId="153" fillId="0" borderId="221" xfId="0" applyFont="1" applyBorder="1" applyAlignment="1">
      <alignment horizontal="center" vertical="center"/>
    </xf>
    <xf numFmtId="0" fontId="155" fillId="0" borderId="160" xfId="0" applyFont="1" applyBorder="1" applyAlignment="1">
      <alignment horizontal="center" vertical="center"/>
    </xf>
    <xf numFmtId="0" fontId="153" fillId="0" borderId="110" xfId="0" applyFont="1" applyBorder="1" applyAlignment="1">
      <alignment horizontal="center" vertical="center"/>
    </xf>
    <xf numFmtId="0" fontId="153" fillId="0" borderId="148" xfId="0" applyFont="1" applyBorder="1" applyAlignment="1">
      <alignment horizontal="center" vertical="center"/>
    </xf>
    <xf numFmtId="0" fontId="153" fillId="0" borderId="160" xfId="0" applyFont="1" applyBorder="1" applyAlignment="1">
      <alignment horizontal="center"/>
    </xf>
    <xf numFmtId="0" fontId="153" fillId="0" borderId="1" xfId="0" applyFont="1" applyBorder="1" applyAlignment="1">
      <alignment horizontal="center"/>
    </xf>
    <xf numFmtId="0" fontId="153" fillId="0" borderId="221" xfId="0" applyFont="1" applyBorder="1" applyAlignment="1">
      <alignment horizontal="center"/>
    </xf>
    <xf numFmtId="0" fontId="155" fillId="0" borderId="110" xfId="0" applyFont="1" applyBorder="1" applyAlignment="1">
      <alignment horizontal="center" vertical="center"/>
    </xf>
    <xf numFmtId="0" fontId="105" fillId="0" borderId="229" xfId="0" applyFont="1" applyBorder="1" applyAlignment="1">
      <alignment horizontal="right" vertical="center"/>
    </xf>
    <xf numFmtId="0" fontId="151" fillId="0" borderId="233" xfId="0" applyFont="1" applyBorder="1" applyAlignment="1">
      <alignment horizontal="center" vertical="center"/>
    </xf>
    <xf numFmtId="0" fontId="151" fillId="0" borderId="231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48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152" fillId="0" borderId="239" xfId="0" applyFont="1" applyBorder="1" applyAlignment="1">
      <alignment horizontal="center" vertical="center"/>
    </xf>
    <xf numFmtId="0" fontId="152" fillId="0" borderId="241" xfId="0" applyFont="1" applyBorder="1" applyAlignment="1">
      <alignment horizontal="center" vertical="center"/>
    </xf>
    <xf numFmtId="0" fontId="152" fillId="0" borderId="242" xfId="0" applyFont="1" applyBorder="1" applyAlignment="1">
      <alignment horizontal="center" vertical="center"/>
    </xf>
    <xf numFmtId="0" fontId="152" fillId="0" borderId="110" xfId="0" applyFont="1" applyBorder="1" applyAlignment="1">
      <alignment horizontal="center" vertical="center"/>
    </xf>
    <xf numFmtId="0" fontId="152" fillId="0" borderId="26" xfId="0" applyFont="1" applyBorder="1" applyAlignment="1">
      <alignment horizontal="center" vertical="center"/>
    </xf>
    <xf numFmtId="0" fontId="152" fillId="0" borderId="148" xfId="0" applyFont="1" applyBorder="1" applyAlignment="1">
      <alignment horizontal="center" vertical="center"/>
    </xf>
    <xf numFmtId="0" fontId="152" fillId="0" borderId="153" xfId="0" applyFont="1" applyBorder="1" applyAlignment="1">
      <alignment horizontal="center" vertical="center"/>
    </xf>
    <xf numFmtId="0" fontId="152" fillId="0" borderId="160" xfId="0" applyFont="1" applyBorder="1" applyAlignment="1">
      <alignment horizontal="center" vertical="center"/>
    </xf>
    <xf numFmtId="0" fontId="152" fillId="0" borderId="1" xfId="0" applyFont="1" applyBorder="1" applyAlignment="1">
      <alignment horizontal="center" vertical="center"/>
    </xf>
    <xf numFmtId="0" fontId="152" fillId="0" borderId="221" xfId="0" applyFont="1" applyBorder="1" applyAlignment="1">
      <alignment horizontal="center" vertical="center"/>
    </xf>
    <xf numFmtId="174" fontId="153" fillId="5" borderId="110" xfId="0" applyNumberFormat="1" applyFont="1" applyFill="1" applyBorder="1" applyAlignment="1">
      <alignment horizontal="center" vertical="center"/>
    </xf>
    <xf numFmtId="174" fontId="153" fillId="5" borderId="26" xfId="0" applyNumberFormat="1" applyFont="1" applyFill="1" applyBorder="1" applyAlignment="1">
      <alignment horizontal="center" vertical="center"/>
    </xf>
    <xf numFmtId="174" fontId="153" fillId="5" borderId="148" xfId="0" applyNumberFormat="1" applyFont="1" applyFill="1" applyBorder="1" applyAlignment="1">
      <alignment horizontal="center" vertical="center"/>
    </xf>
    <xf numFmtId="174" fontId="153" fillId="5" borderId="160" xfId="0" applyNumberFormat="1" applyFont="1" applyFill="1" applyBorder="1" applyAlignment="1">
      <alignment horizontal="center" vertical="center"/>
    </xf>
    <xf numFmtId="174" fontId="153" fillId="5" borderId="1" xfId="0" applyNumberFormat="1" applyFont="1" applyFill="1" applyBorder="1" applyAlignment="1">
      <alignment horizontal="center" vertical="center"/>
    </xf>
    <xf numFmtId="174" fontId="153" fillId="5" borderId="221" xfId="0" applyNumberFormat="1" applyFont="1" applyFill="1" applyBorder="1" applyAlignment="1">
      <alignment horizontal="center" vertical="center"/>
    </xf>
    <xf numFmtId="0" fontId="153" fillId="0" borderId="26" xfId="0" applyFont="1" applyBorder="1" applyAlignment="1">
      <alignment horizontal="center" vertical="center"/>
    </xf>
    <xf numFmtId="0" fontId="153" fillId="0" borderId="240" xfId="0" applyFont="1" applyBorder="1" applyAlignment="1">
      <alignment horizontal="center" vertical="center"/>
    </xf>
    <xf numFmtId="0" fontId="153" fillId="0" borderId="1" xfId="0" applyFont="1" applyBorder="1" applyAlignment="1">
      <alignment horizontal="center" vertical="center"/>
    </xf>
    <xf numFmtId="0" fontId="153" fillId="0" borderId="238" xfId="0" applyFont="1" applyBorder="1" applyAlignment="1">
      <alignment horizontal="center" vertical="center"/>
    </xf>
    <xf numFmtId="0" fontId="153" fillId="0" borderId="110" xfId="0" applyFont="1" applyBorder="1" applyAlignment="1">
      <alignment horizontal="center"/>
    </xf>
    <xf numFmtId="0" fontId="153" fillId="0" borderId="26" xfId="0" applyFont="1" applyBorder="1" applyAlignment="1">
      <alignment horizontal="center"/>
    </xf>
    <xf numFmtId="0" fontId="153" fillId="0" borderId="148" xfId="0" applyFont="1" applyBorder="1" applyAlignment="1">
      <alignment horizontal="center"/>
    </xf>
    <xf numFmtId="0" fontId="152" fillId="0" borderId="153" xfId="0" applyFont="1" applyBorder="1" applyAlignment="1">
      <alignment horizontal="center" vertical="justify"/>
    </xf>
    <xf numFmtId="0" fontId="152" fillId="0" borderId="0" xfId="0" applyFont="1" applyBorder="1" applyAlignment="1">
      <alignment horizontal="center" vertical="justify"/>
    </xf>
    <xf numFmtId="0" fontId="152" fillId="0" borderId="147" xfId="0" applyFont="1" applyBorder="1" applyAlignment="1">
      <alignment horizontal="center" vertical="justify"/>
    </xf>
    <xf numFmtId="0" fontId="105" fillId="0" borderId="0" xfId="0" applyFont="1" applyBorder="1" applyAlignment="1">
      <alignment horizontal="center"/>
    </xf>
    <xf numFmtId="0" fontId="144" fillId="0" borderId="2" xfId="0" applyFont="1" applyBorder="1" applyAlignment="1">
      <alignment horizontal="right" vertical="center"/>
    </xf>
    <xf numFmtId="0" fontId="144" fillId="0" borderId="40" xfId="0" applyFont="1" applyBorder="1" applyAlignment="1">
      <alignment horizontal="right" vertical="center"/>
    </xf>
    <xf numFmtId="0" fontId="145" fillId="0" borderId="1" xfId="0" applyFont="1" applyBorder="1" applyAlignment="1">
      <alignment horizontal="right" vertical="center"/>
    </xf>
    <xf numFmtId="0" fontId="146" fillId="0" borderId="110" xfId="0" applyFont="1" applyBorder="1" applyAlignment="1">
      <alignment horizontal="center" vertical="center"/>
    </xf>
    <xf numFmtId="0" fontId="146" fillId="0" borderId="26" xfId="0" applyFont="1" applyBorder="1" applyAlignment="1">
      <alignment horizontal="center" vertical="center"/>
    </xf>
    <xf numFmtId="0" fontId="146" fillId="0" borderId="148" xfId="0" applyFont="1" applyBorder="1" applyAlignment="1">
      <alignment horizontal="center" vertical="center"/>
    </xf>
    <xf numFmtId="0" fontId="147" fillId="0" borderId="110" xfId="0" applyFont="1" applyBorder="1" applyAlignment="1">
      <alignment horizontal="center" vertical="center"/>
    </xf>
    <xf numFmtId="0" fontId="147" fillId="0" borderId="148" xfId="0" applyFont="1" applyBorder="1" applyAlignment="1">
      <alignment horizontal="center" vertical="center"/>
    </xf>
    <xf numFmtId="0" fontId="147" fillId="0" borderId="153" xfId="0" applyFont="1" applyBorder="1" applyAlignment="1">
      <alignment horizontal="center" vertical="center"/>
    </xf>
    <xf numFmtId="0" fontId="147" fillId="0" borderId="147" xfId="0" applyFont="1" applyBorder="1" applyAlignment="1">
      <alignment horizontal="center" vertical="center"/>
    </xf>
    <xf numFmtId="0" fontId="147" fillId="0" borderId="160" xfId="0" applyFont="1" applyBorder="1" applyAlignment="1">
      <alignment horizontal="center" vertical="center"/>
    </xf>
    <xf numFmtId="0" fontId="147" fillId="0" borderId="221" xfId="0" applyFont="1" applyBorder="1" applyAlignment="1">
      <alignment horizontal="center" vertical="center"/>
    </xf>
    <xf numFmtId="0" fontId="147" fillId="0" borderId="26" xfId="0" applyFont="1" applyBorder="1" applyAlignment="1">
      <alignment horizontal="center" vertical="center"/>
    </xf>
    <xf numFmtId="0" fontId="145" fillId="0" borderId="110" xfId="0" applyFont="1" applyBorder="1" applyAlignment="1">
      <alignment horizontal="left" vertical="center"/>
    </xf>
    <xf numFmtId="0" fontId="145" fillId="0" borderId="148" xfId="0" applyFont="1" applyBorder="1" applyAlignment="1">
      <alignment horizontal="left" vertical="center"/>
    </xf>
    <xf numFmtId="0" fontId="145" fillId="0" borderId="153" xfId="0" applyFont="1" applyBorder="1" applyAlignment="1">
      <alignment horizontal="left" vertical="center"/>
    </xf>
    <xf numFmtId="0" fontId="145" fillId="0" borderId="147" xfId="0" applyFont="1" applyBorder="1" applyAlignment="1">
      <alignment horizontal="left" vertical="center"/>
    </xf>
    <xf numFmtId="0" fontId="145" fillId="0" borderId="160" xfId="0" applyFont="1" applyBorder="1" applyAlignment="1">
      <alignment horizontal="left" vertical="center"/>
    </xf>
    <xf numFmtId="0" fontId="145" fillId="0" borderId="221" xfId="0" applyFont="1" applyBorder="1" applyAlignment="1">
      <alignment horizontal="left" vertical="center"/>
    </xf>
    <xf numFmtId="0" fontId="147" fillId="0" borderId="0" xfId="0" applyFont="1" applyBorder="1" applyAlignment="1">
      <alignment horizontal="center" vertical="center"/>
    </xf>
    <xf numFmtId="3" fontId="35" fillId="0" borderId="256" xfId="2849" applyNumberFormat="1" applyFont="1" applyBorder="1" applyAlignment="1">
      <alignment horizontal="center" vertical="center"/>
    </xf>
    <xf numFmtId="3" fontId="35" fillId="0" borderId="39" xfId="2849" applyNumberFormat="1" applyFont="1" applyBorder="1" applyAlignment="1">
      <alignment horizontal="center" vertical="center"/>
    </xf>
    <xf numFmtId="1" fontId="35" fillId="0" borderId="37" xfId="2849" applyNumberFormat="1" applyFont="1" applyBorder="1" applyAlignment="1">
      <alignment horizontal="center" vertical="center"/>
    </xf>
    <xf numFmtId="43" fontId="91" fillId="0" borderId="0" xfId="299" applyFont="1" applyBorder="1" applyAlignment="1">
      <alignment horizontal="center" vertical="center"/>
    </xf>
    <xf numFmtId="0" fontId="91" fillId="0" borderId="39" xfId="2849" applyFont="1" applyBorder="1" applyAlignment="1">
      <alignment horizontal="center" vertical="center"/>
    </xf>
    <xf numFmtId="0" fontId="91" fillId="0" borderId="2" xfId="2849" applyFont="1" applyBorder="1" applyAlignment="1">
      <alignment horizontal="center" vertical="center"/>
    </xf>
    <xf numFmtId="0" fontId="91" fillId="0" borderId="40" xfId="2849" applyFont="1" applyBorder="1" applyAlignment="1">
      <alignment horizontal="center" vertical="center"/>
    </xf>
    <xf numFmtId="0" fontId="35" fillId="0" borderId="39" xfId="2849" applyFont="1" applyBorder="1" applyAlignment="1">
      <alignment horizontal="center" vertical="center"/>
    </xf>
    <xf numFmtId="0" fontId="35" fillId="0" borderId="40" xfId="2849" applyFont="1" applyBorder="1" applyAlignment="1">
      <alignment horizontal="center" vertical="center"/>
    </xf>
    <xf numFmtId="0" fontId="128" fillId="0" borderId="39" xfId="2849" applyFont="1" applyBorder="1" applyAlignment="1">
      <alignment horizontal="left" vertical="center" wrapText="1"/>
    </xf>
    <xf numFmtId="0" fontId="12" fillId="0" borderId="2" xfId="375" applyFont="1" applyBorder="1" applyAlignment="1">
      <alignment horizontal="left" vertical="center" wrapText="1"/>
    </xf>
    <xf numFmtId="0" fontId="12" fillId="0" borderId="40" xfId="375" applyFont="1" applyBorder="1" applyAlignment="1">
      <alignment horizontal="left" vertical="center" wrapText="1"/>
    </xf>
    <xf numFmtId="0" fontId="127" fillId="0" borderId="2" xfId="2849" applyFont="1" applyBorder="1" applyAlignment="1">
      <alignment horizontal="center" vertical="center"/>
    </xf>
    <xf numFmtId="0" fontId="92" fillId="0" borderId="39" xfId="2849" quotePrefix="1" applyFont="1" applyBorder="1" applyAlignment="1">
      <alignment horizontal="center" vertical="center"/>
    </xf>
    <xf numFmtId="0" fontId="92" fillId="0" borderId="40" xfId="2849" applyFont="1" applyBorder="1" applyAlignment="1">
      <alignment horizontal="center" vertical="center"/>
    </xf>
    <xf numFmtId="0" fontId="127" fillId="0" borderId="110" xfId="2849" applyFont="1" applyBorder="1" applyAlignment="1">
      <alignment horizontal="center" vertical="center"/>
    </xf>
    <xf numFmtId="0" fontId="127" fillId="0" borderId="26" xfId="2849" applyFont="1" applyBorder="1" applyAlignment="1">
      <alignment horizontal="center" vertical="center"/>
    </xf>
    <xf numFmtId="0" fontId="127" fillId="0" borderId="148" xfId="2849" applyFont="1" applyBorder="1" applyAlignment="1">
      <alignment horizontal="center" vertical="center"/>
    </xf>
    <xf numFmtId="0" fontId="127" fillId="0" borderId="160" xfId="2849" applyFont="1" applyBorder="1" applyAlignment="1">
      <alignment horizontal="center" vertical="center"/>
    </xf>
    <xf numFmtId="0" fontId="127" fillId="0" borderId="1" xfId="2849" applyFont="1" applyBorder="1" applyAlignment="1">
      <alignment horizontal="center" vertical="center"/>
    </xf>
    <xf numFmtId="0" fontId="127" fillId="0" borderId="221" xfId="2849" applyFont="1" applyBorder="1" applyAlignment="1">
      <alignment horizontal="center" vertical="center"/>
    </xf>
    <xf numFmtId="0" fontId="159" fillId="0" borderId="110" xfId="2849" applyFont="1" applyBorder="1" applyAlignment="1">
      <alignment horizontal="center" vertical="center" wrapText="1"/>
    </xf>
    <xf numFmtId="0" fontId="159" fillId="0" borderId="26" xfId="2849" applyFont="1" applyBorder="1" applyAlignment="1">
      <alignment horizontal="center" vertical="center" wrapText="1"/>
    </xf>
    <xf numFmtId="0" fontId="159" fillId="0" borderId="148" xfId="2849" applyFont="1" applyBorder="1" applyAlignment="1">
      <alignment horizontal="center" vertical="center" wrapText="1"/>
    </xf>
    <xf numFmtId="0" fontId="159" fillId="0" borderId="160" xfId="2849" applyFont="1" applyBorder="1" applyAlignment="1">
      <alignment horizontal="center" vertical="center" wrapText="1"/>
    </xf>
    <xf numFmtId="0" fontId="159" fillId="0" borderId="1" xfId="2849" applyFont="1" applyBorder="1" applyAlignment="1">
      <alignment horizontal="center" vertical="center" wrapText="1"/>
    </xf>
    <xf numFmtId="0" fontId="159" fillId="0" borderId="221" xfId="2849" applyFont="1" applyBorder="1" applyAlignment="1">
      <alignment horizontal="center" vertical="center" wrapText="1"/>
    </xf>
    <xf numFmtId="0" fontId="93" fillId="0" borderId="110" xfId="2849" applyFont="1" applyBorder="1" applyAlignment="1">
      <alignment horizontal="left" vertical="center"/>
    </xf>
    <xf numFmtId="0" fontId="93" fillId="0" borderId="26" xfId="2849" applyFont="1" applyBorder="1" applyAlignment="1">
      <alignment horizontal="left" vertical="center"/>
    </xf>
    <xf numFmtId="0" fontId="93" fillId="0" borderId="148" xfId="2849" applyFont="1" applyBorder="1" applyAlignment="1">
      <alignment horizontal="left" vertical="center"/>
    </xf>
    <xf numFmtId="0" fontId="93" fillId="0" borderId="160" xfId="2849" applyFont="1" applyBorder="1" applyAlignment="1">
      <alignment horizontal="left" vertical="center"/>
    </xf>
    <xf numFmtId="0" fontId="93" fillId="0" borderId="1" xfId="2849" applyFont="1" applyBorder="1" applyAlignment="1">
      <alignment horizontal="left" vertical="center"/>
    </xf>
    <xf numFmtId="0" fontId="93" fillId="0" borderId="221" xfId="2849" applyFont="1" applyBorder="1" applyAlignment="1">
      <alignment horizontal="left" vertical="center"/>
    </xf>
    <xf numFmtId="0" fontId="92" fillId="0" borderId="38" xfId="2849" applyFont="1" applyBorder="1" applyAlignment="1">
      <alignment horizontal="center" vertical="center"/>
    </xf>
    <xf numFmtId="0" fontId="12" fillId="0" borderId="125" xfId="2849" applyFont="1" applyBorder="1" applyAlignment="1">
      <alignment horizontal="center" vertical="center"/>
    </xf>
    <xf numFmtId="0" fontId="92" fillId="0" borderId="110" xfId="2849" applyFont="1" applyBorder="1" applyAlignment="1">
      <alignment horizontal="center" vertical="center"/>
    </xf>
    <xf numFmtId="0" fontId="92" fillId="0" borderId="26" xfId="2849" applyFont="1" applyBorder="1" applyAlignment="1">
      <alignment horizontal="center" vertical="center"/>
    </xf>
    <xf numFmtId="0" fontId="92" fillId="0" borderId="148" xfId="2849" applyFont="1" applyBorder="1" applyAlignment="1">
      <alignment horizontal="center" vertical="center"/>
    </xf>
    <xf numFmtId="0" fontId="92" fillId="0" borderId="160" xfId="2849" applyFont="1" applyBorder="1" applyAlignment="1">
      <alignment horizontal="center" vertical="center"/>
    </xf>
    <xf numFmtId="0" fontId="92" fillId="0" borderId="1" xfId="2849" applyFont="1" applyBorder="1" applyAlignment="1">
      <alignment horizontal="center" vertical="center"/>
    </xf>
    <xf numFmtId="0" fontId="92" fillId="0" borderId="221" xfId="2849" applyFont="1" applyBorder="1" applyAlignment="1">
      <alignment horizontal="center" vertical="center"/>
    </xf>
    <xf numFmtId="17" fontId="92" fillId="0" borderId="39" xfId="2849" quotePrefix="1" applyNumberFormat="1" applyFont="1" applyBorder="1" applyAlignment="1">
      <alignment horizontal="center" vertical="center"/>
    </xf>
    <xf numFmtId="0" fontId="92" fillId="0" borderId="222" xfId="2849" applyFont="1" applyBorder="1" applyAlignment="1">
      <alignment horizontal="center" vertical="center"/>
    </xf>
    <xf numFmtId="0" fontId="92" fillId="0" borderId="223" xfId="2849" applyFont="1" applyBorder="1" applyAlignment="1">
      <alignment horizontal="center" vertical="center"/>
    </xf>
    <xf numFmtId="0" fontId="92" fillId="0" borderId="39" xfId="2849" applyFont="1" applyBorder="1" applyAlignment="1">
      <alignment horizontal="center" vertical="center"/>
    </xf>
    <xf numFmtId="0" fontId="158" fillId="0" borderId="110" xfId="375" applyFont="1" applyBorder="1" applyAlignment="1">
      <alignment horizontal="center" vertical="center"/>
    </xf>
    <xf numFmtId="0" fontId="158" fillId="0" borderId="26" xfId="375" applyFont="1" applyBorder="1" applyAlignment="1">
      <alignment horizontal="center" vertical="center"/>
    </xf>
    <xf numFmtId="0" fontId="158" fillId="0" borderId="148" xfId="375" applyFont="1" applyBorder="1" applyAlignment="1">
      <alignment horizontal="center" vertical="center"/>
    </xf>
    <xf numFmtId="0" fontId="158" fillId="0" borderId="153" xfId="375" applyFont="1" applyBorder="1" applyAlignment="1">
      <alignment horizontal="center" vertical="center"/>
    </xf>
    <xf numFmtId="0" fontId="158" fillId="0" borderId="0" xfId="375" applyFont="1" applyBorder="1" applyAlignment="1">
      <alignment horizontal="center" vertical="center"/>
    </xf>
    <xf numFmtId="0" fontId="158" fillId="0" borderId="147" xfId="375" applyFont="1" applyBorder="1" applyAlignment="1">
      <alignment horizontal="center" vertical="center"/>
    </xf>
    <xf numFmtId="0" fontId="158" fillId="0" borderId="160" xfId="375" applyFont="1" applyBorder="1" applyAlignment="1">
      <alignment horizontal="center" vertical="center"/>
    </xf>
    <xf numFmtId="0" fontId="158" fillId="0" borderId="1" xfId="375" applyFont="1" applyBorder="1" applyAlignment="1">
      <alignment horizontal="center" vertical="center"/>
    </xf>
    <xf numFmtId="0" fontId="158" fillId="0" borderId="221" xfId="375" applyFont="1" applyBorder="1" applyAlignment="1">
      <alignment horizontal="center" vertical="center"/>
    </xf>
    <xf numFmtId="0" fontId="127" fillId="0" borderId="153" xfId="2849" applyFont="1" applyBorder="1" applyAlignment="1">
      <alignment horizontal="center" vertical="center"/>
    </xf>
    <xf numFmtId="0" fontId="127" fillId="0" borderId="0" xfId="2849" applyFont="1" applyBorder="1" applyAlignment="1">
      <alignment horizontal="center" vertical="center"/>
    </xf>
    <xf numFmtId="0" fontId="127" fillId="0" borderId="147" xfId="2849" applyFont="1" applyBorder="1" applyAlignment="1">
      <alignment horizontal="center" vertical="center"/>
    </xf>
    <xf numFmtId="0" fontId="93" fillId="0" borderId="110" xfId="2849" applyFont="1" applyFill="1" applyBorder="1" applyAlignment="1">
      <alignment horizontal="left" vertical="center"/>
    </xf>
    <xf numFmtId="0" fontId="93" fillId="0" borderId="26" xfId="2849" applyFont="1" applyFill="1" applyBorder="1" applyAlignment="1">
      <alignment horizontal="left" vertical="center"/>
    </xf>
    <xf numFmtId="0" fontId="93" fillId="0" borderId="148" xfId="2849" applyFont="1" applyFill="1" applyBorder="1" applyAlignment="1">
      <alignment horizontal="left" vertical="center"/>
    </xf>
    <xf numFmtId="0" fontId="93" fillId="0" borderId="160" xfId="2849" applyFont="1" applyFill="1" applyBorder="1" applyAlignment="1">
      <alignment horizontal="left" vertical="center"/>
    </xf>
    <xf numFmtId="0" fontId="93" fillId="0" borderId="1" xfId="2849" applyFont="1" applyFill="1" applyBorder="1" applyAlignment="1">
      <alignment horizontal="left" vertical="center"/>
    </xf>
    <xf numFmtId="0" fontId="93" fillId="0" borderId="221" xfId="2849" applyFont="1" applyFill="1" applyBorder="1" applyAlignment="1">
      <alignment horizontal="left" vertical="center"/>
    </xf>
    <xf numFmtId="0" fontId="35" fillId="0" borderId="39" xfId="2849" applyFont="1" applyBorder="1" applyAlignment="1">
      <alignment horizontal="center" vertical="top"/>
    </xf>
    <xf numFmtId="0" fontId="35" fillId="0" borderId="40" xfId="2849" applyFont="1" applyBorder="1" applyAlignment="1">
      <alignment horizontal="center" vertical="top"/>
    </xf>
    <xf numFmtId="3" fontId="35" fillId="0" borderId="39" xfId="2849" applyNumberFormat="1" applyFont="1" applyBorder="1" applyAlignment="1">
      <alignment horizontal="center" vertical="top"/>
    </xf>
    <xf numFmtId="1" fontId="35" fillId="0" borderId="256" xfId="2849" applyNumberFormat="1" applyFont="1" applyBorder="1" applyAlignment="1">
      <alignment horizontal="center" vertical="center"/>
    </xf>
    <xf numFmtId="0" fontId="91" fillId="0" borderId="0" xfId="2849" quotePrefix="1" applyFont="1" applyBorder="1" applyAlignment="1">
      <alignment horizontal="left" vertical="center"/>
    </xf>
    <xf numFmtId="0" fontId="158" fillId="0" borderId="110" xfId="2849" applyFont="1" applyBorder="1" applyAlignment="1">
      <alignment horizontal="center" vertical="center"/>
    </xf>
    <xf numFmtId="0" fontId="158" fillId="0" borderId="26" xfId="2849" applyFont="1" applyBorder="1" applyAlignment="1">
      <alignment horizontal="center" vertical="center"/>
    </xf>
    <xf numFmtId="0" fontId="158" fillId="0" borderId="148" xfId="2849" applyFont="1" applyBorder="1" applyAlignment="1">
      <alignment horizontal="center" vertical="center"/>
    </xf>
    <xf numFmtId="0" fontId="158" fillId="0" borderId="153" xfId="2849" applyFont="1" applyBorder="1" applyAlignment="1">
      <alignment horizontal="center" vertical="center"/>
    </xf>
    <xf numFmtId="0" fontId="158" fillId="0" borderId="0" xfId="2849" applyFont="1" applyBorder="1" applyAlignment="1">
      <alignment horizontal="center" vertical="center"/>
    </xf>
    <xf numFmtId="0" fontId="158" fillId="0" borderId="147" xfId="2849" applyFont="1" applyBorder="1" applyAlignment="1">
      <alignment horizontal="center" vertical="center"/>
    </xf>
    <xf numFmtId="0" fontId="158" fillId="0" borderId="160" xfId="2849" applyFont="1" applyBorder="1" applyAlignment="1">
      <alignment horizontal="center" vertical="center"/>
    </xf>
    <xf numFmtId="0" fontId="158" fillId="0" borderId="1" xfId="2849" applyFont="1" applyBorder="1" applyAlignment="1">
      <alignment horizontal="center" vertical="center"/>
    </xf>
    <xf numFmtId="0" fontId="158" fillId="0" borderId="221" xfId="2849" applyFont="1" applyBorder="1" applyAlignment="1">
      <alignment horizontal="center" vertical="center"/>
    </xf>
    <xf numFmtId="3" fontId="35" fillId="0" borderId="40" xfId="2849" applyNumberFormat="1" applyFont="1" applyBorder="1" applyAlignment="1">
      <alignment horizontal="center" vertical="center"/>
    </xf>
    <xf numFmtId="0" fontId="128" fillId="0" borderId="2" xfId="2849" applyFont="1" applyBorder="1" applyAlignment="1">
      <alignment horizontal="left" vertical="center" wrapText="1"/>
    </xf>
    <xf numFmtId="0" fontId="128" fillId="0" borderId="40" xfId="2849" applyFont="1" applyBorder="1" applyAlignment="1">
      <alignment horizontal="left" vertical="center" wrapText="1"/>
    </xf>
    <xf numFmtId="3" fontId="35" fillId="0" borderId="37" xfId="2849" applyNumberFormat="1" applyFont="1" applyBorder="1" applyAlignment="1">
      <alignment horizontal="center" vertical="center"/>
    </xf>
  </cellXfs>
  <cellStyles count="2962">
    <cellStyle name="," xfId="3"/>
    <cellStyle name=", 10" xfId="443"/>
    <cellStyle name=", 11" xfId="444"/>
    <cellStyle name=", 12" xfId="616"/>
    <cellStyle name=", 13" xfId="617"/>
    <cellStyle name=", 14" xfId="618"/>
    <cellStyle name=", 15" xfId="619"/>
    <cellStyle name=", 16" xfId="620"/>
    <cellStyle name=", 17" xfId="621"/>
    <cellStyle name=", 18" xfId="622"/>
    <cellStyle name=", 19" xfId="623"/>
    <cellStyle name=", 2" xfId="4"/>
    <cellStyle name=", 2 2" xfId="624"/>
    <cellStyle name=", 2 3" xfId="625"/>
    <cellStyle name=", 2 4" xfId="626"/>
    <cellStyle name=", 2 5" xfId="627"/>
    <cellStyle name=", 2 6" xfId="628"/>
    <cellStyle name=", 20" xfId="629"/>
    <cellStyle name=", 21" xfId="630"/>
    <cellStyle name=", 22" xfId="631"/>
    <cellStyle name=", 23" xfId="632"/>
    <cellStyle name=", 24" xfId="633"/>
    <cellStyle name=", 25" xfId="634"/>
    <cellStyle name=", 26" xfId="635"/>
    <cellStyle name=", 27" xfId="636"/>
    <cellStyle name=", 28" xfId="637"/>
    <cellStyle name=", 29" xfId="638"/>
    <cellStyle name=", 3" xfId="5"/>
    <cellStyle name=", 3 2" xfId="639"/>
    <cellStyle name=", 3 3" xfId="640"/>
    <cellStyle name=", 3 4" xfId="641"/>
    <cellStyle name=", 3 5" xfId="642"/>
    <cellStyle name=", 3 6" xfId="643"/>
    <cellStyle name=", 30" xfId="644"/>
    <cellStyle name=", 31" xfId="645"/>
    <cellStyle name=", 32" xfId="646"/>
    <cellStyle name=", 33" xfId="647"/>
    <cellStyle name=", 34" xfId="648"/>
    <cellStyle name=", 35" xfId="649"/>
    <cellStyle name=", 36" xfId="650"/>
    <cellStyle name=", 37" xfId="651"/>
    <cellStyle name=", 38" xfId="652"/>
    <cellStyle name=", 39" xfId="653"/>
    <cellStyle name=", 4" xfId="6"/>
    <cellStyle name=", 4 2" xfId="654"/>
    <cellStyle name=", 4 3" xfId="655"/>
    <cellStyle name=", 4 4" xfId="656"/>
    <cellStyle name=", 4 5" xfId="657"/>
    <cellStyle name=", 4 6" xfId="658"/>
    <cellStyle name=", 40" xfId="659"/>
    <cellStyle name=", 41" xfId="660"/>
    <cellStyle name=", 42" xfId="661"/>
    <cellStyle name=", 43" xfId="662"/>
    <cellStyle name=", 44" xfId="663"/>
    <cellStyle name=", 45" xfId="664"/>
    <cellStyle name=", 5" xfId="7"/>
    <cellStyle name=", 5 2" xfId="665"/>
    <cellStyle name=", 5 3" xfId="666"/>
    <cellStyle name=", 5 4" xfId="667"/>
    <cellStyle name=", 5 5" xfId="668"/>
    <cellStyle name=", 5 6" xfId="669"/>
    <cellStyle name=", 6" xfId="8"/>
    <cellStyle name=", 6 2" xfId="670"/>
    <cellStyle name=", 6 3" xfId="671"/>
    <cellStyle name=", 6 4" xfId="672"/>
    <cellStyle name=", 6 5" xfId="673"/>
    <cellStyle name=", 6 6" xfId="674"/>
    <cellStyle name=", 7" xfId="9"/>
    <cellStyle name=", 7 2" xfId="675"/>
    <cellStyle name=", 7 3" xfId="676"/>
    <cellStyle name=", 7 4" xfId="677"/>
    <cellStyle name=", 7 5" xfId="678"/>
    <cellStyle name=", 7 6" xfId="679"/>
    <cellStyle name=", 8" xfId="10"/>
    <cellStyle name=", 8 2" xfId="680"/>
    <cellStyle name=", 8 3" xfId="681"/>
    <cellStyle name=", 8 4" xfId="682"/>
    <cellStyle name=", 8 5" xfId="683"/>
    <cellStyle name=", 8 6" xfId="684"/>
    <cellStyle name=", 9" xfId="11"/>
    <cellStyle name=", 9 2" xfId="685"/>
    <cellStyle name=", 9 3" xfId="686"/>
    <cellStyle name=", 9 4" xfId="687"/>
    <cellStyle name=", 9 5" xfId="688"/>
    <cellStyle name=", 9 6" xfId="689"/>
    <cellStyle name=",_ BYR " xfId="12"/>
    <cellStyle name=",_ BYR  2" xfId="690"/>
    <cellStyle name=",_ BYR  3" xfId="691"/>
    <cellStyle name=",_ BYR  4" xfId="692"/>
    <cellStyle name=",_ BYR  5" xfId="693"/>
    <cellStyle name=",_ BYR  6" xfId="694"/>
    <cellStyle name=",_05 AGUSTUS  2011" xfId="13"/>
    <cellStyle name=",_05 AGUSTUS  2011 2" xfId="695"/>
    <cellStyle name=",_05 AGUSTUS  2011 3" xfId="696"/>
    <cellStyle name=",_05 AGUSTUS  2011 4" xfId="697"/>
    <cellStyle name=",_05 AGUSTUS  2011 5" xfId="698"/>
    <cellStyle name=",_05 AGUSTUS  2011 6" xfId="699"/>
    <cellStyle name=",_1" xfId="14"/>
    <cellStyle name=",_1 2" xfId="700"/>
    <cellStyle name=",_1 3" xfId="701"/>
    <cellStyle name=",_1 4" xfId="702"/>
    <cellStyle name=",_1 5" xfId="703"/>
    <cellStyle name=",_1 6" xfId="704"/>
    <cellStyle name=",_ABRI TAUPAN" xfId="15"/>
    <cellStyle name=",_ABRI TAUPAN 2" xfId="705"/>
    <cellStyle name=",_ABRI TAUPAN 3" xfId="706"/>
    <cellStyle name=",_ABRI TAUPAN 4" xfId="707"/>
    <cellStyle name=",_ABRI TAUPAN 5" xfId="708"/>
    <cellStyle name=",_ABRI TAUPAN 6" xfId="709"/>
    <cellStyle name=",_ABSEN RMP JANUARI 2011 - 2012" xfId="710"/>
    <cellStyle name=",_ARANG   JULI 2012" xfId="711"/>
    <cellStyle name=",_ARANG Agust 2011" xfId="712"/>
    <cellStyle name=",_ARANG AGUSTUS 2012" xfId="713"/>
    <cellStyle name=",_ARANG APRIL  2012" xfId="714"/>
    <cellStyle name=",_ARANG April 2011" xfId="715"/>
    <cellStyle name=",_ARANG DES  2011" xfId="716"/>
    <cellStyle name=",_ARANG Feb 2012" xfId="717"/>
    <cellStyle name=",_ARANG January 2012" xfId="718"/>
    <cellStyle name=",_ARANG Juli 2011" xfId="719"/>
    <cellStyle name=",_ARANG Juni 2011" xfId="720"/>
    <cellStyle name=",_ARANG JUNI 2012" xfId="721"/>
    <cellStyle name=",_ARANG Maret  2012" xfId="722"/>
    <cellStyle name=",_ARANG MEI 2011" xfId="723"/>
    <cellStyle name=",_ARANG MEI 2012" xfId="724"/>
    <cellStyle name=",_ARANG NOV  2011" xfId="725"/>
    <cellStyle name=",_ARANG Okt 2011" xfId="726"/>
    <cellStyle name=",_ARANG Sept 2011" xfId="727"/>
    <cellStyle name=",_ASI (03 Agust 2012)" xfId="728"/>
    <cellStyle name=",_ASI (28 Feb 2013)" xfId="445"/>
    <cellStyle name=",_BAHAN BAKU (09 JULI 2012)" xfId="16"/>
    <cellStyle name=",_BAHAN BAKU (09 JULI 2012) 2" xfId="729"/>
    <cellStyle name=",_BAHAN BAKU (09 JULI 2012) 3" xfId="730"/>
    <cellStyle name=",_BAHAN BAKU (09 JULI 2012) 4" xfId="731"/>
    <cellStyle name=",_BAHAN BAKU (09 JULI 2012) 5" xfId="732"/>
    <cellStyle name=",_BAHAN BAKU (09 JULI 2012) 6" xfId="733"/>
    <cellStyle name=",_Copy of TIMBANGAN2" xfId="17"/>
    <cellStyle name=",_Copy of TIMBANGAN2 2" xfId="734"/>
    <cellStyle name=",_Copy of TIMBANGAN2 3" xfId="735"/>
    <cellStyle name=",_Copy of TIMBANGAN2 4" xfId="736"/>
    <cellStyle name=",_Copy of TIMBANGAN2 5" xfId="737"/>
    <cellStyle name=",_Copy of TIMBANGAN2 6" xfId="738"/>
    <cellStyle name=",_ISK (13 JUNI 2012)" xfId="18"/>
    <cellStyle name=",_ISK (13 JUNI 2012) 2" xfId="739"/>
    <cellStyle name=",_ISK (13 JUNI 2012) 3" xfId="740"/>
    <cellStyle name=",_ISK (13 JUNI 2012) 4" xfId="741"/>
    <cellStyle name=",_ISK (13 JUNI 2012) 5" xfId="742"/>
    <cellStyle name=",_ISK (13 JUNI 2012) 6" xfId="743"/>
    <cellStyle name=",_ISK (14 JULI 2012)" xfId="19"/>
    <cellStyle name=",_ISK (14 JULI 2012) 2" xfId="744"/>
    <cellStyle name=",_ISK (14 JULI 2012) 3" xfId="745"/>
    <cellStyle name=",_ISK (14 JULI 2012) 4" xfId="746"/>
    <cellStyle name=",_ISK (14 JULI 2012) 5" xfId="747"/>
    <cellStyle name=",_ISK (14 JULI 2012) 6" xfId="748"/>
    <cellStyle name=",_ISK (17 JULI 2012)" xfId="749"/>
    <cellStyle name=",_ISK( 20 JANUARI 2014)" xfId="750"/>
    <cellStyle name=",_KB   JULI 2012" xfId="751"/>
    <cellStyle name=",_KB Agust 2011" xfId="752"/>
    <cellStyle name=",_KB AGUSTUS  2012" xfId="753"/>
    <cellStyle name=",_KB April  2011" xfId="754"/>
    <cellStyle name=",_KB APRIL 2012" xfId="755"/>
    <cellStyle name=",_KB APRIL 2013" xfId="756"/>
    <cellStyle name=",_KB DES  2011" xfId="757"/>
    <cellStyle name=",_KB Feb 2012" xfId="758"/>
    <cellStyle name=",_KB FEBRUARI 2013" xfId="759"/>
    <cellStyle name=",_KB JANUARI 2013" xfId="760"/>
    <cellStyle name=",_KB January 2012" xfId="761"/>
    <cellStyle name=",_KB Juli 2011" xfId="762"/>
    <cellStyle name=",_KB Juni 2011 OK ily Y" xfId="763"/>
    <cellStyle name=",_KB JUNI 2012" xfId="764"/>
    <cellStyle name=",_KB Maret 2012" xfId="765"/>
    <cellStyle name=",_KB MARET 2013" xfId="766"/>
    <cellStyle name=",_KB Mei   2011" xfId="767"/>
    <cellStyle name=",_KB MEI 2012" xfId="768"/>
    <cellStyle name=",_KB NOV 2011" xfId="769"/>
    <cellStyle name=",_KB Okt 2011" xfId="770"/>
    <cellStyle name=",_KB Sept 2011" xfId="771"/>
    <cellStyle name=",_KB SEPTEMBER  2012" xfId="772"/>
    <cellStyle name=",_KOPRA  Agust 2011" xfId="773"/>
    <cellStyle name=",_KOPRA  AGUSTUS  2012" xfId="774"/>
    <cellStyle name=",_KOPRA  April 2011" xfId="775"/>
    <cellStyle name=",_KOPRA  APRIL 2012" xfId="776"/>
    <cellStyle name=",_KOPRA  JULI  2012" xfId="20"/>
    <cellStyle name=",_KOPRA  JULI  2012 2" xfId="777"/>
    <cellStyle name=",_KOPRA  JULI  2012 3" xfId="778"/>
    <cellStyle name=",_KOPRA  JULI  2012 4" xfId="779"/>
    <cellStyle name=",_KOPRA  JULI  2012 5" xfId="780"/>
    <cellStyle name=",_KOPRA  JULI  2012 6" xfId="781"/>
    <cellStyle name=",_KOPRA  JULI  2012_1" xfId="21"/>
    <cellStyle name=",_KOPRA  JULI  2012_1 2" xfId="782"/>
    <cellStyle name=",_KOPRA  JULI  2012_1 3" xfId="783"/>
    <cellStyle name=",_KOPRA  JULI  2012_1 4" xfId="784"/>
    <cellStyle name=",_KOPRA  JULI  2012_1 5" xfId="785"/>
    <cellStyle name=",_KOPRA  JULI  2012_1 6" xfId="786"/>
    <cellStyle name=",_KOPRA  JULI  2012_1 7" xfId="787"/>
    <cellStyle name=",_KOPRA  JULI  2012_1 8" xfId="788"/>
    <cellStyle name=",_KOPRA  JULI  2012_1 9" xfId="789"/>
    <cellStyle name=",_KOPRA  JULI  2012_1_KOPRA  OKTOBER  2012" xfId="22"/>
    <cellStyle name=",_KOPRA  JULI  2012_1_KOPRA  OKTOBER  2012 2" xfId="790"/>
    <cellStyle name=",_KOPRA  JULI  2012_1_KOPRA  OKTOBER  2012 3" xfId="791"/>
    <cellStyle name=",_KOPRA  JULI  2012_1_KOPRA  OKTOBER  2012 4" xfId="792"/>
    <cellStyle name=",_KOPRA  JULI  2012_1_KOPRA  OKTOBER  2012 5" xfId="793"/>
    <cellStyle name=",_KOPRA  JULI  2012_1_KOPRA  OKTOBER  2012 6" xfId="794"/>
    <cellStyle name=",_KOPRA  JULI  2012_1_KOPRA FEBRUARI  2013" xfId="23"/>
    <cellStyle name=",_KOPRA  JULI  2012_1_KOPRA FEBRUARI  2013 2" xfId="795"/>
    <cellStyle name=",_KOPRA  JULI  2012_1_KOPRA FEBRUARI  2013 3" xfId="796"/>
    <cellStyle name=",_KOPRA  JULI  2012_1_KOPRA FEBRUARI  2013 4" xfId="797"/>
    <cellStyle name=",_KOPRA  JULI  2012_1_KOPRA FEBRUARI  2013 5" xfId="798"/>
    <cellStyle name=",_KOPRA  JULI  2012_1_KOPRA FEBRUARI  2013 6" xfId="799"/>
    <cellStyle name=",_KOPRA  JULI  2012_1_KOPRA JANUARI 2014" xfId="800"/>
    <cellStyle name=",_KOPRA  JULI  2012_1_KOPRA NOVEMBER 2013" xfId="801"/>
    <cellStyle name=",_KOPRA  Juli 2011" xfId="802"/>
    <cellStyle name=",_KOPRA  JUNI  2012" xfId="24"/>
    <cellStyle name=",_KOPRA  JUNI  2012 2" xfId="803"/>
    <cellStyle name=",_KOPRA  JUNI  2012 3" xfId="804"/>
    <cellStyle name=",_KOPRA  JUNI  2012 4" xfId="805"/>
    <cellStyle name=",_KOPRA  JUNI  2012 5" xfId="806"/>
    <cellStyle name=",_KOPRA  JUNI  2012 6" xfId="807"/>
    <cellStyle name=",_KOPRA  JUNI  2012_1" xfId="25"/>
    <cellStyle name=",_KOPRA  JUNI  2012_1 10" xfId="808"/>
    <cellStyle name=",_KOPRA  JUNI  2012_1 11" xfId="809"/>
    <cellStyle name=",_KOPRA  JUNI  2012_1 12" xfId="810"/>
    <cellStyle name=",_KOPRA  JUNI  2012_1 13" xfId="811"/>
    <cellStyle name=",_KOPRA  JUNI  2012_1 14" xfId="812"/>
    <cellStyle name=",_KOPRA  JUNI  2012_1 15" xfId="813"/>
    <cellStyle name=",_KOPRA  JUNI  2012_1 16" xfId="814"/>
    <cellStyle name=",_KOPRA  JUNI  2012_1 17" xfId="815"/>
    <cellStyle name=",_KOPRA  JUNI  2012_1 18" xfId="816"/>
    <cellStyle name=",_KOPRA  JUNI  2012_1 19" xfId="817"/>
    <cellStyle name=",_KOPRA  JUNI  2012_1 2" xfId="26"/>
    <cellStyle name=",_KOPRA  JUNI  2012_1 2 2" xfId="818"/>
    <cellStyle name=",_KOPRA  JUNI  2012_1 2 3" xfId="819"/>
    <cellStyle name=",_KOPRA  JUNI  2012_1 2 4" xfId="820"/>
    <cellStyle name=",_KOPRA  JUNI  2012_1 2 5" xfId="821"/>
    <cellStyle name=",_KOPRA  JUNI  2012_1 2 6" xfId="822"/>
    <cellStyle name=",_KOPRA  JUNI  2012_1 20" xfId="823"/>
    <cellStyle name=",_KOPRA  JUNI  2012_1 21" xfId="824"/>
    <cellStyle name=",_KOPRA  JUNI  2012_1 22" xfId="825"/>
    <cellStyle name=",_KOPRA  JUNI  2012_1 23" xfId="826"/>
    <cellStyle name=",_KOPRA  JUNI  2012_1 24" xfId="827"/>
    <cellStyle name=",_KOPRA  JUNI  2012_1 25" xfId="828"/>
    <cellStyle name=",_KOPRA  JUNI  2012_1 26" xfId="829"/>
    <cellStyle name=",_KOPRA  JUNI  2012_1 27" xfId="830"/>
    <cellStyle name=",_KOPRA  JUNI  2012_1 28" xfId="831"/>
    <cellStyle name=",_KOPRA  JUNI  2012_1 29" xfId="832"/>
    <cellStyle name=",_KOPRA  JUNI  2012_1 3" xfId="27"/>
    <cellStyle name=",_KOPRA  JUNI  2012_1 3 2" xfId="833"/>
    <cellStyle name=",_KOPRA  JUNI  2012_1 3 3" xfId="834"/>
    <cellStyle name=",_KOPRA  JUNI  2012_1 3 4" xfId="835"/>
    <cellStyle name=",_KOPRA  JUNI  2012_1 3 5" xfId="836"/>
    <cellStyle name=",_KOPRA  JUNI  2012_1 3 6" xfId="837"/>
    <cellStyle name=",_KOPRA  JUNI  2012_1 30" xfId="838"/>
    <cellStyle name=",_KOPRA  JUNI  2012_1 31" xfId="839"/>
    <cellStyle name=",_KOPRA  JUNI  2012_1 32" xfId="840"/>
    <cellStyle name=",_KOPRA  JUNI  2012_1 33" xfId="841"/>
    <cellStyle name=",_KOPRA  JUNI  2012_1 34" xfId="842"/>
    <cellStyle name=",_KOPRA  JUNI  2012_1 35" xfId="843"/>
    <cellStyle name=",_KOPRA  JUNI  2012_1 36" xfId="844"/>
    <cellStyle name=",_KOPRA  JUNI  2012_1 37" xfId="845"/>
    <cellStyle name=",_KOPRA  JUNI  2012_1 38" xfId="846"/>
    <cellStyle name=",_KOPRA  JUNI  2012_1 39" xfId="847"/>
    <cellStyle name=",_KOPRA  JUNI  2012_1 4" xfId="28"/>
    <cellStyle name=",_KOPRA  JUNI  2012_1 4 2" xfId="848"/>
    <cellStyle name=",_KOPRA  JUNI  2012_1 4 3" xfId="849"/>
    <cellStyle name=",_KOPRA  JUNI  2012_1 4 4" xfId="850"/>
    <cellStyle name=",_KOPRA  JUNI  2012_1 4 5" xfId="851"/>
    <cellStyle name=",_KOPRA  JUNI  2012_1 4 6" xfId="852"/>
    <cellStyle name=",_KOPRA  JUNI  2012_1 40" xfId="853"/>
    <cellStyle name=",_KOPRA  JUNI  2012_1 41" xfId="854"/>
    <cellStyle name=",_KOPRA  JUNI  2012_1 42" xfId="855"/>
    <cellStyle name=",_KOPRA  JUNI  2012_1 5" xfId="29"/>
    <cellStyle name=",_KOPRA  JUNI  2012_1 5 2" xfId="856"/>
    <cellStyle name=",_KOPRA  JUNI  2012_1 5 3" xfId="857"/>
    <cellStyle name=",_KOPRA  JUNI  2012_1 5 4" xfId="858"/>
    <cellStyle name=",_KOPRA  JUNI  2012_1 5 5" xfId="859"/>
    <cellStyle name=",_KOPRA  JUNI  2012_1 5 6" xfId="860"/>
    <cellStyle name=",_KOPRA  JUNI  2012_1 6" xfId="30"/>
    <cellStyle name=",_KOPRA  JUNI  2012_1 6 2" xfId="861"/>
    <cellStyle name=",_KOPRA  JUNI  2012_1 6 3" xfId="862"/>
    <cellStyle name=",_KOPRA  JUNI  2012_1 6 4" xfId="863"/>
    <cellStyle name=",_KOPRA  JUNI  2012_1 6 5" xfId="864"/>
    <cellStyle name=",_KOPRA  JUNI  2012_1 6 6" xfId="865"/>
    <cellStyle name=",_KOPRA  JUNI  2012_1 7" xfId="31"/>
    <cellStyle name=",_KOPRA  JUNI  2012_1 7 2" xfId="866"/>
    <cellStyle name=",_KOPRA  JUNI  2012_1 7 3" xfId="867"/>
    <cellStyle name=",_KOPRA  JUNI  2012_1 7 4" xfId="868"/>
    <cellStyle name=",_KOPRA  JUNI  2012_1 7 5" xfId="869"/>
    <cellStyle name=",_KOPRA  JUNI  2012_1 7 6" xfId="870"/>
    <cellStyle name=",_KOPRA  JUNI  2012_1 8" xfId="32"/>
    <cellStyle name=",_KOPRA  JUNI  2012_1 8 2" xfId="871"/>
    <cellStyle name=",_KOPRA  JUNI  2012_1 8 3" xfId="872"/>
    <cellStyle name=",_KOPRA  JUNI  2012_1 8 4" xfId="873"/>
    <cellStyle name=",_KOPRA  JUNI  2012_1 8 5" xfId="874"/>
    <cellStyle name=",_KOPRA  JUNI  2012_1 8 6" xfId="875"/>
    <cellStyle name=",_KOPRA  JUNI  2012_1 9" xfId="33"/>
    <cellStyle name=",_KOPRA  JUNI  2012_1 9 2" xfId="876"/>
    <cellStyle name=",_KOPRA  JUNI  2012_1 9 3" xfId="877"/>
    <cellStyle name=",_KOPRA  JUNI  2012_1 9 4" xfId="878"/>
    <cellStyle name=",_KOPRA  JUNI  2012_1 9 5" xfId="879"/>
    <cellStyle name=",_KOPRA  JUNI  2012_1 9 6" xfId="880"/>
    <cellStyle name=",_KOPRA  JUNI  2012_1_ BYR " xfId="34"/>
    <cellStyle name=",_KOPRA  JUNI  2012_1_ BYR  2" xfId="881"/>
    <cellStyle name=",_KOPRA  JUNI  2012_1_ BYR  3" xfId="882"/>
    <cellStyle name=",_KOPRA  JUNI  2012_1_ BYR  4" xfId="883"/>
    <cellStyle name=",_KOPRA  JUNI  2012_1_ BYR  5" xfId="884"/>
    <cellStyle name=",_KOPRA  JUNI  2012_1_ BYR  6" xfId="885"/>
    <cellStyle name=",_KOPRA  JUNI  2012_1_1" xfId="35"/>
    <cellStyle name=",_KOPRA  JUNI  2012_1_1 2" xfId="886"/>
    <cellStyle name=",_KOPRA  JUNI  2012_1_1 3" xfId="887"/>
    <cellStyle name=",_KOPRA  JUNI  2012_1_1 4" xfId="888"/>
    <cellStyle name=",_KOPRA  JUNI  2012_1_1 5" xfId="889"/>
    <cellStyle name=",_KOPRA  JUNI  2012_1_1 6" xfId="890"/>
    <cellStyle name=",_KOPRA  JUNI  2012_1_14 JULI  KB PETAK" xfId="446"/>
    <cellStyle name=",_KOPRA  JUNI  2012_1_ABRI TAUPAN" xfId="36"/>
    <cellStyle name=",_KOPRA  JUNI  2012_1_ABRI TAUPAN 2" xfId="891"/>
    <cellStyle name=",_KOPRA  JUNI  2012_1_ABRI TAUPAN 3" xfId="892"/>
    <cellStyle name=",_KOPRA  JUNI  2012_1_ABRI TAUPAN 4" xfId="893"/>
    <cellStyle name=",_KOPRA  JUNI  2012_1_ABRI TAUPAN 5" xfId="894"/>
    <cellStyle name=",_KOPRA  JUNI  2012_1_ABRI TAUPAN 6" xfId="895"/>
    <cellStyle name=",_KOPRA  JUNI  2012_1_BA AGUSTUS 2013" xfId="896"/>
    <cellStyle name=",_KOPRA  JUNI  2012_1_Copy of TIMBANGAN2" xfId="37"/>
    <cellStyle name=",_KOPRA  JUNI  2012_1_Copy of TIMBANGAN2 2" xfId="897"/>
    <cellStyle name=",_KOPRA  JUNI  2012_1_Copy of TIMBANGAN2 3" xfId="898"/>
    <cellStyle name=",_KOPRA  JUNI  2012_1_Copy of TIMBANGAN2 4" xfId="899"/>
    <cellStyle name=",_KOPRA  JUNI  2012_1_Copy of TIMBANGAN2 5" xfId="900"/>
    <cellStyle name=",_KOPRA  JUNI  2012_1_Copy of TIMBANGAN2 6" xfId="901"/>
    <cellStyle name=",_KOPRA  JUNI  2012_1_ISK( 20 JANUARI 2014)" xfId="902"/>
    <cellStyle name=",_KOPRA  JUNI  2012_1_KOPRA  JULI  2012" xfId="38"/>
    <cellStyle name=",_KOPRA  JUNI  2012_1_KOPRA  JULI  2012 2" xfId="903"/>
    <cellStyle name=",_KOPRA  JUNI  2012_1_KOPRA  JULI  2012 3" xfId="904"/>
    <cellStyle name=",_KOPRA  JUNI  2012_1_KOPRA  JULI  2012 4" xfId="905"/>
    <cellStyle name=",_KOPRA  JUNI  2012_1_KOPRA  JULI  2012 5" xfId="906"/>
    <cellStyle name=",_KOPRA  JUNI  2012_1_KOPRA  JULI  2012 6" xfId="907"/>
    <cellStyle name=",_KOPRA  JUNI  2012_1_KOPRA  JULI  2012_1" xfId="39"/>
    <cellStyle name=",_KOPRA  JUNI  2012_1_KOPRA  JULI  2012_1 2" xfId="908"/>
    <cellStyle name=",_KOPRA  JUNI  2012_1_KOPRA  JULI  2012_1 3" xfId="909"/>
    <cellStyle name=",_KOPRA  JUNI  2012_1_KOPRA  JULI  2012_1 4" xfId="910"/>
    <cellStyle name=",_KOPRA  JUNI  2012_1_KOPRA  JULI  2012_1 5" xfId="911"/>
    <cellStyle name=",_KOPRA  JUNI  2012_1_KOPRA  JULI  2012_1 6" xfId="912"/>
    <cellStyle name=",_KOPRA  JUNI  2012_1_KOPRA  JULI  2012_1 7" xfId="913"/>
    <cellStyle name=",_KOPRA  JUNI  2012_1_KOPRA  JULI  2012_1 8" xfId="914"/>
    <cellStyle name=",_KOPRA  JUNI  2012_1_KOPRA  JULI  2012_1 9" xfId="915"/>
    <cellStyle name=",_KOPRA  JUNI  2012_1_KOPRA  JULI  2012_1_KOPRA  OKTOBER  2012" xfId="40"/>
    <cellStyle name=",_KOPRA  JUNI  2012_1_KOPRA  JULI  2012_1_KOPRA  OKTOBER  2012 2" xfId="916"/>
    <cellStyle name=",_KOPRA  JUNI  2012_1_KOPRA  JULI  2012_1_KOPRA  OKTOBER  2012 3" xfId="917"/>
    <cellStyle name=",_KOPRA  JUNI  2012_1_KOPRA  JULI  2012_1_KOPRA  OKTOBER  2012 4" xfId="918"/>
    <cellStyle name=",_KOPRA  JUNI  2012_1_KOPRA  JULI  2012_1_KOPRA  OKTOBER  2012 5" xfId="919"/>
    <cellStyle name=",_KOPRA  JUNI  2012_1_KOPRA  JULI  2012_1_KOPRA  OKTOBER  2012 6" xfId="920"/>
    <cellStyle name=",_KOPRA  JUNI  2012_1_KOPRA  JULI  2012_1_KOPRA FEBRUARI  2013" xfId="41"/>
    <cellStyle name=",_KOPRA  JUNI  2012_1_KOPRA  JULI  2012_1_KOPRA FEBRUARI  2013 2" xfId="921"/>
    <cellStyle name=",_KOPRA  JUNI  2012_1_KOPRA  JULI  2012_1_KOPRA FEBRUARI  2013 3" xfId="922"/>
    <cellStyle name=",_KOPRA  JUNI  2012_1_KOPRA  JULI  2012_1_KOPRA FEBRUARI  2013 4" xfId="923"/>
    <cellStyle name=",_KOPRA  JUNI  2012_1_KOPRA  JULI  2012_1_KOPRA FEBRUARI  2013 5" xfId="924"/>
    <cellStyle name=",_KOPRA  JUNI  2012_1_KOPRA  JULI  2012_1_KOPRA FEBRUARI  2013 6" xfId="925"/>
    <cellStyle name=",_KOPRA  JUNI  2012_1_KOPRA  JULI  2012_1_KOPRA JANUARI 2014" xfId="926"/>
    <cellStyle name=",_KOPRA  JUNI  2012_1_KOPRA  JULI  2012_1_KOPRA NOVEMBER 2013" xfId="927"/>
    <cellStyle name=",_KOPRA  JUNI  2012_1_KOPRA  JUNI  2012" xfId="928"/>
    <cellStyle name=",_KOPRA  JUNI  2012_1_KOPRA  OKTOBER  2012" xfId="42"/>
    <cellStyle name=",_KOPRA  JUNI  2012_1_KOPRA  OKTOBER  2012 2" xfId="929"/>
    <cellStyle name=",_KOPRA  JUNI  2012_1_KOPRA  OKTOBER  2012 3" xfId="930"/>
    <cellStyle name=",_KOPRA  JUNI  2012_1_KOPRA  OKTOBER  2012 4" xfId="931"/>
    <cellStyle name=",_KOPRA  JUNI  2012_1_KOPRA  OKTOBER  2012 5" xfId="932"/>
    <cellStyle name=",_KOPRA  JUNI  2012_1_KOPRA  OKTOBER  2012 6" xfId="933"/>
    <cellStyle name=",_KOPRA  JUNI  2012_1_KOPRA  OKTOBER  2012 7" xfId="934"/>
    <cellStyle name=",_KOPRA  JUNI  2012_1_KOPRA  OKTOBER  2012 8" xfId="935"/>
    <cellStyle name=",_KOPRA  JUNI  2012_1_KOPRA  OKTOBER  2012 9" xfId="936"/>
    <cellStyle name=",_KOPRA  JUNI  2012_1_KOPRA  OKTOBER  2012_KOPRA FEBRUARI  2013" xfId="43"/>
    <cellStyle name=",_KOPRA  JUNI  2012_1_KOPRA  OKTOBER  2012_KOPRA FEBRUARI  2013 2" xfId="937"/>
    <cellStyle name=",_KOPRA  JUNI  2012_1_KOPRA  OKTOBER  2012_KOPRA FEBRUARI  2013 3" xfId="938"/>
    <cellStyle name=",_KOPRA  JUNI  2012_1_KOPRA  OKTOBER  2012_KOPRA FEBRUARI  2013 4" xfId="939"/>
    <cellStyle name=",_KOPRA  JUNI  2012_1_KOPRA  OKTOBER  2012_KOPRA FEBRUARI  2013 5" xfId="940"/>
    <cellStyle name=",_KOPRA  JUNI  2012_1_KOPRA  OKTOBER  2012_KOPRA FEBRUARI  2013 6" xfId="941"/>
    <cellStyle name=",_KOPRA  JUNI  2012_1_KOPRA  OKTOBER  2012_KOPRA JANUARI 2014" xfId="942"/>
    <cellStyle name=",_KOPRA  JUNI  2012_1_KOPRA  OKTOBER  2012_KOPRA NOVEMBER 2013" xfId="943"/>
    <cellStyle name=",_KOPRA  JUNI  2012_1_KOPRA FEBRUARI  2013" xfId="44"/>
    <cellStyle name=",_KOPRA  JUNI  2012_1_KOPRA FEBRUARI  2013 2" xfId="944"/>
    <cellStyle name=",_KOPRA  JUNI  2012_1_KOPRA FEBRUARI  2013 3" xfId="945"/>
    <cellStyle name=",_KOPRA  JUNI  2012_1_KOPRA FEBRUARI  2013 4" xfId="946"/>
    <cellStyle name=",_KOPRA  JUNI  2012_1_KOPRA FEBRUARI  2013 5" xfId="947"/>
    <cellStyle name=",_KOPRA  JUNI  2012_1_KOPRA FEBRUARI  2013 6" xfId="948"/>
    <cellStyle name=",_KOPRA  JUNI  2012_1_KOPRA JANUARI 2014" xfId="949"/>
    <cellStyle name=",_KOPRA  JUNI  2012_1_KOPRA NOVEMBER 2013" xfId="950"/>
    <cellStyle name=",_KOPRA  JUNI  2012_1_PT ISK TGL 28  JUNI 2012" xfId="45"/>
    <cellStyle name=",_KOPRA  JUNI  2012_1_PT ISK TGL 28  JUNI 2012 2" xfId="951"/>
    <cellStyle name=",_KOPRA  JUNI  2012_1_PT ISK TGL 28  JUNI 2012 3" xfId="952"/>
    <cellStyle name=",_KOPRA  JUNI  2012_1_PT ISK TGL 28  JUNI 2012 4" xfId="953"/>
    <cellStyle name=",_KOPRA  JUNI  2012_1_PT ISK TGL 28  JUNI 2012 5" xfId="954"/>
    <cellStyle name=",_KOPRA  JUNI  2012_1_PT ISK TGL 28  JUNI 2012 6" xfId="955"/>
    <cellStyle name=",_KOPRA  JUNI  2012_1_TIMBANGAN2" xfId="46"/>
    <cellStyle name=",_KOPRA  JUNI  2012_1_TIMBANGAN2 2" xfId="956"/>
    <cellStyle name=",_KOPRA  JUNI  2012_1_TIMBANGAN2 3" xfId="957"/>
    <cellStyle name=",_KOPRA  JUNI  2012_1_TIMBANGAN2 4" xfId="958"/>
    <cellStyle name=",_KOPRA  JUNI  2012_1_TIMBANGAN2 5" xfId="959"/>
    <cellStyle name=",_KOPRA  JUNI  2012_1_TIMBANGAN2 6" xfId="960"/>
    <cellStyle name=",_KOPRA  JUNI  2012_ARANG   JULI 2012" xfId="961"/>
    <cellStyle name=",_KOPRA  JUNI  2012_ARANG AGUSTUS 2012" xfId="962"/>
    <cellStyle name=",_KOPRA  JUNI  2012_BAHAN BAKU (09 JULI 2012)" xfId="47"/>
    <cellStyle name=",_KOPRA  JUNI  2012_BAHAN BAKU (09 JULI 2012) 2" xfId="963"/>
    <cellStyle name=",_KOPRA  JUNI  2012_BAHAN BAKU (09 JULI 2012) 3" xfId="964"/>
    <cellStyle name=",_KOPRA  JUNI  2012_BAHAN BAKU (09 JULI 2012) 4" xfId="965"/>
    <cellStyle name=",_KOPRA  JUNI  2012_BAHAN BAKU (09 JULI 2012) 5" xfId="966"/>
    <cellStyle name=",_KOPRA  JUNI  2012_BAHAN BAKU (09 JULI 2012) 6" xfId="967"/>
    <cellStyle name=",_KOPRA  JUNI  2012_KOPRA  AGUSTUS  2012" xfId="968"/>
    <cellStyle name=",_KOPRA  JUNI  2012_KOPRA  JUNI  2012" xfId="48"/>
    <cellStyle name=",_KOPRA  JUNI  2012_KOPRA  JUNI  2012 2" xfId="969"/>
    <cellStyle name=",_KOPRA  JUNI  2012_KOPRA  JUNI  2012 3" xfId="970"/>
    <cellStyle name=",_KOPRA  JUNI  2012_KOPRA  JUNI  2012 4" xfId="971"/>
    <cellStyle name=",_KOPRA  JUNI  2012_KOPRA  JUNI  2012 5" xfId="972"/>
    <cellStyle name=",_KOPRA  JUNI  2012_KOPRA  JUNI  2012 6" xfId="973"/>
    <cellStyle name=",_KOPRA  JUNI  2012_KOPRA  OKTOBER  2012" xfId="974"/>
    <cellStyle name=",_KOPRA  JUNI  2012_KOPRA  SEPTEMBER  2012." xfId="975"/>
    <cellStyle name=",_KOPRA  JUNI  2012_KOPRA 31 JULI  2012(OK)" xfId="976"/>
    <cellStyle name=",_KOPRA  JUNI  2012_KOPRA APRIL  2013" xfId="977"/>
    <cellStyle name=",_KOPRA  JUNI  2012_KOPRA FEBRUARI  2013" xfId="978"/>
    <cellStyle name=",_KOPRA  JUNI  2012_KOPRA JANUARI  2013" xfId="979"/>
    <cellStyle name=",_KOPRA  JUNI  2012_KOPRA MARET  2013" xfId="980"/>
    <cellStyle name=",_KOPRA  Juni 2011 OK ily" xfId="981"/>
    <cellStyle name=",_KOPRA  Maret 2012" xfId="982"/>
    <cellStyle name=",_KOPRA  MEI  2012" xfId="983"/>
    <cellStyle name=",_KOPRA  Mei 2011" xfId="984"/>
    <cellStyle name=",_KOPRA  NOV  2011" xfId="985"/>
    <cellStyle name=",_KOPRA  Okt  2011" xfId="986"/>
    <cellStyle name=",_KOPRA  OKTOBER  2012" xfId="49"/>
    <cellStyle name=",_KOPRA  OKTOBER  2012 2" xfId="987"/>
    <cellStyle name=",_KOPRA  OKTOBER  2012 3" xfId="988"/>
    <cellStyle name=",_KOPRA  OKTOBER  2012 4" xfId="989"/>
    <cellStyle name=",_KOPRA  OKTOBER  2012 5" xfId="990"/>
    <cellStyle name=",_KOPRA  OKTOBER  2012 6" xfId="991"/>
    <cellStyle name=",_KOPRA  OKTOBER  2012 7" xfId="992"/>
    <cellStyle name=",_KOPRA  OKTOBER  2012 8" xfId="993"/>
    <cellStyle name=",_KOPRA  OKTOBER  2012 9" xfId="994"/>
    <cellStyle name=",_KOPRA  OKTOBER  2012_KOPRA APRIL  2013" xfId="995"/>
    <cellStyle name=",_KOPRA  OKTOBER  2012_KOPRA FEBRUARI  2013" xfId="50"/>
    <cellStyle name=",_KOPRA  OKTOBER  2012_KOPRA FEBRUARI  2013 2" xfId="996"/>
    <cellStyle name=",_KOPRA  OKTOBER  2012_KOPRA FEBRUARI  2013 3" xfId="997"/>
    <cellStyle name=",_KOPRA  OKTOBER  2012_KOPRA FEBRUARI  2013 4" xfId="998"/>
    <cellStyle name=",_KOPRA  OKTOBER  2012_KOPRA FEBRUARI  2013 5" xfId="999"/>
    <cellStyle name=",_KOPRA  OKTOBER  2012_KOPRA FEBRUARI  2013 6" xfId="1000"/>
    <cellStyle name=",_KOPRA  OKTOBER  2012_KOPRA JANUARI  2013" xfId="1001"/>
    <cellStyle name=",_KOPRA  OKTOBER  2012_KOPRA JANUARI 2014" xfId="1002"/>
    <cellStyle name=",_KOPRA  OKTOBER  2012_KOPRA MARET  2013" xfId="1003"/>
    <cellStyle name=",_KOPRA  OKTOBER  2012_KOPRA NOVEMBER 2013" xfId="1004"/>
    <cellStyle name=",_KOPRA  Sept 2011" xfId="1005"/>
    <cellStyle name=",_KOPRA  SEPTEMBER  2012." xfId="1006"/>
    <cellStyle name=",_KOPRA 31 JULI  2012(OK)" xfId="1007"/>
    <cellStyle name=",_KOPRA APRIL  2013" xfId="1008"/>
    <cellStyle name=",_KOPRA DES  2011" xfId="1009"/>
    <cellStyle name=",_KOPRA Feb  2012" xfId="1010"/>
    <cellStyle name=",_KOPRA FEBRUARI  2013" xfId="51"/>
    <cellStyle name=",_KOPRA FEBRUARI  2013 2" xfId="1011"/>
    <cellStyle name=",_KOPRA FEBRUARI  2013 3" xfId="1012"/>
    <cellStyle name=",_KOPRA FEBRUARI  2013 4" xfId="1013"/>
    <cellStyle name=",_KOPRA FEBRUARI  2013 5" xfId="1014"/>
    <cellStyle name=",_KOPRA FEBRUARI  2013 6" xfId="1015"/>
    <cellStyle name=",_KOPRA FEBRUARI  2013_KOPRA APRIL  2013" xfId="1016"/>
    <cellStyle name=",_KOPRA JANUARI  2013" xfId="1017"/>
    <cellStyle name=",_KOPRA JANUARI 2014" xfId="1018"/>
    <cellStyle name=",_KOPRA January2012" xfId="1019"/>
    <cellStyle name=",_KOPRA MARET  2013" xfId="1020"/>
    <cellStyle name=",_KOPRA NOVEMBER 2013" xfId="1021"/>
    <cellStyle name=",_PT ISK TGL 28  JUNI 2012" xfId="52"/>
    <cellStyle name=",_PT ISK TGL 28  JUNI 2012 2" xfId="1022"/>
    <cellStyle name=",_PT ISK TGL 28  JUNI 2012 3" xfId="1023"/>
    <cellStyle name=",_PT ISK TGL 28  JUNI 2012 4" xfId="1024"/>
    <cellStyle name=",_PT ISK TGL 28  JUNI 2012 5" xfId="1025"/>
    <cellStyle name=",_PT ISK TGL 28  JUNI 2012 6" xfId="1026"/>
    <cellStyle name=",_PT.ISK TGL 27  JUNI 2012" xfId="53"/>
    <cellStyle name=",_PT.ISK TGL 27  JUNI 2012 2" xfId="1027"/>
    <cellStyle name=",_PT.ISK TGL 27  JUNI 2012 3" xfId="1028"/>
    <cellStyle name=",_PT.ISK TGL 27  JUNI 2012 4" xfId="1029"/>
    <cellStyle name=",_PT.ISK TGL 27  JUNI 2012 5" xfId="1030"/>
    <cellStyle name=",_PT.ISK TGL 27  JUNI 2012 6" xfId="1031"/>
    <cellStyle name=",_PT.ISK TGL 28  JUNI 2012" xfId="54"/>
    <cellStyle name=",_PT.ISK TGL 28  JUNI 2012 2" xfId="1032"/>
    <cellStyle name=",_PT.ISK TGL 28  JUNI 2012 3" xfId="1033"/>
    <cellStyle name=",_PT.ISK TGL 28  JUNI 2012 4" xfId="1034"/>
    <cellStyle name=",_PT.ISK TGL 28  JUNI 2012 5" xfId="1035"/>
    <cellStyle name=",_PT.ISK TGL 28  JUNI 2012 6" xfId="1036"/>
    <cellStyle name=",_TIMBANGAN2" xfId="55"/>
    <cellStyle name=",_TIMBANGAN2 2" xfId="1037"/>
    <cellStyle name=",_TIMBANGAN2 3" xfId="1038"/>
    <cellStyle name=",_TIMBANGAN2 4" xfId="1039"/>
    <cellStyle name=",_TIMBANGAN2 5" xfId="1040"/>
    <cellStyle name=",_TIMBANGAN2 6" xfId="1041"/>
    <cellStyle name=",_Upah Bongkar  TBS ~ MARET 2011" xfId="56"/>
    <cellStyle name=",_Upah Bongkar  TBS ~ MARET 2011 10" xfId="1042"/>
    <cellStyle name=",_Upah Bongkar  TBS ~ MARET 2011 11" xfId="1043"/>
    <cellStyle name=",_Upah Bongkar  TBS ~ MARET 2011 12" xfId="1044"/>
    <cellStyle name=",_Upah Bongkar  TBS ~ MARET 2011 13" xfId="1045"/>
    <cellStyle name=",_Upah Bongkar  TBS ~ MARET 2011 14" xfId="1046"/>
    <cellStyle name=",_Upah Bongkar  TBS ~ MARET 2011 15" xfId="1047"/>
    <cellStyle name=",_Upah Bongkar  TBS ~ MARET 2011 16" xfId="1048"/>
    <cellStyle name=",_Upah Bongkar  TBS ~ MARET 2011 17" xfId="1049"/>
    <cellStyle name=",_Upah Bongkar  TBS ~ MARET 2011 18" xfId="1050"/>
    <cellStyle name=",_Upah Bongkar  TBS ~ MARET 2011 19" xfId="1051"/>
    <cellStyle name=",_Upah Bongkar  TBS ~ MARET 2011 2" xfId="57"/>
    <cellStyle name=",_Upah Bongkar  TBS ~ MARET 2011 2 2" xfId="1052"/>
    <cellStyle name=",_Upah Bongkar  TBS ~ MARET 2011 2 3" xfId="1053"/>
    <cellStyle name=",_Upah Bongkar  TBS ~ MARET 2011 2 4" xfId="1054"/>
    <cellStyle name=",_Upah Bongkar  TBS ~ MARET 2011 2 5" xfId="1055"/>
    <cellStyle name=",_Upah Bongkar  TBS ~ MARET 2011 2 6" xfId="1056"/>
    <cellStyle name=",_Upah Bongkar  TBS ~ MARET 2011 20" xfId="1057"/>
    <cellStyle name=",_Upah Bongkar  TBS ~ MARET 2011 21" xfId="1058"/>
    <cellStyle name=",_Upah Bongkar  TBS ~ MARET 2011 22" xfId="1059"/>
    <cellStyle name=",_Upah Bongkar  TBS ~ MARET 2011 23" xfId="1060"/>
    <cellStyle name=",_Upah Bongkar  TBS ~ MARET 2011 24" xfId="1061"/>
    <cellStyle name=",_Upah Bongkar  TBS ~ MARET 2011 25" xfId="1062"/>
    <cellStyle name=",_Upah Bongkar  TBS ~ MARET 2011 26" xfId="1063"/>
    <cellStyle name=",_Upah Bongkar  TBS ~ MARET 2011 27" xfId="1064"/>
    <cellStyle name=",_Upah Bongkar  TBS ~ MARET 2011 28" xfId="1065"/>
    <cellStyle name=",_Upah Bongkar  TBS ~ MARET 2011 29" xfId="1066"/>
    <cellStyle name=",_Upah Bongkar  TBS ~ MARET 2011 3" xfId="58"/>
    <cellStyle name=",_Upah Bongkar  TBS ~ MARET 2011 3 2" xfId="1067"/>
    <cellStyle name=",_Upah Bongkar  TBS ~ MARET 2011 3 3" xfId="1068"/>
    <cellStyle name=",_Upah Bongkar  TBS ~ MARET 2011 3 4" xfId="1069"/>
    <cellStyle name=",_Upah Bongkar  TBS ~ MARET 2011 3 5" xfId="1070"/>
    <cellStyle name=",_Upah Bongkar  TBS ~ MARET 2011 3 6" xfId="1071"/>
    <cellStyle name=",_Upah Bongkar  TBS ~ MARET 2011 30" xfId="1072"/>
    <cellStyle name=",_Upah Bongkar  TBS ~ MARET 2011 31" xfId="1073"/>
    <cellStyle name=",_Upah Bongkar  TBS ~ MARET 2011 32" xfId="1074"/>
    <cellStyle name=",_Upah Bongkar  TBS ~ MARET 2011 33" xfId="1075"/>
    <cellStyle name=",_Upah Bongkar  TBS ~ MARET 2011 34" xfId="1076"/>
    <cellStyle name=",_Upah Bongkar  TBS ~ MARET 2011 35" xfId="1077"/>
    <cellStyle name=",_Upah Bongkar  TBS ~ MARET 2011 36" xfId="1078"/>
    <cellStyle name=",_Upah Bongkar  TBS ~ MARET 2011 37" xfId="1079"/>
    <cellStyle name=",_Upah Bongkar  TBS ~ MARET 2011 38" xfId="1080"/>
    <cellStyle name=",_Upah Bongkar  TBS ~ MARET 2011 39" xfId="1081"/>
    <cellStyle name=",_Upah Bongkar  TBS ~ MARET 2011 4" xfId="59"/>
    <cellStyle name=",_Upah Bongkar  TBS ~ MARET 2011 4 2" xfId="1082"/>
    <cellStyle name=",_Upah Bongkar  TBS ~ MARET 2011 4 3" xfId="1083"/>
    <cellStyle name=",_Upah Bongkar  TBS ~ MARET 2011 4 4" xfId="1084"/>
    <cellStyle name=",_Upah Bongkar  TBS ~ MARET 2011 4 5" xfId="1085"/>
    <cellStyle name=",_Upah Bongkar  TBS ~ MARET 2011 4 6" xfId="1086"/>
    <cellStyle name=",_Upah Bongkar  TBS ~ MARET 2011 40" xfId="1087"/>
    <cellStyle name=",_Upah Bongkar  TBS ~ MARET 2011 41" xfId="1088"/>
    <cellStyle name=",_Upah Bongkar  TBS ~ MARET 2011 42" xfId="1089"/>
    <cellStyle name=",_Upah Bongkar  TBS ~ MARET 2011 5" xfId="60"/>
    <cellStyle name=",_Upah Bongkar  TBS ~ MARET 2011 5 2" xfId="1090"/>
    <cellStyle name=",_Upah Bongkar  TBS ~ MARET 2011 5 3" xfId="1091"/>
    <cellStyle name=",_Upah Bongkar  TBS ~ MARET 2011 5 4" xfId="1092"/>
    <cellStyle name=",_Upah Bongkar  TBS ~ MARET 2011 5 5" xfId="1093"/>
    <cellStyle name=",_Upah Bongkar  TBS ~ MARET 2011 5 6" xfId="1094"/>
    <cellStyle name=",_Upah Bongkar  TBS ~ MARET 2011 6" xfId="61"/>
    <cellStyle name=",_Upah Bongkar  TBS ~ MARET 2011 6 2" xfId="1095"/>
    <cellStyle name=",_Upah Bongkar  TBS ~ MARET 2011 6 3" xfId="1096"/>
    <cellStyle name=",_Upah Bongkar  TBS ~ MARET 2011 6 4" xfId="1097"/>
    <cellStyle name=",_Upah Bongkar  TBS ~ MARET 2011 6 5" xfId="1098"/>
    <cellStyle name=",_Upah Bongkar  TBS ~ MARET 2011 6 6" xfId="1099"/>
    <cellStyle name=",_Upah Bongkar  TBS ~ MARET 2011 7" xfId="62"/>
    <cellStyle name=",_Upah Bongkar  TBS ~ MARET 2011 7 2" xfId="1100"/>
    <cellStyle name=",_Upah Bongkar  TBS ~ MARET 2011 7 3" xfId="1101"/>
    <cellStyle name=",_Upah Bongkar  TBS ~ MARET 2011 7 4" xfId="1102"/>
    <cellStyle name=",_Upah Bongkar  TBS ~ MARET 2011 7 5" xfId="1103"/>
    <cellStyle name=",_Upah Bongkar  TBS ~ MARET 2011 7 6" xfId="1104"/>
    <cellStyle name=",_Upah Bongkar  TBS ~ MARET 2011 8" xfId="63"/>
    <cellStyle name=",_Upah Bongkar  TBS ~ MARET 2011 8 2" xfId="1105"/>
    <cellStyle name=",_Upah Bongkar  TBS ~ MARET 2011 8 3" xfId="1106"/>
    <cellStyle name=",_Upah Bongkar  TBS ~ MARET 2011 8 4" xfId="1107"/>
    <cellStyle name=",_Upah Bongkar  TBS ~ MARET 2011 8 5" xfId="1108"/>
    <cellStyle name=",_Upah Bongkar  TBS ~ MARET 2011 8 6" xfId="1109"/>
    <cellStyle name=",_Upah Bongkar  TBS ~ MARET 2011 9" xfId="64"/>
    <cellStyle name=",_Upah Bongkar  TBS ~ MARET 2011 9 2" xfId="1110"/>
    <cellStyle name=",_Upah Bongkar  TBS ~ MARET 2011 9 3" xfId="1111"/>
    <cellStyle name=",_Upah Bongkar  TBS ~ MARET 2011 9 4" xfId="1112"/>
    <cellStyle name=",_Upah Bongkar  TBS ~ MARET 2011 9 5" xfId="1113"/>
    <cellStyle name=",_Upah Bongkar  TBS ~ MARET 2011 9 6" xfId="1114"/>
    <cellStyle name=",_Upah Bongkar  TBS ~ MARET 2011_ BYR " xfId="65"/>
    <cellStyle name=",_Upah Bongkar  TBS ~ MARET 2011_ BYR  2" xfId="1115"/>
    <cellStyle name=",_Upah Bongkar  TBS ~ MARET 2011_ BYR  3" xfId="1116"/>
    <cellStyle name=",_Upah Bongkar  TBS ~ MARET 2011_ BYR  4" xfId="1117"/>
    <cellStyle name=",_Upah Bongkar  TBS ~ MARET 2011_ BYR  5" xfId="1118"/>
    <cellStyle name=",_Upah Bongkar  TBS ~ MARET 2011_ BYR  6" xfId="1119"/>
    <cellStyle name=",_Upah Bongkar  TBS ~ MARET 2011_1" xfId="66"/>
    <cellStyle name=",_Upah Bongkar  TBS ~ MARET 2011_1 2" xfId="1120"/>
    <cellStyle name=",_Upah Bongkar  TBS ~ MARET 2011_1 3" xfId="1121"/>
    <cellStyle name=",_Upah Bongkar  TBS ~ MARET 2011_1 4" xfId="1122"/>
    <cellStyle name=",_Upah Bongkar  TBS ~ MARET 2011_1 5" xfId="1123"/>
    <cellStyle name=",_Upah Bongkar  TBS ~ MARET 2011_1 6" xfId="1124"/>
    <cellStyle name=",_Upah Bongkar  TBS ~ MARET 2011_ABRI TAUPAN" xfId="67"/>
    <cellStyle name=",_Upah Bongkar  TBS ~ MARET 2011_ABRI TAUPAN 2" xfId="1125"/>
    <cellStyle name=",_Upah Bongkar  TBS ~ MARET 2011_ABRI TAUPAN 3" xfId="1126"/>
    <cellStyle name=",_Upah Bongkar  TBS ~ MARET 2011_ABRI TAUPAN 4" xfId="1127"/>
    <cellStyle name=",_Upah Bongkar  TBS ~ MARET 2011_ABRI TAUPAN 5" xfId="1128"/>
    <cellStyle name=",_Upah Bongkar  TBS ~ MARET 2011_ABRI TAUPAN 6" xfId="1129"/>
    <cellStyle name=",_Upah Bongkar  TBS ~ MARET 2011_Copy of TIMBANGAN2" xfId="68"/>
    <cellStyle name=",_Upah Bongkar  TBS ~ MARET 2011_Copy of TIMBANGAN2 2" xfId="1130"/>
    <cellStyle name=",_Upah Bongkar  TBS ~ MARET 2011_Copy of TIMBANGAN2 3" xfId="1131"/>
    <cellStyle name=",_Upah Bongkar  TBS ~ MARET 2011_Copy of TIMBANGAN2 4" xfId="1132"/>
    <cellStyle name=",_Upah Bongkar  TBS ~ MARET 2011_Copy of TIMBANGAN2 5" xfId="1133"/>
    <cellStyle name=",_Upah Bongkar  TBS ~ MARET 2011_Copy of TIMBANGAN2 6" xfId="1134"/>
    <cellStyle name=",_Upah Bongkar  TBS ~ MARET 2011_ISK( 20 JANUARI 2014)" xfId="1135"/>
    <cellStyle name=",_Upah Bongkar  TBS ~ MARET 2011_KOPRA  JULI  2012" xfId="69"/>
    <cellStyle name=",_Upah Bongkar  TBS ~ MARET 2011_KOPRA  JULI  2012 2" xfId="1136"/>
    <cellStyle name=",_Upah Bongkar  TBS ~ MARET 2011_KOPRA  JULI  2012 3" xfId="1137"/>
    <cellStyle name=",_Upah Bongkar  TBS ~ MARET 2011_KOPRA  JULI  2012 4" xfId="1138"/>
    <cellStyle name=",_Upah Bongkar  TBS ~ MARET 2011_KOPRA  JULI  2012 5" xfId="1139"/>
    <cellStyle name=",_Upah Bongkar  TBS ~ MARET 2011_KOPRA  JULI  2012 6" xfId="1140"/>
    <cellStyle name=",_Upah Bongkar  TBS ~ MARET 2011_KOPRA  JULI  2012_1" xfId="70"/>
    <cellStyle name=",_Upah Bongkar  TBS ~ MARET 2011_KOPRA  JULI  2012_1 2" xfId="1141"/>
    <cellStyle name=",_Upah Bongkar  TBS ~ MARET 2011_KOPRA  JULI  2012_1 3" xfId="1142"/>
    <cellStyle name=",_Upah Bongkar  TBS ~ MARET 2011_KOPRA  JULI  2012_1 4" xfId="1143"/>
    <cellStyle name=",_Upah Bongkar  TBS ~ MARET 2011_KOPRA  JULI  2012_1 5" xfId="1144"/>
    <cellStyle name=",_Upah Bongkar  TBS ~ MARET 2011_KOPRA  JULI  2012_1 6" xfId="1145"/>
    <cellStyle name=",_Upah Bongkar  TBS ~ MARET 2011_KOPRA  JULI  2012_1 7" xfId="1146"/>
    <cellStyle name=",_Upah Bongkar  TBS ~ MARET 2011_KOPRA  JULI  2012_1 8" xfId="1147"/>
    <cellStyle name=",_Upah Bongkar  TBS ~ MARET 2011_KOPRA  JULI  2012_1 9" xfId="1148"/>
    <cellStyle name=",_Upah Bongkar  TBS ~ MARET 2011_KOPRA  JULI  2012_1_KOPRA  OKTOBER  2012" xfId="71"/>
    <cellStyle name=",_Upah Bongkar  TBS ~ MARET 2011_KOPRA  JULI  2012_1_KOPRA  OKTOBER  2012 2" xfId="1149"/>
    <cellStyle name=",_Upah Bongkar  TBS ~ MARET 2011_KOPRA  JULI  2012_1_KOPRA  OKTOBER  2012 3" xfId="1150"/>
    <cellStyle name=",_Upah Bongkar  TBS ~ MARET 2011_KOPRA  JULI  2012_1_KOPRA  OKTOBER  2012 4" xfId="1151"/>
    <cellStyle name=",_Upah Bongkar  TBS ~ MARET 2011_KOPRA  JULI  2012_1_KOPRA  OKTOBER  2012 5" xfId="1152"/>
    <cellStyle name=",_Upah Bongkar  TBS ~ MARET 2011_KOPRA  JULI  2012_1_KOPRA  OKTOBER  2012 6" xfId="1153"/>
    <cellStyle name=",_Upah Bongkar  TBS ~ MARET 2011_KOPRA  JULI  2012_1_KOPRA FEBRUARI  2013" xfId="72"/>
    <cellStyle name=",_Upah Bongkar  TBS ~ MARET 2011_KOPRA  JULI  2012_1_KOPRA FEBRUARI  2013 2" xfId="1154"/>
    <cellStyle name=",_Upah Bongkar  TBS ~ MARET 2011_KOPRA  JULI  2012_1_KOPRA FEBRUARI  2013 3" xfId="1155"/>
    <cellStyle name=",_Upah Bongkar  TBS ~ MARET 2011_KOPRA  JULI  2012_1_KOPRA FEBRUARI  2013 4" xfId="1156"/>
    <cellStyle name=",_Upah Bongkar  TBS ~ MARET 2011_KOPRA  JULI  2012_1_KOPRA FEBRUARI  2013 5" xfId="1157"/>
    <cellStyle name=",_Upah Bongkar  TBS ~ MARET 2011_KOPRA  JULI  2012_1_KOPRA FEBRUARI  2013 6" xfId="1158"/>
    <cellStyle name=",_Upah Bongkar  TBS ~ MARET 2011_KOPRA  JULI  2012_1_KOPRA JANUARI 2014" xfId="1159"/>
    <cellStyle name=",_Upah Bongkar  TBS ~ MARET 2011_KOPRA  JULI  2012_1_KOPRA NOVEMBER 2013" xfId="1160"/>
    <cellStyle name=",_Upah Bongkar  TBS ~ MARET 2011_KOPRA  JUNI  2012" xfId="73"/>
    <cellStyle name=",_Upah Bongkar  TBS ~ MARET 2011_KOPRA  JUNI  2012 2" xfId="1161"/>
    <cellStyle name=",_Upah Bongkar  TBS ~ MARET 2011_KOPRA  JUNI  2012 3" xfId="1162"/>
    <cellStyle name=",_Upah Bongkar  TBS ~ MARET 2011_KOPRA  JUNI  2012 4" xfId="1163"/>
    <cellStyle name=",_Upah Bongkar  TBS ~ MARET 2011_KOPRA  JUNI  2012 5" xfId="1164"/>
    <cellStyle name=",_Upah Bongkar  TBS ~ MARET 2011_KOPRA  JUNI  2012 6" xfId="1165"/>
    <cellStyle name=",_Upah Bongkar  TBS ~ MARET 2011_KOPRA  JUNI  2012_1" xfId="74"/>
    <cellStyle name=",_Upah Bongkar  TBS ~ MARET 2011_KOPRA  JUNI  2012_1 10" xfId="1166"/>
    <cellStyle name=",_Upah Bongkar  TBS ~ MARET 2011_KOPRA  JUNI  2012_1 11" xfId="1167"/>
    <cellStyle name=",_Upah Bongkar  TBS ~ MARET 2011_KOPRA  JUNI  2012_1 12" xfId="1168"/>
    <cellStyle name=",_Upah Bongkar  TBS ~ MARET 2011_KOPRA  JUNI  2012_1 13" xfId="1169"/>
    <cellStyle name=",_Upah Bongkar  TBS ~ MARET 2011_KOPRA  JUNI  2012_1 14" xfId="1170"/>
    <cellStyle name=",_Upah Bongkar  TBS ~ MARET 2011_KOPRA  JUNI  2012_1 15" xfId="1171"/>
    <cellStyle name=",_Upah Bongkar  TBS ~ MARET 2011_KOPRA  JUNI  2012_1 16" xfId="1172"/>
    <cellStyle name=",_Upah Bongkar  TBS ~ MARET 2011_KOPRA  JUNI  2012_1 17" xfId="1173"/>
    <cellStyle name=",_Upah Bongkar  TBS ~ MARET 2011_KOPRA  JUNI  2012_1 18" xfId="1174"/>
    <cellStyle name=",_Upah Bongkar  TBS ~ MARET 2011_KOPRA  JUNI  2012_1 19" xfId="1175"/>
    <cellStyle name=",_Upah Bongkar  TBS ~ MARET 2011_KOPRA  JUNI  2012_1 2" xfId="75"/>
    <cellStyle name=",_Upah Bongkar  TBS ~ MARET 2011_KOPRA  JUNI  2012_1 2 2" xfId="1176"/>
    <cellStyle name=",_Upah Bongkar  TBS ~ MARET 2011_KOPRA  JUNI  2012_1 2 3" xfId="1177"/>
    <cellStyle name=",_Upah Bongkar  TBS ~ MARET 2011_KOPRA  JUNI  2012_1 2 4" xfId="1178"/>
    <cellStyle name=",_Upah Bongkar  TBS ~ MARET 2011_KOPRA  JUNI  2012_1 2 5" xfId="1179"/>
    <cellStyle name=",_Upah Bongkar  TBS ~ MARET 2011_KOPRA  JUNI  2012_1 2 6" xfId="1180"/>
    <cellStyle name=",_Upah Bongkar  TBS ~ MARET 2011_KOPRA  JUNI  2012_1 20" xfId="1181"/>
    <cellStyle name=",_Upah Bongkar  TBS ~ MARET 2011_KOPRA  JUNI  2012_1 21" xfId="1182"/>
    <cellStyle name=",_Upah Bongkar  TBS ~ MARET 2011_KOPRA  JUNI  2012_1 22" xfId="1183"/>
    <cellStyle name=",_Upah Bongkar  TBS ~ MARET 2011_KOPRA  JUNI  2012_1 23" xfId="1184"/>
    <cellStyle name=",_Upah Bongkar  TBS ~ MARET 2011_KOPRA  JUNI  2012_1 24" xfId="1185"/>
    <cellStyle name=",_Upah Bongkar  TBS ~ MARET 2011_KOPRA  JUNI  2012_1 25" xfId="1186"/>
    <cellStyle name=",_Upah Bongkar  TBS ~ MARET 2011_KOPRA  JUNI  2012_1 26" xfId="1187"/>
    <cellStyle name=",_Upah Bongkar  TBS ~ MARET 2011_KOPRA  JUNI  2012_1 27" xfId="1188"/>
    <cellStyle name=",_Upah Bongkar  TBS ~ MARET 2011_KOPRA  JUNI  2012_1 28" xfId="1189"/>
    <cellStyle name=",_Upah Bongkar  TBS ~ MARET 2011_KOPRA  JUNI  2012_1 29" xfId="1190"/>
    <cellStyle name=",_Upah Bongkar  TBS ~ MARET 2011_KOPRA  JUNI  2012_1 3" xfId="76"/>
    <cellStyle name=",_Upah Bongkar  TBS ~ MARET 2011_KOPRA  JUNI  2012_1 3 2" xfId="1191"/>
    <cellStyle name=",_Upah Bongkar  TBS ~ MARET 2011_KOPRA  JUNI  2012_1 3 3" xfId="1192"/>
    <cellStyle name=",_Upah Bongkar  TBS ~ MARET 2011_KOPRA  JUNI  2012_1 3 4" xfId="1193"/>
    <cellStyle name=",_Upah Bongkar  TBS ~ MARET 2011_KOPRA  JUNI  2012_1 3 5" xfId="1194"/>
    <cellStyle name=",_Upah Bongkar  TBS ~ MARET 2011_KOPRA  JUNI  2012_1 3 6" xfId="1195"/>
    <cellStyle name=",_Upah Bongkar  TBS ~ MARET 2011_KOPRA  JUNI  2012_1 30" xfId="1196"/>
    <cellStyle name=",_Upah Bongkar  TBS ~ MARET 2011_KOPRA  JUNI  2012_1 31" xfId="1197"/>
    <cellStyle name=",_Upah Bongkar  TBS ~ MARET 2011_KOPRA  JUNI  2012_1 32" xfId="1198"/>
    <cellStyle name=",_Upah Bongkar  TBS ~ MARET 2011_KOPRA  JUNI  2012_1 33" xfId="1199"/>
    <cellStyle name=",_Upah Bongkar  TBS ~ MARET 2011_KOPRA  JUNI  2012_1 34" xfId="1200"/>
    <cellStyle name=",_Upah Bongkar  TBS ~ MARET 2011_KOPRA  JUNI  2012_1 35" xfId="1201"/>
    <cellStyle name=",_Upah Bongkar  TBS ~ MARET 2011_KOPRA  JUNI  2012_1 36" xfId="1202"/>
    <cellStyle name=",_Upah Bongkar  TBS ~ MARET 2011_KOPRA  JUNI  2012_1 37" xfId="1203"/>
    <cellStyle name=",_Upah Bongkar  TBS ~ MARET 2011_KOPRA  JUNI  2012_1 38" xfId="1204"/>
    <cellStyle name=",_Upah Bongkar  TBS ~ MARET 2011_KOPRA  JUNI  2012_1 39" xfId="1205"/>
    <cellStyle name=",_Upah Bongkar  TBS ~ MARET 2011_KOPRA  JUNI  2012_1 4" xfId="77"/>
    <cellStyle name=",_Upah Bongkar  TBS ~ MARET 2011_KOPRA  JUNI  2012_1 4 2" xfId="1206"/>
    <cellStyle name=",_Upah Bongkar  TBS ~ MARET 2011_KOPRA  JUNI  2012_1 4 3" xfId="1207"/>
    <cellStyle name=",_Upah Bongkar  TBS ~ MARET 2011_KOPRA  JUNI  2012_1 4 4" xfId="1208"/>
    <cellStyle name=",_Upah Bongkar  TBS ~ MARET 2011_KOPRA  JUNI  2012_1 4 5" xfId="1209"/>
    <cellStyle name=",_Upah Bongkar  TBS ~ MARET 2011_KOPRA  JUNI  2012_1 4 6" xfId="1210"/>
    <cellStyle name=",_Upah Bongkar  TBS ~ MARET 2011_KOPRA  JUNI  2012_1 40" xfId="1211"/>
    <cellStyle name=",_Upah Bongkar  TBS ~ MARET 2011_KOPRA  JUNI  2012_1 41" xfId="1212"/>
    <cellStyle name=",_Upah Bongkar  TBS ~ MARET 2011_KOPRA  JUNI  2012_1 42" xfId="1213"/>
    <cellStyle name=",_Upah Bongkar  TBS ~ MARET 2011_KOPRA  JUNI  2012_1 5" xfId="78"/>
    <cellStyle name=",_Upah Bongkar  TBS ~ MARET 2011_KOPRA  JUNI  2012_1 5 2" xfId="1214"/>
    <cellStyle name=",_Upah Bongkar  TBS ~ MARET 2011_KOPRA  JUNI  2012_1 5 3" xfId="1215"/>
    <cellStyle name=",_Upah Bongkar  TBS ~ MARET 2011_KOPRA  JUNI  2012_1 5 4" xfId="1216"/>
    <cellStyle name=",_Upah Bongkar  TBS ~ MARET 2011_KOPRA  JUNI  2012_1 5 5" xfId="1217"/>
    <cellStyle name=",_Upah Bongkar  TBS ~ MARET 2011_KOPRA  JUNI  2012_1 5 6" xfId="1218"/>
    <cellStyle name=",_Upah Bongkar  TBS ~ MARET 2011_KOPRA  JUNI  2012_1 6" xfId="79"/>
    <cellStyle name=",_Upah Bongkar  TBS ~ MARET 2011_KOPRA  JUNI  2012_1 6 2" xfId="1219"/>
    <cellStyle name=",_Upah Bongkar  TBS ~ MARET 2011_KOPRA  JUNI  2012_1 6 3" xfId="1220"/>
    <cellStyle name=",_Upah Bongkar  TBS ~ MARET 2011_KOPRA  JUNI  2012_1 6 4" xfId="1221"/>
    <cellStyle name=",_Upah Bongkar  TBS ~ MARET 2011_KOPRA  JUNI  2012_1 6 5" xfId="1222"/>
    <cellStyle name=",_Upah Bongkar  TBS ~ MARET 2011_KOPRA  JUNI  2012_1 6 6" xfId="1223"/>
    <cellStyle name=",_Upah Bongkar  TBS ~ MARET 2011_KOPRA  JUNI  2012_1 7" xfId="80"/>
    <cellStyle name=",_Upah Bongkar  TBS ~ MARET 2011_KOPRA  JUNI  2012_1 7 2" xfId="1224"/>
    <cellStyle name=",_Upah Bongkar  TBS ~ MARET 2011_KOPRA  JUNI  2012_1 7 3" xfId="1225"/>
    <cellStyle name=",_Upah Bongkar  TBS ~ MARET 2011_KOPRA  JUNI  2012_1 7 4" xfId="1226"/>
    <cellStyle name=",_Upah Bongkar  TBS ~ MARET 2011_KOPRA  JUNI  2012_1 7 5" xfId="1227"/>
    <cellStyle name=",_Upah Bongkar  TBS ~ MARET 2011_KOPRA  JUNI  2012_1 7 6" xfId="1228"/>
    <cellStyle name=",_Upah Bongkar  TBS ~ MARET 2011_KOPRA  JUNI  2012_1 8" xfId="81"/>
    <cellStyle name=",_Upah Bongkar  TBS ~ MARET 2011_KOPRA  JUNI  2012_1 8 2" xfId="1229"/>
    <cellStyle name=",_Upah Bongkar  TBS ~ MARET 2011_KOPRA  JUNI  2012_1 8 3" xfId="1230"/>
    <cellStyle name=",_Upah Bongkar  TBS ~ MARET 2011_KOPRA  JUNI  2012_1 8 4" xfId="1231"/>
    <cellStyle name=",_Upah Bongkar  TBS ~ MARET 2011_KOPRA  JUNI  2012_1 8 5" xfId="1232"/>
    <cellStyle name=",_Upah Bongkar  TBS ~ MARET 2011_KOPRA  JUNI  2012_1 8 6" xfId="1233"/>
    <cellStyle name=",_Upah Bongkar  TBS ~ MARET 2011_KOPRA  JUNI  2012_1 9" xfId="82"/>
    <cellStyle name=",_Upah Bongkar  TBS ~ MARET 2011_KOPRA  JUNI  2012_1 9 2" xfId="1234"/>
    <cellStyle name=",_Upah Bongkar  TBS ~ MARET 2011_KOPRA  JUNI  2012_1 9 3" xfId="1235"/>
    <cellStyle name=",_Upah Bongkar  TBS ~ MARET 2011_KOPRA  JUNI  2012_1 9 4" xfId="1236"/>
    <cellStyle name=",_Upah Bongkar  TBS ~ MARET 2011_KOPRA  JUNI  2012_1 9 5" xfId="1237"/>
    <cellStyle name=",_Upah Bongkar  TBS ~ MARET 2011_KOPRA  JUNI  2012_1 9 6" xfId="1238"/>
    <cellStyle name=",_Upah Bongkar  TBS ~ MARET 2011_KOPRA  JUNI  2012_1_ BYR " xfId="83"/>
    <cellStyle name=",_Upah Bongkar  TBS ~ MARET 2011_KOPRA  JUNI  2012_1_ BYR  2" xfId="1239"/>
    <cellStyle name=",_Upah Bongkar  TBS ~ MARET 2011_KOPRA  JUNI  2012_1_ BYR  3" xfId="1240"/>
    <cellStyle name=",_Upah Bongkar  TBS ~ MARET 2011_KOPRA  JUNI  2012_1_ BYR  4" xfId="1241"/>
    <cellStyle name=",_Upah Bongkar  TBS ~ MARET 2011_KOPRA  JUNI  2012_1_ BYR  5" xfId="1242"/>
    <cellStyle name=",_Upah Bongkar  TBS ~ MARET 2011_KOPRA  JUNI  2012_1_ BYR  6" xfId="1243"/>
    <cellStyle name=",_Upah Bongkar  TBS ~ MARET 2011_KOPRA  JUNI  2012_1_1" xfId="84"/>
    <cellStyle name=",_Upah Bongkar  TBS ~ MARET 2011_KOPRA  JUNI  2012_1_1 2" xfId="1244"/>
    <cellStyle name=",_Upah Bongkar  TBS ~ MARET 2011_KOPRA  JUNI  2012_1_1 3" xfId="1245"/>
    <cellStyle name=",_Upah Bongkar  TBS ~ MARET 2011_KOPRA  JUNI  2012_1_1 4" xfId="1246"/>
    <cellStyle name=",_Upah Bongkar  TBS ~ MARET 2011_KOPRA  JUNI  2012_1_1 5" xfId="1247"/>
    <cellStyle name=",_Upah Bongkar  TBS ~ MARET 2011_KOPRA  JUNI  2012_1_1 6" xfId="1248"/>
    <cellStyle name=",_Upah Bongkar  TBS ~ MARET 2011_KOPRA  JUNI  2012_1_14 JULI  KB PETAK" xfId="447"/>
    <cellStyle name=",_Upah Bongkar  TBS ~ MARET 2011_KOPRA  JUNI  2012_1_ABRI TAUPAN" xfId="85"/>
    <cellStyle name=",_Upah Bongkar  TBS ~ MARET 2011_KOPRA  JUNI  2012_1_ABRI TAUPAN 2" xfId="1249"/>
    <cellStyle name=",_Upah Bongkar  TBS ~ MARET 2011_KOPRA  JUNI  2012_1_ABRI TAUPAN 3" xfId="1250"/>
    <cellStyle name=",_Upah Bongkar  TBS ~ MARET 2011_KOPRA  JUNI  2012_1_ABRI TAUPAN 4" xfId="1251"/>
    <cellStyle name=",_Upah Bongkar  TBS ~ MARET 2011_KOPRA  JUNI  2012_1_ABRI TAUPAN 5" xfId="1252"/>
    <cellStyle name=",_Upah Bongkar  TBS ~ MARET 2011_KOPRA  JUNI  2012_1_ABRI TAUPAN 6" xfId="1253"/>
    <cellStyle name=",_Upah Bongkar  TBS ~ MARET 2011_KOPRA  JUNI  2012_1_BA AGUSTUS 2013" xfId="1254"/>
    <cellStyle name=",_Upah Bongkar  TBS ~ MARET 2011_KOPRA  JUNI  2012_1_Copy of TIMBANGAN2" xfId="86"/>
    <cellStyle name=",_Upah Bongkar  TBS ~ MARET 2011_KOPRA  JUNI  2012_1_Copy of TIMBANGAN2 2" xfId="1255"/>
    <cellStyle name=",_Upah Bongkar  TBS ~ MARET 2011_KOPRA  JUNI  2012_1_Copy of TIMBANGAN2 3" xfId="1256"/>
    <cellStyle name=",_Upah Bongkar  TBS ~ MARET 2011_KOPRA  JUNI  2012_1_Copy of TIMBANGAN2 4" xfId="1257"/>
    <cellStyle name=",_Upah Bongkar  TBS ~ MARET 2011_KOPRA  JUNI  2012_1_Copy of TIMBANGAN2 5" xfId="1258"/>
    <cellStyle name=",_Upah Bongkar  TBS ~ MARET 2011_KOPRA  JUNI  2012_1_Copy of TIMBANGAN2 6" xfId="1259"/>
    <cellStyle name=",_Upah Bongkar  TBS ~ MARET 2011_KOPRA  JUNI  2012_1_ISK( 20 JANUARI 2014)" xfId="1260"/>
    <cellStyle name=",_Upah Bongkar  TBS ~ MARET 2011_KOPRA  JUNI  2012_1_KOPRA  JULI  2012" xfId="87"/>
    <cellStyle name=",_Upah Bongkar  TBS ~ MARET 2011_KOPRA  JUNI  2012_1_KOPRA  JULI  2012 2" xfId="1261"/>
    <cellStyle name=",_Upah Bongkar  TBS ~ MARET 2011_KOPRA  JUNI  2012_1_KOPRA  JULI  2012 3" xfId="1262"/>
    <cellStyle name=",_Upah Bongkar  TBS ~ MARET 2011_KOPRA  JUNI  2012_1_KOPRA  JULI  2012 4" xfId="1263"/>
    <cellStyle name=",_Upah Bongkar  TBS ~ MARET 2011_KOPRA  JUNI  2012_1_KOPRA  JULI  2012 5" xfId="1264"/>
    <cellStyle name=",_Upah Bongkar  TBS ~ MARET 2011_KOPRA  JUNI  2012_1_KOPRA  JULI  2012 6" xfId="1265"/>
    <cellStyle name=",_Upah Bongkar  TBS ~ MARET 2011_KOPRA  JUNI  2012_1_KOPRA  JULI  2012_1" xfId="88"/>
    <cellStyle name=",_Upah Bongkar  TBS ~ MARET 2011_KOPRA  JUNI  2012_1_KOPRA  JULI  2012_1 2" xfId="1266"/>
    <cellStyle name=",_Upah Bongkar  TBS ~ MARET 2011_KOPRA  JUNI  2012_1_KOPRA  JULI  2012_1 3" xfId="1267"/>
    <cellStyle name=",_Upah Bongkar  TBS ~ MARET 2011_KOPRA  JUNI  2012_1_KOPRA  JULI  2012_1 4" xfId="1268"/>
    <cellStyle name=",_Upah Bongkar  TBS ~ MARET 2011_KOPRA  JUNI  2012_1_KOPRA  JULI  2012_1 5" xfId="1269"/>
    <cellStyle name=",_Upah Bongkar  TBS ~ MARET 2011_KOPRA  JUNI  2012_1_KOPRA  JULI  2012_1 6" xfId="1270"/>
    <cellStyle name=",_Upah Bongkar  TBS ~ MARET 2011_KOPRA  JUNI  2012_1_KOPRA  JULI  2012_1 7" xfId="1271"/>
    <cellStyle name=",_Upah Bongkar  TBS ~ MARET 2011_KOPRA  JUNI  2012_1_KOPRA  JULI  2012_1 8" xfId="1272"/>
    <cellStyle name=",_Upah Bongkar  TBS ~ MARET 2011_KOPRA  JUNI  2012_1_KOPRA  JULI  2012_1 9" xfId="1273"/>
    <cellStyle name=",_Upah Bongkar  TBS ~ MARET 2011_KOPRA  JUNI  2012_1_KOPRA  JULI  2012_1_KOPRA  OKTOBER  2012" xfId="89"/>
    <cellStyle name=",_Upah Bongkar  TBS ~ MARET 2011_KOPRA  JUNI  2012_1_KOPRA  JULI  2012_1_KOPRA  OKTOBER  2012 2" xfId="1274"/>
    <cellStyle name=",_Upah Bongkar  TBS ~ MARET 2011_KOPRA  JUNI  2012_1_KOPRA  JULI  2012_1_KOPRA  OKTOBER  2012 3" xfId="1275"/>
    <cellStyle name=",_Upah Bongkar  TBS ~ MARET 2011_KOPRA  JUNI  2012_1_KOPRA  JULI  2012_1_KOPRA  OKTOBER  2012 4" xfId="1276"/>
    <cellStyle name=",_Upah Bongkar  TBS ~ MARET 2011_KOPRA  JUNI  2012_1_KOPRA  JULI  2012_1_KOPRA  OKTOBER  2012 5" xfId="1277"/>
    <cellStyle name=",_Upah Bongkar  TBS ~ MARET 2011_KOPRA  JUNI  2012_1_KOPRA  JULI  2012_1_KOPRA  OKTOBER  2012 6" xfId="1278"/>
    <cellStyle name=",_Upah Bongkar  TBS ~ MARET 2011_KOPRA  JUNI  2012_1_KOPRA  JULI  2012_1_KOPRA FEBRUARI  2013" xfId="90"/>
    <cellStyle name=",_Upah Bongkar  TBS ~ MARET 2011_KOPRA  JUNI  2012_1_KOPRA  JULI  2012_1_KOPRA FEBRUARI  2013 2" xfId="1279"/>
    <cellStyle name=",_Upah Bongkar  TBS ~ MARET 2011_KOPRA  JUNI  2012_1_KOPRA  JULI  2012_1_KOPRA FEBRUARI  2013 3" xfId="1280"/>
    <cellStyle name=",_Upah Bongkar  TBS ~ MARET 2011_KOPRA  JUNI  2012_1_KOPRA  JULI  2012_1_KOPRA FEBRUARI  2013 4" xfId="1281"/>
    <cellStyle name=",_Upah Bongkar  TBS ~ MARET 2011_KOPRA  JUNI  2012_1_KOPRA  JULI  2012_1_KOPRA FEBRUARI  2013 5" xfId="1282"/>
    <cellStyle name=",_Upah Bongkar  TBS ~ MARET 2011_KOPRA  JUNI  2012_1_KOPRA  JULI  2012_1_KOPRA FEBRUARI  2013 6" xfId="1283"/>
    <cellStyle name=",_Upah Bongkar  TBS ~ MARET 2011_KOPRA  JUNI  2012_1_KOPRA  JULI  2012_1_KOPRA JANUARI 2014" xfId="1284"/>
    <cellStyle name=",_Upah Bongkar  TBS ~ MARET 2011_KOPRA  JUNI  2012_1_KOPRA  JULI  2012_1_KOPRA NOVEMBER 2013" xfId="1285"/>
    <cellStyle name=",_Upah Bongkar  TBS ~ MARET 2011_KOPRA  JUNI  2012_1_KOPRA  JUNI  2012" xfId="1286"/>
    <cellStyle name=",_Upah Bongkar  TBS ~ MARET 2011_KOPRA  JUNI  2012_1_KOPRA  OKTOBER  2012" xfId="91"/>
    <cellStyle name=",_Upah Bongkar  TBS ~ MARET 2011_KOPRA  JUNI  2012_1_KOPRA  OKTOBER  2012 2" xfId="1287"/>
    <cellStyle name=",_Upah Bongkar  TBS ~ MARET 2011_KOPRA  JUNI  2012_1_KOPRA  OKTOBER  2012 3" xfId="1288"/>
    <cellStyle name=",_Upah Bongkar  TBS ~ MARET 2011_KOPRA  JUNI  2012_1_KOPRA  OKTOBER  2012 4" xfId="1289"/>
    <cellStyle name=",_Upah Bongkar  TBS ~ MARET 2011_KOPRA  JUNI  2012_1_KOPRA  OKTOBER  2012 5" xfId="1290"/>
    <cellStyle name=",_Upah Bongkar  TBS ~ MARET 2011_KOPRA  JUNI  2012_1_KOPRA  OKTOBER  2012 6" xfId="1291"/>
    <cellStyle name=",_Upah Bongkar  TBS ~ MARET 2011_KOPRA  JUNI  2012_1_KOPRA  OKTOBER  2012 7" xfId="1292"/>
    <cellStyle name=",_Upah Bongkar  TBS ~ MARET 2011_KOPRA  JUNI  2012_1_KOPRA  OKTOBER  2012 8" xfId="1293"/>
    <cellStyle name=",_Upah Bongkar  TBS ~ MARET 2011_KOPRA  JUNI  2012_1_KOPRA  OKTOBER  2012 9" xfId="1294"/>
    <cellStyle name=",_Upah Bongkar  TBS ~ MARET 2011_KOPRA  JUNI  2012_1_KOPRA  OKTOBER  2012_KOPRA FEBRUARI  2013" xfId="92"/>
    <cellStyle name=",_Upah Bongkar  TBS ~ MARET 2011_KOPRA  JUNI  2012_1_KOPRA  OKTOBER  2012_KOPRA FEBRUARI  2013 2" xfId="1295"/>
    <cellStyle name=",_Upah Bongkar  TBS ~ MARET 2011_KOPRA  JUNI  2012_1_KOPRA  OKTOBER  2012_KOPRA FEBRUARI  2013 3" xfId="1296"/>
    <cellStyle name=",_Upah Bongkar  TBS ~ MARET 2011_KOPRA  JUNI  2012_1_KOPRA  OKTOBER  2012_KOPRA FEBRUARI  2013 4" xfId="1297"/>
    <cellStyle name=",_Upah Bongkar  TBS ~ MARET 2011_KOPRA  JUNI  2012_1_KOPRA  OKTOBER  2012_KOPRA FEBRUARI  2013 5" xfId="1298"/>
    <cellStyle name=",_Upah Bongkar  TBS ~ MARET 2011_KOPRA  JUNI  2012_1_KOPRA  OKTOBER  2012_KOPRA FEBRUARI  2013 6" xfId="1299"/>
    <cellStyle name=",_Upah Bongkar  TBS ~ MARET 2011_KOPRA  JUNI  2012_1_KOPRA  OKTOBER  2012_KOPRA JANUARI 2014" xfId="1300"/>
    <cellStyle name=",_Upah Bongkar  TBS ~ MARET 2011_KOPRA  JUNI  2012_1_KOPRA  OKTOBER  2012_KOPRA NOVEMBER 2013" xfId="1301"/>
    <cellStyle name=",_Upah Bongkar  TBS ~ MARET 2011_KOPRA  JUNI  2012_1_KOPRA FEBRUARI  2013" xfId="93"/>
    <cellStyle name=",_Upah Bongkar  TBS ~ MARET 2011_KOPRA  JUNI  2012_1_KOPRA FEBRUARI  2013 2" xfId="1302"/>
    <cellStyle name=",_Upah Bongkar  TBS ~ MARET 2011_KOPRA  JUNI  2012_1_KOPRA FEBRUARI  2013 3" xfId="1303"/>
    <cellStyle name=",_Upah Bongkar  TBS ~ MARET 2011_KOPRA  JUNI  2012_1_KOPRA FEBRUARI  2013 4" xfId="1304"/>
    <cellStyle name=",_Upah Bongkar  TBS ~ MARET 2011_KOPRA  JUNI  2012_1_KOPRA FEBRUARI  2013 5" xfId="1305"/>
    <cellStyle name=",_Upah Bongkar  TBS ~ MARET 2011_KOPRA  JUNI  2012_1_KOPRA FEBRUARI  2013 6" xfId="1306"/>
    <cellStyle name=",_Upah Bongkar  TBS ~ MARET 2011_KOPRA  JUNI  2012_1_KOPRA JANUARI 2014" xfId="1307"/>
    <cellStyle name=",_Upah Bongkar  TBS ~ MARET 2011_KOPRA  JUNI  2012_1_KOPRA NOVEMBER 2013" xfId="1308"/>
    <cellStyle name=",_Upah Bongkar  TBS ~ MARET 2011_KOPRA  JUNI  2012_1_PT ISK TGL 28  JUNI 2012" xfId="94"/>
    <cellStyle name=",_Upah Bongkar  TBS ~ MARET 2011_KOPRA  JUNI  2012_1_PT ISK TGL 28  JUNI 2012 2" xfId="1309"/>
    <cellStyle name=",_Upah Bongkar  TBS ~ MARET 2011_KOPRA  JUNI  2012_1_PT ISK TGL 28  JUNI 2012 3" xfId="1310"/>
    <cellStyle name=",_Upah Bongkar  TBS ~ MARET 2011_KOPRA  JUNI  2012_1_PT ISK TGL 28  JUNI 2012 4" xfId="1311"/>
    <cellStyle name=",_Upah Bongkar  TBS ~ MARET 2011_KOPRA  JUNI  2012_1_PT ISK TGL 28  JUNI 2012 5" xfId="1312"/>
    <cellStyle name=",_Upah Bongkar  TBS ~ MARET 2011_KOPRA  JUNI  2012_1_PT ISK TGL 28  JUNI 2012 6" xfId="1313"/>
    <cellStyle name=",_Upah Bongkar  TBS ~ MARET 2011_KOPRA  JUNI  2012_1_TIMBANGAN2" xfId="95"/>
    <cellStyle name=",_Upah Bongkar  TBS ~ MARET 2011_KOPRA  JUNI  2012_1_TIMBANGAN2 2" xfId="1314"/>
    <cellStyle name=",_Upah Bongkar  TBS ~ MARET 2011_KOPRA  JUNI  2012_1_TIMBANGAN2 3" xfId="1315"/>
    <cellStyle name=",_Upah Bongkar  TBS ~ MARET 2011_KOPRA  JUNI  2012_1_TIMBANGAN2 4" xfId="1316"/>
    <cellStyle name=",_Upah Bongkar  TBS ~ MARET 2011_KOPRA  JUNI  2012_1_TIMBANGAN2 5" xfId="1317"/>
    <cellStyle name=",_Upah Bongkar  TBS ~ MARET 2011_KOPRA  JUNI  2012_1_TIMBANGAN2 6" xfId="1318"/>
    <cellStyle name=",_Upah Bongkar  TBS ~ MARET 2011_KOPRA  JUNI  2012_2" xfId="1319"/>
    <cellStyle name=",_Upah Bongkar  TBS ~ MARET 2011_KOPRA  JUNI  2012_ARANG   JULI 2012" xfId="1320"/>
    <cellStyle name=",_Upah Bongkar  TBS ~ MARET 2011_KOPRA  JUNI  2012_ARANG AGUSTUS 2012" xfId="1321"/>
    <cellStyle name=",_Upah Bongkar  TBS ~ MARET 2011_KOPRA  JUNI  2012_BAHAN BAKU (09 JULI 2012)" xfId="96"/>
    <cellStyle name=",_Upah Bongkar  TBS ~ MARET 2011_KOPRA  JUNI  2012_BAHAN BAKU (09 JULI 2012) 2" xfId="1322"/>
    <cellStyle name=",_Upah Bongkar  TBS ~ MARET 2011_KOPRA  JUNI  2012_BAHAN BAKU (09 JULI 2012) 3" xfId="1323"/>
    <cellStyle name=",_Upah Bongkar  TBS ~ MARET 2011_KOPRA  JUNI  2012_BAHAN BAKU (09 JULI 2012) 4" xfId="1324"/>
    <cellStyle name=",_Upah Bongkar  TBS ~ MARET 2011_KOPRA  JUNI  2012_BAHAN BAKU (09 JULI 2012) 5" xfId="1325"/>
    <cellStyle name=",_Upah Bongkar  TBS ~ MARET 2011_KOPRA  JUNI  2012_BAHAN BAKU (09 JULI 2012) 6" xfId="1326"/>
    <cellStyle name=",_Upah Bongkar  TBS ~ MARET 2011_KOPRA  JUNI  2012_KOPRA  JUNI  2012" xfId="97"/>
    <cellStyle name=",_Upah Bongkar  TBS ~ MARET 2011_KOPRA  JUNI  2012_KOPRA  JUNI  2012 2" xfId="1327"/>
    <cellStyle name=",_Upah Bongkar  TBS ~ MARET 2011_KOPRA  JUNI  2012_KOPRA  JUNI  2012 3" xfId="1328"/>
    <cellStyle name=",_Upah Bongkar  TBS ~ MARET 2011_KOPRA  JUNI  2012_KOPRA  JUNI  2012 4" xfId="1329"/>
    <cellStyle name=",_Upah Bongkar  TBS ~ MARET 2011_KOPRA  JUNI  2012_KOPRA  JUNI  2012 5" xfId="1330"/>
    <cellStyle name=",_Upah Bongkar  TBS ~ MARET 2011_KOPRA  JUNI  2012_KOPRA  JUNI  2012 6" xfId="1331"/>
    <cellStyle name=",_Upah Bongkar  TBS ~ MARET 2011_KOPRA  OKTOBER  2012" xfId="98"/>
    <cellStyle name=",_Upah Bongkar  TBS ~ MARET 2011_KOPRA  OKTOBER  2012 2" xfId="1332"/>
    <cellStyle name=",_Upah Bongkar  TBS ~ MARET 2011_KOPRA  OKTOBER  2012 3" xfId="1333"/>
    <cellStyle name=",_Upah Bongkar  TBS ~ MARET 2011_KOPRA  OKTOBER  2012 4" xfId="1334"/>
    <cellStyle name=",_Upah Bongkar  TBS ~ MARET 2011_KOPRA  OKTOBER  2012 5" xfId="1335"/>
    <cellStyle name=",_Upah Bongkar  TBS ~ MARET 2011_KOPRA  OKTOBER  2012 6" xfId="1336"/>
    <cellStyle name=",_Upah Bongkar  TBS ~ MARET 2011_KOPRA  OKTOBER  2012 7" xfId="1337"/>
    <cellStyle name=",_Upah Bongkar  TBS ~ MARET 2011_KOPRA  OKTOBER  2012 8" xfId="1338"/>
    <cellStyle name=",_Upah Bongkar  TBS ~ MARET 2011_KOPRA  OKTOBER  2012 9" xfId="1339"/>
    <cellStyle name=",_Upah Bongkar  TBS ~ MARET 2011_KOPRA  OKTOBER  2012_KOPRA FEBRUARI  2013" xfId="99"/>
    <cellStyle name=",_Upah Bongkar  TBS ~ MARET 2011_KOPRA  OKTOBER  2012_KOPRA FEBRUARI  2013 2" xfId="1340"/>
    <cellStyle name=",_Upah Bongkar  TBS ~ MARET 2011_KOPRA  OKTOBER  2012_KOPRA FEBRUARI  2013 3" xfId="1341"/>
    <cellStyle name=",_Upah Bongkar  TBS ~ MARET 2011_KOPRA  OKTOBER  2012_KOPRA FEBRUARI  2013 4" xfId="1342"/>
    <cellStyle name=",_Upah Bongkar  TBS ~ MARET 2011_KOPRA  OKTOBER  2012_KOPRA FEBRUARI  2013 5" xfId="1343"/>
    <cellStyle name=",_Upah Bongkar  TBS ~ MARET 2011_KOPRA  OKTOBER  2012_KOPRA FEBRUARI  2013 6" xfId="1344"/>
    <cellStyle name=",_Upah Bongkar  TBS ~ MARET 2011_KOPRA  OKTOBER  2012_KOPRA JANUARI 2014" xfId="1345"/>
    <cellStyle name=",_Upah Bongkar  TBS ~ MARET 2011_KOPRA  OKTOBER  2012_KOPRA NOVEMBER 2013" xfId="1346"/>
    <cellStyle name=",_Upah Bongkar  TBS ~ MARET 2011_KOPRA FEBRUARI  2013" xfId="100"/>
    <cellStyle name=",_Upah Bongkar  TBS ~ MARET 2011_KOPRA FEBRUARI  2013 2" xfId="1347"/>
    <cellStyle name=",_Upah Bongkar  TBS ~ MARET 2011_KOPRA FEBRUARI  2013 3" xfId="1348"/>
    <cellStyle name=",_Upah Bongkar  TBS ~ MARET 2011_KOPRA FEBRUARI  2013 4" xfId="1349"/>
    <cellStyle name=",_Upah Bongkar  TBS ~ MARET 2011_KOPRA FEBRUARI  2013 5" xfId="1350"/>
    <cellStyle name=",_Upah Bongkar  TBS ~ MARET 2011_KOPRA FEBRUARI  2013 6" xfId="1351"/>
    <cellStyle name=",_Upah Bongkar  TBS ~ MARET 2011_KOPRA JANUARI 2014" xfId="1352"/>
    <cellStyle name=",_Upah Bongkar  TBS ~ MARET 2011_KOPRA NOVEMBER 2013" xfId="1353"/>
    <cellStyle name=",_Upah Bongkar  TBS ~ MARET 2011_PT ISK TGL 28  JUNI 2012" xfId="101"/>
    <cellStyle name=",_Upah Bongkar  TBS ~ MARET 2011_PT ISK TGL 28  JUNI 2012 2" xfId="1354"/>
    <cellStyle name=",_Upah Bongkar  TBS ~ MARET 2011_PT ISK TGL 28  JUNI 2012 3" xfId="1355"/>
    <cellStyle name=",_Upah Bongkar  TBS ~ MARET 2011_PT ISK TGL 28  JUNI 2012 4" xfId="1356"/>
    <cellStyle name=",_Upah Bongkar  TBS ~ MARET 2011_PT ISK TGL 28  JUNI 2012 5" xfId="1357"/>
    <cellStyle name=",_Upah Bongkar  TBS ~ MARET 2011_PT ISK TGL 28  JUNI 2012 6" xfId="1358"/>
    <cellStyle name=",_Upah Bongkar  TBS ~ MARET 2011_PT.ISK TGL 27  JUNI 2012" xfId="102"/>
    <cellStyle name=",_Upah Bongkar  TBS ~ MARET 2011_PT.ISK TGL 27  JUNI 2012 2" xfId="1359"/>
    <cellStyle name=",_Upah Bongkar  TBS ~ MARET 2011_PT.ISK TGL 27  JUNI 2012 3" xfId="1360"/>
    <cellStyle name=",_Upah Bongkar  TBS ~ MARET 2011_PT.ISK TGL 27  JUNI 2012 4" xfId="1361"/>
    <cellStyle name=",_Upah Bongkar  TBS ~ MARET 2011_PT.ISK TGL 27  JUNI 2012 5" xfId="1362"/>
    <cellStyle name=",_Upah Bongkar  TBS ~ MARET 2011_PT.ISK TGL 27  JUNI 2012 6" xfId="1363"/>
    <cellStyle name=",_Upah Bongkar  TBS ~ MARET 2011_PT.ISK TGL 28  JUNI 2012" xfId="103"/>
    <cellStyle name=",_Upah Bongkar  TBS ~ MARET 2011_PT.ISK TGL 28  JUNI 2012 2" xfId="1364"/>
    <cellStyle name=",_Upah Bongkar  TBS ~ MARET 2011_PT.ISK TGL 28  JUNI 2012 3" xfId="1365"/>
    <cellStyle name=",_Upah Bongkar  TBS ~ MARET 2011_PT.ISK TGL 28  JUNI 2012 4" xfId="1366"/>
    <cellStyle name=",_Upah Bongkar  TBS ~ MARET 2011_PT.ISK TGL 28  JUNI 2012 5" xfId="1367"/>
    <cellStyle name=",_Upah Bongkar  TBS ~ MARET 2011_PT.ISK TGL 28  JUNI 2012 6" xfId="1368"/>
    <cellStyle name=",_Upah Bongkar  TBS ~ MARET 2011_TIMBANGAN2" xfId="104"/>
    <cellStyle name=",_Upah Bongkar  TBS ~ MARET 2011_TIMBANGAN2 2" xfId="1369"/>
    <cellStyle name=",_Upah Bongkar  TBS ~ MARET 2011_TIMBANGAN2 3" xfId="1370"/>
    <cellStyle name=",_Upah Bongkar  TBS ~ MARET 2011_TIMBANGAN2 4" xfId="1371"/>
    <cellStyle name=",_Upah Bongkar  TBS ~ MARET 2011_TIMBANGAN2 5" xfId="1372"/>
    <cellStyle name=",_Upah Bongkar  TBS ~ MARET 2011_TIMBANGAN2 6" xfId="1373"/>
    <cellStyle name=",_Upah Bongkar  TBS ~ MARET 2011_Upah Bongkar ~  Agustus 2012" xfId="105"/>
    <cellStyle name=",_Upah Bongkar  TBS ~ MARET 2011_Upah Bongkar ~  Agustus 2012 2" xfId="1374"/>
    <cellStyle name=",_Upah Bongkar  TBS ~ MARET 2011_Upah Bongkar ~  Agustus 2012 3" xfId="1375"/>
    <cellStyle name=",_Upah Bongkar  TBS ~ MARET 2011_Upah Bongkar ~  Agustus 2012 4" xfId="1376"/>
    <cellStyle name=",_Upah Bongkar  TBS ~ MARET 2011_Upah Bongkar ~  Agustus 2012 5" xfId="1377"/>
    <cellStyle name=",_Upah Bongkar  TBS ~ MARET 2011_Upah Bongkar ~  Agustus 2012 6" xfId="1378"/>
    <cellStyle name=",_Upah Bongkar  TBS ~ MARET 2011_Usulan Pembayaran TBS ~ MEI 2012" xfId="448"/>
    <cellStyle name=",_Upah Bongkar ~  AGUSTUS 2011" xfId="106"/>
    <cellStyle name=",_Upah Bongkar ~  AGUSTUS 2011 2" xfId="1379"/>
    <cellStyle name=",_Upah Bongkar ~  AGUSTUS 2011 3" xfId="1380"/>
    <cellStyle name=",_Upah Bongkar ~  AGUSTUS 2011 4" xfId="1381"/>
    <cellStyle name=",_Upah Bongkar ~  AGUSTUS 2011 5" xfId="1382"/>
    <cellStyle name=",_Upah Bongkar ~  AGUSTUS 2011 6" xfId="1383"/>
    <cellStyle name=",_Upah Bongkar ~  Agustus 2012" xfId="107"/>
    <cellStyle name=",_Upah Bongkar ~  Agustus 2012 2" xfId="1384"/>
    <cellStyle name=",_Upah Bongkar ~  Agustus 2012 3" xfId="1385"/>
    <cellStyle name=",_Upah Bongkar ~  Agustus 2012 4" xfId="1386"/>
    <cellStyle name=",_Upah Bongkar ~  Agustus 2012 5" xfId="1387"/>
    <cellStyle name=",_Upah Bongkar ~  Agustus 2012 6" xfId="1388"/>
    <cellStyle name=",_Upah Bongkar ~  FEBRUARI 2012" xfId="1389"/>
    <cellStyle name=",_Uph Bongkar  ~DES  2010" xfId="108"/>
    <cellStyle name=",_Uph Bongkar  ~DES  2010 10" xfId="449"/>
    <cellStyle name=",_Uph Bongkar  ~DES  2010 11" xfId="450"/>
    <cellStyle name=",_Uph Bongkar  ~DES  2010 12" xfId="1390"/>
    <cellStyle name=",_Uph Bongkar  ~DES  2010 13" xfId="1391"/>
    <cellStyle name=",_Uph Bongkar  ~DES  2010 2" xfId="451"/>
    <cellStyle name=",_Uph Bongkar  ~DES  2010 3" xfId="452"/>
    <cellStyle name=",_Uph Bongkar  ~DES  2010 4" xfId="453"/>
    <cellStyle name=",_Uph Bongkar  ~DES  2010 5" xfId="454"/>
    <cellStyle name=",_Uph Bongkar  ~DES  2010 6" xfId="455"/>
    <cellStyle name=",_Uph Bongkar  ~DES  2010 7" xfId="456"/>
    <cellStyle name=",_Uph Bongkar  ~DES  2010 8" xfId="457"/>
    <cellStyle name=",_Uph Bongkar  ~DES  2010 9" xfId="458"/>
    <cellStyle name=",_Uph Bongkar  ~DES  2010_ BYR " xfId="109"/>
    <cellStyle name=",_Uph Bongkar  ~DES  2010_ BYR  2" xfId="1392"/>
    <cellStyle name=",_Uph Bongkar  ~DES  2010_ BYR  3" xfId="1393"/>
    <cellStyle name=",_Uph Bongkar  ~DES  2010_ BYR  4" xfId="1394"/>
    <cellStyle name=",_Uph Bongkar  ~DES  2010_ BYR  5" xfId="1395"/>
    <cellStyle name=",_Uph Bongkar  ~DES  2010_ BYR  6" xfId="1396"/>
    <cellStyle name=",_Uph Bongkar  ~DES  2010_1" xfId="110"/>
    <cellStyle name=",_Uph Bongkar  ~DES  2010_1 2" xfId="1397"/>
    <cellStyle name=",_Uph Bongkar  ~DES  2010_1 3" xfId="1398"/>
    <cellStyle name=",_Uph Bongkar  ~DES  2010_1 4" xfId="1399"/>
    <cellStyle name=",_Uph Bongkar  ~DES  2010_1 5" xfId="1400"/>
    <cellStyle name=",_Uph Bongkar  ~DES  2010_1 6" xfId="1401"/>
    <cellStyle name=",_Uph Bongkar  ~DES  2010_ASI (03 Agust 2012)" xfId="1402"/>
    <cellStyle name=",_Uph Bongkar  ~DES  2010_ASI (28 Feb 2013)" xfId="459"/>
    <cellStyle name=",_Uph Bongkar  ~DES  2010_ISK (14 JULI 2012)" xfId="111"/>
    <cellStyle name=",_Uph Bongkar  ~DES  2010_ISK (14 JULI 2012) 2" xfId="1403"/>
    <cellStyle name=",_Uph Bongkar  ~DES  2010_ISK (14 JULI 2012) 3" xfId="1404"/>
    <cellStyle name=",_Uph Bongkar  ~DES  2010_ISK (14 JULI 2012) 4" xfId="1405"/>
    <cellStyle name=",_Uph Bongkar  ~DES  2010_ISK (14 JULI 2012) 5" xfId="1406"/>
    <cellStyle name=",_Uph Bongkar  ~DES  2010_ISK (14 JULI 2012) 6" xfId="1407"/>
    <cellStyle name=",_Uph Bongkar  ~DES  2010_KOPRA  JULI  2012" xfId="112"/>
    <cellStyle name=",_Uph Bongkar  ~DES  2010_KOPRA  JULI  2012 2" xfId="1408"/>
    <cellStyle name=",_Uph Bongkar  ~DES  2010_KOPRA  JULI  2012 3" xfId="1409"/>
    <cellStyle name=",_Uph Bongkar  ~DES  2010_KOPRA  JULI  2012 4" xfId="1410"/>
    <cellStyle name=",_Uph Bongkar  ~DES  2010_KOPRA  JULI  2012 5" xfId="1411"/>
    <cellStyle name=",_Uph Bongkar  ~DES  2010_KOPRA  JULI  2012 6" xfId="1412"/>
    <cellStyle name=",_Uph Bongkar  ~DES  2010_KOPRA  JUNI  2012" xfId="113"/>
    <cellStyle name=",_Uph Bongkar  ~DES  2010_KOPRA  JUNI  2012 2" xfId="1413"/>
    <cellStyle name=",_Uph Bongkar  ~DES  2010_KOPRA  JUNI  2012 3" xfId="1414"/>
    <cellStyle name=",_Uph Bongkar  ~DES  2010_KOPRA  JUNI  2012 4" xfId="1415"/>
    <cellStyle name=",_Uph Bongkar  ~DES  2010_KOPRA  JUNI  2012 5" xfId="1416"/>
    <cellStyle name=",_Uph Bongkar  ~DES  2010_KOPRA  JUNI  2012 6" xfId="1417"/>
    <cellStyle name=",_Uph Bongkar  ~DES  2010_KOPRA  OKTOBER  2012" xfId="114"/>
    <cellStyle name=",_Uph Bongkar  ~DES  2010_KOPRA  OKTOBER  2012 2" xfId="1418"/>
    <cellStyle name=",_Uph Bongkar  ~DES  2010_KOPRA  OKTOBER  2012 3" xfId="1419"/>
    <cellStyle name=",_Uph Bongkar  ~DES  2010_KOPRA  OKTOBER  2012 4" xfId="1420"/>
    <cellStyle name=",_Uph Bongkar  ~DES  2010_KOPRA  OKTOBER  2012 5" xfId="1421"/>
    <cellStyle name=",_Uph Bongkar  ~DES  2010_KOPRA  OKTOBER  2012 6" xfId="1422"/>
    <cellStyle name=",_Uph Bongkar  ~DES  2010_KOPRA FEBRUARI  2013" xfId="115"/>
    <cellStyle name=",_Uph Bongkar  ~DES  2010_KOPRA FEBRUARI  2013 2" xfId="1423"/>
    <cellStyle name=",_Uph Bongkar  ~DES  2010_KOPRA FEBRUARI  2013 3" xfId="1424"/>
    <cellStyle name=",_Uph Bongkar  ~DES  2010_KOPRA FEBRUARI  2013 4" xfId="1425"/>
    <cellStyle name=",_Uph Bongkar  ~DES  2010_KOPRA FEBRUARI  2013 5" xfId="1426"/>
    <cellStyle name=",_Uph Bongkar  ~DES  2010_KOPRA FEBRUARI  2013 6" xfId="1427"/>
    <cellStyle name=",_Uph Bongkar  ~DES  2010_KOPRA JANUARI 2014" xfId="1428"/>
    <cellStyle name=",_Uph Bongkar  ~DES  2010_KOPRA NOVEMBER 2013" xfId="1429"/>
    <cellStyle name=",_Uph Bongkar  ~DES  2010_Upah Bongkar ~  AGUSTUS 2011" xfId="116"/>
    <cellStyle name=",_Uph Bongkar  ~DES  2010_Upah Bongkar ~  AGUSTUS 2011 2" xfId="1430"/>
    <cellStyle name=",_Uph Bongkar  ~DES  2010_Upah Bongkar ~  AGUSTUS 2011 3" xfId="1431"/>
    <cellStyle name=",_Uph Bongkar  ~DES  2010_Upah Bongkar ~  AGUSTUS 2011 4" xfId="1432"/>
    <cellStyle name=",_Uph Bongkar  ~DES  2010_Upah Bongkar ~  AGUSTUS 2011 5" xfId="1433"/>
    <cellStyle name=",_Uph Bongkar  ~DES  2010_Upah Bongkar ~  AGUSTUS 2011 6" xfId="1434"/>
    <cellStyle name=",_Uph Bongkar  ~DES  2010_Upah Bongkar ~  Agustus 2012" xfId="117"/>
    <cellStyle name=",_Uph Bongkar  ~DES  2010_Upah Bongkar ~  Agustus 2012 2" xfId="1435"/>
    <cellStyle name=",_Uph Bongkar  ~DES  2010_Upah Bongkar ~  Agustus 2012 3" xfId="1436"/>
    <cellStyle name=",_Uph Bongkar  ~DES  2010_Upah Bongkar ~  Agustus 2012 4" xfId="1437"/>
    <cellStyle name=",_Uph Bongkar  ~DES  2010_Upah Bongkar ~  Agustus 2012 5" xfId="1438"/>
    <cellStyle name=",_Uph Bongkar  ~DES  2010_Upah Bongkar ~  Agustus 2012 6" xfId="1439"/>
    <cellStyle name=",_Uph Bongkar  ~DES  2010_Upah Bongkar ~  FEBRUARI 2012" xfId="1440"/>
    <cellStyle name=",_Uph Bongkar  ~DES  2010_Usulan Pembayaran TBS ~ Agustus 2012" xfId="118"/>
    <cellStyle name=",_Uph Bongkar  ~DES  2010_Usulan Pembayaran TBS ~ Agustus 2012 2" xfId="1441"/>
    <cellStyle name=",_Uph Bongkar  ~DES  2010_Usulan Pembayaran TBS ~ Agustus 2012 3" xfId="1442"/>
    <cellStyle name=",_Uph Bongkar  ~DES  2010_Usulan Pembayaran TBS ~ Agustus 2012 4" xfId="1443"/>
    <cellStyle name=",_Uph Bongkar  ~DES  2010_Usulan Pembayaran TBS ~ Agustus 2012 5" xfId="1444"/>
    <cellStyle name=",_Uph Bongkar  ~DES  2010_Usulan Pembayaran TBS ~ Agustus 2012 6" xfId="1445"/>
    <cellStyle name=",_Usulan Pembayaran TBS ~ Agustus 2012" xfId="119"/>
    <cellStyle name=",_Usulan Pembayaran TBS ~ Agustus 2012 2" xfId="1446"/>
    <cellStyle name=",_Usulan Pembayaran TBS ~ Agustus 2012 3" xfId="1447"/>
    <cellStyle name=",_Usulan Pembayaran TBS ~ Agustus 2012 4" xfId="1448"/>
    <cellStyle name=",_Usulan Pembayaran TBS ~ Agustus 2012 5" xfId="1449"/>
    <cellStyle name=",_Usulan Pembayaran TBS ~ Agustus 2012 6" xfId="1450"/>
    <cellStyle name=",_VDR  KB 2011" xfId="1451"/>
    <cellStyle name="?" xfId="120"/>
    <cellStyle name="??" xfId="121"/>
    <cellStyle name="?? 1" xfId="122"/>
    <cellStyle name="?? 2" xfId="123"/>
    <cellStyle name="?? 3" xfId="124"/>
    <cellStyle name="?? 4" xfId="125"/>
    <cellStyle name="?? 5" xfId="1452"/>
    <cellStyle name="?? 5 2" xfId="1453"/>
    <cellStyle name="?? 5 3" xfId="1454"/>
    <cellStyle name="?? 5 4" xfId="1455"/>
    <cellStyle name="?? 6" xfId="1456"/>
    <cellStyle name="?? 7" xfId="1457"/>
    <cellStyle name="?? 8" xfId="1458"/>
    <cellStyle name="????" xfId="126"/>
    <cellStyle name="?????" xfId="127"/>
    <cellStyle name="????? 2" xfId="610"/>
    <cellStyle name="????? 3" xfId="606"/>
    <cellStyle name="????? 4" xfId="1459"/>
    <cellStyle name="????? 5" xfId="1460"/>
    <cellStyle name="????? 6" xfId="1461"/>
    <cellStyle name="????? 7" xfId="1462"/>
    <cellStyle name="??????" xfId="128"/>
    <cellStyle name="????_ BYR" xfId="129"/>
    <cellStyle name="??_ BYR" xfId="130"/>
    <cellStyle name="??1" xfId="131"/>
    <cellStyle name="??2" xfId="132"/>
    <cellStyle name="??3" xfId="133"/>
    <cellStyle name="??4" xfId="134"/>
    <cellStyle name="??5" xfId="135"/>
    <cellStyle name="??6" xfId="136"/>
    <cellStyle name="?_ BYR" xfId="137"/>
    <cellStyle name="20% - ??1" xfId="138"/>
    <cellStyle name="20% - ??2" xfId="139"/>
    <cellStyle name="20% - ??3" xfId="140"/>
    <cellStyle name="20% - ??4" xfId="141"/>
    <cellStyle name="20% - ??5" xfId="142"/>
    <cellStyle name="20% - ??6" xfId="143"/>
    <cellStyle name="20% - 輔色1" xfId="144"/>
    <cellStyle name="20% - 輔色2" xfId="145"/>
    <cellStyle name="20% - 輔色3" xfId="146"/>
    <cellStyle name="20% - 輔色4" xfId="147"/>
    <cellStyle name="20% - 輔色5" xfId="148"/>
    <cellStyle name="20% - 輔色6" xfId="149"/>
    <cellStyle name="40% - ??1" xfId="150"/>
    <cellStyle name="40% - ??2" xfId="151"/>
    <cellStyle name="40% - ??3" xfId="152"/>
    <cellStyle name="40% - ??4" xfId="153"/>
    <cellStyle name="40% - ??5" xfId="154"/>
    <cellStyle name="40% - ??6" xfId="155"/>
    <cellStyle name="40% - 輔色1" xfId="156"/>
    <cellStyle name="40% - 輔色2" xfId="157"/>
    <cellStyle name="40% - 輔色3" xfId="158"/>
    <cellStyle name="40% - 輔色4" xfId="159"/>
    <cellStyle name="40% - 輔色5" xfId="160"/>
    <cellStyle name="40% - 輔色6" xfId="161"/>
    <cellStyle name="60% - ??1" xfId="162"/>
    <cellStyle name="60% - ??2" xfId="163"/>
    <cellStyle name="60% - ??3" xfId="164"/>
    <cellStyle name="60% - ??4" xfId="165"/>
    <cellStyle name="60% - ??5" xfId="166"/>
    <cellStyle name="60% - ??6" xfId="167"/>
    <cellStyle name="60% - 輔色1" xfId="168"/>
    <cellStyle name="60% - 輔色2" xfId="169"/>
    <cellStyle name="60% - 輔色3" xfId="170"/>
    <cellStyle name="60% - 輔色4" xfId="171"/>
    <cellStyle name="60% - 輔色5" xfId="172"/>
    <cellStyle name="60% - 輔色6" xfId="173"/>
    <cellStyle name="Comma" xfId="1" builtinId="3"/>
    <cellStyle name="Comma [0]" xfId="426" builtinId="6"/>
    <cellStyle name="Comma [0] 10" xfId="174"/>
    <cellStyle name="Comma [0] 10 10" xfId="175"/>
    <cellStyle name="Comma [0] 10 10 2" xfId="1463"/>
    <cellStyle name="Comma [0] 10 10 3" xfId="1464"/>
    <cellStyle name="Comma [0] 10 10 4" xfId="1465"/>
    <cellStyle name="Comma [0] 10 10 5" xfId="1466"/>
    <cellStyle name="Comma [0] 10 10 6" xfId="1467"/>
    <cellStyle name="Comma [0] 10 11" xfId="1468"/>
    <cellStyle name="Comma [0] 10 12" xfId="1469"/>
    <cellStyle name="Comma [0] 10 13" xfId="1470"/>
    <cellStyle name="Comma [0] 10 14" xfId="1471"/>
    <cellStyle name="Comma [0] 10 15" xfId="1472"/>
    <cellStyle name="Comma [0] 10 16" xfId="1473"/>
    <cellStyle name="Comma [0] 10 17" xfId="1474"/>
    <cellStyle name="Comma [0] 10 18" xfId="1475"/>
    <cellStyle name="Comma [0] 10 19" xfId="1476"/>
    <cellStyle name="Comma [0] 10 2" xfId="176"/>
    <cellStyle name="Comma [0] 10 2 2" xfId="177"/>
    <cellStyle name="Comma [0] 10 2 3" xfId="1477"/>
    <cellStyle name="Comma [0] 10 2 4" xfId="1478"/>
    <cellStyle name="Comma [0] 10 2 5" xfId="1479"/>
    <cellStyle name="Comma [0] 10 2 6" xfId="1480"/>
    <cellStyle name="Comma [0] 10 2 7" xfId="1481"/>
    <cellStyle name="Comma [0] 10 20" xfId="1482"/>
    <cellStyle name="Comma [0] 10 21" xfId="1483"/>
    <cellStyle name="Comma [0] 10 22" xfId="1484"/>
    <cellStyle name="Comma [0] 10 23" xfId="1485"/>
    <cellStyle name="Comma [0] 10 24" xfId="1486"/>
    <cellStyle name="Comma [0] 10 25" xfId="1487"/>
    <cellStyle name="Comma [0] 10 26" xfId="1488"/>
    <cellStyle name="Comma [0] 10 27" xfId="1489"/>
    <cellStyle name="Comma [0] 10 28" xfId="1490"/>
    <cellStyle name="Comma [0] 10 29" xfId="1491"/>
    <cellStyle name="Comma [0] 10 3" xfId="178"/>
    <cellStyle name="Comma [0] 10 3 2" xfId="1492"/>
    <cellStyle name="Comma [0] 10 3 3" xfId="1493"/>
    <cellStyle name="Comma [0] 10 3 4" xfId="1494"/>
    <cellStyle name="Comma [0] 10 3 5" xfId="1495"/>
    <cellStyle name="Comma [0] 10 3 6" xfId="1496"/>
    <cellStyle name="Comma [0] 10 30" xfId="1497"/>
    <cellStyle name="Comma [0] 10 31" xfId="1498"/>
    <cellStyle name="Comma [0] 10 32" xfId="1499"/>
    <cellStyle name="Comma [0] 10 33" xfId="1500"/>
    <cellStyle name="Comma [0] 10 34" xfId="1501"/>
    <cellStyle name="Comma [0] 10 35" xfId="1502"/>
    <cellStyle name="Comma [0] 10 36" xfId="1503"/>
    <cellStyle name="Comma [0] 10 37" xfId="1504"/>
    <cellStyle name="Comma [0] 10 38" xfId="1505"/>
    <cellStyle name="Comma [0] 10 39" xfId="1506"/>
    <cellStyle name="Comma [0] 10 4" xfId="179"/>
    <cellStyle name="Comma [0] 10 4 2" xfId="1507"/>
    <cellStyle name="Comma [0] 10 4 3" xfId="1508"/>
    <cellStyle name="Comma [0] 10 4 4" xfId="1509"/>
    <cellStyle name="Comma [0] 10 4 5" xfId="1510"/>
    <cellStyle name="Comma [0] 10 4 6" xfId="1511"/>
    <cellStyle name="Comma [0] 10 40" xfId="1512"/>
    <cellStyle name="Comma [0] 10 41" xfId="1513"/>
    <cellStyle name="Comma [0] 10 42" xfId="1514"/>
    <cellStyle name="Comma [0] 10 43" xfId="1515"/>
    <cellStyle name="Comma [0] 10 44" xfId="1516"/>
    <cellStyle name="Comma [0] 10 45" xfId="1517"/>
    <cellStyle name="Comma [0] 10 46" xfId="1518"/>
    <cellStyle name="Comma [0] 10 47" xfId="1519"/>
    <cellStyle name="Comma [0] 10 48" xfId="1520"/>
    <cellStyle name="Comma [0] 10 49" xfId="1521"/>
    <cellStyle name="Comma [0] 10 5" xfId="180"/>
    <cellStyle name="Comma [0] 10 5 2" xfId="1522"/>
    <cellStyle name="Comma [0] 10 5 3" xfId="1523"/>
    <cellStyle name="Comma [0] 10 5 4" xfId="1524"/>
    <cellStyle name="Comma [0] 10 5 5" xfId="1525"/>
    <cellStyle name="Comma [0] 10 5 6" xfId="1526"/>
    <cellStyle name="Comma [0] 10 50" xfId="1527"/>
    <cellStyle name="Comma [0] 10 51" xfId="1528"/>
    <cellStyle name="Comma [0] 10 6" xfId="181"/>
    <cellStyle name="Comma [0] 10 6 2" xfId="1529"/>
    <cellStyle name="Comma [0] 10 6 3" xfId="1530"/>
    <cellStyle name="Comma [0] 10 6 4" xfId="1531"/>
    <cellStyle name="Comma [0] 10 6 5" xfId="1532"/>
    <cellStyle name="Comma [0] 10 6 6" xfId="1533"/>
    <cellStyle name="Comma [0] 10 7" xfId="182"/>
    <cellStyle name="Comma [0] 10 7 2" xfId="1534"/>
    <cellStyle name="Comma [0] 10 7 3" xfId="1535"/>
    <cellStyle name="Comma [0] 10 7 4" xfId="1536"/>
    <cellStyle name="Comma [0] 10 7 5" xfId="1537"/>
    <cellStyle name="Comma [0] 10 7 6" xfId="1538"/>
    <cellStyle name="Comma [0] 10 8" xfId="183"/>
    <cellStyle name="Comma [0] 10 8 2" xfId="1539"/>
    <cellStyle name="Comma [0] 10 8 3" xfId="1540"/>
    <cellStyle name="Comma [0] 10 8 4" xfId="1541"/>
    <cellStyle name="Comma [0] 10 8 5" xfId="1542"/>
    <cellStyle name="Comma [0] 10 8 6" xfId="1543"/>
    <cellStyle name="Comma [0] 10 9" xfId="184"/>
    <cellStyle name="Comma [0] 10 9 2" xfId="1544"/>
    <cellStyle name="Comma [0] 10 9 3" xfId="1545"/>
    <cellStyle name="Comma [0] 10 9 4" xfId="1546"/>
    <cellStyle name="Comma [0] 10 9 5" xfId="1547"/>
    <cellStyle name="Comma [0] 10 9 6" xfId="1548"/>
    <cellStyle name="Comma [0] 11" xfId="185"/>
    <cellStyle name="Comma [0] 11 2" xfId="1549"/>
    <cellStyle name="Comma [0] 11 3" xfId="1550"/>
    <cellStyle name="Comma [0] 11 4" xfId="1551"/>
    <cellStyle name="Comma [0] 11 5" xfId="1552"/>
    <cellStyle name="Comma [0] 11 6" xfId="1553"/>
    <cellStyle name="Comma [0] 12" xfId="186"/>
    <cellStyle name="Comma [0] 12 2" xfId="1554"/>
    <cellStyle name="Comma [0] 12 3" xfId="1555"/>
    <cellStyle name="Comma [0] 12 4" xfId="1556"/>
    <cellStyle name="Comma [0] 12 5" xfId="1557"/>
    <cellStyle name="Comma [0] 12 6" xfId="1558"/>
    <cellStyle name="Comma [0] 12 7" xfId="1559"/>
    <cellStyle name="Comma [0] 12 8" xfId="1560"/>
    <cellStyle name="Comma [0] 12 9" xfId="1561"/>
    <cellStyle name="Comma [0] 13" xfId="187"/>
    <cellStyle name="Comma [0] 13 2" xfId="460"/>
    <cellStyle name="Comma [0] 13 3" xfId="461"/>
    <cellStyle name="Comma [0] 13 4" xfId="462"/>
    <cellStyle name="Comma [0] 13 5" xfId="463"/>
    <cellStyle name="Comma [0] 13 6" xfId="1562"/>
    <cellStyle name="Comma [0] 13 7" xfId="1563"/>
    <cellStyle name="Comma [0] 13 8" xfId="1564"/>
    <cellStyle name="Comma [0] 13 9" xfId="1565"/>
    <cellStyle name="Comma [0] 14" xfId="188"/>
    <cellStyle name="Comma [0] 14 10" xfId="1566"/>
    <cellStyle name="Comma [0] 14 2" xfId="189"/>
    <cellStyle name="Comma [0] 14 2 2" xfId="437"/>
    <cellStyle name="Comma [0] 14 2 3" xfId="1567"/>
    <cellStyle name="Comma [0] 14 2 4" xfId="1568"/>
    <cellStyle name="Comma [0] 14 2 5" xfId="1569"/>
    <cellStyle name="Comma [0] 14 2 6" xfId="1570"/>
    <cellStyle name="Comma [0] 14 3" xfId="1571"/>
    <cellStyle name="Comma [0] 14 4" xfId="1572"/>
    <cellStyle name="Comma [0] 14 5" xfId="1573"/>
    <cellStyle name="Comma [0] 14 6" xfId="1574"/>
    <cellStyle name="Comma [0] 14 7" xfId="1575"/>
    <cellStyle name="Comma [0] 14 8" xfId="1576"/>
    <cellStyle name="Comma [0] 14 9" xfId="1577"/>
    <cellStyle name="Comma [0] 15" xfId="190"/>
    <cellStyle name="Comma [0] 15 2" xfId="1578"/>
    <cellStyle name="Comma [0] 15 3" xfId="1579"/>
    <cellStyle name="Comma [0] 15 4" xfId="1580"/>
    <cellStyle name="Comma [0] 15 5" xfId="1581"/>
    <cellStyle name="Comma [0] 15 6" xfId="1582"/>
    <cellStyle name="Comma [0] 16" xfId="191"/>
    <cellStyle name="Comma [0] 16 2" xfId="192"/>
    <cellStyle name="Comma [0] 16 2 2" xfId="1583"/>
    <cellStyle name="Comma [0] 16 2 3" xfId="1584"/>
    <cellStyle name="Comma [0] 16 2 4" xfId="1585"/>
    <cellStyle name="Comma [0] 16 2 5" xfId="1586"/>
    <cellStyle name="Comma [0] 16 2 6" xfId="1587"/>
    <cellStyle name="Comma [0] 16 3" xfId="1588"/>
    <cellStyle name="Comma [0] 16 4" xfId="1589"/>
    <cellStyle name="Comma [0] 16 5" xfId="1590"/>
    <cellStyle name="Comma [0] 16 6" xfId="1591"/>
    <cellStyle name="Comma [0] 16 7" xfId="1592"/>
    <cellStyle name="Comma [0] 17" xfId="193"/>
    <cellStyle name="Comma [0] 17 10" xfId="1593"/>
    <cellStyle name="Comma [0] 17 2" xfId="194"/>
    <cellStyle name="Comma [0] 17 2 2" xfId="1594"/>
    <cellStyle name="Comma [0] 17 2 3" xfId="1595"/>
    <cellStyle name="Comma [0] 17 2 4" xfId="1596"/>
    <cellStyle name="Comma [0] 17 2 5" xfId="1597"/>
    <cellStyle name="Comma [0] 17 2 6" xfId="1598"/>
    <cellStyle name="Comma [0] 17 3" xfId="1599"/>
    <cellStyle name="Comma [0] 17 4" xfId="1600"/>
    <cellStyle name="Comma [0] 17 5" xfId="1601"/>
    <cellStyle name="Comma [0] 17 6" xfId="1602"/>
    <cellStyle name="Comma [0] 17 7" xfId="1603"/>
    <cellStyle name="Comma [0] 17 8" xfId="1604"/>
    <cellStyle name="Comma [0] 17 9" xfId="1605"/>
    <cellStyle name="Comma [0] 18" xfId="195"/>
    <cellStyle name="Comma [0] 18 2" xfId="1606"/>
    <cellStyle name="Comma [0] 18 3" xfId="1607"/>
    <cellStyle name="Comma [0] 18 4" xfId="1608"/>
    <cellStyle name="Comma [0] 18 5" xfId="1609"/>
    <cellStyle name="Comma [0] 18 6" xfId="1610"/>
    <cellStyle name="Comma [0] 19" xfId="196"/>
    <cellStyle name="Comma [0] 19 2" xfId="1611"/>
    <cellStyle name="Comma [0] 19 3" xfId="1612"/>
    <cellStyle name="Comma [0] 19 4" xfId="1613"/>
    <cellStyle name="Comma [0] 19 5" xfId="1614"/>
    <cellStyle name="Comma [0] 19 6" xfId="1615"/>
    <cellStyle name="Comma [0] 2" xfId="197"/>
    <cellStyle name="Comma [0] 2 10" xfId="198"/>
    <cellStyle name="Comma [0] 2 10 2" xfId="1616"/>
    <cellStyle name="Comma [0] 2 10 3" xfId="1617"/>
    <cellStyle name="Comma [0] 2 10 4" xfId="1618"/>
    <cellStyle name="Comma [0] 2 10 5" xfId="1619"/>
    <cellStyle name="Comma [0] 2 10 6" xfId="1620"/>
    <cellStyle name="Comma [0] 2 11" xfId="199"/>
    <cellStyle name="Comma [0] 2 11 2" xfId="1621"/>
    <cellStyle name="Comma [0] 2 11 3" xfId="1622"/>
    <cellStyle name="Comma [0] 2 11 4" xfId="1623"/>
    <cellStyle name="Comma [0] 2 11 5" xfId="1624"/>
    <cellStyle name="Comma [0] 2 11 6" xfId="1625"/>
    <cellStyle name="Comma [0] 2 12" xfId="200"/>
    <cellStyle name="Comma [0] 2 12 2" xfId="1626"/>
    <cellStyle name="Comma [0] 2 12 3" xfId="1627"/>
    <cellStyle name="Comma [0] 2 12 4" xfId="1628"/>
    <cellStyle name="Comma [0] 2 12 5" xfId="1629"/>
    <cellStyle name="Comma [0] 2 12 6" xfId="1630"/>
    <cellStyle name="Comma [0] 2 13" xfId="1631"/>
    <cellStyle name="Comma [0] 2 14" xfId="1632"/>
    <cellStyle name="Comma [0] 2 15" xfId="1633"/>
    <cellStyle name="Comma [0] 2 16" xfId="1634"/>
    <cellStyle name="Comma [0] 2 17" xfId="1635"/>
    <cellStyle name="Comma [0] 2 18" xfId="1636"/>
    <cellStyle name="Comma [0] 2 19" xfId="1637"/>
    <cellStyle name="Comma [0] 2 2" xfId="201"/>
    <cellStyle name="Comma [0] 2 2 2" xfId="202"/>
    <cellStyle name="Comma [0] 2 2 2 2" xfId="1638"/>
    <cellStyle name="Comma [0] 2 2 2 3" xfId="1639"/>
    <cellStyle name="Comma [0] 2 2 2 4" xfId="1640"/>
    <cellStyle name="Comma [0] 2 2 2 5" xfId="1641"/>
    <cellStyle name="Comma [0] 2 2 2 6" xfId="1642"/>
    <cellStyle name="Comma [0] 2 2 3" xfId="203"/>
    <cellStyle name="Comma [0] 2 2 3 2" xfId="419"/>
    <cellStyle name="Comma [0] 2 2 3 3" xfId="1643"/>
    <cellStyle name="Comma [0] 2 2 3 4" xfId="1644"/>
    <cellStyle name="Comma [0] 2 2 3 5" xfId="1645"/>
    <cellStyle name="Comma [0] 2 2 3 6" xfId="1646"/>
    <cellStyle name="Comma [0] 2 2 3 7" xfId="1647"/>
    <cellStyle name="Comma [0] 2 2 4" xfId="1648"/>
    <cellStyle name="Comma [0] 2 2 5" xfId="1649"/>
    <cellStyle name="Comma [0] 2 2 6" xfId="1650"/>
    <cellStyle name="Comma [0] 2 2 7" xfId="1651"/>
    <cellStyle name="Comma [0] 2 2 8" xfId="1652"/>
    <cellStyle name="Comma [0] 2 20" xfId="1653"/>
    <cellStyle name="Comma [0] 2 21" xfId="1654"/>
    <cellStyle name="Comma [0] 2 22" xfId="1655"/>
    <cellStyle name="Comma [0] 2 23" xfId="1656"/>
    <cellStyle name="Comma [0] 2 24" xfId="1657"/>
    <cellStyle name="Comma [0] 2 25" xfId="1658"/>
    <cellStyle name="Comma [0] 2 26" xfId="1659"/>
    <cellStyle name="Comma [0] 2 27" xfId="1660"/>
    <cellStyle name="Comma [0] 2 28" xfId="1661"/>
    <cellStyle name="Comma [0] 2 29" xfId="1662"/>
    <cellStyle name="Comma [0] 2 3" xfId="204"/>
    <cellStyle name="Comma [0] 2 3 2" xfId="1663"/>
    <cellStyle name="Comma [0] 2 3 3" xfId="1664"/>
    <cellStyle name="Comma [0] 2 3 4" xfId="1665"/>
    <cellStyle name="Comma [0] 2 3 5" xfId="1666"/>
    <cellStyle name="Comma [0] 2 3 6" xfId="1667"/>
    <cellStyle name="Comma [0] 2 30" xfId="1668"/>
    <cellStyle name="Comma [0] 2 31" xfId="1669"/>
    <cellStyle name="Comma [0] 2 32" xfId="1670"/>
    <cellStyle name="Comma [0] 2 33" xfId="1671"/>
    <cellStyle name="Comma [0] 2 34" xfId="1672"/>
    <cellStyle name="Comma [0] 2 35" xfId="1673"/>
    <cellStyle name="Comma [0] 2 36" xfId="1674"/>
    <cellStyle name="Comma [0] 2 37" xfId="1675"/>
    <cellStyle name="Comma [0] 2 38" xfId="1676"/>
    <cellStyle name="Comma [0] 2 39" xfId="1677"/>
    <cellStyle name="Comma [0] 2 4" xfId="205"/>
    <cellStyle name="Comma [0] 2 4 2" xfId="1678"/>
    <cellStyle name="Comma [0] 2 4 3" xfId="1679"/>
    <cellStyle name="Comma [0] 2 4 4" xfId="1680"/>
    <cellStyle name="Comma [0] 2 4 5" xfId="1681"/>
    <cellStyle name="Comma [0] 2 4 6" xfId="1682"/>
    <cellStyle name="Comma [0] 2 40" xfId="1683"/>
    <cellStyle name="Comma [0] 2 41" xfId="1684"/>
    <cellStyle name="Comma [0] 2 42" xfId="1685"/>
    <cellStyle name="Comma [0] 2 43" xfId="1686"/>
    <cellStyle name="Comma [0] 2 44" xfId="1687"/>
    <cellStyle name="Comma [0] 2 45" xfId="1688"/>
    <cellStyle name="Comma [0] 2 5" xfId="206"/>
    <cellStyle name="Comma [0] 2 5 2" xfId="1689"/>
    <cellStyle name="Comma [0] 2 5 3" xfId="1690"/>
    <cellStyle name="Comma [0] 2 5 4" xfId="1691"/>
    <cellStyle name="Comma [0] 2 5 5" xfId="1692"/>
    <cellStyle name="Comma [0] 2 5 6" xfId="1693"/>
    <cellStyle name="Comma [0] 2 6" xfId="207"/>
    <cellStyle name="Comma [0] 2 6 2" xfId="1694"/>
    <cellStyle name="Comma [0] 2 6 3" xfId="1695"/>
    <cellStyle name="Comma [0] 2 6 4" xfId="1696"/>
    <cellStyle name="Comma [0] 2 6 5" xfId="1697"/>
    <cellStyle name="Comma [0] 2 6 6" xfId="1698"/>
    <cellStyle name="Comma [0] 2 7" xfId="208"/>
    <cellStyle name="Comma [0] 2 7 2" xfId="1699"/>
    <cellStyle name="Comma [0] 2 7 3" xfId="1700"/>
    <cellStyle name="Comma [0] 2 7 4" xfId="1701"/>
    <cellStyle name="Comma [0] 2 7 5" xfId="1702"/>
    <cellStyle name="Comma [0] 2 7 6" xfId="1703"/>
    <cellStyle name="Comma [0] 2 8" xfId="209"/>
    <cellStyle name="Comma [0] 2 8 2" xfId="1704"/>
    <cellStyle name="Comma [0] 2 8 3" xfId="1705"/>
    <cellStyle name="Comma [0] 2 8 4" xfId="1706"/>
    <cellStyle name="Comma [0] 2 8 5" xfId="1707"/>
    <cellStyle name="Comma [0] 2 8 6" xfId="1708"/>
    <cellStyle name="Comma [0] 2 9" xfId="210"/>
    <cellStyle name="Comma [0] 2 9 2" xfId="1709"/>
    <cellStyle name="Comma [0] 2 9 3" xfId="1710"/>
    <cellStyle name="Comma [0] 2 9 4" xfId="1711"/>
    <cellStyle name="Comma [0] 2 9 5" xfId="1712"/>
    <cellStyle name="Comma [0] 2 9 6" xfId="1713"/>
    <cellStyle name="Comma [0] 20" xfId="211"/>
    <cellStyle name="Comma [0] 20 2" xfId="1714"/>
    <cellStyle name="Comma [0] 20 3" xfId="1715"/>
    <cellStyle name="Comma [0] 20 4" xfId="1716"/>
    <cellStyle name="Comma [0] 20 5" xfId="1717"/>
    <cellStyle name="Comma [0] 20 6" xfId="1718"/>
    <cellStyle name="Comma [0] 21" xfId="212"/>
    <cellStyle name="Comma [0] 21 10" xfId="213"/>
    <cellStyle name="Comma [0] 21 10 2" xfId="1719"/>
    <cellStyle name="Comma [0] 21 10 3" xfId="1720"/>
    <cellStyle name="Comma [0] 21 10 4" xfId="1721"/>
    <cellStyle name="Comma [0] 21 10 5" xfId="1722"/>
    <cellStyle name="Comma [0] 21 10 6" xfId="1723"/>
    <cellStyle name="Comma [0] 21 11" xfId="1724"/>
    <cellStyle name="Comma [0] 21 12" xfId="1725"/>
    <cellStyle name="Comma [0] 21 13" xfId="1726"/>
    <cellStyle name="Comma [0] 21 14" xfId="1727"/>
    <cellStyle name="Comma [0] 21 15" xfId="1728"/>
    <cellStyle name="Comma [0] 21 16" xfId="1729"/>
    <cellStyle name="Comma [0] 21 17" xfId="1730"/>
    <cellStyle name="Comma [0] 21 18" xfId="1731"/>
    <cellStyle name="Comma [0] 21 19" xfId="1732"/>
    <cellStyle name="Comma [0] 21 2" xfId="214"/>
    <cellStyle name="Comma [0] 21 2 2" xfId="612"/>
    <cellStyle name="Comma [0] 21 2 3" xfId="1733"/>
    <cellStyle name="Comma [0] 21 2 4" xfId="1734"/>
    <cellStyle name="Comma [0] 21 2 5" xfId="1735"/>
    <cellStyle name="Comma [0] 21 2 6" xfId="1736"/>
    <cellStyle name="Comma [0] 21 2 7" xfId="1737"/>
    <cellStyle name="Comma [0] 21 20" xfId="1738"/>
    <cellStyle name="Comma [0] 21 21" xfId="1739"/>
    <cellStyle name="Comma [0] 21 22" xfId="1740"/>
    <cellStyle name="Comma [0] 21 23" xfId="1741"/>
    <cellStyle name="Comma [0] 21 24" xfId="1742"/>
    <cellStyle name="Comma [0] 21 25" xfId="1743"/>
    <cellStyle name="Comma [0] 21 26" xfId="1744"/>
    <cellStyle name="Comma [0] 21 27" xfId="1745"/>
    <cellStyle name="Comma [0] 21 28" xfId="1746"/>
    <cellStyle name="Comma [0] 21 29" xfId="1747"/>
    <cellStyle name="Comma [0] 21 3" xfId="215"/>
    <cellStyle name="Comma [0] 21 3 2" xfId="1748"/>
    <cellStyle name="Comma [0] 21 3 3" xfId="1749"/>
    <cellStyle name="Comma [0] 21 3 4" xfId="1750"/>
    <cellStyle name="Comma [0] 21 3 5" xfId="1751"/>
    <cellStyle name="Comma [0] 21 3 6" xfId="1752"/>
    <cellStyle name="Comma [0] 21 30" xfId="1753"/>
    <cellStyle name="Comma [0] 21 31" xfId="1754"/>
    <cellStyle name="Comma [0] 21 32" xfId="1755"/>
    <cellStyle name="Comma [0] 21 33" xfId="1756"/>
    <cellStyle name="Comma [0] 21 34" xfId="1757"/>
    <cellStyle name="Comma [0] 21 35" xfId="1758"/>
    <cellStyle name="Comma [0] 21 36" xfId="1759"/>
    <cellStyle name="Comma [0] 21 37" xfId="1760"/>
    <cellStyle name="Comma [0] 21 38" xfId="1761"/>
    <cellStyle name="Comma [0] 21 39" xfId="1762"/>
    <cellStyle name="Comma [0] 21 4" xfId="216"/>
    <cellStyle name="Comma [0] 21 4 2" xfId="1763"/>
    <cellStyle name="Comma [0] 21 4 3" xfId="1764"/>
    <cellStyle name="Comma [0] 21 4 4" xfId="1765"/>
    <cellStyle name="Comma [0] 21 4 5" xfId="1766"/>
    <cellStyle name="Comma [0] 21 4 6" xfId="1767"/>
    <cellStyle name="Comma [0] 21 40" xfId="1768"/>
    <cellStyle name="Comma [0] 21 41" xfId="1769"/>
    <cellStyle name="Comma [0] 21 42" xfId="1770"/>
    <cellStyle name="Comma [0] 21 43" xfId="1771"/>
    <cellStyle name="Comma [0] 21 44" xfId="1772"/>
    <cellStyle name="Comma [0] 21 45" xfId="1773"/>
    <cellStyle name="Comma [0] 21 46" xfId="1774"/>
    <cellStyle name="Comma [0] 21 47" xfId="1775"/>
    <cellStyle name="Comma [0] 21 48" xfId="1776"/>
    <cellStyle name="Comma [0] 21 5" xfId="217"/>
    <cellStyle name="Comma [0] 21 5 2" xfId="1777"/>
    <cellStyle name="Comma [0] 21 5 3" xfId="1778"/>
    <cellStyle name="Comma [0] 21 5 4" xfId="1779"/>
    <cellStyle name="Comma [0] 21 5 5" xfId="1780"/>
    <cellStyle name="Comma [0] 21 5 6" xfId="1781"/>
    <cellStyle name="Comma [0] 21 6" xfId="218"/>
    <cellStyle name="Comma [0] 21 6 2" xfId="1782"/>
    <cellStyle name="Comma [0] 21 6 3" xfId="1783"/>
    <cellStyle name="Comma [0] 21 6 4" xfId="1784"/>
    <cellStyle name="Comma [0] 21 6 5" xfId="1785"/>
    <cellStyle name="Comma [0] 21 6 6" xfId="1786"/>
    <cellStyle name="Comma [0] 21 7" xfId="219"/>
    <cellStyle name="Comma [0] 21 7 2" xfId="1787"/>
    <cellStyle name="Comma [0] 21 7 3" xfId="1788"/>
    <cellStyle name="Comma [0] 21 7 4" xfId="1789"/>
    <cellStyle name="Comma [0] 21 7 5" xfId="1790"/>
    <cellStyle name="Comma [0] 21 7 6" xfId="1791"/>
    <cellStyle name="Comma [0] 21 8" xfId="220"/>
    <cellStyle name="Comma [0] 21 8 2" xfId="1792"/>
    <cellStyle name="Comma [0] 21 8 3" xfId="1793"/>
    <cellStyle name="Comma [0] 21 8 4" xfId="1794"/>
    <cellStyle name="Comma [0] 21 8 5" xfId="1795"/>
    <cellStyle name="Comma [0] 21 8 6" xfId="1796"/>
    <cellStyle name="Comma [0] 21 9" xfId="221"/>
    <cellStyle name="Comma [0] 21 9 2" xfId="1797"/>
    <cellStyle name="Comma [0] 21 9 3" xfId="1798"/>
    <cellStyle name="Comma [0] 21 9 4" xfId="1799"/>
    <cellStyle name="Comma [0] 21 9 5" xfId="1800"/>
    <cellStyle name="Comma [0] 21 9 6" xfId="1801"/>
    <cellStyle name="Comma [0] 22" xfId="222"/>
    <cellStyle name="Comma [0] 22 2" xfId="1802"/>
    <cellStyle name="Comma [0] 22 3" xfId="1803"/>
    <cellStyle name="Comma [0] 22 4" xfId="1804"/>
    <cellStyle name="Comma [0] 22 5" xfId="1805"/>
    <cellStyle name="Comma [0] 22 6" xfId="1806"/>
    <cellStyle name="Comma [0] 23" xfId="223"/>
    <cellStyle name="Comma [0] 23 2" xfId="224"/>
    <cellStyle name="Comma [0] 23 2 2" xfId="1807"/>
    <cellStyle name="Comma [0] 23 2 3" xfId="1808"/>
    <cellStyle name="Comma [0] 23 2 4" xfId="1809"/>
    <cellStyle name="Comma [0] 23 2 5" xfId="1810"/>
    <cellStyle name="Comma [0] 23 2 6" xfId="1811"/>
    <cellStyle name="Comma [0] 23 3" xfId="1812"/>
    <cellStyle name="Comma [0] 23 4" xfId="1813"/>
    <cellStyle name="Comma [0] 23 5" xfId="1814"/>
    <cellStyle name="Comma [0] 23 6" xfId="1815"/>
    <cellStyle name="Comma [0] 23 7" xfId="1816"/>
    <cellStyle name="Comma [0] 24" xfId="225"/>
    <cellStyle name="Comma [0] 24 2" xfId="1817"/>
    <cellStyle name="Comma [0] 24 3" xfId="1818"/>
    <cellStyle name="Comma [0] 24 4" xfId="1819"/>
    <cellStyle name="Comma [0] 24 5" xfId="1820"/>
    <cellStyle name="Comma [0] 24 6" xfId="1821"/>
    <cellStyle name="Comma [0] 25" xfId="464"/>
    <cellStyle name="Comma [0] 25 2" xfId="1822"/>
    <cellStyle name="Comma [0] 26" xfId="465"/>
    <cellStyle name="Comma [0] 27" xfId="1823"/>
    <cellStyle name="Comma [0] 28" xfId="1824"/>
    <cellStyle name="Comma [0] 29" xfId="1825"/>
    <cellStyle name="Comma [0] 3" xfId="226"/>
    <cellStyle name="Comma [0] 3 10" xfId="466"/>
    <cellStyle name="Comma [0] 3 11" xfId="467"/>
    <cellStyle name="Comma [0] 3 12" xfId="468"/>
    <cellStyle name="Comma [0] 3 13" xfId="469"/>
    <cellStyle name="Comma [0] 3 14" xfId="1826"/>
    <cellStyle name="Comma [0] 3 15" xfId="1827"/>
    <cellStyle name="Comma [0] 3 2" xfId="227"/>
    <cellStyle name="Comma [0] 3 2 2" xfId="1828"/>
    <cellStyle name="Comma [0] 3 2 3" xfId="1829"/>
    <cellStyle name="Comma [0] 3 2 4" xfId="1830"/>
    <cellStyle name="Comma [0] 3 2 5" xfId="1831"/>
    <cellStyle name="Comma [0] 3 2 6" xfId="1832"/>
    <cellStyle name="Comma [0] 3 3" xfId="228"/>
    <cellStyle name="Comma [0] 3 3 2" xfId="435"/>
    <cellStyle name="Comma [0] 3 3 3" xfId="470"/>
    <cellStyle name="Comma [0] 3 3 4" xfId="471"/>
    <cellStyle name="Comma [0] 3 3 5" xfId="472"/>
    <cellStyle name="Comma [0] 3 3 6" xfId="473"/>
    <cellStyle name="Comma [0] 3 3 7" xfId="474"/>
    <cellStyle name="Comma [0] 3 4" xfId="475"/>
    <cellStyle name="Comma [0] 3 5" xfId="476"/>
    <cellStyle name="Comma [0] 3 6" xfId="477"/>
    <cellStyle name="Comma [0] 3 7" xfId="478"/>
    <cellStyle name="Comma [0] 3 8" xfId="479"/>
    <cellStyle name="Comma [0] 3 9" xfId="480"/>
    <cellStyle name="Comma [0] 30" xfId="1833"/>
    <cellStyle name="Comma [0] 31" xfId="1834"/>
    <cellStyle name="Comma [0] 32" xfId="1835"/>
    <cellStyle name="Comma [0] 4" xfId="229"/>
    <cellStyle name="Comma [0] 4 2" xfId="230"/>
    <cellStyle name="Comma [0] 4 3" xfId="481"/>
    <cellStyle name="Comma [0] 4 4" xfId="482"/>
    <cellStyle name="Comma [0] 4 5" xfId="483"/>
    <cellStyle name="Comma [0] 4 6" xfId="484"/>
    <cellStyle name="Comma [0] 4 7" xfId="485"/>
    <cellStyle name="Comma [0] 4 8" xfId="486"/>
    <cellStyle name="Comma [0] 5" xfId="231"/>
    <cellStyle name="Comma [0] 5 2" xfId="487"/>
    <cellStyle name="Comma [0] 5 3" xfId="488"/>
    <cellStyle name="Comma [0] 5 4" xfId="489"/>
    <cellStyle name="Comma [0] 5 5" xfId="490"/>
    <cellStyle name="Comma [0] 5 6" xfId="491"/>
    <cellStyle name="Comma [0] 5 7" xfId="492"/>
    <cellStyle name="Comma [0] 5 8" xfId="493"/>
    <cellStyle name="Comma [0] 6" xfId="232"/>
    <cellStyle name="Comma [0] 6 2" xfId="494"/>
    <cellStyle name="Comma [0] 6 3" xfId="495"/>
    <cellStyle name="Comma [0] 6 4" xfId="496"/>
    <cellStyle name="Comma [0] 6 5" xfId="497"/>
    <cellStyle name="Comma [0] 6 6" xfId="498"/>
    <cellStyle name="Comma [0] 6 7" xfId="499"/>
    <cellStyle name="Comma [0] 6 8" xfId="500"/>
    <cellStyle name="Comma [0] 7" xfId="233"/>
    <cellStyle name="Comma [0] 7 2" xfId="234"/>
    <cellStyle name="Comma [0] 7 2 2" xfId="1836"/>
    <cellStyle name="Comma [0] 7 2 3" xfId="1837"/>
    <cellStyle name="Comma [0] 7 2 4" xfId="1838"/>
    <cellStyle name="Comma [0] 7 2 5" xfId="1839"/>
    <cellStyle name="Comma [0] 7 2 6" xfId="1840"/>
    <cellStyle name="Comma [0] 7 3" xfId="1841"/>
    <cellStyle name="Comma [0] 7 4" xfId="1842"/>
    <cellStyle name="Comma [0] 7 5" xfId="1843"/>
    <cellStyle name="Comma [0] 7 6" xfId="1844"/>
    <cellStyle name="Comma [0] 7 7" xfId="1845"/>
    <cellStyle name="Comma [0] 8" xfId="235"/>
    <cellStyle name="Comma [0] 8 10" xfId="501"/>
    <cellStyle name="Comma [0] 8 11" xfId="502"/>
    <cellStyle name="Comma [0] 8 12" xfId="503"/>
    <cellStyle name="Comma [0] 8 13" xfId="1846"/>
    <cellStyle name="Comma [0] 8 14" xfId="1847"/>
    <cellStyle name="Comma [0] 8 2" xfId="236"/>
    <cellStyle name="Comma [0] 8 2 2" xfId="1848"/>
    <cellStyle name="Comma [0] 8 2 3" xfId="1849"/>
    <cellStyle name="Comma [0] 8 2 4" xfId="1850"/>
    <cellStyle name="Comma [0] 8 2 5" xfId="1851"/>
    <cellStyle name="Comma [0] 8 2 6" xfId="1852"/>
    <cellStyle name="Comma [0] 8 3" xfId="504"/>
    <cellStyle name="Comma [0] 8 4" xfId="505"/>
    <cellStyle name="Comma [0] 8 5" xfId="506"/>
    <cellStyle name="Comma [0] 8 6" xfId="507"/>
    <cellStyle name="Comma [0] 8 7" xfId="508"/>
    <cellStyle name="Comma [0] 8 8" xfId="509"/>
    <cellStyle name="Comma [0] 8 9" xfId="510"/>
    <cellStyle name="Comma [0] 9" xfId="237"/>
    <cellStyle name="Comma [0] 9 10" xfId="238"/>
    <cellStyle name="Comma [0] 9 10 2" xfId="1853"/>
    <cellStyle name="Comma [0] 9 10 3" xfId="1854"/>
    <cellStyle name="Comma [0] 9 10 4" xfId="1855"/>
    <cellStyle name="Comma [0] 9 10 5" xfId="1856"/>
    <cellStyle name="Comma [0] 9 10 6" xfId="1857"/>
    <cellStyle name="Comma [0] 9 11" xfId="1858"/>
    <cellStyle name="Comma [0] 9 12" xfId="1859"/>
    <cellStyle name="Comma [0] 9 13" xfId="1860"/>
    <cellStyle name="Comma [0] 9 14" xfId="1861"/>
    <cellStyle name="Comma [0] 9 15" xfId="1862"/>
    <cellStyle name="Comma [0] 9 16" xfId="1863"/>
    <cellStyle name="Comma [0] 9 17" xfId="1864"/>
    <cellStyle name="Comma [0] 9 18" xfId="1865"/>
    <cellStyle name="Comma [0] 9 19" xfId="1866"/>
    <cellStyle name="Comma [0] 9 2" xfId="239"/>
    <cellStyle name="Comma [0] 9 2 2" xfId="1867"/>
    <cellStyle name="Comma [0] 9 2 3" xfId="1868"/>
    <cellStyle name="Comma [0] 9 2 4" xfId="1869"/>
    <cellStyle name="Comma [0] 9 2 5" xfId="1870"/>
    <cellStyle name="Comma [0] 9 2 6" xfId="1871"/>
    <cellStyle name="Comma [0] 9 20" xfId="1872"/>
    <cellStyle name="Comma [0] 9 21" xfId="1873"/>
    <cellStyle name="Comma [0] 9 22" xfId="1874"/>
    <cellStyle name="Comma [0] 9 23" xfId="1875"/>
    <cellStyle name="Comma [0] 9 24" xfId="1876"/>
    <cellStyle name="Comma [0] 9 25" xfId="1877"/>
    <cellStyle name="Comma [0] 9 26" xfId="1878"/>
    <cellStyle name="Comma [0] 9 27" xfId="1879"/>
    <cellStyle name="Comma [0] 9 28" xfId="1880"/>
    <cellStyle name="Comma [0] 9 29" xfId="1881"/>
    <cellStyle name="Comma [0] 9 3" xfId="240"/>
    <cellStyle name="Comma [0] 9 3 2" xfId="1882"/>
    <cellStyle name="Comma [0] 9 3 3" xfId="1883"/>
    <cellStyle name="Comma [0] 9 3 4" xfId="1884"/>
    <cellStyle name="Comma [0] 9 3 5" xfId="1885"/>
    <cellStyle name="Comma [0] 9 3 6" xfId="1886"/>
    <cellStyle name="Comma [0] 9 30" xfId="1887"/>
    <cellStyle name="Comma [0] 9 31" xfId="1888"/>
    <cellStyle name="Comma [0] 9 32" xfId="1889"/>
    <cellStyle name="Comma [0] 9 33" xfId="1890"/>
    <cellStyle name="Comma [0] 9 34" xfId="1891"/>
    <cellStyle name="Comma [0] 9 35" xfId="1892"/>
    <cellStyle name="Comma [0] 9 36" xfId="1893"/>
    <cellStyle name="Comma [0] 9 37" xfId="1894"/>
    <cellStyle name="Comma [0] 9 38" xfId="1895"/>
    <cellStyle name="Comma [0] 9 39" xfId="1896"/>
    <cellStyle name="Comma [0] 9 4" xfId="241"/>
    <cellStyle name="Comma [0] 9 4 2" xfId="1897"/>
    <cellStyle name="Comma [0] 9 4 3" xfId="1898"/>
    <cellStyle name="Comma [0] 9 4 4" xfId="1899"/>
    <cellStyle name="Comma [0] 9 4 5" xfId="1900"/>
    <cellStyle name="Comma [0] 9 4 6" xfId="1901"/>
    <cellStyle name="Comma [0] 9 40" xfId="1902"/>
    <cellStyle name="Comma [0] 9 41" xfId="1903"/>
    <cellStyle name="Comma [0] 9 42" xfId="1904"/>
    <cellStyle name="Comma [0] 9 43" xfId="1905"/>
    <cellStyle name="Comma [0] 9 44" xfId="1906"/>
    <cellStyle name="Comma [0] 9 45" xfId="1907"/>
    <cellStyle name="Comma [0] 9 46" xfId="1908"/>
    <cellStyle name="Comma [0] 9 47" xfId="1909"/>
    <cellStyle name="Comma [0] 9 48" xfId="1910"/>
    <cellStyle name="Comma [0] 9 49" xfId="1911"/>
    <cellStyle name="Comma [0] 9 5" xfId="242"/>
    <cellStyle name="Comma [0] 9 5 2" xfId="1912"/>
    <cellStyle name="Comma [0] 9 5 3" xfId="1913"/>
    <cellStyle name="Comma [0] 9 5 4" xfId="1914"/>
    <cellStyle name="Comma [0] 9 5 5" xfId="1915"/>
    <cellStyle name="Comma [0] 9 5 6" xfId="1916"/>
    <cellStyle name="Comma [0] 9 50" xfId="1917"/>
    <cellStyle name="Comma [0] 9 51" xfId="1918"/>
    <cellStyle name="Comma [0] 9 6" xfId="243"/>
    <cellStyle name="Comma [0] 9 6 2" xfId="1919"/>
    <cellStyle name="Comma [0] 9 6 3" xfId="1920"/>
    <cellStyle name="Comma [0] 9 6 4" xfId="1921"/>
    <cellStyle name="Comma [0] 9 6 5" xfId="1922"/>
    <cellStyle name="Comma [0] 9 6 6" xfId="1923"/>
    <cellStyle name="Comma [0] 9 7" xfId="244"/>
    <cellStyle name="Comma [0] 9 7 2" xfId="1924"/>
    <cellStyle name="Comma [0] 9 7 3" xfId="1925"/>
    <cellStyle name="Comma [0] 9 7 4" xfId="1926"/>
    <cellStyle name="Comma [0] 9 7 5" xfId="1927"/>
    <cellStyle name="Comma [0] 9 7 6" xfId="1928"/>
    <cellStyle name="Comma [0] 9 8" xfId="245"/>
    <cellStyle name="Comma [0] 9 8 2" xfId="1929"/>
    <cellStyle name="Comma [0] 9 8 3" xfId="1930"/>
    <cellStyle name="Comma [0] 9 8 4" xfId="1931"/>
    <cellStyle name="Comma [0] 9 8 5" xfId="1932"/>
    <cellStyle name="Comma [0] 9 8 6" xfId="1933"/>
    <cellStyle name="Comma [0] 9 9" xfId="246"/>
    <cellStyle name="Comma [0] 9 9 2" xfId="1934"/>
    <cellStyle name="Comma [0] 9 9 3" xfId="1935"/>
    <cellStyle name="Comma [0] 9 9 4" xfId="1936"/>
    <cellStyle name="Comma [0] 9 9 5" xfId="1937"/>
    <cellStyle name="Comma [0] 9 9 6" xfId="1938"/>
    <cellStyle name="Comma 10" xfId="247"/>
    <cellStyle name="Comma 10 10" xfId="248"/>
    <cellStyle name="Comma 10 10 2" xfId="1939"/>
    <cellStyle name="Comma 10 10 3" xfId="1940"/>
    <cellStyle name="Comma 10 10 4" xfId="1941"/>
    <cellStyle name="Comma 10 10 5" xfId="1942"/>
    <cellStyle name="Comma 10 10 6" xfId="1943"/>
    <cellStyle name="Comma 10 11" xfId="1944"/>
    <cellStyle name="Comma 10 12" xfId="1945"/>
    <cellStyle name="Comma 10 13" xfId="1946"/>
    <cellStyle name="Comma 10 14" xfId="1947"/>
    <cellStyle name="Comma 10 15" xfId="1948"/>
    <cellStyle name="Comma 10 16" xfId="1949"/>
    <cellStyle name="Comma 10 17" xfId="1950"/>
    <cellStyle name="Comma 10 18" xfId="1951"/>
    <cellStyle name="Comma 10 19" xfId="1952"/>
    <cellStyle name="Comma 10 2" xfId="249"/>
    <cellStyle name="Comma 10 2 2" xfId="613"/>
    <cellStyle name="Comma 10 2 3" xfId="1953"/>
    <cellStyle name="Comma 10 2 4" xfId="1954"/>
    <cellStyle name="Comma 10 2 5" xfId="1955"/>
    <cellStyle name="Comma 10 2 6" xfId="1956"/>
    <cellStyle name="Comma 10 2 7" xfId="1957"/>
    <cellStyle name="Comma 10 20" xfId="1958"/>
    <cellStyle name="Comma 10 21" xfId="1959"/>
    <cellStyle name="Comma 10 22" xfId="1960"/>
    <cellStyle name="Comma 10 23" xfId="1961"/>
    <cellStyle name="Comma 10 24" xfId="1962"/>
    <cellStyle name="Comma 10 25" xfId="1963"/>
    <cellStyle name="Comma 10 26" xfId="1964"/>
    <cellStyle name="Comma 10 27" xfId="1965"/>
    <cellStyle name="Comma 10 28" xfId="1966"/>
    <cellStyle name="Comma 10 29" xfId="1967"/>
    <cellStyle name="Comma 10 3" xfId="250"/>
    <cellStyle name="Comma 10 3 2" xfId="1968"/>
    <cellStyle name="Comma 10 3 3" xfId="1969"/>
    <cellStyle name="Comma 10 3 4" xfId="1970"/>
    <cellStyle name="Comma 10 3 5" xfId="1971"/>
    <cellStyle name="Comma 10 3 6" xfId="1972"/>
    <cellStyle name="Comma 10 30" xfId="1973"/>
    <cellStyle name="Comma 10 31" xfId="1974"/>
    <cellStyle name="Comma 10 32" xfId="1975"/>
    <cellStyle name="Comma 10 33" xfId="1976"/>
    <cellStyle name="Comma 10 34" xfId="1977"/>
    <cellStyle name="Comma 10 35" xfId="1978"/>
    <cellStyle name="Comma 10 36" xfId="1979"/>
    <cellStyle name="Comma 10 37" xfId="1980"/>
    <cellStyle name="Comma 10 38" xfId="1981"/>
    <cellStyle name="Comma 10 39" xfId="1982"/>
    <cellStyle name="Comma 10 4" xfId="251"/>
    <cellStyle name="Comma 10 4 2" xfId="1983"/>
    <cellStyle name="Comma 10 4 3" xfId="1984"/>
    <cellStyle name="Comma 10 4 4" xfId="1985"/>
    <cellStyle name="Comma 10 4 5" xfId="1986"/>
    <cellStyle name="Comma 10 4 6" xfId="1987"/>
    <cellStyle name="Comma 10 40" xfId="1988"/>
    <cellStyle name="Comma 10 41" xfId="1989"/>
    <cellStyle name="Comma 10 42" xfId="1990"/>
    <cellStyle name="Comma 10 43" xfId="1991"/>
    <cellStyle name="Comma 10 44" xfId="1992"/>
    <cellStyle name="Comma 10 45" xfId="1993"/>
    <cellStyle name="Comma 10 46" xfId="1994"/>
    <cellStyle name="Comma 10 47" xfId="1995"/>
    <cellStyle name="Comma 10 48" xfId="1996"/>
    <cellStyle name="Comma 10 49" xfId="1997"/>
    <cellStyle name="Comma 10 5" xfId="252"/>
    <cellStyle name="Comma 10 5 2" xfId="1998"/>
    <cellStyle name="Comma 10 5 3" xfId="1999"/>
    <cellStyle name="Comma 10 5 4" xfId="2000"/>
    <cellStyle name="Comma 10 5 5" xfId="2001"/>
    <cellStyle name="Comma 10 5 6" xfId="2002"/>
    <cellStyle name="Comma 10 50" xfId="2003"/>
    <cellStyle name="Comma 10 51" xfId="2004"/>
    <cellStyle name="Comma 10 6" xfId="253"/>
    <cellStyle name="Comma 10 6 2" xfId="2005"/>
    <cellStyle name="Comma 10 6 3" xfId="2006"/>
    <cellStyle name="Comma 10 6 4" xfId="2007"/>
    <cellStyle name="Comma 10 6 5" xfId="2008"/>
    <cellStyle name="Comma 10 6 6" xfId="2009"/>
    <cellStyle name="Comma 10 7" xfId="254"/>
    <cellStyle name="Comma 10 7 2" xfId="2010"/>
    <cellStyle name="Comma 10 7 3" xfId="2011"/>
    <cellStyle name="Comma 10 7 4" xfId="2012"/>
    <cellStyle name="Comma 10 7 5" xfId="2013"/>
    <cellStyle name="Comma 10 7 6" xfId="2014"/>
    <cellStyle name="Comma 10 8" xfId="255"/>
    <cellStyle name="Comma 10 8 2" xfId="2015"/>
    <cellStyle name="Comma 10 8 3" xfId="2016"/>
    <cellStyle name="Comma 10 8 4" xfId="2017"/>
    <cellStyle name="Comma 10 8 5" xfId="2018"/>
    <cellStyle name="Comma 10 8 6" xfId="2019"/>
    <cellStyle name="Comma 10 9" xfId="256"/>
    <cellStyle name="Comma 10 9 2" xfId="2020"/>
    <cellStyle name="Comma 10 9 3" xfId="2021"/>
    <cellStyle name="Comma 10 9 4" xfId="2022"/>
    <cellStyle name="Comma 10 9 5" xfId="2023"/>
    <cellStyle name="Comma 10 9 6" xfId="2024"/>
    <cellStyle name="Comma 11" xfId="257"/>
    <cellStyle name="Comma 11 2" xfId="2025"/>
    <cellStyle name="Comma 11 3" xfId="2026"/>
    <cellStyle name="Comma 11 4" xfId="2027"/>
    <cellStyle name="Comma 11 5" xfId="2028"/>
    <cellStyle name="Comma 11 6" xfId="2029"/>
    <cellStyle name="Comma 11 7" xfId="2030"/>
    <cellStyle name="Comma 11 8" xfId="2031"/>
    <cellStyle name="Comma 11 9" xfId="2032"/>
    <cellStyle name="Comma 12" xfId="258"/>
    <cellStyle name="Comma 12 2" xfId="511"/>
    <cellStyle name="Comma 12 3" xfId="512"/>
    <cellStyle name="Comma 12 4" xfId="513"/>
    <cellStyle name="Comma 12 5" xfId="514"/>
    <cellStyle name="Comma 12 6" xfId="2033"/>
    <cellStyle name="Comma 12 7" xfId="2034"/>
    <cellStyle name="Comma 12 8" xfId="2035"/>
    <cellStyle name="Comma 12 9" xfId="2036"/>
    <cellStyle name="Comma 13" xfId="259"/>
    <cellStyle name="Comma 13 10" xfId="2037"/>
    <cellStyle name="Comma 13 2" xfId="260"/>
    <cellStyle name="Comma 13 2 2" xfId="2038"/>
    <cellStyle name="Comma 13 2 3" xfId="2039"/>
    <cellStyle name="Comma 13 2 4" xfId="2040"/>
    <cellStyle name="Comma 13 2 5" xfId="2041"/>
    <cellStyle name="Comma 13 2 6" xfId="2042"/>
    <cellStyle name="Comma 13 3" xfId="2043"/>
    <cellStyle name="Comma 13 4" xfId="2044"/>
    <cellStyle name="Comma 13 5" xfId="2045"/>
    <cellStyle name="Comma 13 6" xfId="2046"/>
    <cellStyle name="Comma 13 7" xfId="2047"/>
    <cellStyle name="Comma 13 8" xfId="2048"/>
    <cellStyle name="Comma 13 9" xfId="2049"/>
    <cellStyle name="Comma 14" xfId="261"/>
    <cellStyle name="Comma 14 2" xfId="2050"/>
    <cellStyle name="Comma 14 3" xfId="2051"/>
    <cellStyle name="Comma 14 4" xfId="2052"/>
    <cellStyle name="Comma 14 5" xfId="2053"/>
    <cellStyle name="Comma 14 6" xfId="2054"/>
    <cellStyle name="Comma 15" xfId="262"/>
    <cellStyle name="Comma 15 2" xfId="515"/>
    <cellStyle name="Comma 15 3" xfId="2055"/>
    <cellStyle name="Comma 15 4" xfId="2056"/>
    <cellStyle name="Comma 15 5" xfId="2057"/>
    <cellStyle name="Comma 15 6" xfId="2058"/>
    <cellStyle name="Comma 15 7" xfId="2059"/>
    <cellStyle name="Comma 15 8" xfId="2060"/>
    <cellStyle name="Comma 15 9" xfId="2061"/>
    <cellStyle name="Comma 16" xfId="263"/>
    <cellStyle name="Comma 16 2" xfId="2062"/>
    <cellStyle name="Comma 16 3" xfId="2063"/>
    <cellStyle name="Comma 16 4" xfId="2064"/>
    <cellStyle name="Comma 16 5" xfId="2065"/>
    <cellStyle name="Comma 16 6" xfId="2066"/>
    <cellStyle name="Comma 17" xfId="264"/>
    <cellStyle name="Comma 17 2" xfId="2067"/>
    <cellStyle name="Comma 17 3" xfId="2068"/>
    <cellStyle name="Comma 17 4" xfId="2069"/>
    <cellStyle name="Comma 17 5" xfId="2070"/>
    <cellStyle name="Comma 17 6" xfId="2071"/>
    <cellStyle name="Comma 18" xfId="265"/>
    <cellStyle name="Comma 18 2" xfId="2072"/>
    <cellStyle name="Comma 18 3" xfId="2073"/>
    <cellStyle name="Comma 18 4" xfId="2074"/>
    <cellStyle name="Comma 18 5" xfId="2075"/>
    <cellStyle name="Comma 18 6" xfId="2076"/>
    <cellStyle name="Comma 19" xfId="266"/>
    <cellStyle name="Comma 19 10" xfId="2077"/>
    <cellStyle name="Comma 19 2" xfId="267"/>
    <cellStyle name="Comma 19 2 2" xfId="2078"/>
    <cellStyle name="Comma 19 2 3" xfId="2079"/>
    <cellStyle name="Comma 19 2 4" xfId="2080"/>
    <cellStyle name="Comma 19 2 5" xfId="2081"/>
    <cellStyle name="Comma 19 2 6" xfId="2082"/>
    <cellStyle name="Comma 19 3" xfId="2083"/>
    <cellStyle name="Comma 19 4" xfId="2084"/>
    <cellStyle name="Comma 19 5" xfId="2085"/>
    <cellStyle name="Comma 19 6" xfId="2086"/>
    <cellStyle name="Comma 19 7" xfId="2087"/>
    <cellStyle name="Comma 19 8" xfId="2088"/>
    <cellStyle name="Comma 19 9" xfId="2089"/>
    <cellStyle name="Comma 2" xfId="2"/>
    <cellStyle name="Comma 2 10" xfId="268"/>
    <cellStyle name="Comma 2 10 2" xfId="2090"/>
    <cellStyle name="Comma 2 10 3" xfId="2091"/>
    <cellStyle name="Comma 2 10 4" xfId="2092"/>
    <cellStyle name="Comma 2 10 5" xfId="2093"/>
    <cellStyle name="Comma 2 10 6" xfId="2094"/>
    <cellStyle name="Comma 2 11" xfId="269"/>
    <cellStyle name="Comma 2 11 2" xfId="2095"/>
    <cellStyle name="Comma 2 11 3" xfId="2096"/>
    <cellStyle name="Comma 2 11 4" xfId="2097"/>
    <cellStyle name="Comma 2 11 5" xfId="2098"/>
    <cellStyle name="Comma 2 11 6" xfId="2099"/>
    <cellStyle name="Comma 2 12" xfId="270"/>
    <cellStyle name="Comma 2 12 2" xfId="2100"/>
    <cellStyle name="Comma 2 12 3" xfId="2101"/>
    <cellStyle name="Comma 2 12 4" xfId="2102"/>
    <cellStyle name="Comma 2 12 5" xfId="2103"/>
    <cellStyle name="Comma 2 12 6" xfId="2104"/>
    <cellStyle name="Comma 2 13" xfId="271"/>
    <cellStyle name="Comma 2 13 2" xfId="2105"/>
    <cellStyle name="Comma 2 13 3" xfId="2106"/>
    <cellStyle name="Comma 2 13 4" xfId="2107"/>
    <cellStyle name="Comma 2 13 5" xfId="2108"/>
    <cellStyle name="Comma 2 13 6" xfId="2109"/>
    <cellStyle name="Comma 2 14" xfId="420"/>
    <cellStyle name="Comma 2 15" xfId="516"/>
    <cellStyle name="Comma 2 16" xfId="517"/>
    <cellStyle name="Comma 2 17" xfId="518"/>
    <cellStyle name="Comma 2 18" xfId="519"/>
    <cellStyle name="Comma 2 19" xfId="520"/>
    <cellStyle name="Comma 2 2" xfId="272"/>
    <cellStyle name="Comma 2 2 2" xfId="421"/>
    <cellStyle name="Comma 2 2 3" xfId="422"/>
    <cellStyle name="Comma 2 2 4" xfId="423"/>
    <cellStyle name="Comma 2 2 5" xfId="424"/>
    <cellStyle name="Comma 2 20" xfId="521"/>
    <cellStyle name="Comma 2 21" xfId="522"/>
    <cellStyle name="Comma 2 22" xfId="523"/>
    <cellStyle name="Comma 2 23" xfId="524"/>
    <cellStyle name="Comma 2 24" xfId="525"/>
    <cellStyle name="Comma 2 25" xfId="526"/>
    <cellStyle name="Comma 2 26" xfId="527"/>
    <cellStyle name="Comma 2 27" xfId="528"/>
    <cellStyle name="Comma 2 28" xfId="529"/>
    <cellStyle name="Comma 2 29" xfId="530"/>
    <cellStyle name="Comma 2 3" xfId="273"/>
    <cellStyle name="Comma 2 3 2" xfId="531"/>
    <cellStyle name="Comma 2 3 3" xfId="2110"/>
    <cellStyle name="Comma 2 3 4" xfId="2111"/>
    <cellStyle name="Comma 2 3 5" xfId="2112"/>
    <cellStyle name="Comma 2 3 6" xfId="2113"/>
    <cellStyle name="Comma 2 30" xfId="532"/>
    <cellStyle name="Comma 2 31" xfId="533"/>
    <cellStyle name="Comma 2 32" xfId="534"/>
    <cellStyle name="Comma 2 33" xfId="535"/>
    <cellStyle name="Comma 2 34" xfId="536"/>
    <cellStyle name="Comma 2 35" xfId="537"/>
    <cellStyle name="Comma 2 36" xfId="538"/>
    <cellStyle name="Comma 2 37" xfId="539"/>
    <cellStyle name="Comma 2 38" xfId="540"/>
    <cellStyle name="Comma 2 39" xfId="541"/>
    <cellStyle name="Comma 2 4" xfId="274"/>
    <cellStyle name="Comma 2 4 2" xfId="542"/>
    <cellStyle name="Comma 2 4 3" xfId="2114"/>
    <cellStyle name="Comma 2 4 4" xfId="2115"/>
    <cellStyle name="Comma 2 4 5" xfId="2116"/>
    <cellStyle name="Comma 2 4 6" xfId="2117"/>
    <cellStyle name="Comma 2 40" xfId="609"/>
    <cellStyle name="Comma 2 41" xfId="607"/>
    <cellStyle name="Comma 2 42" xfId="608"/>
    <cellStyle name="Comma 2 43" xfId="2118"/>
    <cellStyle name="Comma 2 44" xfId="2119"/>
    <cellStyle name="Comma 2 45" xfId="2120"/>
    <cellStyle name="Comma 2 46" xfId="2121"/>
    <cellStyle name="Comma 2 5" xfId="275"/>
    <cellStyle name="Comma 2 5 2" xfId="543"/>
    <cellStyle name="Comma 2 5 3" xfId="2122"/>
    <cellStyle name="Comma 2 5 4" xfId="2123"/>
    <cellStyle name="Comma 2 5 5" xfId="2124"/>
    <cellStyle name="Comma 2 5 6" xfId="2125"/>
    <cellStyle name="Comma 2 6" xfId="276"/>
    <cellStyle name="Comma 2 6 2" xfId="2126"/>
    <cellStyle name="Comma 2 6 3" xfId="2127"/>
    <cellStyle name="Comma 2 6 4" xfId="2128"/>
    <cellStyle name="Comma 2 6 5" xfId="2129"/>
    <cellStyle name="Comma 2 6 6" xfId="2130"/>
    <cellStyle name="Comma 2 7" xfId="277"/>
    <cellStyle name="Comma 2 7 2" xfId="2131"/>
    <cellStyle name="Comma 2 7 3" xfId="2132"/>
    <cellStyle name="Comma 2 7 4" xfId="2133"/>
    <cellStyle name="Comma 2 7 5" xfId="2134"/>
    <cellStyle name="Comma 2 7 6" xfId="2135"/>
    <cellStyle name="Comma 2 8" xfId="278"/>
    <cellStyle name="Comma 2 8 2" xfId="2136"/>
    <cellStyle name="Comma 2 8 3" xfId="2137"/>
    <cellStyle name="Comma 2 8 4" xfId="2138"/>
    <cellStyle name="Comma 2 8 5" xfId="2139"/>
    <cellStyle name="Comma 2 8 6" xfId="2140"/>
    <cellStyle name="Comma 2 9" xfId="279"/>
    <cellStyle name="Comma 2 9 2" xfId="2141"/>
    <cellStyle name="Comma 2 9 3" xfId="2142"/>
    <cellStyle name="Comma 2 9 4" xfId="2143"/>
    <cellStyle name="Comma 2 9 5" xfId="2144"/>
    <cellStyle name="Comma 2 9 6" xfId="2145"/>
    <cellStyle name="Comma 20" xfId="280"/>
    <cellStyle name="Comma 20 10" xfId="2146"/>
    <cellStyle name="Comma 20 11" xfId="2147"/>
    <cellStyle name="Comma 20 12" xfId="2148"/>
    <cellStyle name="Comma 20 13" xfId="2149"/>
    <cellStyle name="Comma 20 14" xfId="2150"/>
    <cellStyle name="Comma 20 15" xfId="2151"/>
    <cellStyle name="Comma 20 16" xfId="2152"/>
    <cellStyle name="Comma 20 17" xfId="2153"/>
    <cellStyle name="Comma 20 18" xfId="2154"/>
    <cellStyle name="Comma 20 19" xfId="2155"/>
    <cellStyle name="Comma 20 2" xfId="281"/>
    <cellStyle name="Comma 20 2 2" xfId="2156"/>
    <cellStyle name="Comma 20 2 3" xfId="2157"/>
    <cellStyle name="Comma 20 2 4" xfId="2158"/>
    <cellStyle name="Comma 20 2 5" xfId="2159"/>
    <cellStyle name="Comma 20 2 6" xfId="2160"/>
    <cellStyle name="Comma 20 20" xfId="2161"/>
    <cellStyle name="Comma 20 21" xfId="2162"/>
    <cellStyle name="Comma 20 22" xfId="2163"/>
    <cellStyle name="Comma 20 23" xfId="2164"/>
    <cellStyle name="Comma 20 24" xfId="2165"/>
    <cellStyle name="Comma 20 25" xfId="2166"/>
    <cellStyle name="Comma 20 26" xfId="2167"/>
    <cellStyle name="Comma 20 27" xfId="2168"/>
    <cellStyle name="Comma 20 28" xfId="2169"/>
    <cellStyle name="Comma 20 29" xfId="2170"/>
    <cellStyle name="Comma 20 3" xfId="282"/>
    <cellStyle name="Comma 20 30" xfId="2171"/>
    <cellStyle name="Comma 20 31" xfId="2172"/>
    <cellStyle name="Comma 20 32" xfId="2173"/>
    <cellStyle name="Comma 20 33" xfId="2174"/>
    <cellStyle name="Comma 20 34" xfId="2175"/>
    <cellStyle name="Comma 20 4" xfId="2176"/>
    <cellStyle name="Comma 20 5" xfId="2177"/>
    <cellStyle name="Comma 20 6" xfId="2178"/>
    <cellStyle name="Comma 20 7" xfId="2179"/>
    <cellStyle name="Comma 20 8" xfId="2180"/>
    <cellStyle name="Comma 20 9" xfId="2181"/>
    <cellStyle name="Comma 21" xfId="283"/>
    <cellStyle name="Comma 21 2" xfId="2182"/>
    <cellStyle name="Comma 21 3" xfId="2183"/>
    <cellStyle name="Comma 21 4" xfId="2184"/>
    <cellStyle name="Comma 21 5" xfId="2185"/>
    <cellStyle name="Comma 21 6" xfId="2186"/>
    <cellStyle name="Comma 22" xfId="2187"/>
    <cellStyle name="Comma 23" xfId="2188"/>
    <cellStyle name="Comma 24" xfId="284"/>
    <cellStyle name="Comma 24 2" xfId="285"/>
    <cellStyle name="Comma 24 2 2" xfId="2189"/>
    <cellStyle name="Comma 24 2 3" xfId="2190"/>
    <cellStyle name="Comma 24 2 4" xfId="2191"/>
    <cellStyle name="Comma 24 2 5" xfId="2192"/>
    <cellStyle name="Comma 24 2 6" xfId="2193"/>
    <cellStyle name="Comma 24 3" xfId="2194"/>
    <cellStyle name="Comma 24 4" xfId="2195"/>
    <cellStyle name="Comma 24 5" xfId="2196"/>
    <cellStyle name="Comma 24 6" xfId="2197"/>
    <cellStyle name="Comma 24 7" xfId="2198"/>
    <cellStyle name="Comma 29" xfId="544"/>
    <cellStyle name="Comma 29 2" xfId="2199"/>
    <cellStyle name="Comma 3" xfId="286"/>
    <cellStyle name="Comma 3 10" xfId="545"/>
    <cellStyle name="Comma 3 11" xfId="546"/>
    <cellStyle name="Comma 3 12" xfId="547"/>
    <cellStyle name="Comma 3 13" xfId="548"/>
    <cellStyle name="Comma 3 14" xfId="2200"/>
    <cellStyle name="Comma 3 15" xfId="2201"/>
    <cellStyle name="Comma 3 2" xfId="287"/>
    <cellStyle name="Comma 3 2 2" xfId="2202"/>
    <cellStyle name="Comma 3 2 3" xfId="2203"/>
    <cellStyle name="Comma 3 2 4" xfId="2204"/>
    <cellStyle name="Comma 3 2 5" xfId="2205"/>
    <cellStyle name="Comma 3 2 6" xfId="2206"/>
    <cellStyle name="Comma 3 3" xfId="288"/>
    <cellStyle name="Comma 3 3 2" xfId="442"/>
    <cellStyle name="Comma 3 3 3" xfId="549"/>
    <cellStyle name="Comma 3 3 4" xfId="550"/>
    <cellStyle name="Comma 3 3 5" xfId="551"/>
    <cellStyle name="Comma 3 3 6" xfId="552"/>
    <cellStyle name="Comma 3 3 7" xfId="553"/>
    <cellStyle name="Comma 3 4" xfId="554"/>
    <cellStyle name="Comma 3 5" xfId="555"/>
    <cellStyle name="Comma 3 6" xfId="556"/>
    <cellStyle name="Comma 3 7" xfId="557"/>
    <cellStyle name="Comma 3 8" xfId="558"/>
    <cellStyle name="Comma 3 9" xfId="559"/>
    <cellStyle name="Comma 30" xfId="560"/>
    <cellStyle name="Comma 31" xfId="2207"/>
    <cellStyle name="Comma 32" xfId="2208"/>
    <cellStyle name="Comma 33" xfId="2209"/>
    <cellStyle name="Comma 34" xfId="2210"/>
    <cellStyle name="Comma 4" xfId="289"/>
    <cellStyle name="Comma 4 10" xfId="2211"/>
    <cellStyle name="Comma 4 11" xfId="2212"/>
    <cellStyle name="Comma 4 12" xfId="2213"/>
    <cellStyle name="Comma 4 13" xfId="2214"/>
    <cellStyle name="Comma 4 14" xfId="2215"/>
    <cellStyle name="Comma 4 15" xfId="2216"/>
    <cellStyle name="Comma 4 16" xfId="2217"/>
    <cellStyle name="Comma 4 17" xfId="2218"/>
    <cellStyle name="Comma 4 18" xfId="2219"/>
    <cellStyle name="Comma 4 19" xfId="2220"/>
    <cellStyle name="Comma 4 2" xfId="290"/>
    <cellStyle name="Comma 4 2 2" xfId="2221"/>
    <cellStyle name="Comma 4 2 3" xfId="2222"/>
    <cellStyle name="Comma 4 2 4" xfId="2223"/>
    <cellStyle name="Comma 4 2 5" xfId="2224"/>
    <cellStyle name="Comma 4 2 6" xfId="2225"/>
    <cellStyle name="Comma 4 20" xfId="2226"/>
    <cellStyle name="Comma 4 21" xfId="2227"/>
    <cellStyle name="Comma 4 22" xfId="2228"/>
    <cellStyle name="Comma 4 23" xfId="2229"/>
    <cellStyle name="Comma 4 24" xfId="2230"/>
    <cellStyle name="Comma 4 25" xfId="2231"/>
    <cellStyle name="Comma 4 26" xfId="2232"/>
    <cellStyle name="Comma 4 27" xfId="2233"/>
    <cellStyle name="Comma 4 28" xfId="2234"/>
    <cellStyle name="Comma 4 29" xfId="2235"/>
    <cellStyle name="Comma 4 3" xfId="291"/>
    <cellStyle name="Comma 4 3 2" xfId="2236"/>
    <cellStyle name="Comma 4 3 3" xfId="2237"/>
    <cellStyle name="Comma 4 3 4" xfId="2238"/>
    <cellStyle name="Comma 4 3 5" xfId="2239"/>
    <cellStyle name="Comma 4 3 6" xfId="2240"/>
    <cellStyle name="Comma 4 30" xfId="2241"/>
    <cellStyle name="Comma 4 31" xfId="2242"/>
    <cellStyle name="Comma 4 32" xfId="2243"/>
    <cellStyle name="Comma 4 33" xfId="2244"/>
    <cellStyle name="Comma 4 34" xfId="2245"/>
    <cellStyle name="Comma 4 35" xfId="2246"/>
    <cellStyle name="Comma 4 36" xfId="2247"/>
    <cellStyle name="Comma 4 37" xfId="2248"/>
    <cellStyle name="Comma 4 38" xfId="2249"/>
    <cellStyle name="Comma 4 39" xfId="2250"/>
    <cellStyle name="Comma 4 4" xfId="292"/>
    <cellStyle name="Comma 4 4 2" xfId="2251"/>
    <cellStyle name="Comma 4 4 3" xfId="2252"/>
    <cellStyle name="Comma 4 4 4" xfId="2253"/>
    <cellStyle name="Comma 4 4 5" xfId="2254"/>
    <cellStyle name="Comma 4 4 6" xfId="2255"/>
    <cellStyle name="Comma 4 40" xfId="2256"/>
    <cellStyle name="Comma 4 41" xfId="2257"/>
    <cellStyle name="Comma 4 42" xfId="2258"/>
    <cellStyle name="Comma 4 5" xfId="293"/>
    <cellStyle name="Comma 4 5 2" xfId="2259"/>
    <cellStyle name="Comma 4 5 3" xfId="2260"/>
    <cellStyle name="Comma 4 5 4" xfId="2261"/>
    <cellStyle name="Comma 4 5 5" xfId="2262"/>
    <cellStyle name="Comma 4 5 6" xfId="2263"/>
    <cellStyle name="Comma 4 6" xfId="294"/>
    <cellStyle name="Comma 4 6 2" xfId="2264"/>
    <cellStyle name="Comma 4 6 3" xfId="2265"/>
    <cellStyle name="Comma 4 6 4" xfId="2266"/>
    <cellStyle name="Comma 4 6 5" xfId="2267"/>
    <cellStyle name="Comma 4 6 6" xfId="2268"/>
    <cellStyle name="Comma 4 7" xfId="295"/>
    <cellStyle name="Comma 4 7 2" xfId="2269"/>
    <cellStyle name="Comma 4 7 3" xfId="2270"/>
    <cellStyle name="Comma 4 7 4" xfId="2271"/>
    <cellStyle name="Comma 4 7 5" xfId="2272"/>
    <cellStyle name="Comma 4 7 6" xfId="2273"/>
    <cellStyle name="Comma 4 8" xfId="296"/>
    <cellStyle name="Comma 4 8 2" xfId="2274"/>
    <cellStyle name="Comma 4 8 3" xfId="2275"/>
    <cellStyle name="Comma 4 8 4" xfId="2276"/>
    <cellStyle name="Comma 4 8 5" xfId="2277"/>
    <cellStyle name="Comma 4 8 6" xfId="2278"/>
    <cellStyle name="Comma 4 9" xfId="297"/>
    <cellStyle name="Comma 4 9 2" xfId="2279"/>
    <cellStyle name="Comma 4 9 3" xfId="2280"/>
    <cellStyle name="Comma 4 9 4" xfId="2281"/>
    <cellStyle name="Comma 4 9 5" xfId="2282"/>
    <cellStyle name="Comma 4 9 6" xfId="2283"/>
    <cellStyle name="Comma 5" xfId="298"/>
    <cellStyle name="Comma 5 2" xfId="2284"/>
    <cellStyle name="Comma 5 3" xfId="2285"/>
    <cellStyle name="Comma 5 4" xfId="2286"/>
    <cellStyle name="Comma 5 5" xfId="2287"/>
    <cellStyle name="Comma 5 6" xfId="2288"/>
    <cellStyle name="Comma 6" xfId="299"/>
    <cellStyle name="Comma 6 2" xfId="561"/>
    <cellStyle name="Comma 6 3" xfId="562"/>
    <cellStyle name="Comma 6 4" xfId="563"/>
    <cellStyle name="Comma 6 5" xfId="564"/>
    <cellStyle name="Comma 6 6" xfId="565"/>
    <cellStyle name="Comma 6 7" xfId="566"/>
    <cellStyle name="Comma 6 8" xfId="567"/>
    <cellStyle name="Comma 7" xfId="300"/>
    <cellStyle name="Comma 7 2" xfId="301"/>
    <cellStyle name="Comma 7 2 2" xfId="2289"/>
    <cellStyle name="Comma 7 2 3" xfId="2290"/>
    <cellStyle name="Comma 7 2 4" xfId="2291"/>
    <cellStyle name="Comma 7 2 5" xfId="2292"/>
    <cellStyle name="Comma 7 2 6" xfId="2293"/>
    <cellStyle name="Comma 7 3" xfId="2294"/>
    <cellStyle name="Comma 7 4" xfId="2295"/>
    <cellStyle name="Comma 7 5" xfId="2296"/>
    <cellStyle name="Comma 7 6" xfId="2297"/>
    <cellStyle name="Comma 7 7" xfId="2298"/>
    <cellStyle name="Comma 8" xfId="302"/>
    <cellStyle name="Comma 8 10" xfId="2299"/>
    <cellStyle name="Comma 8 11" xfId="2300"/>
    <cellStyle name="Comma 8 2" xfId="303"/>
    <cellStyle name="Comma 8 2 2" xfId="2301"/>
    <cellStyle name="Comma 8 2 3" xfId="568"/>
    <cellStyle name="Comma 8 2 4" xfId="2302"/>
    <cellStyle name="Comma 8 2 5" xfId="2303"/>
    <cellStyle name="Comma 8 2 6" xfId="2304"/>
    <cellStyle name="Comma 8 3" xfId="304"/>
    <cellStyle name="Comma 8 3 2" xfId="2305"/>
    <cellStyle name="Comma 8 3 3" xfId="2306"/>
    <cellStyle name="Comma 8 3 4" xfId="2307"/>
    <cellStyle name="Comma 8 3 5" xfId="2308"/>
    <cellStyle name="Comma 8 3 6" xfId="2309"/>
    <cellStyle name="Comma 8 4" xfId="569"/>
    <cellStyle name="Comma 8 5" xfId="570"/>
    <cellStyle name="Comma 8 6" xfId="571"/>
    <cellStyle name="Comma 8 7" xfId="572"/>
    <cellStyle name="Comma 8 8" xfId="2310"/>
    <cellStyle name="Comma 8 9" xfId="2311"/>
    <cellStyle name="Comma 9" xfId="305"/>
    <cellStyle name="Comma 9 10" xfId="2312"/>
    <cellStyle name="Comma 9 11" xfId="2313"/>
    <cellStyle name="Comma 9 12" xfId="2314"/>
    <cellStyle name="Comma 9 13" xfId="2315"/>
    <cellStyle name="Comma 9 14" xfId="2316"/>
    <cellStyle name="Comma 9 15" xfId="2317"/>
    <cellStyle name="Comma 9 16" xfId="2318"/>
    <cellStyle name="Comma 9 17" xfId="2319"/>
    <cellStyle name="Comma 9 18" xfId="2320"/>
    <cellStyle name="Comma 9 19" xfId="2321"/>
    <cellStyle name="Comma 9 2" xfId="306"/>
    <cellStyle name="Comma 9 2 2" xfId="2322"/>
    <cellStyle name="Comma 9 2 3" xfId="2323"/>
    <cellStyle name="Comma 9 2 4" xfId="2324"/>
    <cellStyle name="Comma 9 2 5" xfId="2325"/>
    <cellStyle name="Comma 9 2 6" xfId="2326"/>
    <cellStyle name="Comma 9 20" xfId="2327"/>
    <cellStyle name="Comma 9 21" xfId="2328"/>
    <cellStyle name="Comma 9 22" xfId="2329"/>
    <cellStyle name="Comma 9 23" xfId="2330"/>
    <cellStyle name="Comma 9 24" xfId="2331"/>
    <cellStyle name="Comma 9 25" xfId="2332"/>
    <cellStyle name="Comma 9 26" xfId="2333"/>
    <cellStyle name="Comma 9 27" xfId="2334"/>
    <cellStyle name="Comma 9 28" xfId="2335"/>
    <cellStyle name="Comma 9 29" xfId="2336"/>
    <cellStyle name="Comma 9 3" xfId="307"/>
    <cellStyle name="Comma 9 3 2" xfId="2337"/>
    <cellStyle name="Comma 9 3 3" xfId="2338"/>
    <cellStyle name="Comma 9 3 4" xfId="2339"/>
    <cellStyle name="Comma 9 3 5" xfId="2340"/>
    <cellStyle name="Comma 9 3 6" xfId="2341"/>
    <cellStyle name="Comma 9 30" xfId="2342"/>
    <cellStyle name="Comma 9 31" xfId="2343"/>
    <cellStyle name="Comma 9 32" xfId="2344"/>
    <cellStyle name="Comma 9 33" xfId="2345"/>
    <cellStyle name="Comma 9 34" xfId="2346"/>
    <cellStyle name="Comma 9 35" xfId="2347"/>
    <cellStyle name="Comma 9 36" xfId="2348"/>
    <cellStyle name="Comma 9 37" xfId="2349"/>
    <cellStyle name="Comma 9 38" xfId="2350"/>
    <cellStyle name="Comma 9 39" xfId="2351"/>
    <cellStyle name="Comma 9 4" xfId="308"/>
    <cellStyle name="Comma 9 4 2" xfId="2352"/>
    <cellStyle name="Comma 9 4 3" xfId="2353"/>
    <cellStyle name="Comma 9 4 4" xfId="2354"/>
    <cellStyle name="Comma 9 4 5" xfId="2355"/>
    <cellStyle name="Comma 9 4 6" xfId="2356"/>
    <cellStyle name="Comma 9 40" xfId="2357"/>
    <cellStyle name="Comma 9 41" xfId="2358"/>
    <cellStyle name="Comma 9 42" xfId="2359"/>
    <cellStyle name="Comma 9 43" xfId="2360"/>
    <cellStyle name="Comma 9 44" xfId="2361"/>
    <cellStyle name="Comma 9 45" xfId="2362"/>
    <cellStyle name="Comma 9 46" xfId="2363"/>
    <cellStyle name="Comma 9 47" xfId="2364"/>
    <cellStyle name="Comma 9 48" xfId="2365"/>
    <cellStyle name="Comma 9 49" xfId="2366"/>
    <cellStyle name="Comma 9 5" xfId="309"/>
    <cellStyle name="Comma 9 5 2" xfId="2367"/>
    <cellStyle name="Comma 9 5 3" xfId="2368"/>
    <cellStyle name="Comma 9 5 4" xfId="2369"/>
    <cellStyle name="Comma 9 5 5" xfId="2370"/>
    <cellStyle name="Comma 9 5 6" xfId="2371"/>
    <cellStyle name="Comma 9 50" xfId="2372"/>
    <cellStyle name="Comma 9 6" xfId="310"/>
    <cellStyle name="Comma 9 6 2" xfId="2373"/>
    <cellStyle name="Comma 9 6 3" xfId="2374"/>
    <cellStyle name="Comma 9 6 4" xfId="2375"/>
    <cellStyle name="Comma 9 6 5" xfId="2376"/>
    <cellStyle name="Comma 9 6 6" xfId="2377"/>
    <cellStyle name="Comma 9 7" xfId="311"/>
    <cellStyle name="Comma 9 7 2" xfId="2378"/>
    <cellStyle name="Comma 9 7 3" xfId="2379"/>
    <cellStyle name="Comma 9 7 4" xfId="2380"/>
    <cellStyle name="Comma 9 7 5" xfId="2381"/>
    <cellStyle name="Comma 9 7 6" xfId="2382"/>
    <cellStyle name="Comma 9 8" xfId="312"/>
    <cellStyle name="Comma 9 8 2" xfId="2383"/>
    <cellStyle name="Comma 9 8 3" xfId="2384"/>
    <cellStyle name="Comma 9 8 4" xfId="2385"/>
    <cellStyle name="Comma 9 8 5" xfId="2386"/>
    <cellStyle name="Comma 9 8 6" xfId="2387"/>
    <cellStyle name="Comma 9 9" xfId="313"/>
    <cellStyle name="Comma 9 9 2" xfId="2388"/>
    <cellStyle name="Comma 9 9 3" xfId="2389"/>
    <cellStyle name="Comma 9 9 4" xfId="2390"/>
    <cellStyle name="Comma 9 9 5" xfId="2391"/>
    <cellStyle name="Comma 9 9 6" xfId="2392"/>
    <cellStyle name="Date" xfId="314"/>
    <cellStyle name="Date 2" xfId="2393"/>
    <cellStyle name="Date 3" xfId="2394"/>
    <cellStyle name="Date 4" xfId="2395"/>
    <cellStyle name="Euro" xfId="315"/>
    <cellStyle name="Euro 2" xfId="2396"/>
    <cellStyle name="Euro 3" xfId="2397"/>
    <cellStyle name="Euro 4" xfId="2398"/>
    <cellStyle name="Euro 5" xfId="2399"/>
    <cellStyle name="Euro 6" xfId="2400"/>
    <cellStyle name="F2" xfId="316"/>
    <cellStyle name="F3" xfId="317"/>
    <cellStyle name="F4" xfId="318"/>
    <cellStyle name="F5" xfId="319"/>
    <cellStyle name="F6" xfId="320"/>
    <cellStyle name="F7" xfId="321"/>
    <cellStyle name="F8" xfId="322"/>
    <cellStyle name="Fixed" xfId="323"/>
    <cellStyle name="Fixed 2" xfId="2401"/>
    <cellStyle name="Fixed 3" xfId="2402"/>
    <cellStyle name="Fixed 4" xfId="2403"/>
    <cellStyle name="Heading1" xfId="324"/>
    <cellStyle name="Heading1 2" xfId="2404"/>
    <cellStyle name="Heading1 3" xfId="2405"/>
    <cellStyle name="Heading1 4" xfId="2406"/>
    <cellStyle name="Heading2" xfId="325"/>
    <cellStyle name="Heading2 2" xfId="2407"/>
    <cellStyle name="Heading2 3" xfId="2408"/>
    <cellStyle name="Heading2 4" xfId="2409"/>
    <cellStyle name="Hyperlink 2" xfId="326"/>
    <cellStyle name="Normal" xfId="0" builtinId="0"/>
    <cellStyle name="Normal 10" xfId="327"/>
    <cellStyle name="Normal 10 10" xfId="2410"/>
    <cellStyle name="Normal 10 10 2" xfId="2411"/>
    <cellStyle name="Normal 10 10 3" xfId="2412"/>
    <cellStyle name="Normal 10 10 4" xfId="2413"/>
    <cellStyle name="Normal 10 10 5" xfId="2414"/>
    <cellStyle name="Normal 10 11" xfId="2415"/>
    <cellStyle name="Normal 10 12" xfId="2416"/>
    <cellStyle name="Normal 10 13" xfId="2417"/>
    <cellStyle name="Normal 10 14" xfId="2418"/>
    <cellStyle name="Normal 10 15" xfId="2419"/>
    <cellStyle name="Normal 10 16" xfId="2420"/>
    <cellStyle name="Normal 10 17" xfId="2421"/>
    <cellStyle name="Normal 10 18" xfId="2422"/>
    <cellStyle name="Normal 10 19" xfId="2423"/>
    <cellStyle name="Normal 10 2" xfId="328"/>
    <cellStyle name="Normal 10 2 2" xfId="2424"/>
    <cellStyle name="Normal 10 2 3" xfId="2425"/>
    <cellStyle name="Normal 10 2 4" xfId="2426"/>
    <cellStyle name="Normal 10 2 5" xfId="2427"/>
    <cellStyle name="Normal 10 2 6" xfId="2428"/>
    <cellStyle name="Normal 10 20" xfId="2429"/>
    <cellStyle name="Normal 10 21" xfId="2430"/>
    <cellStyle name="Normal 10 22" xfId="2431"/>
    <cellStyle name="Normal 10 23" xfId="2432"/>
    <cellStyle name="Normal 10 24" xfId="2433"/>
    <cellStyle name="Normal 10 25" xfId="2434"/>
    <cellStyle name="Normal 10 26" xfId="2435"/>
    <cellStyle name="Normal 10 27" xfId="2436"/>
    <cellStyle name="Normal 10 28" xfId="2437"/>
    <cellStyle name="Normal 10 29" xfId="2438"/>
    <cellStyle name="Normal 10 3" xfId="329"/>
    <cellStyle name="Normal 10 3 2" xfId="2439"/>
    <cellStyle name="Normal 10 3 3" xfId="2440"/>
    <cellStyle name="Normal 10 3 4" xfId="2441"/>
    <cellStyle name="Normal 10 3 5" xfId="2442"/>
    <cellStyle name="Normal 10 3 6" xfId="2443"/>
    <cellStyle name="Normal 10 30" xfId="2444"/>
    <cellStyle name="Normal 10 31" xfId="2445"/>
    <cellStyle name="Normal 10 32" xfId="2446"/>
    <cellStyle name="Normal 10 33" xfId="2447"/>
    <cellStyle name="Normal 10 34" xfId="2448"/>
    <cellStyle name="Normal 10 35" xfId="2449"/>
    <cellStyle name="Normal 10 36" xfId="2450"/>
    <cellStyle name="Normal 10 37" xfId="2451"/>
    <cellStyle name="Normal 10 38" xfId="2452"/>
    <cellStyle name="Normal 10 39" xfId="2453"/>
    <cellStyle name="Normal 10 4" xfId="330"/>
    <cellStyle name="Normal 10 4 2" xfId="2454"/>
    <cellStyle name="Normal 10 4 3" xfId="2455"/>
    <cellStyle name="Normal 10 4 4" xfId="2456"/>
    <cellStyle name="Normal 10 4 5" xfId="2457"/>
    <cellStyle name="Normal 10 4 6" xfId="2458"/>
    <cellStyle name="Normal 10 40" xfId="2459"/>
    <cellStyle name="Normal 10 41" xfId="2460"/>
    <cellStyle name="Normal 10 42" xfId="2461"/>
    <cellStyle name="Normal 10 43" xfId="2462"/>
    <cellStyle name="Normal 10 44" xfId="2463"/>
    <cellStyle name="Normal 10 45" xfId="2464"/>
    <cellStyle name="Normal 10 46" xfId="2465"/>
    <cellStyle name="Normal 10 47" xfId="2466"/>
    <cellStyle name="Normal 10 48" xfId="2467"/>
    <cellStyle name="Normal 10 49" xfId="2468"/>
    <cellStyle name="Normal 10 5" xfId="331"/>
    <cellStyle name="Normal 10 5 2" xfId="2469"/>
    <cellStyle name="Normal 10 5 3" xfId="2470"/>
    <cellStyle name="Normal 10 5 4" xfId="2471"/>
    <cellStyle name="Normal 10 5 5" xfId="2472"/>
    <cellStyle name="Normal 10 5 6" xfId="2473"/>
    <cellStyle name="Normal 10 50" xfId="2474"/>
    <cellStyle name="Normal 10 6" xfId="332"/>
    <cellStyle name="Normal 10 6 2" xfId="2475"/>
    <cellStyle name="Normal 10 6 3" xfId="2476"/>
    <cellStyle name="Normal 10 6 4" xfId="2477"/>
    <cellStyle name="Normal 10 6 5" xfId="2478"/>
    <cellStyle name="Normal 10 6 6" xfId="2479"/>
    <cellStyle name="Normal 10 7" xfId="333"/>
    <cellStyle name="Normal 10 7 2" xfId="2480"/>
    <cellStyle name="Normal 10 7 3" xfId="2481"/>
    <cellStyle name="Normal 10 7 4" xfId="2482"/>
    <cellStyle name="Normal 10 7 5" xfId="2483"/>
    <cellStyle name="Normal 10 7 6" xfId="2484"/>
    <cellStyle name="Normal 10 8" xfId="334"/>
    <cellStyle name="Normal 10 8 2" xfId="2485"/>
    <cellStyle name="Normal 10 8 3" xfId="2486"/>
    <cellStyle name="Normal 10 8 4" xfId="2487"/>
    <cellStyle name="Normal 10 8 5" xfId="2488"/>
    <cellStyle name="Normal 10 8 6" xfId="2489"/>
    <cellStyle name="Normal 10 9" xfId="335"/>
    <cellStyle name="Normal 10 9 2" xfId="2490"/>
    <cellStyle name="Normal 10 9 3" xfId="2491"/>
    <cellStyle name="Normal 10 9 4" xfId="2492"/>
    <cellStyle name="Normal 10 9 5" xfId="2493"/>
    <cellStyle name="Normal 10 9 6" xfId="2494"/>
    <cellStyle name="Normal 10_ABRI TAUPAN" xfId="336"/>
    <cellStyle name="Normal 11" xfId="337"/>
    <cellStyle name="Normal 11 10" xfId="2495"/>
    <cellStyle name="Normal 11 11" xfId="2496"/>
    <cellStyle name="Normal 11 2" xfId="338"/>
    <cellStyle name="Normal 11 2 2" xfId="614"/>
    <cellStyle name="Normal 11 2 3" xfId="2497"/>
    <cellStyle name="Normal 11 2 4" xfId="2498"/>
    <cellStyle name="Normal 11 2 5" xfId="2499"/>
    <cellStyle name="Normal 11 2 6" xfId="2500"/>
    <cellStyle name="Normal 11 2 7" xfId="2501"/>
    <cellStyle name="Normal 11 3" xfId="2502"/>
    <cellStyle name="Normal 11 4" xfId="2503"/>
    <cellStyle name="Normal 11 5" xfId="2504"/>
    <cellStyle name="Normal 11 6" xfId="2505"/>
    <cellStyle name="Normal 11 7" xfId="2506"/>
    <cellStyle name="Normal 11 8" xfId="2507"/>
    <cellStyle name="Normal 11 9" xfId="2508"/>
    <cellStyle name="Normal 11_KOPRA JANUARI 2014" xfId="2509"/>
    <cellStyle name="Normal 12" xfId="339"/>
    <cellStyle name="Normal 12 2" xfId="2510"/>
    <cellStyle name="Normal 12 3" xfId="2511"/>
    <cellStyle name="Normal 12 4" xfId="2512"/>
    <cellStyle name="Normal 12 5" xfId="2513"/>
    <cellStyle name="Normal 12 6" xfId="2514"/>
    <cellStyle name="Normal 12 7" xfId="2515"/>
    <cellStyle name="Normal 12 8" xfId="2516"/>
    <cellStyle name="Normal 12 9" xfId="2517"/>
    <cellStyle name="Normal 13" xfId="340"/>
    <cellStyle name="Normal 13 2" xfId="573"/>
    <cellStyle name="Normal 13 3" xfId="574"/>
    <cellStyle name="Normal 13 4" xfId="575"/>
    <cellStyle name="Normal 13 5" xfId="576"/>
    <cellStyle name="Normal 13 6" xfId="2518"/>
    <cellStyle name="Normal 13 7" xfId="2519"/>
    <cellStyle name="Normal 13 8" xfId="2520"/>
    <cellStyle name="Normal 13 9" xfId="2521"/>
    <cellStyle name="Normal 14" xfId="341"/>
    <cellStyle name="Normal 14 2" xfId="2522"/>
    <cellStyle name="Normal 14 3" xfId="2523"/>
    <cellStyle name="Normal 14 4" xfId="2524"/>
    <cellStyle name="Normal 14 5" xfId="2525"/>
    <cellStyle name="Normal 14 6" xfId="2526"/>
    <cellStyle name="Normal 14 7" xfId="2527"/>
    <cellStyle name="Normal 14 8" xfId="2528"/>
    <cellStyle name="Normal 14 9" xfId="2529"/>
    <cellStyle name="Normal 15" xfId="342"/>
    <cellStyle name="Normal 15 2" xfId="2530"/>
    <cellStyle name="Normal 15 3" xfId="2531"/>
    <cellStyle name="Normal 15 4" xfId="2532"/>
    <cellStyle name="Normal 15 5" xfId="2533"/>
    <cellStyle name="Normal 15 6" xfId="2534"/>
    <cellStyle name="Normal 16" xfId="343"/>
    <cellStyle name="Normal 16 2" xfId="2535"/>
    <cellStyle name="Normal 16 3" xfId="2536"/>
    <cellStyle name="Normal 16 4" xfId="2537"/>
    <cellStyle name="Normal 16 5" xfId="2538"/>
    <cellStyle name="Normal 16 6" xfId="2539"/>
    <cellStyle name="Normal 16 7" xfId="2540"/>
    <cellStyle name="Normal 16 8" xfId="2541"/>
    <cellStyle name="Normal 16 9" xfId="2542"/>
    <cellStyle name="Normal 17" xfId="344"/>
    <cellStyle name="Normal 17 2" xfId="2543"/>
    <cellStyle name="Normal 17 3" xfId="2544"/>
    <cellStyle name="Normal 17 4" xfId="2545"/>
    <cellStyle name="Normal 17 5" xfId="2546"/>
    <cellStyle name="Normal 17 6" xfId="2547"/>
    <cellStyle name="Normal 18" xfId="345"/>
    <cellStyle name="Normal 18 2" xfId="2548"/>
    <cellStyle name="Normal 18 3" xfId="2549"/>
    <cellStyle name="Normal 18 4" xfId="2550"/>
    <cellStyle name="Normal 18 5" xfId="2551"/>
    <cellStyle name="Normal 18 6" xfId="2552"/>
    <cellStyle name="Normal 19" xfId="346"/>
    <cellStyle name="Normal 19 2" xfId="2553"/>
    <cellStyle name="Normal 19 3" xfId="2554"/>
    <cellStyle name="Normal 19 4" xfId="2555"/>
    <cellStyle name="Normal 19 5" xfId="2556"/>
    <cellStyle name="Normal 19 6" xfId="2557"/>
    <cellStyle name="Normal 2" xfId="347"/>
    <cellStyle name="Normal 2 10" xfId="348"/>
    <cellStyle name="Normal 2 10 2" xfId="2558"/>
    <cellStyle name="Normal 2 10 3" xfId="2559"/>
    <cellStyle name="Normal 2 10 4" xfId="2560"/>
    <cellStyle name="Normal 2 10 5" xfId="2561"/>
    <cellStyle name="Normal 2 10 6" xfId="2562"/>
    <cellStyle name="Normal 2 11" xfId="349"/>
    <cellStyle name="Normal 2 11 2" xfId="2563"/>
    <cellStyle name="Normal 2 11 3" xfId="2564"/>
    <cellStyle name="Normal 2 11 4" xfId="2565"/>
    <cellStyle name="Normal 2 11 5" xfId="2566"/>
    <cellStyle name="Normal 2 11 6" xfId="2567"/>
    <cellStyle name="Normal 2 12" xfId="350"/>
    <cellStyle name="Normal 2 12 2" xfId="2568"/>
    <cellStyle name="Normal 2 12 3" xfId="2569"/>
    <cellStyle name="Normal 2 12 4" xfId="2570"/>
    <cellStyle name="Normal 2 12 5" xfId="2571"/>
    <cellStyle name="Normal 2 12 6" xfId="2572"/>
    <cellStyle name="Normal 2 13" xfId="2573"/>
    <cellStyle name="Normal 2 14" xfId="2574"/>
    <cellStyle name="Normal 2 15" xfId="2575"/>
    <cellStyle name="Normal 2 16" xfId="2576"/>
    <cellStyle name="Normal 2 17" xfId="2577"/>
    <cellStyle name="Normal 2 18" xfId="2578"/>
    <cellStyle name="Normal 2 19" xfId="2579"/>
    <cellStyle name="Normal 2 2" xfId="351"/>
    <cellStyle name="Normal 2 2 2" xfId="2580"/>
    <cellStyle name="Normal 2 2 2 2" xfId="2581"/>
    <cellStyle name="Normal 2 2 2_BA AGUSTUS 2013" xfId="2582"/>
    <cellStyle name="Normal 2 2 3" xfId="2583"/>
    <cellStyle name="Normal 2 2 4" xfId="2584"/>
    <cellStyle name="Normal 2 2 5" xfId="2585"/>
    <cellStyle name="Normal 2 2 6" xfId="2586"/>
    <cellStyle name="Normal 2 2 7" xfId="2587"/>
    <cellStyle name="Normal 2 2 8" xfId="2588"/>
    <cellStyle name="Normal 2 2_KB KULIT FEBRUARI 2014" xfId="2589"/>
    <cellStyle name="Normal 2 20" xfId="2590"/>
    <cellStyle name="Normal 2 21" xfId="2591"/>
    <cellStyle name="Normal 2 22" xfId="2592"/>
    <cellStyle name="Normal 2 23" xfId="2593"/>
    <cellStyle name="Normal 2 24" xfId="2594"/>
    <cellStyle name="Normal 2 25" xfId="2595"/>
    <cellStyle name="Normal 2 26" xfId="2596"/>
    <cellStyle name="Normal 2 27" xfId="2597"/>
    <cellStyle name="Normal 2 28" xfId="2598"/>
    <cellStyle name="Normal 2 29" xfId="2599"/>
    <cellStyle name="Normal 2 3" xfId="352"/>
    <cellStyle name="Normal 2 3 2" xfId="2600"/>
    <cellStyle name="Normal 2 3 3" xfId="2601"/>
    <cellStyle name="Normal 2 3 4" xfId="2602"/>
    <cellStyle name="Normal 2 3 5" xfId="2603"/>
    <cellStyle name="Normal 2 3 6" xfId="2604"/>
    <cellStyle name="Normal 2 30" xfId="2605"/>
    <cellStyle name="Normal 2 31" xfId="2606"/>
    <cellStyle name="Normal 2 32" xfId="2607"/>
    <cellStyle name="Normal 2 33" xfId="2608"/>
    <cellStyle name="Normal 2 34" xfId="2609"/>
    <cellStyle name="Normal 2 35" xfId="2610"/>
    <cellStyle name="Normal 2 36" xfId="2611"/>
    <cellStyle name="Normal 2 37" xfId="2612"/>
    <cellStyle name="Normal 2 38" xfId="2613"/>
    <cellStyle name="Normal 2 39" xfId="2614"/>
    <cellStyle name="Normal 2 4" xfId="353"/>
    <cellStyle name="Normal 2 4 2" xfId="2615"/>
    <cellStyle name="Normal 2 4 3" xfId="2616"/>
    <cellStyle name="Normal 2 4 4" xfId="2617"/>
    <cellStyle name="Normal 2 4 5" xfId="2618"/>
    <cellStyle name="Normal 2 4 6" xfId="2619"/>
    <cellStyle name="Normal 2 40" xfId="2620"/>
    <cellStyle name="Normal 2 41" xfId="2621"/>
    <cellStyle name="Normal 2 42" xfId="2622"/>
    <cellStyle name="Normal 2 43" xfId="2623"/>
    <cellStyle name="Normal 2 44" xfId="2624"/>
    <cellStyle name="Normal 2 45" xfId="2625"/>
    <cellStyle name="Normal 2 5" xfId="354"/>
    <cellStyle name="Normal 2 5 2" xfId="2626"/>
    <cellStyle name="Normal 2 5 3" xfId="2627"/>
    <cellStyle name="Normal 2 5 4" xfId="2628"/>
    <cellStyle name="Normal 2 5 5" xfId="2629"/>
    <cellStyle name="Normal 2 5 6" xfId="2630"/>
    <cellStyle name="Normal 2 6" xfId="355"/>
    <cellStyle name="Normal 2 6 2" xfId="2631"/>
    <cellStyle name="Normal 2 6 3" xfId="2632"/>
    <cellStyle name="Normal 2 6 4" xfId="2633"/>
    <cellStyle name="Normal 2 6 5" xfId="2634"/>
    <cellStyle name="Normal 2 6 6" xfId="2635"/>
    <cellStyle name="Normal 2 7" xfId="356"/>
    <cellStyle name="Normal 2 7 2" xfId="2636"/>
    <cellStyle name="Normal 2 7 3" xfId="2637"/>
    <cellStyle name="Normal 2 7 4" xfId="2638"/>
    <cellStyle name="Normal 2 7 5" xfId="2639"/>
    <cellStyle name="Normal 2 7 6" xfId="2640"/>
    <cellStyle name="Normal 2 8" xfId="357"/>
    <cellStyle name="Normal 2 8 2" xfId="2641"/>
    <cellStyle name="Normal 2 8 3" xfId="2642"/>
    <cellStyle name="Normal 2 8 4" xfId="2643"/>
    <cellStyle name="Normal 2 8 5" xfId="2644"/>
    <cellStyle name="Normal 2 8 6" xfId="2645"/>
    <cellStyle name="Normal 2 9" xfId="358"/>
    <cellStyle name="Normal 2 9 2" xfId="2646"/>
    <cellStyle name="Normal 2 9 3" xfId="2647"/>
    <cellStyle name="Normal 2 9 4" xfId="2648"/>
    <cellStyle name="Normal 2 9 5" xfId="2649"/>
    <cellStyle name="Normal 2 9 6" xfId="2650"/>
    <cellStyle name="Normal 2_ BYR " xfId="359"/>
    <cellStyle name="Normal 20" xfId="360"/>
    <cellStyle name="Normal 20 2" xfId="2651"/>
    <cellStyle name="Normal 20 3" xfId="2652"/>
    <cellStyle name="Normal 20 4" xfId="2653"/>
    <cellStyle name="Normal 20 5" xfId="2654"/>
    <cellStyle name="Normal 20 6" xfId="2655"/>
    <cellStyle name="Normal 21" xfId="361"/>
    <cellStyle name="Normal 21 2" xfId="2656"/>
    <cellStyle name="Normal 21 3" xfId="2657"/>
    <cellStyle name="Normal 21 4" xfId="2658"/>
    <cellStyle name="Normal 21 5" xfId="2659"/>
    <cellStyle name="Normal 21 6" xfId="2660"/>
    <cellStyle name="Normal 22" xfId="362"/>
    <cellStyle name="Normal 22 2" xfId="2661"/>
    <cellStyle name="Normal 22 3" xfId="2662"/>
    <cellStyle name="Normal 22 4" xfId="2663"/>
    <cellStyle name="Normal 22 5" xfId="2664"/>
    <cellStyle name="Normal 22 6" xfId="2665"/>
    <cellStyle name="Normal 23" xfId="363"/>
    <cellStyle name="Normal 23 2" xfId="364"/>
    <cellStyle name="Normal 23 2 2" xfId="2666"/>
    <cellStyle name="Normal 23 2 3" xfId="2667"/>
    <cellStyle name="Normal 23 2 4" xfId="2668"/>
    <cellStyle name="Normal 23 2 5" xfId="2669"/>
    <cellStyle name="Normal 23 2 6" xfId="2670"/>
    <cellStyle name="Normal 23 3" xfId="2671"/>
    <cellStyle name="Normal 23 4" xfId="2672"/>
    <cellStyle name="Normal 23 5" xfId="2673"/>
    <cellStyle name="Normal 23 6" xfId="2674"/>
    <cellStyle name="Normal 23 7" xfId="2675"/>
    <cellStyle name="Normal 24" xfId="365"/>
    <cellStyle name="Normal 24 2" xfId="2676"/>
    <cellStyle name="Normal 24 3" xfId="2677"/>
    <cellStyle name="Normal 24 4" xfId="2678"/>
    <cellStyle name="Normal 24 5" xfId="2679"/>
    <cellStyle name="Normal 24 6" xfId="2680"/>
    <cellStyle name="Normal 24 7" xfId="2681"/>
    <cellStyle name="Normal 24 8" xfId="2682"/>
    <cellStyle name="Normal 24 9" xfId="2683"/>
    <cellStyle name="Normal 25" xfId="366"/>
    <cellStyle name="Normal 25 2" xfId="2684"/>
    <cellStyle name="Normal 25 3" xfId="2685"/>
    <cellStyle name="Normal 25 4" xfId="2686"/>
    <cellStyle name="Normal 25 5" xfId="2687"/>
    <cellStyle name="Normal 25 6" xfId="2688"/>
    <cellStyle name="Normal 25 7" xfId="2689"/>
    <cellStyle name="Normal 25 8" xfId="2690"/>
    <cellStyle name="Normal 25 9" xfId="2691"/>
    <cellStyle name="Normal 26" xfId="367"/>
    <cellStyle name="Normal 26 10" xfId="2692"/>
    <cellStyle name="Normal 26 11" xfId="2693"/>
    <cellStyle name="Normal 26 12" xfId="2694"/>
    <cellStyle name="Normal 26 13" xfId="2695"/>
    <cellStyle name="Normal 26 14" xfId="2696"/>
    <cellStyle name="Normal 26 15" xfId="2697"/>
    <cellStyle name="Normal 26 16" xfId="2698"/>
    <cellStyle name="Normal 26 17" xfId="2699"/>
    <cellStyle name="Normal 26 18" xfId="2700"/>
    <cellStyle name="Normal 26 19" xfId="2701"/>
    <cellStyle name="Normal 26 2" xfId="2702"/>
    <cellStyle name="Normal 26 20" xfId="2703"/>
    <cellStyle name="Normal 26 21" xfId="2704"/>
    <cellStyle name="Normal 26 22" xfId="2705"/>
    <cellStyle name="Normal 26 23" xfId="2706"/>
    <cellStyle name="Normal 26 24" xfId="2707"/>
    <cellStyle name="Normal 26 25" xfId="2708"/>
    <cellStyle name="Normal 26 26" xfId="2709"/>
    <cellStyle name="Normal 26 27" xfId="2710"/>
    <cellStyle name="Normal 26 28" xfId="2711"/>
    <cellStyle name="Normal 26 29" xfId="2712"/>
    <cellStyle name="Normal 26 3" xfId="2713"/>
    <cellStyle name="Normal 26 30" xfId="2714"/>
    <cellStyle name="Normal 26 31" xfId="2715"/>
    <cellStyle name="Normal 26 4" xfId="2716"/>
    <cellStyle name="Normal 26 5" xfId="2717"/>
    <cellStyle name="Normal 26 6" xfId="2718"/>
    <cellStyle name="Normal 26 7" xfId="2719"/>
    <cellStyle name="Normal 26 8" xfId="2720"/>
    <cellStyle name="Normal 26 9" xfId="2721"/>
    <cellStyle name="Normal 27" xfId="368"/>
    <cellStyle name="Normal 27 2" xfId="2722"/>
    <cellStyle name="Normal 27 3" xfId="2723"/>
    <cellStyle name="Normal 27 4" xfId="2724"/>
    <cellStyle name="Normal 27 5" xfId="2725"/>
    <cellStyle name="Normal 28" xfId="369"/>
    <cellStyle name="Normal 29" xfId="416"/>
    <cellStyle name="Normal 29 2" xfId="425"/>
    <cellStyle name="Normal 3" xfId="370"/>
    <cellStyle name="Normal 3 10" xfId="577"/>
    <cellStyle name="Normal 3 11" xfId="578"/>
    <cellStyle name="Normal 3 12" xfId="579"/>
    <cellStyle name="Normal 3 13" xfId="440"/>
    <cellStyle name="Normal 3 14" xfId="2726"/>
    <cellStyle name="Normal 3 15" xfId="2727"/>
    <cellStyle name="Normal 3 17" xfId="371"/>
    <cellStyle name="Normal 3 17 2" xfId="2728"/>
    <cellStyle name="Normal 3 17 3" xfId="2729"/>
    <cellStyle name="Normal 3 17 4" xfId="2730"/>
    <cellStyle name="Normal 3 17 5" xfId="2731"/>
    <cellStyle name="Normal 3 17 6" xfId="2732"/>
    <cellStyle name="Normal 3 17 7" xfId="2733"/>
    <cellStyle name="Normal 3 2" xfId="372"/>
    <cellStyle name="Normal 3 2 2" xfId="2734"/>
    <cellStyle name="Normal 3 2 3" xfId="2735"/>
    <cellStyle name="Normal 3 2 4" xfId="2736"/>
    <cellStyle name="Normal 3 2 5" xfId="2737"/>
    <cellStyle name="Normal 3 2 6" xfId="2738"/>
    <cellStyle name="Normal 3 3" xfId="580"/>
    <cellStyle name="Normal 3 4" xfId="581"/>
    <cellStyle name="Normal 3 5" xfId="582"/>
    <cellStyle name="Normal 3 6" xfId="583"/>
    <cellStyle name="Normal 3 7" xfId="584"/>
    <cellStyle name="Normal 3 8" xfId="585"/>
    <cellStyle name="Normal 3 9" xfId="586"/>
    <cellStyle name="Normal 3_ BYR " xfId="373"/>
    <cellStyle name="Normal 3_KOPRA  JUNI  2012" xfId="417"/>
    <cellStyle name="Normal 30" xfId="2739"/>
    <cellStyle name="Normal 31" xfId="2740"/>
    <cellStyle name="Normal 32" xfId="2741"/>
    <cellStyle name="Normal 33" xfId="2742"/>
    <cellStyle name="Normal 34" xfId="2743"/>
    <cellStyle name="Normal 35" xfId="2744"/>
    <cellStyle name="Normal 36" xfId="2745"/>
    <cellStyle name="Normal 37" xfId="2746"/>
    <cellStyle name="Normal 38" xfId="2747"/>
    <cellStyle name="Normal 39" xfId="2748"/>
    <cellStyle name="Normal 4" xfId="374"/>
    <cellStyle name="Normal 4 10" xfId="587"/>
    <cellStyle name="Normal 4 11" xfId="588"/>
    <cellStyle name="Normal 4 12" xfId="2749"/>
    <cellStyle name="Normal 4 13" xfId="2750"/>
    <cellStyle name="Normal 4 2" xfId="589"/>
    <cellStyle name="Normal 4 3" xfId="590"/>
    <cellStyle name="Normal 4 4" xfId="591"/>
    <cellStyle name="Normal 4 5" xfId="592"/>
    <cellStyle name="Normal 4 6" xfId="593"/>
    <cellStyle name="Normal 4 7" xfId="594"/>
    <cellStyle name="Normal 4 8" xfId="595"/>
    <cellStyle name="Normal 4 9" xfId="596"/>
    <cellStyle name="Normal 40" xfId="2751"/>
    <cellStyle name="Normal 5" xfId="375"/>
    <cellStyle name="Normal 5 10" xfId="2752"/>
    <cellStyle name="Normal 5 11" xfId="2753"/>
    <cellStyle name="Normal 5 12" xfId="2754"/>
    <cellStyle name="Normal 5 13" xfId="2755"/>
    <cellStyle name="Normal 5 14" xfId="2756"/>
    <cellStyle name="Normal 5 15" xfId="2757"/>
    <cellStyle name="Normal 5 16" xfId="2758"/>
    <cellStyle name="Normal 5 17" xfId="2759"/>
    <cellStyle name="Normal 5 18" xfId="2760"/>
    <cellStyle name="Normal 5 19" xfId="2761"/>
    <cellStyle name="Normal 5 2" xfId="376"/>
    <cellStyle name="Normal 5 2 2" xfId="2762"/>
    <cellStyle name="Normal 5 2 3" xfId="2763"/>
    <cellStyle name="Normal 5 2 4" xfId="2764"/>
    <cellStyle name="Normal 5 2 5" xfId="2765"/>
    <cellStyle name="Normal 5 2 6" xfId="2766"/>
    <cellStyle name="Normal 5 20" xfId="2767"/>
    <cellStyle name="Normal 5 21" xfId="2768"/>
    <cellStyle name="Normal 5 22" xfId="2769"/>
    <cellStyle name="Normal 5 23" xfId="2770"/>
    <cellStyle name="Normal 5 24" xfId="2771"/>
    <cellStyle name="Normal 5 25" xfId="2772"/>
    <cellStyle name="Normal 5 26" xfId="2773"/>
    <cellStyle name="Normal 5 27" xfId="2774"/>
    <cellStyle name="Normal 5 28" xfId="2775"/>
    <cellStyle name="Normal 5 29" xfId="2776"/>
    <cellStyle name="Normal 5 3" xfId="377"/>
    <cellStyle name="Normal 5 3 2" xfId="2777"/>
    <cellStyle name="Normal 5 3 3" xfId="2778"/>
    <cellStyle name="Normal 5 3 4" xfId="2779"/>
    <cellStyle name="Normal 5 3 5" xfId="2780"/>
    <cellStyle name="Normal 5 3 6" xfId="2781"/>
    <cellStyle name="Normal 5 30" xfId="2782"/>
    <cellStyle name="Normal 5 31" xfId="2783"/>
    <cellStyle name="Normal 5 32" xfId="2784"/>
    <cellStyle name="Normal 5 33" xfId="2785"/>
    <cellStyle name="Normal 5 34" xfId="2786"/>
    <cellStyle name="Normal 5 35" xfId="2787"/>
    <cellStyle name="Normal 5 36" xfId="2788"/>
    <cellStyle name="Normal 5 37" xfId="2789"/>
    <cellStyle name="Normal 5 38" xfId="2790"/>
    <cellStyle name="Normal 5 39" xfId="2791"/>
    <cellStyle name="Normal 5 4" xfId="378"/>
    <cellStyle name="Normal 5 4 2" xfId="2792"/>
    <cellStyle name="Normal 5 4 3" xfId="2793"/>
    <cellStyle name="Normal 5 4 4" xfId="2794"/>
    <cellStyle name="Normal 5 4 5" xfId="2795"/>
    <cellStyle name="Normal 5 4 6" xfId="2796"/>
    <cellStyle name="Normal 5 40" xfId="2797"/>
    <cellStyle name="Normal 5 41" xfId="2798"/>
    <cellStyle name="Normal 5 42" xfId="2799"/>
    <cellStyle name="Normal 5 5" xfId="379"/>
    <cellStyle name="Normal 5 5 2" xfId="2800"/>
    <cellStyle name="Normal 5 5 3" xfId="2801"/>
    <cellStyle name="Normal 5 5 4" xfId="2802"/>
    <cellStyle name="Normal 5 5 5" xfId="2803"/>
    <cellStyle name="Normal 5 5 6" xfId="2804"/>
    <cellStyle name="Normal 5 6" xfId="380"/>
    <cellStyle name="Normal 5 6 2" xfId="2805"/>
    <cellStyle name="Normal 5 6 3" xfId="2806"/>
    <cellStyle name="Normal 5 6 4" xfId="2807"/>
    <cellStyle name="Normal 5 6 5" xfId="2808"/>
    <cellStyle name="Normal 5 6 6" xfId="2809"/>
    <cellStyle name="Normal 5 7" xfId="381"/>
    <cellStyle name="Normal 5 7 2" xfId="2810"/>
    <cellStyle name="Normal 5 7 3" xfId="2811"/>
    <cellStyle name="Normal 5 7 4" xfId="2812"/>
    <cellStyle name="Normal 5 7 5" xfId="2813"/>
    <cellStyle name="Normal 5 7 6" xfId="2814"/>
    <cellStyle name="Normal 5 8" xfId="382"/>
    <cellStyle name="Normal 5 8 2" xfId="2815"/>
    <cellStyle name="Normal 5 8 3" xfId="2816"/>
    <cellStyle name="Normal 5 8 4" xfId="2817"/>
    <cellStyle name="Normal 5 8 5" xfId="2818"/>
    <cellStyle name="Normal 5 8 6" xfId="2819"/>
    <cellStyle name="Normal 5 9" xfId="383"/>
    <cellStyle name="Normal 5 9 2" xfId="2820"/>
    <cellStyle name="Normal 5 9 3" xfId="2821"/>
    <cellStyle name="Normal 5 9 4" xfId="2822"/>
    <cellStyle name="Normal 5 9 5" xfId="2823"/>
    <cellStyle name="Normal 5 9 6" xfId="2824"/>
    <cellStyle name="Normal 5_ABRI TAUPAN" xfId="384"/>
    <cellStyle name="Normal 6" xfId="385"/>
    <cellStyle name="Normal 6 2" xfId="2825"/>
    <cellStyle name="Normal 6 3" xfId="2826"/>
    <cellStyle name="Normal 6 4" xfId="2827"/>
    <cellStyle name="Normal 6 5" xfId="2828"/>
    <cellStyle name="Normal 6 6" xfId="2829"/>
    <cellStyle name="Normal 7" xfId="386"/>
    <cellStyle name="Normal 7 2" xfId="597"/>
    <cellStyle name="Normal 7 3" xfId="598"/>
    <cellStyle name="Normal 7 4" xfId="599"/>
    <cellStyle name="Normal 7 5" xfId="600"/>
    <cellStyle name="Normal 7 6" xfId="601"/>
    <cellStyle name="Normal 7 7" xfId="602"/>
    <cellStyle name="Normal 7 8" xfId="603"/>
    <cellStyle name="Normal 8" xfId="387"/>
    <cellStyle name="Normal 8 2" xfId="388"/>
    <cellStyle name="Normal 8 2 2" xfId="2830"/>
    <cellStyle name="Normal 8 2 3" xfId="2831"/>
    <cellStyle name="Normal 8 2 4" xfId="2832"/>
    <cellStyle name="Normal 8 2 5" xfId="2833"/>
    <cellStyle name="Normal 8 2 6" xfId="2834"/>
    <cellStyle name="Normal 8 2_BA AGUSTUS 2013" xfId="2835"/>
    <cellStyle name="Normal 8 3" xfId="2836"/>
    <cellStyle name="Normal 8 4" xfId="2837"/>
    <cellStyle name="Normal 8 5" xfId="2838"/>
    <cellStyle name="Normal 8 6" xfId="2839"/>
    <cellStyle name="Normal 8 7" xfId="2840"/>
    <cellStyle name="Normal 9" xfId="389"/>
    <cellStyle name="Normal 9 10" xfId="2841"/>
    <cellStyle name="Normal 9 2" xfId="390"/>
    <cellStyle name="Normal 9 3" xfId="604"/>
    <cellStyle name="Normal 9 4" xfId="2842"/>
    <cellStyle name="Normal 9 5" xfId="2843"/>
    <cellStyle name="Normal 9 6" xfId="2844"/>
    <cellStyle name="Normal 9 7" xfId="2845"/>
    <cellStyle name="Normal 9 8" xfId="2846"/>
    <cellStyle name="Normal 9 9" xfId="2847"/>
    <cellStyle name="Normal 9_ BYR " xfId="391"/>
    <cellStyle name="Normal_1.PBL-JAN" xfId="428"/>
    <cellStyle name="Normal_1.PBL-JAN 2" xfId="439"/>
    <cellStyle name="Normal_CEKLIS-VDR" xfId="2961"/>
    <cellStyle name="Normal_DRP-AGUSTUS" xfId="427"/>
    <cellStyle name="Normal_KB-FEB" xfId="429"/>
    <cellStyle name="Normal_KB-FEB 2" xfId="441"/>
    <cellStyle name="Normal_KB-FEB 8" xfId="430"/>
    <cellStyle name="Normal_KB-FEB 8 2" xfId="433"/>
    <cellStyle name="Normal_KB-FEB_KOPRA  JUNI  2012 2" xfId="436"/>
    <cellStyle name="Normal_KB-JULI 2007" xfId="438"/>
    <cellStyle name="Normal_KOPRA  JUNI  2012 2" xfId="418"/>
    <cellStyle name="Normal_KPR-FEB 2" xfId="431"/>
    <cellStyle name="Normal_KPR-FEB 7" xfId="432"/>
    <cellStyle name="Normal_LAPORAN-REKAP6 MP1-MP2 DESEMBER 2008-10" xfId="434"/>
    <cellStyle name="Normal_Vendor'03" xfId="2848"/>
    <cellStyle name="Normal_Vendor'03 2" xfId="2849"/>
    <cellStyle name="Percent 2" xfId="605"/>
    <cellStyle name="Percent 2 2" xfId="2850"/>
    <cellStyle name="Percent 3" xfId="2851"/>
    <cellStyle name="Percent 4" xfId="2852"/>
    <cellStyle name="Percent 5" xfId="2853"/>
    <cellStyle name="times new roman" xfId="392"/>
    <cellStyle name="Total 2" xfId="2854"/>
    <cellStyle name="Total 3" xfId="2855"/>
    <cellStyle name="Total 4" xfId="2856"/>
    <cellStyle name="Total 5" xfId="2857"/>
    <cellStyle name="中等" xfId="393"/>
    <cellStyle name="備註" xfId="394"/>
    <cellStyle name="備註 2" xfId="2858"/>
    <cellStyle name="備註 2 2" xfId="2859"/>
    <cellStyle name="備註 2 3" xfId="2860"/>
    <cellStyle name="備註 2 4" xfId="2861"/>
    <cellStyle name="備註 3" xfId="2862"/>
    <cellStyle name="備註 4" xfId="2863"/>
    <cellStyle name="備註 5" xfId="2864"/>
    <cellStyle name="合計" xfId="395"/>
    <cellStyle name="合計 2" xfId="2865"/>
    <cellStyle name="合計 2 2" xfId="2866"/>
    <cellStyle name="合計 2 3" xfId="2867"/>
    <cellStyle name="合計 2 4" xfId="2868"/>
    <cellStyle name="合計 3" xfId="2869"/>
    <cellStyle name="合計 3 2" xfId="2870"/>
    <cellStyle name="合計 3 3" xfId="2871"/>
    <cellStyle name="合計 3 4" xfId="2872"/>
    <cellStyle name="合計 4" xfId="2873"/>
    <cellStyle name="合計 4 2" xfId="2874"/>
    <cellStyle name="合計 4 3" xfId="2875"/>
    <cellStyle name="合計 4 4" xfId="2876"/>
    <cellStyle name="合計 5" xfId="2877"/>
    <cellStyle name="合計 5 2" xfId="2878"/>
    <cellStyle name="合計 5 3" xfId="2879"/>
    <cellStyle name="合計 5 4" xfId="2880"/>
    <cellStyle name="合計 6" xfId="2881"/>
    <cellStyle name="合計 6 2" xfId="2882"/>
    <cellStyle name="合計 6 3" xfId="2883"/>
    <cellStyle name="合計 6 4" xfId="2884"/>
    <cellStyle name="合計 7" xfId="2885"/>
    <cellStyle name="合計 8" xfId="2886"/>
    <cellStyle name="合計 9" xfId="2887"/>
    <cellStyle name="壞" xfId="396"/>
    <cellStyle name="好" xfId="397"/>
    <cellStyle name="標題" xfId="398"/>
    <cellStyle name="標題 1" xfId="399"/>
    <cellStyle name="標題 2" xfId="400"/>
    <cellStyle name="標題 3" xfId="401"/>
    <cellStyle name="標題 4" xfId="402"/>
    <cellStyle name="檢查儲存格" xfId="403"/>
    <cellStyle name="檢查儲存格 2" xfId="615"/>
    <cellStyle name="檢查儲存格 3" xfId="611"/>
    <cellStyle name="檢查儲存格 4" xfId="2888"/>
    <cellStyle name="檢查儲存格 5" xfId="2889"/>
    <cellStyle name="檢查儲存格 6" xfId="2890"/>
    <cellStyle name="檢查儲存格 7" xfId="2891"/>
    <cellStyle name="計算方式" xfId="404"/>
    <cellStyle name="計算方式 2" xfId="2892"/>
    <cellStyle name="計算方式 2 2" xfId="2893"/>
    <cellStyle name="計算方式 2 3" xfId="2894"/>
    <cellStyle name="計算方式 2 4" xfId="2895"/>
    <cellStyle name="計算方式 3" xfId="2896"/>
    <cellStyle name="計算方式 3 2" xfId="2897"/>
    <cellStyle name="計算方式 3 3" xfId="2898"/>
    <cellStyle name="計算方式 3 4" xfId="2899"/>
    <cellStyle name="計算方式 4" xfId="2900"/>
    <cellStyle name="計算方式 4 2" xfId="2901"/>
    <cellStyle name="計算方式 4 3" xfId="2902"/>
    <cellStyle name="計算方式 4 4" xfId="2903"/>
    <cellStyle name="計算方式 5" xfId="2904"/>
    <cellStyle name="計算方式 5 2" xfId="2905"/>
    <cellStyle name="計算方式 5 3" xfId="2906"/>
    <cellStyle name="計算方式 5 4" xfId="2907"/>
    <cellStyle name="計算方式 6" xfId="2908"/>
    <cellStyle name="計算方式 6 2" xfId="2909"/>
    <cellStyle name="計算方式 6 3" xfId="2910"/>
    <cellStyle name="計算方式 6 4" xfId="2911"/>
    <cellStyle name="計算方式 7" xfId="2912"/>
    <cellStyle name="計算方式 8" xfId="2913"/>
    <cellStyle name="計算方式 9" xfId="2914"/>
    <cellStyle name="說明文字" xfId="405"/>
    <cellStyle name="警告文字" xfId="406"/>
    <cellStyle name="輔色1" xfId="407"/>
    <cellStyle name="輔色2" xfId="408"/>
    <cellStyle name="輔色3" xfId="409"/>
    <cellStyle name="輔色4" xfId="410"/>
    <cellStyle name="輔色5" xfId="411"/>
    <cellStyle name="輔色6" xfId="412"/>
    <cellStyle name="輸入" xfId="413"/>
    <cellStyle name="輸入 2" xfId="2915"/>
    <cellStyle name="輸入 2 2" xfId="2916"/>
    <cellStyle name="輸入 2 3" xfId="2917"/>
    <cellStyle name="輸入 2 4" xfId="2918"/>
    <cellStyle name="輸入 3" xfId="2919"/>
    <cellStyle name="輸入 3 2" xfId="2920"/>
    <cellStyle name="輸入 3 3" xfId="2921"/>
    <cellStyle name="輸入 3 4" xfId="2922"/>
    <cellStyle name="輸入 4" xfId="2923"/>
    <cellStyle name="輸入 4 2" xfId="2924"/>
    <cellStyle name="輸入 4 3" xfId="2925"/>
    <cellStyle name="輸入 4 4" xfId="2926"/>
    <cellStyle name="輸入 5" xfId="2927"/>
    <cellStyle name="輸入 5 2" xfId="2928"/>
    <cellStyle name="輸入 5 3" xfId="2929"/>
    <cellStyle name="輸入 5 4" xfId="2930"/>
    <cellStyle name="輸入 6" xfId="2931"/>
    <cellStyle name="輸入 6 2" xfId="2932"/>
    <cellStyle name="輸入 6 3" xfId="2933"/>
    <cellStyle name="輸入 6 4" xfId="2934"/>
    <cellStyle name="輸入 7" xfId="2935"/>
    <cellStyle name="輸入 8" xfId="2936"/>
    <cellStyle name="輸入 9" xfId="2937"/>
    <cellStyle name="輸出" xfId="414"/>
    <cellStyle name="輸出 2" xfId="2938"/>
    <cellStyle name="輸出 2 2" xfId="2939"/>
    <cellStyle name="輸出 2 3" xfId="2940"/>
    <cellStyle name="輸出 2 4" xfId="2941"/>
    <cellStyle name="輸出 3" xfId="2942"/>
    <cellStyle name="輸出 3 2" xfId="2943"/>
    <cellStyle name="輸出 3 3" xfId="2944"/>
    <cellStyle name="輸出 3 4" xfId="2945"/>
    <cellStyle name="輸出 4" xfId="2946"/>
    <cellStyle name="輸出 4 2" xfId="2947"/>
    <cellStyle name="輸出 4 3" xfId="2948"/>
    <cellStyle name="輸出 4 4" xfId="2949"/>
    <cellStyle name="輸出 5" xfId="2950"/>
    <cellStyle name="輸出 5 2" xfId="2951"/>
    <cellStyle name="輸出 5 3" xfId="2952"/>
    <cellStyle name="輸出 5 4" xfId="2953"/>
    <cellStyle name="輸出 6" xfId="2954"/>
    <cellStyle name="輸出 6 2" xfId="2955"/>
    <cellStyle name="輸出 6 3" xfId="2956"/>
    <cellStyle name="輸出 6 4" xfId="2957"/>
    <cellStyle name="輸出 7" xfId="2958"/>
    <cellStyle name="輸出 8" xfId="2959"/>
    <cellStyle name="輸出 9" xfId="2960"/>
    <cellStyle name="連結的儲存格" xfId="415"/>
  </cellStyles>
  <dxfs count="2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alignment vertical="center" textRotation="0" wrapText="0" indent="0" relativeIndent="255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indexed="42"/>
        </patternFill>
      </fill>
      <alignment horizontal="center" vertical="center" textRotation="0" wrapText="1" indent="0" relativeIndent="0" justifyLastLine="0" shrinkToFit="0" readingOrder="0"/>
      <protection locked="1" hidden="0"/>
    </dxf>
    <dxf>
      <fill>
        <gradientFill type="path" left="0.5" right="0.5" top="0.5" bottom="0.5">
          <stop position="0">
            <color rgb="FFFFFF00"/>
          </stop>
          <stop position="1">
            <color rgb="FF7030A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\-mmm\-yyyy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rgb="FF000000"/>
          <bgColor rgb="FFFFFFFF"/>
        </patternFill>
      </fill>
      <alignment horizontal="right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rebuchet MS"/>
        <scheme val="none"/>
      </font>
      <fill>
        <patternFill patternType="solid">
          <fgColor indexed="64"/>
          <bgColor indexed="42"/>
        </patternFill>
      </fill>
      <alignment horizontal="center" vertical="center" textRotation="0" wrapText="1" indent="0" relativeIndent="0" justifyLastLine="0" shrinkToFit="0" readingOrder="0"/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8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8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8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8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\-mmm\-yyyy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rebuchet M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readingOrder="0"/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font>
        <color rgb="FFFFFF00"/>
      </font>
      <fill>
        <patternFill>
          <bgColor rgb="FFFF0000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\-mmm\-yyyy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readingOrder="0"/>
    </dxf>
    <dxf>
      <numFmt numFmtId="0" formatCode="General"/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rebuchet M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readingOrder="0"/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9" Type="http://schemas.openxmlformats.org/officeDocument/2006/relationships/externalLink" Target="externalLinks/externalLink15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0.xml"/><Relationship Id="rId42" Type="http://schemas.openxmlformats.org/officeDocument/2006/relationships/externalLink" Target="externalLinks/externalLink18.xml"/><Relationship Id="rId47" Type="http://schemas.openxmlformats.org/officeDocument/2006/relationships/externalLink" Target="externalLinks/externalLink23.xml"/><Relationship Id="rId50" Type="http://schemas.openxmlformats.org/officeDocument/2006/relationships/externalLink" Target="externalLinks/externalLink26.xml"/><Relationship Id="rId55" Type="http://schemas.openxmlformats.org/officeDocument/2006/relationships/externalLink" Target="externalLinks/externalLink31.xml"/><Relationship Id="rId63" Type="http://schemas.openxmlformats.org/officeDocument/2006/relationships/externalLink" Target="externalLinks/externalLink39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8.xml"/><Relationship Id="rId37" Type="http://schemas.openxmlformats.org/officeDocument/2006/relationships/externalLink" Target="externalLinks/externalLink13.xml"/><Relationship Id="rId40" Type="http://schemas.openxmlformats.org/officeDocument/2006/relationships/externalLink" Target="externalLinks/externalLink16.xml"/><Relationship Id="rId45" Type="http://schemas.openxmlformats.org/officeDocument/2006/relationships/externalLink" Target="externalLinks/externalLink21.xml"/><Relationship Id="rId53" Type="http://schemas.openxmlformats.org/officeDocument/2006/relationships/externalLink" Target="externalLinks/externalLink29.xml"/><Relationship Id="rId58" Type="http://schemas.openxmlformats.org/officeDocument/2006/relationships/externalLink" Target="externalLinks/externalLink34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36" Type="http://schemas.openxmlformats.org/officeDocument/2006/relationships/externalLink" Target="externalLinks/externalLink12.xml"/><Relationship Id="rId49" Type="http://schemas.openxmlformats.org/officeDocument/2006/relationships/externalLink" Target="externalLinks/externalLink25.xml"/><Relationship Id="rId57" Type="http://schemas.openxmlformats.org/officeDocument/2006/relationships/externalLink" Target="externalLinks/externalLink33.xml"/><Relationship Id="rId61" Type="http://schemas.openxmlformats.org/officeDocument/2006/relationships/externalLink" Target="externalLinks/externalLink3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7.xml"/><Relationship Id="rId44" Type="http://schemas.openxmlformats.org/officeDocument/2006/relationships/externalLink" Target="externalLinks/externalLink20.xml"/><Relationship Id="rId52" Type="http://schemas.openxmlformats.org/officeDocument/2006/relationships/externalLink" Target="externalLinks/externalLink28.xml"/><Relationship Id="rId60" Type="http://schemas.openxmlformats.org/officeDocument/2006/relationships/externalLink" Target="externalLinks/externalLink36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openxmlformats.org/officeDocument/2006/relationships/externalLink" Target="externalLinks/externalLink11.xml"/><Relationship Id="rId43" Type="http://schemas.openxmlformats.org/officeDocument/2006/relationships/externalLink" Target="externalLinks/externalLink19.xml"/><Relationship Id="rId48" Type="http://schemas.openxmlformats.org/officeDocument/2006/relationships/externalLink" Target="externalLinks/externalLink24.xml"/><Relationship Id="rId56" Type="http://schemas.openxmlformats.org/officeDocument/2006/relationships/externalLink" Target="externalLinks/externalLink32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externalLink" Target="externalLinks/externalLink9.xml"/><Relationship Id="rId38" Type="http://schemas.openxmlformats.org/officeDocument/2006/relationships/externalLink" Target="externalLinks/externalLink14.xml"/><Relationship Id="rId46" Type="http://schemas.openxmlformats.org/officeDocument/2006/relationships/externalLink" Target="externalLinks/externalLink22.xml"/><Relationship Id="rId59" Type="http://schemas.openxmlformats.org/officeDocument/2006/relationships/externalLink" Target="externalLinks/externalLink35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7.xml"/><Relationship Id="rId54" Type="http://schemas.openxmlformats.org/officeDocument/2006/relationships/externalLink" Target="externalLinks/externalLink30.xml"/><Relationship Id="rId62" Type="http://schemas.openxmlformats.org/officeDocument/2006/relationships/externalLink" Target="externalLinks/externalLink3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eg"/><Relationship Id="rId1" Type="http://schemas.openxmlformats.org/officeDocument/2006/relationships/image" Target="../media/image8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38</xdr:col>
      <xdr:colOff>109760</xdr:colOff>
      <xdr:row>30</xdr:row>
      <xdr:rowOff>121227</xdr:rowOff>
    </xdr:from>
    <xdr:to>
      <xdr:col>51</xdr:col>
      <xdr:colOff>131343</xdr:colOff>
      <xdr:row>35</xdr:row>
      <xdr:rowOff>95459</xdr:rowOff>
    </xdr:to>
    <xdr:pic>
      <xdr:nvPicPr>
        <xdr:cNvPr id="2" name="Picture 1" descr="materai hitamputih.png"/>
        <xdr:cNvPicPr>
          <a:picLocks noChangeAspect="1"/>
        </xdr:cNvPicPr>
      </xdr:nvPicPr>
      <xdr:blipFill>
        <a:blip xmlns:r="http://schemas.openxmlformats.org/officeDocument/2006/relationships" r:embed="rId1">
          <a:lum bright="20000"/>
        </a:blip>
        <a:stretch>
          <a:fillRect/>
        </a:stretch>
      </xdr:blipFill>
      <xdr:spPr>
        <a:xfrm>
          <a:off x="7279487" y="11845636"/>
          <a:ext cx="2272947" cy="1965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67234</xdr:colOff>
      <xdr:row>0</xdr:row>
      <xdr:rowOff>51548</xdr:rowOff>
    </xdr:from>
    <xdr:to>
      <xdr:col>0</xdr:col>
      <xdr:colOff>9856693</xdr:colOff>
      <xdr:row>1</xdr:row>
      <xdr:rowOff>627530</xdr:rowOff>
    </xdr:to>
    <xdr:grpSp>
      <xdr:nvGrpSpPr>
        <xdr:cNvPr id="5" name="Group 4"/>
        <xdr:cNvGrpSpPr/>
      </xdr:nvGrpSpPr>
      <xdr:grpSpPr>
        <a:xfrm>
          <a:off x="67234" y="51548"/>
          <a:ext cx="9789459" cy="1840209"/>
          <a:chOff x="672352" y="813548"/>
          <a:chExt cx="9789459" cy="1528482"/>
        </a:xfrm>
        <a:scene3d>
          <a:camera prst="perspectiveFront"/>
          <a:lightRig rig="threePt" dir="t"/>
        </a:scene3d>
      </xdr:grpSpPr>
      <xdr:sp macro="" textlink="">
        <xdr:nvSpPr>
          <xdr:cNvPr id="3" name="Half Frame 2"/>
          <xdr:cNvSpPr/>
        </xdr:nvSpPr>
        <xdr:spPr>
          <a:xfrm>
            <a:off x="672352" y="818030"/>
            <a:ext cx="1333500" cy="1524000"/>
          </a:xfrm>
          <a:prstGeom prst="halfFrame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rtlCol="0" anchor="ctr"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ctr"/>
            <a:endPara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endParaRPr>
          </a:p>
        </xdr:txBody>
      </xdr:sp>
      <xdr:sp macro="" textlink="">
        <xdr:nvSpPr>
          <xdr:cNvPr id="4" name="Half Frame 3"/>
          <xdr:cNvSpPr/>
        </xdr:nvSpPr>
        <xdr:spPr>
          <a:xfrm flipH="1">
            <a:off x="9128311" y="813548"/>
            <a:ext cx="1333500" cy="1524000"/>
          </a:xfrm>
          <a:prstGeom prst="halfFrame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rtlCol="0" anchor="ctr"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ctr"/>
            <a:endPara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endParaRPr>
          </a:p>
        </xdr:txBody>
      </xdr:sp>
    </xdr:grpSp>
    <xdr:clientData/>
  </xdr:twoCellAnchor>
  <xdr:twoCellAnchor>
    <xdr:from>
      <xdr:col>0</xdr:col>
      <xdr:colOff>46451</xdr:colOff>
      <xdr:row>4</xdr:row>
      <xdr:rowOff>325167</xdr:rowOff>
    </xdr:from>
    <xdr:to>
      <xdr:col>0</xdr:col>
      <xdr:colOff>9835910</xdr:colOff>
      <xdr:row>5</xdr:row>
      <xdr:rowOff>1195558</xdr:rowOff>
    </xdr:to>
    <xdr:grpSp>
      <xdr:nvGrpSpPr>
        <xdr:cNvPr id="9" name="Group 8"/>
        <xdr:cNvGrpSpPr/>
      </xdr:nvGrpSpPr>
      <xdr:grpSpPr>
        <a:xfrm flipV="1">
          <a:off x="46451" y="4827894"/>
          <a:ext cx="9789459" cy="1978755"/>
          <a:chOff x="672352" y="813548"/>
          <a:chExt cx="9789459" cy="1528482"/>
        </a:xfrm>
        <a:scene3d>
          <a:camera prst="obliqueBottomLeft"/>
          <a:lightRig rig="threePt" dir="t"/>
        </a:scene3d>
      </xdr:grpSpPr>
      <xdr:sp macro="" textlink="">
        <xdr:nvSpPr>
          <xdr:cNvPr id="10" name="Half Frame 9"/>
          <xdr:cNvSpPr/>
        </xdr:nvSpPr>
        <xdr:spPr>
          <a:xfrm>
            <a:off x="672352" y="818030"/>
            <a:ext cx="1333500" cy="1524000"/>
          </a:xfrm>
          <a:prstGeom prst="halfFrame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rtlCol="0" anchor="ctr"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ctr"/>
            <a:endPara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endParaRPr>
          </a:p>
        </xdr:txBody>
      </xdr:sp>
      <xdr:sp macro="" textlink="">
        <xdr:nvSpPr>
          <xdr:cNvPr id="11" name="Half Frame 10"/>
          <xdr:cNvSpPr/>
        </xdr:nvSpPr>
        <xdr:spPr>
          <a:xfrm flipH="1">
            <a:off x="9128311" y="813548"/>
            <a:ext cx="1333500" cy="1524000"/>
          </a:xfrm>
          <a:prstGeom prst="halfFrame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rtlCol="0" anchor="ctr"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ctr"/>
            <a:endPara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endParaRPr>
          </a:p>
        </xdr:txBody>
      </xdr:sp>
    </xdr:grpSp>
    <xdr:clientData/>
  </xdr:twoCellAnchor>
  <xdr:oneCellAnchor>
    <xdr:from>
      <xdr:col>0</xdr:col>
      <xdr:colOff>2453778</xdr:colOff>
      <xdr:row>1</xdr:row>
      <xdr:rowOff>1148736</xdr:rowOff>
    </xdr:from>
    <xdr:ext cx="4733268" cy="1386662"/>
    <xdr:sp macro="" textlink="">
      <xdr:nvSpPr>
        <xdr:cNvPr id="8" name="Rectangle 7"/>
        <xdr:cNvSpPr/>
      </xdr:nvSpPr>
      <xdr:spPr>
        <a:xfrm>
          <a:off x="2453778" y="2412963"/>
          <a:ext cx="4733268" cy="1386662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perspectiveAbove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8800" b="1" cap="none" spc="50">
              <a:ln w="11430"/>
              <a:solidFill>
                <a:schemeClr val="accent4">
                  <a:lumMod val="75000"/>
                </a:schemeClr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Cooper Black" pitchFamily="18" charset="0"/>
            </a:rPr>
            <a:t>PT.</a:t>
          </a:r>
          <a:r>
            <a:rPr lang="en-US" sz="8800" b="1" cap="none" spc="50" baseline="0">
              <a:ln w="11430"/>
              <a:solidFill>
                <a:schemeClr val="accent4">
                  <a:lumMod val="75000"/>
                </a:schemeClr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Cooper Black" pitchFamily="18" charset="0"/>
            </a:rPr>
            <a:t> CMI</a:t>
          </a:r>
          <a:endParaRPr lang="en-US" sz="8800" b="1" cap="none" spc="50">
            <a:ln w="11430"/>
            <a:solidFill>
              <a:schemeClr val="accent4">
                <a:lumMod val="75000"/>
              </a:schemeClr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  <a:latin typeface="Cooper Black" pitchFamily="18" charset="0"/>
          </a:endParaRPr>
        </a:p>
      </xdr:txBody>
    </xdr:sp>
    <xdr:clientData/>
  </xdr:oneCellAnchor>
  <xdr:twoCellAnchor>
    <xdr:from>
      <xdr:col>0</xdr:col>
      <xdr:colOff>1233427</xdr:colOff>
      <xdr:row>0</xdr:row>
      <xdr:rowOff>2</xdr:rowOff>
    </xdr:from>
    <xdr:to>
      <xdr:col>0</xdr:col>
      <xdr:colOff>8416639</xdr:colOff>
      <xdr:row>0</xdr:row>
      <xdr:rowOff>534418</xdr:rowOff>
    </xdr:to>
    <xdr:pic>
      <xdr:nvPicPr>
        <xdr:cNvPr id="12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 rot="10800000">
          <a:off x="1233427" y="2"/>
          <a:ext cx="7183212" cy="534416"/>
        </a:xfrm>
        <a:prstGeom prst="rect">
          <a:avLst/>
        </a:prstGeom>
        <a:noFill/>
      </xdr:spPr>
    </xdr:pic>
    <xdr:clientData/>
  </xdr:twoCellAnchor>
  <xdr:twoCellAnchor>
    <xdr:from>
      <xdr:col>1</xdr:col>
      <xdr:colOff>173182</xdr:colOff>
      <xdr:row>7</xdr:row>
      <xdr:rowOff>76003</xdr:rowOff>
    </xdr:from>
    <xdr:to>
      <xdr:col>16</xdr:col>
      <xdr:colOff>34636</xdr:colOff>
      <xdr:row>10</xdr:row>
      <xdr:rowOff>60152</xdr:rowOff>
    </xdr:to>
    <xdr:pic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 rot="10800000" flipV="1">
          <a:off x="10079182" y="7141821"/>
          <a:ext cx="4104409" cy="555649"/>
        </a:xfrm>
        <a:prstGeom prst="rect">
          <a:avLst/>
        </a:prstGeom>
        <a:noFill/>
      </xdr:spPr>
    </xdr:pic>
    <xdr:clientData/>
  </xdr:twoCellAnchor>
  <xdr:twoCellAnchor>
    <xdr:from>
      <xdr:col>0</xdr:col>
      <xdr:colOff>1195325</xdr:colOff>
      <xdr:row>5</xdr:row>
      <xdr:rowOff>706579</xdr:rowOff>
    </xdr:from>
    <xdr:to>
      <xdr:col>0</xdr:col>
      <xdr:colOff>8378539</xdr:colOff>
      <xdr:row>5</xdr:row>
      <xdr:rowOff>1240995</xdr:rowOff>
    </xdr:to>
    <xdr:pic>
      <xdr:nvPicPr>
        <xdr:cNvPr id="14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95325" y="6490852"/>
          <a:ext cx="7183214" cy="534416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76201</xdr:rowOff>
    </xdr:from>
    <xdr:to>
      <xdr:col>0</xdr:col>
      <xdr:colOff>551864</xdr:colOff>
      <xdr:row>2</xdr:row>
      <xdr:rowOff>200026</xdr:rowOff>
    </xdr:to>
    <xdr:pic>
      <xdr:nvPicPr>
        <xdr:cNvPr id="2" name="Picture 9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10052"/>
        <a:stretch>
          <a:fillRect/>
        </a:stretch>
      </xdr:blipFill>
      <xdr:spPr bwMode="auto">
        <a:xfrm>
          <a:off x="133350" y="266701"/>
          <a:ext cx="418514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</xdr:row>
      <xdr:rowOff>104775</xdr:rowOff>
    </xdr:from>
    <xdr:to>
      <xdr:col>2</xdr:col>
      <xdr:colOff>180389</xdr:colOff>
      <xdr:row>2</xdr:row>
      <xdr:rowOff>200025</xdr:rowOff>
    </xdr:to>
    <xdr:pic>
      <xdr:nvPicPr>
        <xdr:cNvPr id="2" name="Picture 9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10052"/>
        <a:stretch>
          <a:fillRect/>
        </a:stretch>
      </xdr:blipFill>
      <xdr:spPr bwMode="auto">
        <a:xfrm>
          <a:off x="238125" y="304800"/>
          <a:ext cx="418514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2</xdr:row>
      <xdr:rowOff>28575</xdr:rowOff>
    </xdr:from>
    <xdr:to>
      <xdr:col>4</xdr:col>
      <xdr:colOff>9525</xdr:colOff>
      <xdr:row>3</xdr:row>
      <xdr:rowOff>161925</xdr:rowOff>
    </xdr:to>
    <xdr:pic>
      <xdr:nvPicPr>
        <xdr:cNvPr id="2" name="Picture 9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10052"/>
        <a:stretch>
          <a:fillRect/>
        </a:stretch>
      </xdr:blipFill>
      <xdr:spPr bwMode="auto">
        <a:xfrm>
          <a:off x="342900" y="228600"/>
          <a:ext cx="36195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</xdr:row>
      <xdr:rowOff>66675</xdr:rowOff>
    </xdr:from>
    <xdr:to>
      <xdr:col>1</xdr:col>
      <xdr:colOff>219075</xdr:colOff>
      <xdr:row>2</xdr:row>
      <xdr:rowOff>257174</xdr:rowOff>
    </xdr:to>
    <xdr:pic>
      <xdr:nvPicPr>
        <xdr:cNvPr id="2" name="Picture 9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10052"/>
        <a:stretch>
          <a:fillRect/>
        </a:stretch>
      </xdr:blipFill>
      <xdr:spPr bwMode="auto">
        <a:xfrm>
          <a:off x="95250" y="257175"/>
          <a:ext cx="504825" cy="5143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2" name="Text 9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152400</xdr:colOff>
      <xdr:row>0</xdr:row>
      <xdr:rowOff>0</xdr:rowOff>
    </xdr:to>
    <xdr:sp macro="" textlink="">
      <xdr:nvSpPr>
        <xdr:cNvPr id="3" name="Text 10"/>
        <xdr:cNvSpPr txBox="1">
          <a:spLocks noChangeArrowheads="1"/>
        </xdr:cNvSpPr>
      </xdr:nvSpPr>
      <xdr:spPr bwMode="auto">
        <a:xfrm>
          <a:off x="0" y="0"/>
          <a:ext cx="7239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9525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4" name="Text 11"/>
        <xdr:cNvSpPr txBox="1">
          <a:spLocks noChangeArrowheads="1"/>
        </xdr:cNvSpPr>
      </xdr:nvSpPr>
      <xdr:spPr bwMode="auto">
        <a:xfrm>
          <a:off x="762000" y="0"/>
          <a:ext cx="90392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QUALIFICATION OF VENDOR CHECK LIST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47625</xdr:colOff>
      <xdr:row>0</xdr:row>
      <xdr:rowOff>0</xdr:rowOff>
    </xdr:to>
    <xdr:sp macro="" textlink="">
      <xdr:nvSpPr>
        <xdr:cNvPr id="5" name="Text 13"/>
        <xdr:cNvSpPr txBox="1">
          <a:spLocks noChangeArrowheads="1"/>
        </xdr:cNvSpPr>
      </xdr:nvSpPr>
      <xdr:spPr bwMode="auto">
        <a:xfrm>
          <a:off x="10677525" y="0"/>
          <a:ext cx="29051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     dari  </a:t>
          </a:r>
        </a:p>
      </xdr:txBody>
    </xdr:sp>
    <xdr:clientData/>
  </xdr:twoCellAnchor>
  <xdr:twoCellAnchor>
    <xdr:from>
      <xdr:col>30</xdr:col>
      <xdr:colOff>9525</xdr:colOff>
      <xdr:row>0</xdr:row>
      <xdr:rowOff>0</xdr:rowOff>
    </xdr:from>
    <xdr:to>
      <xdr:col>39</xdr:col>
      <xdr:colOff>0</xdr:colOff>
      <xdr:row>0</xdr:row>
      <xdr:rowOff>0</xdr:rowOff>
    </xdr:to>
    <xdr:sp macro="" textlink="">
      <xdr:nvSpPr>
        <xdr:cNvPr id="6" name="Text 14"/>
        <xdr:cNvSpPr txBox="1">
          <a:spLocks noChangeArrowheads="1"/>
        </xdr:cNvSpPr>
      </xdr:nvSpPr>
      <xdr:spPr bwMode="auto">
        <a:xfrm>
          <a:off x="1068705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</a:t>
          </a:r>
        </a:p>
      </xdr:txBody>
    </xdr:sp>
    <xdr:clientData/>
  </xdr:twoCellAnchor>
  <xdr:twoCellAnchor>
    <xdr:from>
      <xdr:col>30</xdr:col>
      <xdr:colOff>9525</xdr:colOff>
      <xdr:row>0</xdr:row>
      <xdr:rowOff>0</xdr:rowOff>
    </xdr:from>
    <xdr:to>
      <xdr:col>37</xdr:col>
      <xdr:colOff>190500</xdr:colOff>
      <xdr:row>0</xdr:row>
      <xdr:rowOff>0</xdr:rowOff>
    </xdr:to>
    <xdr:sp macro="" textlink="">
      <xdr:nvSpPr>
        <xdr:cNvPr id="7" name="Text 15"/>
        <xdr:cNvSpPr txBox="1">
          <a:spLocks noChangeArrowheads="1"/>
        </xdr:cNvSpPr>
      </xdr:nvSpPr>
      <xdr:spPr bwMode="auto">
        <a:xfrm>
          <a:off x="10687050" y="0"/>
          <a:ext cx="303847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</a:t>
          </a:r>
        </a:p>
      </xdr:txBody>
    </xdr:sp>
    <xdr:clientData/>
  </xdr:twoCellAnchor>
  <xdr:twoCellAnchor>
    <xdr:from>
      <xdr:col>30</xdr:col>
      <xdr:colOff>9525</xdr:colOff>
      <xdr:row>0</xdr:row>
      <xdr:rowOff>0</xdr:rowOff>
    </xdr:from>
    <xdr:to>
      <xdr:col>36</xdr:col>
      <xdr:colOff>114300</xdr:colOff>
      <xdr:row>0</xdr:row>
      <xdr:rowOff>0</xdr:rowOff>
    </xdr:to>
    <xdr:sp macro="" textlink="">
      <xdr:nvSpPr>
        <xdr:cNvPr id="8" name="Text 16"/>
        <xdr:cNvSpPr txBox="1">
          <a:spLocks noChangeArrowheads="1"/>
        </xdr:cNvSpPr>
      </xdr:nvSpPr>
      <xdr:spPr bwMode="auto">
        <a:xfrm>
          <a:off x="10687050" y="0"/>
          <a:ext cx="24384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REV. : </a:t>
          </a:r>
        </a:p>
      </xdr:txBody>
    </xdr:sp>
    <xdr:clientData/>
  </xdr:twoCellAnchor>
  <xdr:twoCellAnchor>
    <xdr:from>
      <xdr:col>30</xdr:col>
      <xdr:colOff>9525</xdr:colOff>
      <xdr:row>0</xdr:row>
      <xdr:rowOff>0</xdr:rowOff>
    </xdr:from>
    <xdr:to>
      <xdr:col>39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 flipV="1">
          <a:off x="10687050" y="0"/>
          <a:ext cx="3314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0</xdr:colOff>
      <xdr:row>0</xdr:row>
      <xdr:rowOff>0</xdr:rowOff>
    </xdr:from>
    <xdr:to>
      <xdr:col>39</xdr:col>
      <xdr:colOff>0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10677525" y="0"/>
          <a:ext cx="3324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39</xdr:col>
      <xdr:colOff>0</xdr:colOff>
      <xdr:row>0</xdr:row>
      <xdr:rowOff>0</xdr:rowOff>
    </xdr:to>
    <xdr:grpSp>
      <xdr:nvGrpSpPr>
        <xdr:cNvPr id="11" name="Group 10"/>
        <xdr:cNvGrpSpPr>
          <a:grpSpLocks/>
        </xdr:cNvGrpSpPr>
      </xdr:nvGrpSpPr>
      <xdr:grpSpPr bwMode="auto">
        <a:xfrm>
          <a:off x="1568824" y="0"/>
          <a:ext cx="12438529" cy="0"/>
          <a:chOff x="1568824" y="0"/>
          <a:chExt cx="12438529" cy="0"/>
        </a:xfrm>
      </xdr:grpSpPr>
      <xdr:sp macro="" textlink="">
        <xdr:nvSpPr>
          <xdr:cNvPr id="12" name="Line 11"/>
          <xdr:cNvSpPr>
            <a:spLocks noChangeShapeType="1"/>
          </xdr:cNvSpPr>
        </xdr:nvSpPr>
        <xdr:spPr bwMode="auto">
          <a:xfrm>
            <a:off x="-62" y="0"/>
            <a:ext cx="1478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12"/>
          <xdr:cNvSpPr>
            <a:spLocks noChangeShapeType="1"/>
          </xdr:cNvSpPr>
        </xdr:nvSpPr>
        <xdr:spPr bwMode="auto">
          <a:xfrm flipV="1">
            <a:off x="-62" y="0"/>
            <a:ext cx="473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13"/>
          <xdr:cNvSpPr>
            <a:spLocks noChangeShapeType="1"/>
          </xdr:cNvSpPr>
        </xdr:nvSpPr>
        <xdr:spPr bwMode="auto">
          <a:xfrm>
            <a:off x="4672" y="0"/>
            <a:ext cx="1005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" name="Line 14"/>
          <xdr:cNvSpPr>
            <a:spLocks noChangeShapeType="1"/>
          </xdr:cNvSpPr>
        </xdr:nvSpPr>
        <xdr:spPr bwMode="auto">
          <a:xfrm>
            <a:off x="3467" y="0"/>
            <a:ext cx="772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" name="Line 15"/>
          <xdr:cNvSpPr>
            <a:spLocks noChangeShapeType="1"/>
          </xdr:cNvSpPr>
        </xdr:nvSpPr>
        <xdr:spPr bwMode="auto">
          <a:xfrm>
            <a:off x="4672" y="0"/>
            <a:ext cx="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" name="Drawing 25"/>
          <xdr:cNvSpPr>
            <a:spLocks/>
          </xdr:cNvSpPr>
        </xdr:nvSpPr>
        <xdr:spPr bwMode="auto">
          <a:xfrm>
            <a:off x="3467" y="0"/>
            <a:ext cx="1205" cy="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0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18" name="Text 26"/>
          <xdr:cNvSpPr txBox="1">
            <a:spLocks noChangeArrowheads="1"/>
          </xdr:cNvSpPr>
        </xdr:nvSpPr>
        <xdr:spPr bwMode="auto">
          <a:xfrm>
            <a:off x="0" y="0"/>
            <a:ext cx="9525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Arial"/>
                <a:cs typeface="Arial"/>
              </a:rPr>
              <a:t>P S</a:t>
            </a:r>
          </a:p>
        </xdr:txBody>
      </xdr:sp>
    </xdr:grpSp>
    <xdr:clientData/>
  </xdr:twoCellAnchor>
  <xdr:twoCellAnchor>
    <xdr:from>
      <xdr:col>39</xdr:col>
      <xdr:colOff>0</xdr:colOff>
      <xdr:row>0</xdr:row>
      <xdr:rowOff>0</xdr:rowOff>
    </xdr:from>
    <xdr:to>
      <xdr:col>39</xdr:col>
      <xdr:colOff>0</xdr:colOff>
      <xdr:row>0</xdr:row>
      <xdr:rowOff>0</xdr:rowOff>
    </xdr:to>
    <xdr:grpSp>
      <xdr:nvGrpSpPr>
        <xdr:cNvPr id="19" name="Group 18"/>
        <xdr:cNvGrpSpPr>
          <a:grpSpLocks/>
        </xdr:cNvGrpSpPr>
      </xdr:nvGrpSpPr>
      <xdr:grpSpPr bwMode="auto">
        <a:xfrm>
          <a:off x="14007353" y="0"/>
          <a:ext cx="0" cy="0"/>
          <a:chOff x="14007353" y="0"/>
          <a:chExt cx="0" cy="0"/>
        </a:xfrm>
      </xdr:grpSpPr>
      <xdr:sp macro="" textlink="">
        <xdr:nvSpPr>
          <xdr:cNvPr id="20" name="Line 19"/>
          <xdr:cNvSpPr>
            <a:spLocks noChangeShapeType="1"/>
          </xdr:cNvSpPr>
        </xdr:nvSpPr>
        <xdr:spPr bwMode="auto">
          <a:xfrm>
            <a:off x="0" y="15707"/>
            <a:ext cx="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" name="Line 20"/>
          <xdr:cNvSpPr>
            <a:spLocks noChangeShapeType="1"/>
          </xdr:cNvSpPr>
        </xdr:nvSpPr>
        <xdr:spPr bwMode="auto">
          <a:xfrm flipH="1" flipV="1">
            <a:off x="0" y="-293"/>
            <a:ext cx="0" cy="1600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" name="Line 21"/>
          <xdr:cNvSpPr>
            <a:spLocks noChangeShapeType="1"/>
          </xdr:cNvSpPr>
        </xdr:nvSpPr>
        <xdr:spPr bwMode="auto">
          <a:xfrm flipH="1">
            <a:off x="0" y="-293"/>
            <a:ext cx="0" cy="1600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" name="Line 22"/>
          <xdr:cNvSpPr>
            <a:spLocks noChangeShapeType="1"/>
          </xdr:cNvSpPr>
        </xdr:nvSpPr>
        <xdr:spPr bwMode="auto">
          <a:xfrm>
            <a:off x="0" y="15067"/>
            <a:ext cx="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" name="Line 23"/>
          <xdr:cNvSpPr>
            <a:spLocks noChangeShapeType="1"/>
          </xdr:cNvSpPr>
        </xdr:nvSpPr>
        <xdr:spPr bwMode="auto">
          <a:xfrm>
            <a:off x="0" y="867"/>
            <a:ext cx="0" cy="1420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" name="Drawing 33"/>
          <xdr:cNvSpPr>
            <a:spLocks/>
          </xdr:cNvSpPr>
        </xdr:nvSpPr>
        <xdr:spPr bwMode="auto">
          <a:xfrm>
            <a:off x="0" y="87"/>
            <a:ext cx="0" cy="1498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5591 h 16384"/>
              <a:gd name="T4" fmla="*/ 0 w 16384"/>
              <a:gd name="T5" fmla="*/ 5591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0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333399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26" name="Text 34"/>
          <xdr:cNvSpPr txBox="1">
            <a:spLocks noChangeArrowheads="1"/>
          </xdr:cNvSpPr>
        </xdr:nvSpPr>
        <xdr:spPr bwMode="auto">
          <a:xfrm>
            <a:off x="5674357396500" y="0"/>
            <a:ext cx="0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P S</a:t>
            </a:r>
          </a:p>
        </xdr:txBody>
      </xdr:sp>
    </xdr:grpSp>
    <xdr:clientData/>
  </xdr:twoCellAnchor>
  <xdr:twoCellAnchor>
    <xdr:from>
      <xdr:col>31</xdr:col>
      <xdr:colOff>361950</xdr:colOff>
      <xdr:row>0</xdr:row>
      <xdr:rowOff>0</xdr:rowOff>
    </xdr:from>
    <xdr:to>
      <xdr:col>39</xdr:col>
      <xdr:colOff>371475</xdr:colOff>
      <xdr:row>0</xdr:row>
      <xdr:rowOff>0</xdr:rowOff>
    </xdr:to>
    <xdr:sp macro="" textlink="">
      <xdr:nvSpPr>
        <xdr:cNvPr id="27" name="Text 39"/>
        <xdr:cNvSpPr txBox="1">
          <a:spLocks noChangeArrowheads="1"/>
        </xdr:cNvSpPr>
      </xdr:nvSpPr>
      <xdr:spPr bwMode="auto">
        <a:xfrm>
          <a:off x="11458575" y="0"/>
          <a:ext cx="26860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01 dari 01</a:t>
          </a:r>
        </a:p>
      </xdr:txBody>
    </xdr:sp>
    <xdr:clientData/>
  </xdr:twoCellAnchor>
  <xdr:twoCellAnchor>
    <xdr:from>
      <xdr:col>32</xdr:col>
      <xdr:colOff>19050</xdr:colOff>
      <xdr:row>0</xdr:row>
      <xdr:rowOff>0</xdr:rowOff>
    </xdr:from>
    <xdr:to>
      <xdr:col>40</xdr:col>
      <xdr:colOff>0</xdr:colOff>
      <xdr:row>0</xdr:row>
      <xdr:rowOff>0</xdr:rowOff>
    </xdr:to>
    <xdr:sp macro="" textlink="">
      <xdr:nvSpPr>
        <xdr:cNvPr id="28" name="Text 40"/>
        <xdr:cNvSpPr txBox="1">
          <a:spLocks noChangeArrowheads="1"/>
        </xdr:cNvSpPr>
      </xdr:nvSpPr>
      <xdr:spPr bwMode="auto">
        <a:xfrm>
          <a:off x="11477625" y="0"/>
          <a:ext cx="26670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025 / VRM /06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32</xdr:col>
      <xdr:colOff>28575</xdr:colOff>
      <xdr:row>0</xdr:row>
      <xdr:rowOff>0</xdr:rowOff>
    </xdr:from>
    <xdr:to>
      <xdr:col>39</xdr:col>
      <xdr:colOff>561975</xdr:colOff>
      <xdr:row>0</xdr:row>
      <xdr:rowOff>0</xdr:rowOff>
    </xdr:to>
    <xdr:sp macro="" textlink="">
      <xdr:nvSpPr>
        <xdr:cNvPr id="29" name="Text 41"/>
        <xdr:cNvSpPr txBox="1">
          <a:spLocks noChangeArrowheads="1"/>
        </xdr:cNvSpPr>
      </xdr:nvSpPr>
      <xdr:spPr bwMode="auto">
        <a:xfrm>
          <a:off x="11487150" y="0"/>
          <a:ext cx="265747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31 Desember 2006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2005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0" name="Text 35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31" name="Text 36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2" name="Text 37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33" name="Text 3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34" name="Text Box 33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02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35" name="Text Box 34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02/VEC/I/02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36" name="Text Box 35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37" name="Group 36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38" name="Line 37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" name="Line 38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0" name="Line 39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1" name="Line 40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2" name="Line 41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44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47625</xdr:colOff>
      <xdr:row>0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2019300" y="0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46" name="Text Box 45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47" name="Text Box 46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48" name="Text Box 47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49" name="Text Box 4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50" name="Text Box 49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03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51" name="Text Box 50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03/VEC/I/02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52" name="Text Box 51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53" name="Group 52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54" name="Line 53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5" name="Line 54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6" name="Line 55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7" name="Line 56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8" name="Line 57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9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60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61" name="Freeform 60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47625</xdr:colOff>
      <xdr:row>0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2019300" y="0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3" name="Text Box 62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4" name="Text Box 63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5" name="Text Box 64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6" name="Text Box 65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67" name="Text Box 66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04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68" name="Text Box 67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04/VEC/I/02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69" name="Text Box 68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70" name="Group 69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71" name="Line 70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" name="Line 71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3" name="Line 72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4" name="Line 73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" name="Line 74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6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77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78" name="Freeform 77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47625</xdr:colOff>
      <xdr:row>0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2019300" y="0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80" name="Text Box 79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81" name="Text Box 80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82" name="Text Box 81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83" name="Text Box 82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84" name="Text Box 83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05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85" name="Text Box 84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05/VEC/I/02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86" name="Text Box 85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87" name="Group 86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88" name="Line 87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9" name="Line 88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0" name="Line 89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1" name="Line 90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2" name="Line 91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3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94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95" name="Freeform 94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47625</xdr:colOff>
      <xdr:row>0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2019300" y="0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97" name="Text Box 96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98" name="Text Box 97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99" name="Text Box 98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100" name="Text Box 99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101" name="Text Box 100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06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102" name="Text Box 101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06/VEC/I/02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103" name="Text Box 102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104" name="Group 103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105" name="Line 104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6" name="Line 105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" name="Line 106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8" name="Line 107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9" name="Line 108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111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112" name="Freeform 111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47625</xdr:colOff>
      <xdr:row>0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2019300" y="0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114" name="Text Box 113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115" name="Text Box 114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116" name="Text Box 115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117" name="Text Box 116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118" name="Text Box 117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07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119" name="Text Box 118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07/VEC/I/02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120" name="Text Box 119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121" name="Group 120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122" name="Line 121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3" name="Line 122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4" name="Line 123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5" name="Line 124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6" name="Line 125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7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128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129" name="Freeform 128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47625</xdr:colOff>
      <xdr:row>0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2019300" y="0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131" name="Text Box 130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132" name="Text Box 131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133" name="Text Box 132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134" name="Text Box 133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135" name="Text Box 134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08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136" name="Text Box 135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08/VEC/I/02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137" name="Text Box 136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138" name="Group 137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139" name="Line 138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" name="Line 139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1" name="Line 140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2" name="Line 141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3" name="Line 142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4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145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146" name="Freeform 145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47625</xdr:colOff>
      <xdr:row>0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2019300" y="0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148" name="Text Box 147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149" name="Text Box 14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150" name="Text Box 149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151" name="Text Box 150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152" name="Text Box 151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09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153" name="Text Box 152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09/VEC/I/02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154" name="Text Box 153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155" name="Group 154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156" name="Line 155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7" name="Line 156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8" name="Line 157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9" name="Line 158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0" name="Line 159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1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162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2</xdr:col>
      <xdr:colOff>47625</xdr:colOff>
      <xdr:row>0</xdr:row>
      <xdr:rowOff>0</xdr:rowOff>
    </xdr:from>
    <xdr:to>
      <xdr:col>2</xdr:col>
      <xdr:colOff>123825</xdr:colOff>
      <xdr:row>0</xdr:row>
      <xdr:rowOff>0</xdr:rowOff>
    </xdr:to>
    <xdr:sp macro="" textlink="">
      <xdr:nvSpPr>
        <xdr:cNvPr id="163" name="Freeform 162"/>
        <xdr:cNvSpPr>
          <a:spLocks/>
        </xdr:cNvSpPr>
      </xdr:nvSpPr>
      <xdr:spPr bwMode="auto">
        <a:xfrm>
          <a:off x="43815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47625</xdr:colOff>
      <xdr:row>0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2019300" y="0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165" name="Text Box 164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166" name="Text Box 165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167" name="Text Box 166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168" name="Text Box 167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169" name="Text Box 168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10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170" name="Text Box 169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10/VEC/I/02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171" name="Text Box 170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172" name="Group 171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173" name="Line 172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4" name="Line 173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5" name="Line 174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6" name="Line 175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7" name="Line 176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8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179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180" name="Freeform 179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47625</xdr:colOff>
      <xdr:row>0</xdr:row>
      <xdr:rowOff>0</xdr:rowOff>
    </xdr:to>
    <xdr:sp macro="" textlink="">
      <xdr:nvSpPr>
        <xdr:cNvPr id="181" name="Line 180"/>
        <xdr:cNvSpPr>
          <a:spLocks noChangeShapeType="1"/>
        </xdr:cNvSpPr>
      </xdr:nvSpPr>
      <xdr:spPr bwMode="auto">
        <a:xfrm>
          <a:off x="2019300" y="0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182" name="Text Box 181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183" name="Text Box 182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184" name="Text Box 183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185" name="Text Box 184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186" name="Text Box 185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11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187" name="Text Box 186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11/VEC/I/02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188" name="Text Box 187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189" name="Group 188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190" name="Line 189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1" name="Line 190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2" name="Line 191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3" name="Line 192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4" name="Line 193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5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196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197" name="Freeform 196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198" name="Text Box 197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199" name="Text Box 19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200" name="Text Box 199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201" name="Text Box 200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202" name="Text Box 201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12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203" name="Text Box 202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12/VEC/I/02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204" name="Text Box 203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205" name="Group 204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206" name="Line 205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7" name="Line 206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8" name="Line 207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9" name="Line 208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0" name="Line 209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1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212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213" name="Freeform 212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214" name="Text Box 213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215" name="Text Box 214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216" name="Text Box 215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217" name="Text Box 216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218" name="Text Box 217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13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219" name="Text Box 218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13/VEC/I/02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220" name="Text Box 219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221" name="Group 220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222" name="Line 221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3" name="Line 222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" name="Line 223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5" name="Line 224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6" name="Line 225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7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228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229" name="Freeform 228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230" name="Text Box 229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231" name="Text Box 230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232" name="Text Box 231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233" name="Text Box 232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234" name="Text Box 233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14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235" name="Text Box 234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14/VEC/I/02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236" name="Text Box 235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237" name="Group 236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238" name="Line 237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9" name="Line 238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0" name="Line 239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1" name="Line 240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2" name="Line 241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3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244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245" name="Freeform 244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246" name="Text Box 245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247" name="Text Box 246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248" name="Text Box 247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249" name="Text Box 24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250" name="Text Box 249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15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251" name="Text Box 250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15/VEC/I/02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252" name="Text Box 251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253" name="Group 252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254" name="Line 253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5" name="Line 254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6" name="Line 255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7" name="Line 256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8" name="Line 257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9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260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261" name="Freeform 260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262" name="Text Box 261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263" name="Text Box 262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264" name="Text Box 263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265" name="Text Box 264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266" name="Text Box 265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16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267" name="Text Box 266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16/VEC/I/02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268" name="Text Box 267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269" name="Group 268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270" name="Line 269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1" name="Line 270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2" name="Line 271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3" name="Line 272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4" name="Line 273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5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276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277" name="Freeform 276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278" name="Text Box 277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279" name="Text Box 27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280" name="Text Box 279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281" name="Text Box 280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282" name="Text Box 281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17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283" name="Text Box 282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17/VEC/I/02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284" name="Text Box 283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285" name="Group 284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286" name="Line 285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7" name="Line 286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8" name="Line 287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9" name="Line 288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0" name="Line 289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1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292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293" name="Freeform 292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294" name="Text Box 293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295" name="Text Box 294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296" name="Text Box 295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297" name="Text Box 296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298" name="Text Box 297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18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299" name="Text Box 298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18/VEC/I/02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300" name="Text Box 299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301" name="Group 300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302" name="Line 301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3" name="Line 302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4" name="Line 303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5" name="Line 304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6" name="Line 305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7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308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309" name="Freeform 308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10" name="Text Box 309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311" name="Text Box 310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12" name="Text Box 311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313" name="Text Box 312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314" name="Text Box 313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19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315" name="Text Box 314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19/VEC/I/02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316" name="Text Box 315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317" name="Group 316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318" name="Line 317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9" name="Line 318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0" name="Line 319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1" name="Line 320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2" name="Line 321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3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324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325" name="Freeform 324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26" name="Text Box 325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327" name="Text Box 326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28" name="Text Box 327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329" name="Text Box 32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330" name="Text Box 329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20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331" name="Text Box 330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20/VEC/I/02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332" name="Text Box 331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333" name="Group 332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334" name="Line 333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5" name="Line 334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6" name="Line 335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7" name="Line 336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8" name="Line 337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9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340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341" name="Freeform 340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42" name="Text Box 341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343" name="Text Box 342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44" name="Text Box 343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345" name="Text Box 344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346" name="Text Box 345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21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347" name="Text Box 346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21/VEC/I/02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348" name="Text Box 347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349" name="Group 348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350" name="Line 349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1" name="Line 350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2" name="Line 351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3" name="Line 352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4" name="Line 353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5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356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357" name="Freeform 356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58" name="Text Box 357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359" name="Text Box 35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60" name="Text Box 359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361" name="Text Box 360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362" name="Text Box 361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22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363" name="Text Box 362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22/VEC/I/02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364" name="Text Box 363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365" name="Group 364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366" name="Line 365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7" name="Line 366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67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9" name="Line 368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0" name="Line 369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1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372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73" name="Text Box 372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374" name="Text Box 373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75" name="Text Box 374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376" name="Text Box 375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377" name="Text Box 376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23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378" name="Text Box 377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23/VEC/I/02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379" name="Text Box 378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380" name="Group 379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381" name="Line 380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2" name="Line 381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3" name="Line 382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4" name="Line 383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5" name="Line 384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6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387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388" name="Freeform 387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89" name="Text Box 388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390" name="Text Box 389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91" name="Text Box 390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392" name="Text Box 391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393" name="Text Box 392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24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394" name="Text Box 393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24/VEC/I/02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395" name="Text Box 394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396" name="Group 395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397" name="Line 396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8" name="Line 397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398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00" name="Line 399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01" name="Line 400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02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403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404" name="Freeform 403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405" name="Text Box 404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406" name="Text Box 405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407" name="Text Box 406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408" name="Text Box 407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409" name="Text Box 408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25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410" name="Text Box 409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25/VEC/I/02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411" name="Text Box 410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412" name="Group 411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413" name="Line 412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14" name="Line 413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15" name="Line 414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16" name="Line 415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17" name="Line 416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18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419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420" name="Freeform 419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421" name="Text Box 420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422" name="Text Box 421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423" name="Text Box 422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424" name="Text Box 423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425" name="Text Box 424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26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426" name="Text Box 425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26/VEC/I/02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427" name="Text Box 426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428" name="Group 427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429" name="Line 428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0" name="Line 429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1" name="Line 430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2" name="Line 431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3" name="Line 432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4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435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436" name="Freeform 435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437" name="Text Box 436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438" name="Text Box 437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439" name="Text Box 438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440" name="Text Box 439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441" name="Text Box 440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27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442" name="Text Box 441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27/VEC/I/02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443" name="Text Box 442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444" name="Group 443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445" name="Line 444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6" name="Line 445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7" name="Line 446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8" name="Line 447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9" name="Line 448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0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451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452" name="Freeform 451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453" name="Text Box 452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454" name="Text Box 453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455" name="Text Box 454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456" name="Text Box 455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457" name="Text Box 456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28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458" name="Text Box 457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28/VEC/I/02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459" name="Text Box 458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460" name="Group 459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461" name="Line 460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62" name="Line 461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63" name="Line 462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64" name="Line 463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65" name="Line 464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66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467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468" name="Text Box 467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469" name="Text Box 46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470" name="Text Box 469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471" name="Text Box 470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472" name="Text Box 471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29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473" name="Text Box 472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29/VEC/I/02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474" name="Text Box 473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475" name="Group 474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476" name="Line 475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77" name="Line 476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78" name="Line 477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79" name="Line 478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0" name="Line 479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1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482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2</xdr:col>
      <xdr:colOff>38100</xdr:colOff>
      <xdr:row>0</xdr:row>
      <xdr:rowOff>0</xdr:rowOff>
    </xdr:from>
    <xdr:to>
      <xdr:col>2</xdr:col>
      <xdr:colOff>114300</xdr:colOff>
      <xdr:row>0</xdr:row>
      <xdr:rowOff>0</xdr:rowOff>
    </xdr:to>
    <xdr:sp macro="" textlink="">
      <xdr:nvSpPr>
        <xdr:cNvPr id="483" name="Freeform 482"/>
        <xdr:cNvSpPr>
          <a:spLocks/>
        </xdr:cNvSpPr>
      </xdr:nvSpPr>
      <xdr:spPr bwMode="auto">
        <a:xfrm>
          <a:off x="428625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484" name="Text Box 483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485" name="Text Box 484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486" name="Text Box 485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487" name="Text Box 486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488" name="Text Box 487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30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489" name="Text Box 488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DOK.:30/VEC/I/02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490" name="Text Box 489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491" name="Group 490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492" name="Line 491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93" name="Line 492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94" name="Line 493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95" name="Line 494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96" name="Line 495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97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498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2</xdr:col>
      <xdr:colOff>38100</xdr:colOff>
      <xdr:row>0</xdr:row>
      <xdr:rowOff>0</xdr:rowOff>
    </xdr:from>
    <xdr:to>
      <xdr:col>2</xdr:col>
      <xdr:colOff>114300</xdr:colOff>
      <xdr:row>0</xdr:row>
      <xdr:rowOff>0</xdr:rowOff>
    </xdr:to>
    <xdr:sp macro="" textlink="">
      <xdr:nvSpPr>
        <xdr:cNvPr id="499" name="Freeform 498"/>
        <xdr:cNvSpPr>
          <a:spLocks/>
        </xdr:cNvSpPr>
      </xdr:nvSpPr>
      <xdr:spPr bwMode="auto">
        <a:xfrm>
          <a:off x="428625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00" name="Text Box 499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01" name="Text Box 500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02" name="Text Box 501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03" name="Text Box 502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504" name="Text Box 503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31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505" name="Text Box 504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31/VEC/I/02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506" name="Text Box 505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507" name="Group 506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508" name="Line 507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09" name="Line 508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0" name="Line 509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1" name="Line 510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2" name="Line 511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3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514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2</xdr:col>
      <xdr:colOff>47625</xdr:colOff>
      <xdr:row>0</xdr:row>
      <xdr:rowOff>0</xdr:rowOff>
    </xdr:from>
    <xdr:to>
      <xdr:col>2</xdr:col>
      <xdr:colOff>123825</xdr:colOff>
      <xdr:row>0</xdr:row>
      <xdr:rowOff>0</xdr:rowOff>
    </xdr:to>
    <xdr:sp macro="" textlink="">
      <xdr:nvSpPr>
        <xdr:cNvPr id="515" name="Freeform 514"/>
        <xdr:cNvSpPr>
          <a:spLocks/>
        </xdr:cNvSpPr>
      </xdr:nvSpPr>
      <xdr:spPr bwMode="auto">
        <a:xfrm>
          <a:off x="43815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16" name="Text Box 515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17" name="Text Box 516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18" name="Text Box 517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19" name="Text Box 51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520" name="Text Box 519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32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521" name="Text Box 520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32/VEC/I/02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522" name="Text Box 521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28575</xdr:colOff>
      <xdr:row>0</xdr:row>
      <xdr:rowOff>0</xdr:rowOff>
    </xdr:to>
    <xdr:grpSp>
      <xdr:nvGrpSpPr>
        <xdr:cNvPr id="523" name="Group 522"/>
        <xdr:cNvGrpSpPr>
          <a:grpSpLocks/>
        </xdr:cNvGrpSpPr>
      </xdr:nvGrpSpPr>
      <xdr:grpSpPr bwMode="auto">
        <a:xfrm>
          <a:off x="0" y="0"/>
          <a:ext cx="600075" cy="0"/>
          <a:chOff x="-254" y="-9793"/>
          <a:chExt cx="16120" cy="280"/>
        </a:xfrm>
      </xdr:grpSpPr>
      <xdr:sp macro="" textlink="">
        <xdr:nvSpPr>
          <xdr:cNvPr id="524" name="Line 523"/>
          <xdr:cNvSpPr>
            <a:spLocks noChangeShapeType="1"/>
          </xdr:cNvSpPr>
        </xdr:nvSpPr>
        <xdr:spPr bwMode="auto">
          <a:xfrm>
            <a:off x="-254" y="-9513"/>
            <a:ext cx="16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5" name="Line 524"/>
          <xdr:cNvSpPr>
            <a:spLocks noChangeShapeType="1"/>
          </xdr:cNvSpPr>
        </xdr:nvSpPr>
        <xdr:spPr bwMode="auto">
          <a:xfrm flipV="1">
            <a:off x="-254" y="-9793"/>
            <a:ext cx="780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6" name="Line 525"/>
          <xdr:cNvSpPr>
            <a:spLocks noChangeShapeType="1"/>
          </xdr:cNvSpPr>
        </xdr:nvSpPr>
        <xdr:spPr bwMode="auto">
          <a:xfrm>
            <a:off x="7546" y="-9793"/>
            <a:ext cx="8060" cy="2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7" name="Line 526"/>
          <xdr:cNvSpPr>
            <a:spLocks noChangeShapeType="1"/>
          </xdr:cNvSpPr>
        </xdr:nvSpPr>
        <xdr:spPr bwMode="auto">
          <a:xfrm>
            <a:off x="3386" y="-9638"/>
            <a:ext cx="83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8" name="Line 527"/>
          <xdr:cNvSpPr>
            <a:spLocks noChangeShapeType="1"/>
          </xdr:cNvSpPr>
        </xdr:nvSpPr>
        <xdr:spPr bwMode="auto">
          <a:xfrm>
            <a:off x="7546" y="-9778"/>
            <a:ext cx="0" cy="1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9" name="Drawing 60"/>
          <xdr:cNvSpPr>
            <a:spLocks/>
          </xdr:cNvSpPr>
        </xdr:nvSpPr>
        <xdr:spPr bwMode="auto">
          <a:xfrm>
            <a:off x="3386" y="-9788"/>
            <a:ext cx="4160" cy="150"/>
          </a:xfrm>
          <a:custGeom>
            <a:avLst/>
            <a:gdLst>
              <a:gd name="T0" fmla="*/ 0 w 16384"/>
              <a:gd name="T1" fmla="*/ 0 h 16384"/>
              <a:gd name="T2" fmla="*/ 0 w 16384"/>
              <a:gd name="T3" fmla="*/ 0 h 16384"/>
              <a:gd name="T4" fmla="*/ 0 w 16384"/>
              <a:gd name="T5" fmla="*/ 0 h 16384"/>
              <a:gd name="T6" fmla="*/ 0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  <a:gd name="T12" fmla="*/ 0 w 16384"/>
              <a:gd name="T13" fmla="*/ 0 h 16384"/>
              <a:gd name="T14" fmla="*/ 16384 w 16384"/>
              <a:gd name="T15" fmla="*/ 16384 h 1638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6384" h="16384">
                <a:moveTo>
                  <a:pt x="16384" y="0"/>
                </a:moveTo>
                <a:lnTo>
                  <a:pt x="16384" y="16384"/>
                </a:lnTo>
                <a:lnTo>
                  <a:pt x="0" y="16384"/>
                </a:lnTo>
                <a:lnTo>
                  <a:pt x="16384" y="0"/>
                </a:lnTo>
                <a:close/>
              </a:path>
            </a:pathLst>
          </a:custGeom>
          <a:solidFill>
            <a:srgbClr val="0000FF"/>
          </a:solidFill>
          <a:ln w="952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530" name="Text 61"/>
          <xdr:cNvSpPr txBox="1">
            <a:spLocks noChangeArrowheads="1"/>
          </xdr:cNvSpPr>
        </xdr:nvSpPr>
        <xdr:spPr bwMode="auto">
          <a:xfrm>
            <a:off x="-34410062084" y="0"/>
            <a:ext cx="8444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Times New Roman"/>
                <a:cs typeface="Times New Roman"/>
              </a:rPr>
              <a:t>P S</a:t>
            </a:r>
          </a:p>
        </xdr:txBody>
      </xdr:sp>
    </xdr:grp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531" name="Freeform 530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32" name="Text Box 531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33" name="Text Box 532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34" name="Text Box 533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35" name="Text Box 534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536" name="Text Box 535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33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537" name="Text Box 536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33/VEC/I/02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538" name="Text Box 537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539" name="Freeform 538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40" name="Text Box 539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41" name="Text Box 540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42" name="Text Box 541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43" name="Text Box 542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544" name="Text Box 543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34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545" name="Text Box 544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34/VEC/I/02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546" name="Text Box 545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547" name="Freeform 546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48" name="Text Box 547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49" name="Text Box 54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50" name="Text Box 549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51" name="Text Box 550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552" name="Text Box 551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35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553" name="Text Box 552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35/VEC/I/02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554" name="Text Box 553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</xdr:col>
      <xdr:colOff>47625</xdr:colOff>
      <xdr:row>0</xdr:row>
      <xdr:rowOff>0</xdr:rowOff>
    </xdr:from>
    <xdr:to>
      <xdr:col>2</xdr:col>
      <xdr:colOff>123825</xdr:colOff>
      <xdr:row>0</xdr:row>
      <xdr:rowOff>0</xdr:rowOff>
    </xdr:to>
    <xdr:sp macro="" textlink="">
      <xdr:nvSpPr>
        <xdr:cNvPr id="555" name="Freeform 554"/>
        <xdr:cNvSpPr>
          <a:spLocks/>
        </xdr:cNvSpPr>
      </xdr:nvSpPr>
      <xdr:spPr bwMode="auto">
        <a:xfrm>
          <a:off x="43815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56" name="Text Box 555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57" name="Text Box 556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58" name="Text Box 557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59" name="Text Box 55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560" name="Text Box 559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36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561" name="Text Box 560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36/VEC/I/02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562" name="Text Box 561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563" name="Freeform 562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64" name="Text Box 563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65" name="Text Box 564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66" name="Text Box 565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67" name="Text Box 566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568" name="Text Box 567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37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569" name="Text Box 568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37/VEC/I/02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570" name="Text Box 569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571" name="Freeform 570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72" name="Text Box 571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73" name="Text Box 572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74" name="Text Box 573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75" name="Text Box 574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576" name="Text Box 575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38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577" name="Text Box 576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38/VEC/I/02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578" name="Text Box 577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579" name="Freeform 578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80" name="Text Box 579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81" name="Text Box 580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82" name="Text Box 581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83" name="Text Box 582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584" name="Text Box 583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39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585" name="Text Box 584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39/VEC/I/02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586" name="Text Box 585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587" name="Freeform 586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88" name="Text Box 587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89" name="Text Box 58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90" name="Text Box 589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91" name="Text Box 590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592" name="Text Box 591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40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593" name="Text Box 592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40/VEC/I/02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594" name="Text Box 593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595" name="Freeform 594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96" name="Text Box 595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97" name="Text Box 596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598" name="Text Box 597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599" name="Text Box 59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600" name="Text Box 599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41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601" name="Text Box 600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41/VEC/I/02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602" name="Text Box 601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603" name="Freeform 602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04" name="Text Box 603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05" name="Text Box 604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06" name="Text Box 605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07" name="Text Box 606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608" name="Text Box 607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42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609" name="Text Box 608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42/VEC/I/02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610" name="Text Box 609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</xdr:col>
      <xdr:colOff>38100</xdr:colOff>
      <xdr:row>0</xdr:row>
      <xdr:rowOff>0</xdr:rowOff>
    </xdr:from>
    <xdr:to>
      <xdr:col>2</xdr:col>
      <xdr:colOff>114300</xdr:colOff>
      <xdr:row>0</xdr:row>
      <xdr:rowOff>0</xdr:rowOff>
    </xdr:to>
    <xdr:sp macro="" textlink="">
      <xdr:nvSpPr>
        <xdr:cNvPr id="611" name="Freeform 610"/>
        <xdr:cNvSpPr>
          <a:spLocks/>
        </xdr:cNvSpPr>
      </xdr:nvSpPr>
      <xdr:spPr bwMode="auto">
        <a:xfrm>
          <a:off x="428625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12" name="Text Box 611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13" name="Text Box 612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14" name="Text Box 613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15" name="Text Box 614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616" name="Text Box 615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40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617" name="Text Box 616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40/VEC/I/02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618" name="Text Box 617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619" name="Freeform 618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20" name="Text Box 619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21" name="Text Box 620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22" name="Text Box 621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23" name="Text Box 622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624" name="Text Box 623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40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625" name="Text Box 624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40/VEC/I/02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626" name="Text Box 625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627" name="Freeform 626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28" name="Text Box 627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29" name="Text Box 62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30" name="Text Box 629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31" name="Text Box 630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632" name="Text Box 631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40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633" name="Text Box 632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40/VEC/I/02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634" name="Text Box 633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635" name="Freeform 634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36" name="Text Box 635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37" name="Text Box 636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38" name="Text Box 637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39" name="Text Box 63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640" name="Text Box 639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40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641" name="Text Box 640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40/VEC/I/02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642" name="Text Box 641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643" name="Freeform 642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44" name="Text Box 643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45" name="Text Box 644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46" name="Text Box 645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47" name="Text Box 646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648" name="Text Box 647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40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649" name="Text Box 648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40/VEC/I/02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650" name="Text Box 649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651" name="Freeform 650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52" name="Text Box 651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53" name="Text Box 652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54" name="Text Box 653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55" name="Text Box 654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656" name="Text Box 655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40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657" name="Text Box 656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40/VEC/I/02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658" name="Text Box 657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659" name="Freeform 658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60" name="Text Box 659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61" name="Text Box 660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62" name="Text Box 661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63" name="Text Box 662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664" name="Text Box 663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40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665" name="Text Box 664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40/VEC/I/02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666" name="Text Box 665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667" name="Freeform 666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68" name="Text Box 667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69" name="Text Box 66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70" name="Text Box 669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71" name="Text Box 670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672" name="Text Box 671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40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673" name="Text Box 672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40/VEC/I/02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674" name="Text Box 673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675" name="Freeform 674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76" name="Text Box 675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77" name="Text Box 676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78" name="Text Box 677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79" name="Text Box 67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680" name="Text Box 679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40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681" name="Text Box 680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40/VEC/I/02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682" name="Text Box 681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4</xdr:col>
      <xdr:colOff>123825</xdr:colOff>
      <xdr:row>0</xdr:row>
      <xdr:rowOff>0</xdr:rowOff>
    </xdr:to>
    <xdr:sp macro="" textlink="">
      <xdr:nvSpPr>
        <xdr:cNvPr id="683" name="Freeform 682"/>
        <xdr:cNvSpPr>
          <a:spLocks/>
        </xdr:cNvSpPr>
      </xdr:nvSpPr>
      <xdr:spPr bwMode="auto">
        <a:xfrm>
          <a:off x="800100" y="0"/>
          <a:ext cx="76200" cy="0"/>
        </a:xfrm>
        <a:custGeom>
          <a:avLst/>
          <a:gdLst>
            <a:gd name="T0" fmla="*/ 0 w 12"/>
            <a:gd name="T1" fmla="*/ 0 h 22"/>
            <a:gd name="T2" fmla="*/ 2147483647 w 12"/>
            <a:gd name="T3" fmla="*/ 0 h 22"/>
            <a:gd name="T4" fmla="*/ 2147483647 w 12"/>
            <a:gd name="T5" fmla="*/ 0 h 22"/>
            <a:gd name="T6" fmla="*/ 0 60000 65536"/>
            <a:gd name="T7" fmla="*/ 0 60000 65536"/>
            <a:gd name="T8" fmla="*/ 0 60000 65536"/>
            <a:gd name="T9" fmla="*/ 0 w 12"/>
            <a:gd name="T10" fmla="*/ 0 h 22"/>
            <a:gd name="T11" fmla="*/ 12 w 12"/>
            <a:gd name="T12" fmla="*/ 0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2" h="22">
              <a:moveTo>
                <a:pt x="0" y="16"/>
              </a:moveTo>
              <a:lnTo>
                <a:pt x="6" y="22"/>
              </a:lnTo>
              <a:lnTo>
                <a:pt x="1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84" name="Text Box 683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85" name="Text Box 684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86" name="Text Box 685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87" name="Text Box 686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688" name="Text Box 687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40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689" name="Text Box 688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40/VEC/I/02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690" name="Text Box 689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91" name="Text Box 690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92" name="Text Box 691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93" name="Text Box 692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94" name="Text Box 693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695" name="Text Box 694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40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696" name="Text Box 695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40/VEC/I/02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697" name="Text Box 696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698" name="Text Box 697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699" name="Text Box 698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700" name="Text Box 699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701" name="Text Box 700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702" name="Text Box 701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43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703" name="Text Box 702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43/VEC/I/02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704" name="Text Box 703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3</xdr:col>
      <xdr:colOff>171450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705" name="Text Box 704"/>
        <xdr:cNvSpPr txBox="1">
          <a:spLocks noChangeArrowheads="1"/>
        </xdr:cNvSpPr>
      </xdr:nvSpPr>
      <xdr:spPr bwMode="auto">
        <a:xfrm>
          <a:off x="742950" y="0"/>
          <a:ext cx="905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P.T. PULAU  SAMBU GUNTUNG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706" name="Text Box 705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4</xdr:col>
      <xdr:colOff>19050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707" name="Text Box 706"/>
        <xdr:cNvSpPr txBox="1">
          <a:spLocks noChangeArrowheads="1"/>
        </xdr:cNvSpPr>
      </xdr:nvSpPr>
      <xdr:spPr bwMode="auto">
        <a:xfrm>
          <a:off x="771525" y="0"/>
          <a:ext cx="9029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VENDOR EVALUATION CHECKLIST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66675</xdr:colOff>
      <xdr:row>0</xdr:row>
      <xdr:rowOff>0</xdr:rowOff>
    </xdr:to>
    <xdr:sp macro="" textlink="">
      <xdr:nvSpPr>
        <xdr:cNvPr id="708" name="Text Box 707"/>
        <xdr:cNvSpPr txBox="1">
          <a:spLocks noChangeArrowheads="1"/>
        </xdr:cNvSpPr>
      </xdr:nvSpPr>
      <xdr:spPr bwMode="auto">
        <a:xfrm>
          <a:off x="0" y="0"/>
          <a:ext cx="638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imes New Roman"/>
              <a:cs typeface="Times New Roman"/>
            </a:rPr>
            <a:t>JUDUL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37</xdr:col>
      <xdr:colOff>95250</xdr:colOff>
      <xdr:row>0</xdr:row>
      <xdr:rowOff>0</xdr:rowOff>
    </xdr:to>
    <xdr:sp macro="" textlink="">
      <xdr:nvSpPr>
        <xdr:cNvPr id="709" name="Text Box 708"/>
        <xdr:cNvSpPr txBox="1">
          <a:spLocks noChangeArrowheads="1"/>
        </xdr:cNvSpPr>
      </xdr:nvSpPr>
      <xdr:spPr bwMode="auto">
        <a:xfrm>
          <a:off x="10677525" y="0"/>
          <a:ext cx="295275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HLM :  44  dari  44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39</xdr:col>
      <xdr:colOff>19050</xdr:colOff>
      <xdr:row>0</xdr:row>
      <xdr:rowOff>0</xdr:rowOff>
    </xdr:to>
    <xdr:sp macro="" textlink="">
      <xdr:nvSpPr>
        <xdr:cNvPr id="710" name="Text Box 709"/>
        <xdr:cNvSpPr txBox="1">
          <a:spLocks noChangeArrowheads="1"/>
        </xdr:cNvSpPr>
      </xdr:nvSpPr>
      <xdr:spPr bwMode="auto">
        <a:xfrm>
          <a:off x="10706100" y="0"/>
          <a:ext cx="3314700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DOK.: 44/VEC/I/02</a:t>
          </a:r>
        </a:p>
      </xdr:txBody>
    </xdr:sp>
    <xdr:clientData/>
  </xdr:twoCellAnchor>
  <xdr:twoCellAnchor>
    <xdr:from>
      <xdr:col>30</xdr:col>
      <xdr:colOff>28575</xdr:colOff>
      <xdr:row>0</xdr:row>
      <xdr:rowOff>0</xdr:rowOff>
    </xdr:from>
    <xdr:to>
      <xdr:col>37</xdr:col>
      <xdr:colOff>266700</xdr:colOff>
      <xdr:row>0</xdr:row>
      <xdr:rowOff>0</xdr:rowOff>
    </xdr:to>
    <xdr:sp macro="" textlink="">
      <xdr:nvSpPr>
        <xdr:cNvPr id="711" name="Text Box 710"/>
        <xdr:cNvSpPr txBox="1">
          <a:spLocks noChangeArrowheads="1"/>
        </xdr:cNvSpPr>
      </xdr:nvSpPr>
      <xdr:spPr bwMode="auto">
        <a:xfrm>
          <a:off x="10706100" y="0"/>
          <a:ext cx="3095625" cy="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TGL. :  07 Jan 2002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10</xdr:col>
      <xdr:colOff>190500</xdr:colOff>
      <xdr:row>0</xdr:row>
      <xdr:rowOff>0</xdr:rowOff>
    </xdr:from>
    <xdr:to>
      <xdr:col>11</xdr:col>
      <xdr:colOff>200025</xdr:colOff>
      <xdr:row>0</xdr:row>
      <xdr:rowOff>0</xdr:rowOff>
    </xdr:to>
    <xdr:sp macro="" textlink="">
      <xdr:nvSpPr>
        <xdr:cNvPr id="712" name="Rectangle 711"/>
        <xdr:cNvSpPr>
          <a:spLocks noChangeArrowheads="1"/>
        </xdr:cNvSpPr>
      </xdr:nvSpPr>
      <xdr:spPr bwMode="auto">
        <a:xfrm>
          <a:off x="2209800" y="0"/>
          <a:ext cx="4762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0</xdr:row>
      <xdr:rowOff>0</xdr:rowOff>
    </xdr:from>
    <xdr:to>
      <xdr:col>13</xdr:col>
      <xdr:colOff>200025</xdr:colOff>
      <xdr:row>0</xdr:row>
      <xdr:rowOff>0</xdr:rowOff>
    </xdr:to>
    <xdr:sp macro="" textlink="">
      <xdr:nvSpPr>
        <xdr:cNvPr id="713" name="Rectangle 712"/>
        <xdr:cNvSpPr>
          <a:spLocks noChangeArrowheads="1"/>
        </xdr:cNvSpPr>
      </xdr:nvSpPr>
      <xdr:spPr bwMode="auto">
        <a:xfrm>
          <a:off x="3057525" y="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0</xdr:row>
      <xdr:rowOff>0</xdr:rowOff>
    </xdr:from>
    <xdr:to>
      <xdr:col>15</xdr:col>
      <xdr:colOff>200025</xdr:colOff>
      <xdr:row>0</xdr:row>
      <xdr:rowOff>0</xdr:rowOff>
    </xdr:to>
    <xdr:sp macro="" textlink="">
      <xdr:nvSpPr>
        <xdr:cNvPr id="714" name="Rectangle 713"/>
        <xdr:cNvSpPr>
          <a:spLocks noChangeArrowheads="1"/>
        </xdr:cNvSpPr>
      </xdr:nvSpPr>
      <xdr:spPr bwMode="auto">
        <a:xfrm>
          <a:off x="3933825" y="0"/>
          <a:ext cx="5810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0</xdr:row>
      <xdr:rowOff>0</xdr:rowOff>
    </xdr:from>
    <xdr:to>
      <xdr:col>17</xdr:col>
      <xdr:colOff>200025</xdr:colOff>
      <xdr:row>0</xdr:row>
      <xdr:rowOff>0</xdr:rowOff>
    </xdr:to>
    <xdr:sp macro="" textlink="">
      <xdr:nvSpPr>
        <xdr:cNvPr id="715" name="Rectangle 714"/>
        <xdr:cNvSpPr>
          <a:spLocks noChangeArrowheads="1"/>
        </xdr:cNvSpPr>
      </xdr:nvSpPr>
      <xdr:spPr bwMode="auto">
        <a:xfrm>
          <a:off x="4943475" y="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0</xdr:row>
      <xdr:rowOff>0</xdr:rowOff>
    </xdr:from>
    <xdr:to>
      <xdr:col>19</xdr:col>
      <xdr:colOff>200025</xdr:colOff>
      <xdr:row>0</xdr:row>
      <xdr:rowOff>0</xdr:rowOff>
    </xdr:to>
    <xdr:sp macro="" textlink="">
      <xdr:nvSpPr>
        <xdr:cNvPr id="716" name="Rectangle 715"/>
        <xdr:cNvSpPr>
          <a:spLocks noChangeArrowheads="1"/>
        </xdr:cNvSpPr>
      </xdr:nvSpPr>
      <xdr:spPr bwMode="auto">
        <a:xfrm>
          <a:off x="5838825" y="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0</xdr:row>
      <xdr:rowOff>0</xdr:rowOff>
    </xdr:from>
    <xdr:to>
      <xdr:col>21</xdr:col>
      <xdr:colOff>200025</xdr:colOff>
      <xdr:row>0</xdr:row>
      <xdr:rowOff>0</xdr:rowOff>
    </xdr:to>
    <xdr:sp macro="" textlink="">
      <xdr:nvSpPr>
        <xdr:cNvPr id="717" name="Rectangle 716"/>
        <xdr:cNvSpPr>
          <a:spLocks noChangeArrowheads="1"/>
        </xdr:cNvSpPr>
      </xdr:nvSpPr>
      <xdr:spPr bwMode="auto">
        <a:xfrm>
          <a:off x="6648450" y="0"/>
          <a:ext cx="4857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0</xdr:row>
      <xdr:rowOff>0</xdr:rowOff>
    </xdr:from>
    <xdr:to>
      <xdr:col>23</xdr:col>
      <xdr:colOff>200025</xdr:colOff>
      <xdr:row>0</xdr:row>
      <xdr:rowOff>0</xdr:rowOff>
    </xdr:to>
    <xdr:sp macro="" textlink="">
      <xdr:nvSpPr>
        <xdr:cNvPr id="718" name="Rectangle 717"/>
        <xdr:cNvSpPr>
          <a:spLocks noChangeArrowheads="1"/>
        </xdr:cNvSpPr>
      </xdr:nvSpPr>
      <xdr:spPr bwMode="auto">
        <a:xfrm>
          <a:off x="7505700" y="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0</xdr:row>
      <xdr:rowOff>0</xdr:rowOff>
    </xdr:from>
    <xdr:to>
      <xdr:col>25</xdr:col>
      <xdr:colOff>200025</xdr:colOff>
      <xdr:row>0</xdr:row>
      <xdr:rowOff>0</xdr:rowOff>
    </xdr:to>
    <xdr:sp macro="" textlink="">
      <xdr:nvSpPr>
        <xdr:cNvPr id="719" name="Rectangle 718"/>
        <xdr:cNvSpPr>
          <a:spLocks noChangeArrowheads="1"/>
        </xdr:cNvSpPr>
      </xdr:nvSpPr>
      <xdr:spPr bwMode="auto">
        <a:xfrm>
          <a:off x="8315325" y="0"/>
          <a:ext cx="4762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0</xdr:row>
      <xdr:rowOff>0</xdr:rowOff>
    </xdr:from>
    <xdr:to>
      <xdr:col>27</xdr:col>
      <xdr:colOff>200025</xdr:colOff>
      <xdr:row>0</xdr:row>
      <xdr:rowOff>0</xdr:rowOff>
    </xdr:to>
    <xdr:sp macro="" textlink="">
      <xdr:nvSpPr>
        <xdr:cNvPr id="720" name="Rectangle 719"/>
        <xdr:cNvSpPr>
          <a:spLocks noChangeArrowheads="1"/>
        </xdr:cNvSpPr>
      </xdr:nvSpPr>
      <xdr:spPr bwMode="auto">
        <a:xfrm>
          <a:off x="9163050" y="0"/>
          <a:ext cx="457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0</xdr:row>
      <xdr:rowOff>0</xdr:rowOff>
    </xdr:from>
    <xdr:to>
      <xdr:col>31</xdr:col>
      <xdr:colOff>200025</xdr:colOff>
      <xdr:row>0</xdr:row>
      <xdr:rowOff>0</xdr:rowOff>
    </xdr:to>
    <xdr:sp macro="" textlink="">
      <xdr:nvSpPr>
        <xdr:cNvPr id="721" name="Rectangle 720"/>
        <xdr:cNvSpPr>
          <a:spLocks noChangeArrowheads="1"/>
        </xdr:cNvSpPr>
      </xdr:nvSpPr>
      <xdr:spPr bwMode="auto">
        <a:xfrm>
          <a:off x="10868025" y="0"/>
          <a:ext cx="4286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0</xdr:row>
      <xdr:rowOff>0</xdr:rowOff>
    </xdr:from>
    <xdr:to>
      <xdr:col>33</xdr:col>
      <xdr:colOff>200025</xdr:colOff>
      <xdr:row>0</xdr:row>
      <xdr:rowOff>0</xdr:rowOff>
    </xdr:to>
    <xdr:sp macro="" textlink="">
      <xdr:nvSpPr>
        <xdr:cNvPr id="722" name="Rectangle 721"/>
        <xdr:cNvSpPr>
          <a:spLocks noChangeArrowheads="1"/>
        </xdr:cNvSpPr>
      </xdr:nvSpPr>
      <xdr:spPr bwMode="auto">
        <a:xfrm>
          <a:off x="11649075" y="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0</xdr:row>
      <xdr:rowOff>0</xdr:rowOff>
    </xdr:from>
    <xdr:to>
      <xdr:col>37</xdr:col>
      <xdr:colOff>190500</xdr:colOff>
      <xdr:row>0</xdr:row>
      <xdr:rowOff>0</xdr:rowOff>
    </xdr:to>
    <xdr:sp macro="" textlink="">
      <xdr:nvSpPr>
        <xdr:cNvPr id="723" name="Rectangle 722"/>
        <xdr:cNvSpPr>
          <a:spLocks noChangeArrowheads="1"/>
        </xdr:cNvSpPr>
      </xdr:nvSpPr>
      <xdr:spPr bwMode="auto">
        <a:xfrm>
          <a:off x="13201650" y="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21</xdr:row>
      <xdr:rowOff>0</xdr:rowOff>
    </xdr:from>
    <xdr:to>
      <xdr:col>11</xdr:col>
      <xdr:colOff>200025</xdr:colOff>
      <xdr:row>22</xdr:row>
      <xdr:rowOff>9525</xdr:rowOff>
    </xdr:to>
    <xdr:sp macro="" textlink="">
      <xdr:nvSpPr>
        <xdr:cNvPr id="724" name="Rectangle 723"/>
        <xdr:cNvSpPr>
          <a:spLocks noChangeArrowheads="1"/>
        </xdr:cNvSpPr>
      </xdr:nvSpPr>
      <xdr:spPr bwMode="auto">
        <a:xfrm>
          <a:off x="2209800" y="60293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12</xdr:col>
      <xdr:colOff>190500</xdr:colOff>
      <xdr:row>21</xdr:row>
      <xdr:rowOff>0</xdr:rowOff>
    </xdr:from>
    <xdr:to>
      <xdr:col>13</xdr:col>
      <xdr:colOff>200025</xdr:colOff>
      <xdr:row>22</xdr:row>
      <xdr:rowOff>9525</xdr:rowOff>
    </xdr:to>
    <xdr:sp macro="" textlink="">
      <xdr:nvSpPr>
        <xdr:cNvPr id="725" name="Rectangle 724"/>
        <xdr:cNvSpPr>
          <a:spLocks noChangeArrowheads="1"/>
        </xdr:cNvSpPr>
      </xdr:nvSpPr>
      <xdr:spPr bwMode="auto">
        <a:xfrm>
          <a:off x="3057525" y="60293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14</xdr:col>
      <xdr:colOff>190500</xdr:colOff>
      <xdr:row>21</xdr:row>
      <xdr:rowOff>0</xdr:rowOff>
    </xdr:from>
    <xdr:to>
      <xdr:col>15</xdr:col>
      <xdr:colOff>200025</xdr:colOff>
      <xdr:row>22</xdr:row>
      <xdr:rowOff>9525</xdr:rowOff>
    </xdr:to>
    <xdr:sp macro="" textlink="">
      <xdr:nvSpPr>
        <xdr:cNvPr id="726" name="Rectangle 725"/>
        <xdr:cNvSpPr>
          <a:spLocks noChangeArrowheads="1"/>
        </xdr:cNvSpPr>
      </xdr:nvSpPr>
      <xdr:spPr bwMode="auto">
        <a:xfrm>
          <a:off x="3933825" y="602932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21</xdr:row>
      <xdr:rowOff>0</xdr:rowOff>
    </xdr:from>
    <xdr:to>
      <xdr:col>17</xdr:col>
      <xdr:colOff>200025</xdr:colOff>
      <xdr:row>22</xdr:row>
      <xdr:rowOff>9525</xdr:rowOff>
    </xdr:to>
    <xdr:sp macro="" textlink="">
      <xdr:nvSpPr>
        <xdr:cNvPr id="727" name="Rectangle 726"/>
        <xdr:cNvSpPr>
          <a:spLocks noChangeArrowheads="1"/>
        </xdr:cNvSpPr>
      </xdr:nvSpPr>
      <xdr:spPr bwMode="auto">
        <a:xfrm>
          <a:off x="4943475" y="60293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21</xdr:row>
      <xdr:rowOff>0</xdr:rowOff>
    </xdr:from>
    <xdr:to>
      <xdr:col>21</xdr:col>
      <xdr:colOff>200025</xdr:colOff>
      <xdr:row>22</xdr:row>
      <xdr:rowOff>9525</xdr:rowOff>
    </xdr:to>
    <xdr:sp macro="" textlink="">
      <xdr:nvSpPr>
        <xdr:cNvPr id="728" name="Rectangle 727"/>
        <xdr:cNvSpPr>
          <a:spLocks noChangeArrowheads="1"/>
        </xdr:cNvSpPr>
      </xdr:nvSpPr>
      <xdr:spPr bwMode="auto">
        <a:xfrm>
          <a:off x="6648450" y="60293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21</xdr:row>
      <xdr:rowOff>0</xdr:rowOff>
    </xdr:from>
    <xdr:to>
      <xdr:col>23</xdr:col>
      <xdr:colOff>200025</xdr:colOff>
      <xdr:row>22</xdr:row>
      <xdr:rowOff>9525</xdr:rowOff>
    </xdr:to>
    <xdr:sp macro="" textlink="">
      <xdr:nvSpPr>
        <xdr:cNvPr id="729" name="Rectangle 728"/>
        <xdr:cNvSpPr>
          <a:spLocks noChangeArrowheads="1"/>
        </xdr:cNvSpPr>
      </xdr:nvSpPr>
      <xdr:spPr bwMode="auto">
        <a:xfrm>
          <a:off x="7505700" y="60293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21</xdr:row>
      <xdr:rowOff>0</xdr:rowOff>
    </xdr:from>
    <xdr:to>
      <xdr:col>25</xdr:col>
      <xdr:colOff>200025</xdr:colOff>
      <xdr:row>22</xdr:row>
      <xdr:rowOff>9525</xdr:rowOff>
    </xdr:to>
    <xdr:sp macro="" textlink="">
      <xdr:nvSpPr>
        <xdr:cNvPr id="730" name="Rectangle 729"/>
        <xdr:cNvSpPr>
          <a:spLocks noChangeArrowheads="1"/>
        </xdr:cNvSpPr>
      </xdr:nvSpPr>
      <xdr:spPr bwMode="auto">
        <a:xfrm>
          <a:off x="8315325" y="60293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21</xdr:row>
      <xdr:rowOff>0</xdr:rowOff>
    </xdr:from>
    <xdr:to>
      <xdr:col>27</xdr:col>
      <xdr:colOff>200025</xdr:colOff>
      <xdr:row>22</xdr:row>
      <xdr:rowOff>9525</xdr:rowOff>
    </xdr:to>
    <xdr:sp macro="" textlink="">
      <xdr:nvSpPr>
        <xdr:cNvPr id="731" name="Rectangle 730"/>
        <xdr:cNvSpPr>
          <a:spLocks noChangeArrowheads="1"/>
        </xdr:cNvSpPr>
      </xdr:nvSpPr>
      <xdr:spPr bwMode="auto">
        <a:xfrm>
          <a:off x="9163050" y="60293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21</xdr:row>
      <xdr:rowOff>0</xdr:rowOff>
    </xdr:from>
    <xdr:to>
      <xdr:col>31</xdr:col>
      <xdr:colOff>200025</xdr:colOff>
      <xdr:row>22</xdr:row>
      <xdr:rowOff>9525</xdr:rowOff>
    </xdr:to>
    <xdr:sp macro="" textlink="">
      <xdr:nvSpPr>
        <xdr:cNvPr id="732" name="Rectangle 731"/>
        <xdr:cNvSpPr>
          <a:spLocks noChangeArrowheads="1"/>
        </xdr:cNvSpPr>
      </xdr:nvSpPr>
      <xdr:spPr bwMode="auto">
        <a:xfrm>
          <a:off x="10868025" y="60293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21</xdr:row>
      <xdr:rowOff>0</xdr:rowOff>
    </xdr:from>
    <xdr:to>
      <xdr:col>33</xdr:col>
      <xdr:colOff>200025</xdr:colOff>
      <xdr:row>22</xdr:row>
      <xdr:rowOff>9525</xdr:rowOff>
    </xdr:to>
    <xdr:sp macro="" textlink="">
      <xdr:nvSpPr>
        <xdr:cNvPr id="733" name="Rectangle 732"/>
        <xdr:cNvSpPr>
          <a:spLocks noChangeArrowheads="1"/>
        </xdr:cNvSpPr>
      </xdr:nvSpPr>
      <xdr:spPr bwMode="auto">
        <a:xfrm>
          <a:off x="11649075" y="60293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21</xdr:row>
      <xdr:rowOff>0</xdr:rowOff>
    </xdr:from>
    <xdr:to>
      <xdr:col>37</xdr:col>
      <xdr:colOff>190500</xdr:colOff>
      <xdr:row>22</xdr:row>
      <xdr:rowOff>9525</xdr:rowOff>
    </xdr:to>
    <xdr:sp macro="" textlink="">
      <xdr:nvSpPr>
        <xdr:cNvPr id="734" name="Rectangle 733"/>
        <xdr:cNvSpPr>
          <a:spLocks noChangeArrowheads="1"/>
        </xdr:cNvSpPr>
      </xdr:nvSpPr>
      <xdr:spPr bwMode="auto">
        <a:xfrm>
          <a:off x="13201650" y="60293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57</xdr:row>
      <xdr:rowOff>0</xdr:rowOff>
    </xdr:from>
    <xdr:to>
      <xdr:col>11</xdr:col>
      <xdr:colOff>200025</xdr:colOff>
      <xdr:row>58</xdr:row>
      <xdr:rowOff>9525</xdr:rowOff>
    </xdr:to>
    <xdr:sp macro="" textlink="">
      <xdr:nvSpPr>
        <xdr:cNvPr id="735" name="Rectangle 734"/>
        <xdr:cNvSpPr>
          <a:spLocks noChangeArrowheads="1"/>
        </xdr:cNvSpPr>
      </xdr:nvSpPr>
      <xdr:spPr bwMode="auto">
        <a:xfrm>
          <a:off x="2209800" y="160020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12</xdr:col>
      <xdr:colOff>190500</xdr:colOff>
      <xdr:row>57</xdr:row>
      <xdr:rowOff>0</xdr:rowOff>
    </xdr:from>
    <xdr:to>
      <xdr:col>13</xdr:col>
      <xdr:colOff>200025</xdr:colOff>
      <xdr:row>58</xdr:row>
      <xdr:rowOff>9525</xdr:rowOff>
    </xdr:to>
    <xdr:sp macro="" textlink="">
      <xdr:nvSpPr>
        <xdr:cNvPr id="736" name="Rectangle 735"/>
        <xdr:cNvSpPr>
          <a:spLocks noChangeArrowheads="1"/>
        </xdr:cNvSpPr>
      </xdr:nvSpPr>
      <xdr:spPr bwMode="auto">
        <a:xfrm>
          <a:off x="3057525" y="160020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14</xdr:col>
      <xdr:colOff>190500</xdr:colOff>
      <xdr:row>57</xdr:row>
      <xdr:rowOff>0</xdr:rowOff>
    </xdr:from>
    <xdr:to>
      <xdr:col>15</xdr:col>
      <xdr:colOff>200025</xdr:colOff>
      <xdr:row>58</xdr:row>
      <xdr:rowOff>9525</xdr:rowOff>
    </xdr:to>
    <xdr:sp macro="" textlink="">
      <xdr:nvSpPr>
        <xdr:cNvPr id="737" name="Rectangle 736"/>
        <xdr:cNvSpPr>
          <a:spLocks noChangeArrowheads="1"/>
        </xdr:cNvSpPr>
      </xdr:nvSpPr>
      <xdr:spPr bwMode="auto">
        <a:xfrm>
          <a:off x="3933825" y="1600200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57</xdr:row>
      <xdr:rowOff>0</xdr:rowOff>
    </xdr:from>
    <xdr:to>
      <xdr:col>17</xdr:col>
      <xdr:colOff>200025</xdr:colOff>
      <xdr:row>58</xdr:row>
      <xdr:rowOff>9525</xdr:rowOff>
    </xdr:to>
    <xdr:sp macro="" textlink="">
      <xdr:nvSpPr>
        <xdr:cNvPr id="738" name="Rectangle 737"/>
        <xdr:cNvSpPr>
          <a:spLocks noChangeArrowheads="1"/>
        </xdr:cNvSpPr>
      </xdr:nvSpPr>
      <xdr:spPr bwMode="auto">
        <a:xfrm>
          <a:off x="4943475" y="160020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190500</xdr:colOff>
      <xdr:row>57</xdr:row>
      <xdr:rowOff>0</xdr:rowOff>
    </xdr:from>
    <xdr:to>
      <xdr:col>19</xdr:col>
      <xdr:colOff>200025</xdr:colOff>
      <xdr:row>58</xdr:row>
      <xdr:rowOff>9525</xdr:rowOff>
    </xdr:to>
    <xdr:sp macro="" textlink="">
      <xdr:nvSpPr>
        <xdr:cNvPr id="739" name="Rectangle 738"/>
        <xdr:cNvSpPr>
          <a:spLocks noChangeArrowheads="1"/>
        </xdr:cNvSpPr>
      </xdr:nvSpPr>
      <xdr:spPr bwMode="auto">
        <a:xfrm>
          <a:off x="5838825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57</xdr:row>
      <xdr:rowOff>0</xdr:rowOff>
    </xdr:from>
    <xdr:to>
      <xdr:col>21</xdr:col>
      <xdr:colOff>200025</xdr:colOff>
      <xdr:row>58</xdr:row>
      <xdr:rowOff>9525</xdr:rowOff>
    </xdr:to>
    <xdr:sp macro="" textlink="">
      <xdr:nvSpPr>
        <xdr:cNvPr id="740" name="Rectangle 739"/>
        <xdr:cNvSpPr>
          <a:spLocks noChangeArrowheads="1"/>
        </xdr:cNvSpPr>
      </xdr:nvSpPr>
      <xdr:spPr bwMode="auto">
        <a:xfrm>
          <a:off x="6648450" y="1600200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57</xdr:row>
      <xdr:rowOff>0</xdr:rowOff>
    </xdr:from>
    <xdr:to>
      <xdr:col>23</xdr:col>
      <xdr:colOff>200025</xdr:colOff>
      <xdr:row>58</xdr:row>
      <xdr:rowOff>9525</xdr:rowOff>
    </xdr:to>
    <xdr:sp macro="" textlink="">
      <xdr:nvSpPr>
        <xdr:cNvPr id="741" name="Rectangle 740"/>
        <xdr:cNvSpPr>
          <a:spLocks noChangeArrowheads="1"/>
        </xdr:cNvSpPr>
      </xdr:nvSpPr>
      <xdr:spPr bwMode="auto">
        <a:xfrm>
          <a:off x="7505700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57</xdr:row>
      <xdr:rowOff>0</xdr:rowOff>
    </xdr:from>
    <xdr:to>
      <xdr:col>25</xdr:col>
      <xdr:colOff>200025</xdr:colOff>
      <xdr:row>58</xdr:row>
      <xdr:rowOff>9525</xdr:rowOff>
    </xdr:to>
    <xdr:sp macro="" textlink="">
      <xdr:nvSpPr>
        <xdr:cNvPr id="742" name="Rectangle 741"/>
        <xdr:cNvSpPr>
          <a:spLocks noChangeArrowheads="1"/>
        </xdr:cNvSpPr>
      </xdr:nvSpPr>
      <xdr:spPr bwMode="auto">
        <a:xfrm>
          <a:off x="8315325" y="160020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57</xdr:row>
      <xdr:rowOff>0</xdr:rowOff>
    </xdr:from>
    <xdr:to>
      <xdr:col>27</xdr:col>
      <xdr:colOff>200025</xdr:colOff>
      <xdr:row>58</xdr:row>
      <xdr:rowOff>9525</xdr:rowOff>
    </xdr:to>
    <xdr:sp macro="" textlink="">
      <xdr:nvSpPr>
        <xdr:cNvPr id="743" name="Rectangle 742"/>
        <xdr:cNvSpPr>
          <a:spLocks noChangeArrowheads="1"/>
        </xdr:cNvSpPr>
      </xdr:nvSpPr>
      <xdr:spPr bwMode="auto">
        <a:xfrm>
          <a:off x="9163050" y="160020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57</xdr:row>
      <xdr:rowOff>0</xdr:rowOff>
    </xdr:from>
    <xdr:to>
      <xdr:col>31</xdr:col>
      <xdr:colOff>200025</xdr:colOff>
      <xdr:row>58</xdr:row>
      <xdr:rowOff>9525</xdr:rowOff>
    </xdr:to>
    <xdr:sp macro="" textlink="">
      <xdr:nvSpPr>
        <xdr:cNvPr id="744" name="Rectangle 743"/>
        <xdr:cNvSpPr>
          <a:spLocks noChangeArrowheads="1"/>
        </xdr:cNvSpPr>
      </xdr:nvSpPr>
      <xdr:spPr bwMode="auto">
        <a:xfrm>
          <a:off x="10868025" y="160020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57</xdr:row>
      <xdr:rowOff>0</xdr:rowOff>
    </xdr:from>
    <xdr:to>
      <xdr:col>33</xdr:col>
      <xdr:colOff>200025</xdr:colOff>
      <xdr:row>58</xdr:row>
      <xdr:rowOff>9525</xdr:rowOff>
    </xdr:to>
    <xdr:sp macro="" textlink="">
      <xdr:nvSpPr>
        <xdr:cNvPr id="745" name="Rectangle 744"/>
        <xdr:cNvSpPr>
          <a:spLocks noChangeArrowheads="1"/>
        </xdr:cNvSpPr>
      </xdr:nvSpPr>
      <xdr:spPr bwMode="auto">
        <a:xfrm>
          <a:off x="11649075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57</xdr:row>
      <xdr:rowOff>0</xdr:rowOff>
    </xdr:from>
    <xdr:to>
      <xdr:col>37</xdr:col>
      <xdr:colOff>190500</xdr:colOff>
      <xdr:row>58</xdr:row>
      <xdr:rowOff>9525</xdr:rowOff>
    </xdr:to>
    <xdr:sp macro="" textlink="">
      <xdr:nvSpPr>
        <xdr:cNvPr id="746" name="Rectangle 745"/>
        <xdr:cNvSpPr>
          <a:spLocks noChangeArrowheads="1"/>
        </xdr:cNvSpPr>
      </xdr:nvSpPr>
      <xdr:spPr bwMode="auto">
        <a:xfrm>
          <a:off x="13201650" y="160020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92</xdr:row>
      <xdr:rowOff>0</xdr:rowOff>
    </xdr:from>
    <xdr:to>
      <xdr:col>11</xdr:col>
      <xdr:colOff>200025</xdr:colOff>
      <xdr:row>93</xdr:row>
      <xdr:rowOff>9525</xdr:rowOff>
    </xdr:to>
    <xdr:sp macro="" textlink="">
      <xdr:nvSpPr>
        <xdr:cNvPr id="747" name="Rectangle 746"/>
        <xdr:cNvSpPr>
          <a:spLocks noChangeArrowheads="1"/>
        </xdr:cNvSpPr>
      </xdr:nvSpPr>
      <xdr:spPr bwMode="auto">
        <a:xfrm>
          <a:off x="2209800" y="254984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12</xdr:col>
      <xdr:colOff>190500</xdr:colOff>
      <xdr:row>92</xdr:row>
      <xdr:rowOff>0</xdr:rowOff>
    </xdr:from>
    <xdr:to>
      <xdr:col>13</xdr:col>
      <xdr:colOff>200025</xdr:colOff>
      <xdr:row>93</xdr:row>
      <xdr:rowOff>9525</xdr:rowOff>
    </xdr:to>
    <xdr:sp macro="" textlink="">
      <xdr:nvSpPr>
        <xdr:cNvPr id="748" name="Rectangle 747"/>
        <xdr:cNvSpPr>
          <a:spLocks noChangeArrowheads="1"/>
        </xdr:cNvSpPr>
      </xdr:nvSpPr>
      <xdr:spPr bwMode="auto">
        <a:xfrm>
          <a:off x="3057525" y="254984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C</a:t>
          </a:r>
        </a:p>
      </xdr:txBody>
    </xdr:sp>
    <xdr:clientData/>
  </xdr:twoCellAnchor>
  <xdr:twoCellAnchor>
    <xdr:from>
      <xdr:col>14</xdr:col>
      <xdr:colOff>190500</xdr:colOff>
      <xdr:row>92</xdr:row>
      <xdr:rowOff>0</xdr:rowOff>
    </xdr:from>
    <xdr:to>
      <xdr:col>15</xdr:col>
      <xdr:colOff>200025</xdr:colOff>
      <xdr:row>93</xdr:row>
      <xdr:rowOff>9525</xdr:rowOff>
    </xdr:to>
    <xdr:sp macro="" textlink="">
      <xdr:nvSpPr>
        <xdr:cNvPr id="749" name="Rectangle 748"/>
        <xdr:cNvSpPr>
          <a:spLocks noChangeArrowheads="1"/>
        </xdr:cNvSpPr>
      </xdr:nvSpPr>
      <xdr:spPr bwMode="auto">
        <a:xfrm>
          <a:off x="3933825" y="2549842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92</xdr:row>
      <xdr:rowOff>0</xdr:rowOff>
    </xdr:from>
    <xdr:to>
      <xdr:col>17</xdr:col>
      <xdr:colOff>200025</xdr:colOff>
      <xdr:row>93</xdr:row>
      <xdr:rowOff>9525</xdr:rowOff>
    </xdr:to>
    <xdr:sp macro="" textlink="">
      <xdr:nvSpPr>
        <xdr:cNvPr id="750" name="Rectangle 749"/>
        <xdr:cNvSpPr>
          <a:spLocks noChangeArrowheads="1"/>
        </xdr:cNvSpPr>
      </xdr:nvSpPr>
      <xdr:spPr bwMode="auto">
        <a:xfrm>
          <a:off x="4943475" y="254984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190500</xdr:colOff>
      <xdr:row>92</xdr:row>
      <xdr:rowOff>0</xdr:rowOff>
    </xdr:from>
    <xdr:to>
      <xdr:col>19</xdr:col>
      <xdr:colOff>200025</xdr:colOff>
      <xdr:row>93</xdr:row>
      <xdr:rowOff>9525</xdr:rowOff>
    </xdr:to>
    <xdr:sp macro="" textlink="">
      <xdr:nvSpPr>
        <xdr:cNvPr id="751" name="Rectangle 750"/>
        <xdr:cNvSpPr>
          <a:spLocks noChangeArrowheads="1"/>
        </xdr:cNvSpPr>
      </xdr:nvSpPr>
      <xdr:spPr bwMode="auto">
        <a:xfrm>
          <a:off x="583882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92</xdr:row>
      <xdr:rowOff>0</xdr:rowOff>
    </xdr:from>
    <xdr:to>
      <xdr:col>21</xdr:col>
      <xdr:colOff>200025</xdr:colOff>
      <xdr:row>93</xdr:row>
      <xdr:rowOff>9525</xdr:rowOff>
    </xdr:to>
    <xdr:sp macro="" textlink="">
      <xdr:nvSpPr>
        <xdr:cNvPr id="752" name="Rectangle 751"/>
        <xdr:cNvSpPr>
          <a:spLocks noChangeArrowheads="1"/>
        </xdr:cNvSpPr>
      </xdr:nvSpPr>
      <xdr:spPr bwMode="auto">
        <a:xfrm>
          <a:off x="6648450" y="254984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92</xdr:row>
      <xdr:rowOff>0</xdr:rowOff>
    </xdr:from>
    <xdr:to>
      <xdr:col>23</xdr:col>
      <xdr:colOff>200025</xdr:colOff>
      <xdr:row>93</xdr:row>
      <xdr:rowOff>9525</xdr:rowOff>
    </xdr:to>
    <xdr:sp macro="" textlink="">
      <xdr:nvSpPr>
        <xdr:cNvPr id="753" name="Rectangle 752"/>
        <xdr:cNvSpPr>
          <a:spLocks noChangeArrowheads="1"/>
        </xdr:cNvSpPr>
      </xdr:nvSpPr>
      <xdr:spPr bwMode="auto">
        <a:xfrm>
          <a:off x="7505700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92</xdr:row>
      <xdr:rowOff>0</xdr:rowOff>
    </xdr:from>
    <xdr:to>
      <xdr:col>25</xdr:col>
      <xdr:colOff>200025</xdr:colOff>
      <xdr:row>93</xdr:row>
      <xdr:rowOff>9525</xdr:rowOff>
    </xdr:to>
    <xdr:sp macro="" textlink="">
      <xdr:nvSpPr>
        <xdr:cNvPr id="754" name="Rectangle 753"/>
        <xdr:cNvSpPr>
          <a:spLocks noChangeArrowheads="1"/>
        </xdr:cNvSpPr>
      </xdr:nvSpPr>
      <xdr:spPr bwMode="auto">
        <a:xfrm>
          <a:off x="8315325" y="254984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92</xdr:row>
      <xdr:rowOff>0</xdr:rowOff>
    </xdr:from>
    <xdr:to>
      <xdr:col>27</xdr:col>
      <xdr:colOff>200025</xdr:colOff>
      <xdr:row>93</xdr:row>
      <xdr:rowOff>9525</xdr:rowOff>
    </xdr:to>
    <xdr:sp macro="" textlink="">
      <xdr:nvSpPr>
        <xdr:cNvPr id="755" name="Rectangle 754"/>
        <xdr:cNvSpPr>
          <a:spLocks noChangeArrowheads="1"/>
        </xdr:cNvSpPr>
      </xdr:nvSpPr>
      <xdr:spPr bwMode="auto">
        <a:xfrm>
          <a:off x="9163050" y="254984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756" name="Rectangle 755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757" name="Rectangle 756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92</xdr:row>
      <xdr:rowOff>0</xdr:rowOff>
    </xdr:from>
    <xdr:to>
      <xdr:col>37</xdr:col>
      <xdr:colOff>190500</xdr:colOff>
      <xdr:row>93</xdr:row>
      <xdr:rowOff>9525</xdr:rowOff>
    </xdr:to>
    <xdr:sp macro="" textlink="">
      <xdr:nvSpPr>
        <xdr:cNvPr id="758" name="Rectangle 757"/>
        <xdr:cNvSpPr>
          <a:spLocks noChangeArrowheads="1"/>
        </xdr:cNvSpPr>
      </xdr:nvSpPr>
      <xdr:spPr bwMode="auto">
        <a:xfrm>
          <a:off x="13201650" y="254984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128</xdr:row>
      <xdr:rowOff>0</xdr:rowOff>
    </xdr:from>
    <xdr:to>
      <xdr:col>11</xdr:col>
      <xdr:colOff>200025</xdr:colOff>
      <xdr:row>129</xdr:row>
      <xdr:rowOff>9525</xdr:rowOff>
    </xdr:to>
    <xdr:sp macro="" textlink="">
      <xdr:nvSpPr>
        <xdr:cNvPr id="759" name="Rectangle 758"/>
        <xdr:cNvSpPr>
          <a:spLocks noChangeArrowheads="1"/>
        </xdr:cNvSpPr>
      </xdr:nvSpPr>
      <xdr:spPr bwMode="auto">
        <a:xfrm>
          <a:off x="2209800" y="353187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12</xdr:col>
      <xdr:colOff>190500</xdr:colOff>
      <xdr:row>128</xdr:row>
      <xdr:rowOff>0</xdr:rowOff>
    </xdr:from>
    <xdr:to>
      <xdr:col>13</xdr:col>
      <xdr:colOff>200025</xdr:colOff>
      <xdr:row>129</xdr:row>
      <xdr:rowOff>9525</xdr:rowOff>
    </xdr:to>
    <xdr:sp macro="" textlink="">
      <xdr:nvSpPr>
        <xdr:cNvPr id="760" name="Rectangle 759"/>
        <xdr:cNvSpPr>
          <a:spLocks noChangeArrowheads="1"/>
        </xdr:cNvSpPr>
      </xdr:nvSpPr>
      <xdr:spPr bwMode="auto">
        <a:xfrm>
          <a:off x="3057525" y="353187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14</xdr:col>
      <xdr:colOff>190500</xdr:colOff>
      <xdr:row>128</xdr:row>
      <xdr:rowOff>0</xdr:rowOff>
    </xdr:from>
    <xdr:to>
      <xdr:col>15</xdr:col>
      <xdr:colOff>200025</xdr:colOff>
      <xdr:row>129</xdr:row>
      <xdr:rowOff>9525</xdr:rowOff>
    </xdr:to>
    <xdr:sp macro="" textlink="">
      <xdr:nvSpPr>
        <xdr:cNvPr id="761" name="Rectangle 760"/>
        <xdr:cNvSpPr>
          <a:spLocks noChangeArrowheads="1"/>
        </xdr:cNvSpPr>
      </xdr:nvSpPr>
      <xdr:spPr bwMode="auto">
        <a:xfrm>
          <a:off x="3933825" y="3531870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128</xdr:row>
      <xdr:rowOff>0</xdr:rowOff>
    </xdr:from>
    <xdr:to>
      <xdr:col>17</xdr:col>
      <xdr:colOff>200025</xdr:colOff>
      <xdr:row>129</xdr:row>
      <xdr:rowOff>9525</xdr:rowOff>
    </xdr:to>
    <xdr:sp macro="" textlink="">
      <xdr:nvSpPr>
        <xdr:cNvPr id="762" name="Rectangle 761"/>
        <xdr:cNvSpPr>
          <a:spLocks noChangeArrowheads="1"/>
        </xdr:cNvSpPr>
      </xdr:nvSpPr>
      <xdr:spPr bwMode="auto">
        <a:xfrm>
          <a:off x="4943475" y="353187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190500</xdr:colOff>
      <xdr:row>128</xdr:row>
      <xdr:rowOff>0</xdr:rowOff>
    </xdr:from>
    <xdr:to>
      <xdr:col>19</xdr:col>
      <xdr:colOff>200025</xdr:colOff>
      <xdr:row>129</xdr:row>
      <xdr:rowOff>9525</xdr:rowOff>
    </xdr:to>
    <xdr:sp macro="" textlink="">
      <xdr:nvSpPr>
        <xdr:cNvPr id="763" name="Rectangle 762"/>
        <xdr:cNvSpPr>
          <a:spLocks noChangeArrowheads="1"/>
        </xdr:cNvSpPr>
      </xdr:nvSpPr>
      <xdr:spPr bwMode="auto">
        <a:xfrm>
          <a:off x="583882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128</xdr:row>
      <xdr:rowOff>0</xdr:rowOff>
    </xdr:from>
    <xdr:to>
      <xdr:col>21</xdr:col>
      <xdr:colOff>200025</xdr:colOff>
      <xdr:row>129</xdr:row>
      <xdr:rowOff>9525</xdr:rowOff>
    </xdr:to>
    <xdr:sp macro="" textlink="">
      <xdr:nvSpPr>
        <xdr:cNvPr id="764" name="Rectangle 763"/>
        <xdr:cNvSpPr>
          <a:spLocks noChangeArrowheads="1"/>
        </xdr:cNvSpPr>
      </xdr:nvSpPr>
      <xdr:spPr bwMode="auto">
        <a:xfrm>
          <a:off x="6648450" y="3531870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128</xdr:row>
      <xdr:rowOff>0</xdr:rowOff>
    </xdr:from>
    <xdr:to>
      <xdr:col>23</xdr:col>
      <xdr:colOff>200025</xdr:colOff>
      <xdr:row>129</xdr:row>
      <xdr:rowOff>9525</xdr:rowOff>
    </xdr:to>
    <xdr:sp macro="" textlink="">
      <xdr:nvSpPr>
        <xdr:cNvPr id="765" name="Rectangle 764"/>
        <xdr:cNvSpPr>
          <a:spLocks noChangeArrowheads="1"/>
        </xdr:cNvSpPr>
      </xdr:nvSpPr>
      <xdr:spPr bwMode="auto">
        <a:xfrm>
          <a:off x="7505700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128</xdr:row>
      <xdr:rowOff>0</xdr:rowOff>
    </xdr:from>
    <xdr:to>
      <xdr:col>25</xdr:col>
      <xdr:colOff>200025</xdr:colOff>
      <xdr:row>129</xdr:row>
      <xdr:rowOff>9525</xdr:rowOff>
    </xdr:to>
    <xdr:sp macro="" textlink="">
      <xdr:nvSpPr>
        <xdr:cNvPr id="766" name="Rectangle 765"/>
        <xdr:cNvSpPr>
          <a:spLocks noChangeArrowheads="1"/>
        </xdr:cNvSpPr>
      </xdr:nvSpPr>
      <xdr:spPr bwMode="auto">
        <a:xfrm>
          <a:off x="8315325" y="353187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128</xdr:row>
      <xdr:rowOff>0</xdr:rowOff>
    </xdr:from>
    <xdr:to>
      <xdr:col>27</xdr:col>
      <xdr:colOff>200025</xdr:colOff>
      <xdr:row>129</xdr:row>
      <xdr:rowOff>9525</xdr:rowOff>
    </xdr:to>
    <xdr:sp macro="" textlink="">
      <xdr:nvSpPr>
        <xdr:cNvPr id="767" name="Rectangle 766"/>
        <xdr:cNvSpPr>
          <a:spLocks noChangeArrowheads="1"/>
        </xdr:cNvSpPr>
      </xdr:nvSpPr>
      <xdr:spPr bwMode="auto">
        <a:xfrm>
          <a:off x="9163050" y="353187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128</xdr:row>
      <xdr:rowOff>0</xdr:rowOff>
    </xdr:from>
    <xdr:to>
      <xdr:col>31</xdr:col>
      <xdr:colOff>200025</xdr:colOff>
      <xdr:row>129</xdr:row>
      <xdr:rowOff>9525</xdr:rowOff>
    </xdr:to>
    <xdr:sp macro="" textlink="">
      <xdr:nvSpPr>
        <xdr:cNvPr id="768" name="Rectangle 767"/>
        <xdr:cNvSpPr>
          <a:spLocks noChangeArrowheads="1"/>
        </xdr:cNvSpPr>
      </xdr:nvSpPr>
      <xdr:spPr bwMode="auto">
        <a:xfrm>
          <a:off x="10868025" y="353187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128</xdr:row>
      <xdr:rowOff>0</xdr:rowOff>
    </xdr:from>
    <xdr:to>
      <xdr:col>33</xdr:col>
      <xdr:colOff>200025</xdr:colOff>
      <xdr:row>129</xdr:row>
      <xdr:rowOff>9525</xdr:rowOff>
    </xdr:to>
    <xdr:sp macro="" textlink="">
      <xdr:nvSpPr>
        <xdr:cNvPr id="769" name="Rectangle 768"/>
        <xdr:cNvSpPr>
          <a:spLocks noChangeArrowheads="1"/>
        </xdr:cNvSpPr>
      </xdr:nvSpPr>
      <xdr:spPr bwMode="auto">
        <a:xfrm>
          <a:off x="1164907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128</xdr:row>
      <xdr:rowOff>0</xdr:rowOff>
    </xdr:from>
    <xdr:to>
      <xdr:col>37</xdr:col>
      <xdr:colOff>190500</xdr:colOff>
      <xdr:row>129</xdr:row>
      <xdr:rowOff>9525</xdr:rowOff>
    </xdr:to>
    <xdr:sp macro="" textlink="">
      <xdr:nvSpPr>
        <xdr:cNvPr id="770" name="Rectangle 769"/>
        <xdr:cNvSpPr>
          <a:spLocks noChangeArrowheads="1"/>
        </xdr:cNvSpPr>
      </xdr:nvSpPr>
      <xdr:spPr bwMode="auto">
        <a:xfrm>
          <a:off x="13201650" y="353187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164</xdr:row>
      <xdr:rowOff>0</xdr:rowOff>
    </xdr:from>
    <xdr:to>
      <xdr:col>11</xdr:col>
      <xdr:colOff>200025</xdr:colOff>
      <xdr:row>165</xdr:row>
      <xdr:rowOff>9525</xdr:rowOff>
    </xdr:to>
    <xdr:sp macro="" textlink="">
      <xdr:nvSpPr>
        <xdr:cNvPr id="771" name="Rectangle 770"/>
        <xdr:cNvSpPr>
          <a:spLocks noChangeArrowheads="1"/>
        </xdr:cNvSpPr>
      </xdr:nvSpPr>
      <xdr:spPr bwMode="auto">
        <a:xfrm>
          <a:off x="2209800" y="4529137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12</xdr:col>
      <xdr:colOff>190500</xdr:colOff>
      <xdr:row>164</xdr:row>
      <xdr:rowOff>0</xdr:rowOff>
    </xdr:from>
    <xdr:to>
      <xdr:col>13</xdr:col>
      <xdr:colOff>200025</xdr:colOff>
      <xdr:row>165</xdr:row>
      <xdr:rowOff>9525</xdr:rowOff>
    </xdr:to>
    <xdr:sp macro="" textlink="">
      <xdr:nvSpPr>
        <xdr:cNvPr id="772" name="Rectangle 771"/>
        <xdr:cNvSpPr>
          <a:spLocks noChangeArrowheads="1"/>
        </xdr:cNvSpPr>
      </xdr:nvSpPr>
      <xdr:spPr bwMode="auto">
        <a:xfrm>
          <a:off x="3057525" y="4529137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14</xdr:col>
      <xdr:colOff>190500</xdr:colOff>
      <xdr:row>164</xdr:row>
      <xdr:rowOff>0</xdr:rowOff>
    </xdr:from>
    <xdr:to>
      <xdr:col>15</xdr:col>
      <xdr:colOff>200025</xdr:colOff>
      <xdr:row>165</xdr:row>
      <xdr:rowOff>9525</xdr:rowOff>
    </xdr:to>
    <xdr:sp macro="" textlink="">
      <xdr:nvSpPr>
        <xdr:cNvPr id="773" name="Rectangle 772"/>
        <xdr:cNvSpPr>
          <a:spLocks noChangeArrowheads="1"/>
        </xdr:cNvSpPr>
      </xdr:nvSpPr>
      <xdr:spPr bwMode="auto">
        <a:xfrm>
          <a:off x="3933825" y="4529137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164</xdr:row>
      <xdr:rowOff>0</xdr:rowOff>
    </xdr:from>
    <xdr:to>
      <xdr:col>17</xdr:col>
      <xdr:colOff>200025</xdr:colOff>
      <xdr:row>165</xdr:row>
      <xdr:rowOff>9525</xdr:rowOff>
    </xdr:to>
    <xdr:sp macro="" textlink="">
      <xdr:nvSpPr>
        <xdr:cNvPr id="774" name="Rectangle 773"/>
        <xdr:cNvSpPr>
          <a:spLocks noChangeArrowheads="1"/>
        </xdr:cNvSpPr>
      </xdr:nvSpPr>
      <xdr:spPr bwMode="auto">
        <a:xfrm>
          <a:off x="4943475" y="4529137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190500</xdr:colOff>
      <xdr:row>164</xdr:row>
      <xdr:rowOff>0</xdr:rowOff>
    </xdr:from>
    <xdr:to>
      <xdr:col>19</xdr:col>
      <xdr:colOff>200025</xdr:colOff>
      <xdr:row>165</xdr:row>
      <xdr:rowOff>9525</xdr:rowOff>
    </xdr:to>
    <xdr:sp macro="" textlink="">
      <xdr:nvSpPr>
        <xdr:cNvPr id="775" name="Rectangle 774"/>
        <xdr:cNvSpPr>
          <a:spLocks noChangeArrowheads="1"/>
        </xdr:cNvSpPr>
      </xdr:nvSpPr>
      <xdr:spPr bwMode="auto">
        <a:xfrm>
          <a:off x="583882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164</xdr:row>
      <xdr:rowOff>0</xdr:rowOff>
    </xdr:from>
    <xdr:to>
      <xdr:col>21</xdr:col>
      <xdr:colOff>200025</xdr:colOff>
      <xdr:row>165</xdr:row>
      <xdr:rowOff>9525</xdr:rowOff>
    </xdr:to>
    <xdr:sp macro="" textlink="">
      <xdr:nvSpPr>
        <xdr:cNvPr id="776" name="Rectangle 775"/>
        <xdr:cNvSpPr>
          <a:spLocks noChangeArrowheads="1"/>
        </xdr:cNvSpPr>
      </xdr:nvSpPr>
      <xdr:spPr bwMode="auto">
        <a:xfrm>
          <a:off x="6648450" y="4529137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164</xdr:row>
      <xdr:rowOff>0</xdr:rowOff>
    </xdr:from>
    <xdr:to>
      <xdr:col>23</xdr:col>
      <xdr:colOff>200025</xdr:colOff>
      <xdr:row>165</xdr:row>
      <xdr:rowOff>9525</xdr:rowOff>
    </xdr:to>
    <xdr:sp macro="" textlink="">
      <xdr:nvSpPr>
        <xdr:cNvPr id="777" name="Rectangle 776"/>
        <xdr:cNvSpPr>
          <a:spLocks noChangeArrowheads="1"/>
        </xdr:cNvSpPr>
      </xdr:nvSpPr>
      <xdr:spPr bwMode="auto">
        <a:xfrm>
          <a:off x="7505700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164</xdr:row>
      <xdr:rowOff>0</xdr:rowOff>
    </xdr:from>
    <xdr:to>
      <xdr:col>25</xdr:col>
      <xdr:colOff>200025</xdr:colOff>
      <xdr:row>165</xdr:row>
      <xdr:rowOff>9525</xdr:rowOff>
    </xdr:to>
    <xdr:sp macro="" textlink="">
      <xdr:nvSpPr>
        <xdr:cNvPr id="778" name="Rectangle 777"/>
        <xdr:cNvSpPr>
          <a:spLocks noChangeArrowheads="1"/>
        </xdr:cNvSpPr>
      </xdr:nvSpPr>
      <xdr:spPr bwMode="auto">
        <a:xfrm>
          <a:off x="8315325" y="4529137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164</xdr:row>
      <xdr:rowOff>0</xdr:rowOff>
    </xdr:from>
    <xdr:to>
      <xdr:col>27</xdr:col>
      <xdr:colOff>200025</xdr:colOff>
      <xdr:row>165</xdr:row>
      <xdr:rowOff>9525</xdr:rowOff>
    </xdr:to>
    <xdr:sp macro="" textlink="">
      <xdr:nvSpPr>
        <xdr:cNvPr id="779" name="Rectangle 778"/>
        <xdr:cNvSpPr>
          <a:spLocks noChangeArrowheads="1"/>
        </xdr:cNvSpPr>
      </xdr:nvSpPr>
      <xdr:spPr bwMode="auto">
        <a:xfrm>
          <a:off x="9163050" y="4529137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780" name="Rectangle 779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781" name="Rectangle 780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164</xdr:row>
      <xdr:rowOff>0</xdr:rowOff>
    </xdr:from>
    <xdr:to>
      <xdr:col>37</xdr:col>
      <xdr:colOff>190500</xdr:colOff>
      <xdr:row>165</xdr:row>
      <xdr:rowOff>9525</xdr:rowOff>
    </xdr:to>
    <xdr:sp macro="" textlink="">
      <xdr:nvSpPr>
        <xdr:cNvPr id="782" name="Rectangle 781"/>
        <xdr:cNvSpPr>
          <a:spLocks noChangeArrowheads="1"/>
        </xdr:cNvSpPr>
      </xdr:nvSpPr>
      <xdr:spPr bwMode="auto">
        <a:xfrm>
          <a:off x="13201650" y="4529137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199</xdr:row>
      <xdr:rowOff>0</xdr:rowOff>
    </xdr:from>
    <xdr:to>
      <xdr:col>11</xdr:col>
      <xdr:colOff>200025</xdr:colOff>
      <xdr:row>200</xdr:row>
      <xdr:rowOff>9525</xdr:rowOff>
    </xdr:to>
    <xdr:sp macro="" textlink="">
      <xdr:nvSpPr>
        <xdr:cNvPr id="783" name="Rectangle 786"/>
        <xdr:cNvSpPr>
          <a:spLocks noChangeArrowheads="1"/>
        </xdr:cNvSpPr>
      </xdr:nvSpPr>
      <xdr:spPr bwMode="auto">
        <a:xfrm>
          <a:off x="2209800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12</xdr:col>
      <xdr:colOff>190500</xdr:colOff>
      <xdr:row>199</xdr:row>
      <xdr:rowOff>0</xdr:rowOff>
    </xdr:from>
    <xdr:to>
      <xdr:col>13</xdr:col>
      <xdr:colOff>200025</xdr:colOff>
      <xdr:row>200</xdr:row>
      <xdr:rowOff>9525</xdr:rowOff>
    </xdr:to>
    <xdr:sp macro="" textlink="">
      <xdr:nvSpPr>
        <xdr:cNvPr id="784" name="Rectangle 787"/>
        <xdr:cNvSpPr>
          <a:spLocks noChangeArrowheads="1"/>
        </xdr:cNvSpPr>
      </xdr:nvSpPr>
      <xdr:spPr bwMode="auto">
        <a:xfrm>
          <a:off x="305752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14</xdr:col>
      <xdr:colOff>190500</xdr:colOff>
      <xdr:row>199</xdr:row>
      <xdr:rowOff>0</xdr:rowOff>
    </xdr:from>
    <xdr:to>
      <xdr:col>15</xdr:col>
      <xdr:colOff>200025</xdr:colOff>
      <xdr:row>200</xdr:row>
      <xdr:rowOff>9525</xdr:rowOff>
    </xdr:to>
    <xdr:sp macro="" textlink="">
      <xdr:nvSpPr>
        <xdr:cNvPr id="785" name="Rectangle 788"/>
        <xdr:cNvSpPr>
          <a:spLocks noChangeArrowheads="1"/>
        </xdr:cNvSpPr>
      </xdr:nvSpPr>
      <xdr:spPr bwMode="auto">
        <a:xfrm>
          <a:off x="3933825" y="549211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199</xdr:row>
      <xdr:rowOff>0</xdr:rowOff>
    </xdr:from>
    <xdr:to>
      <xdr:col>17</xdr:col>
      <xdr:colOff>200025</xdr:colOff>
      <xdr:row>200</xdr:row>
      <xdr:rowOff>9525</xdr:rowOff>
    </xdr:to>
    <xdr:sp macro="" textlink="">
      <xdr:nvSpPr>
        <xdr:cNvPr id="786" name="Rectangle 789"/>
        <xdr:cNvSpPr>
          <a:spLocks noChangeArrowheads="1"/>
        </xdr:cNvSpPr>
      </xdr:nvSpPr>
      <xdr:spPr bwMode="auto">
        <a:xfrm>
          <a:off x="494347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18</xdr:col>
      <xdr:colOff>190500</xdr:colOff>
      <xdr:row>199</xdr:row>
      <xdr:rowOff>0</xdr:rowOff>
    </xdr:from>
    <xdr:to>
      <xdr:col>19</xdr:col>
      <xdr:colOff>200025</xdr:colOff>
      <xdr:row>200</xdr:row>
      <xdr:rowOff>9525</xdr:rowOff>
    </xdr:to>
    <xdr:sp macro="" textlink="">
      <xdr:nvSpPr>
        <xdr:cNvPr id="787" name="Rectangle 790"/>
        <xdr:cNvSpPr>
          <a:spLocks noChangeArrowheads="1"/>
        </xdr:cNvSpPr>
      </xdr:nvSpPr>
      <xdr:spPr bwMode="auto">
        <a:xfrm>
          <a:off x="583882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20</xdr:col>
      <xdr:colOff>190500</xdr:colOff>
      <xdr:row>199</xdr:row>
      <xdr:rowOff>0</xdr:rowOff>
    </xdr:from>
    <xdr:to>
      <xdr:col>21</xdr:col>
      <xdr:colOff>200025</xdr:colOff>
      <xdr:row>200</xdr:row>
      <xdr:rowOff>9525</xdr:rowOff>
    </xdr:to>
    <xdr:sp macro="" textlink="">
      <xdr:nvSpPr>
        <xdr:cNvPr id="788" name="Rectangle 791"/>
        <xdr:cNvSpPr>
          <a:spLocks noChangeArrowheads="1"/>
        </xdr:cNvSpPr>
      </xdr:nvSpPr>
      <xdr:spPr bwMode="auto">
        <a:xfrm>
          <a:off x="6648450" y="549211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22</xdr:col>
      <xdr:colOff>190500</xdr:colOff>
      <xdr:row>199</xdr:row>
      <xdr:rowOff>0</xdr:rowOff>
    </xdr:from>
    <xdr:to>
      <xdr:col>23</xdr:col>
      <xdr:colOff>200025</xdr:colOff>
      <xdr:row>200</xdr:row>
      <xdr:rowOff>9525</xdr:rowOff>
    </xdr:to>
    <xdr:sp macro="" textlink="">
      <xdr:nvSpPr>
        <xdr:cNvPr id="789" name="Rectangle 792"/>
        <xdr:cNvSpPr>
          <a:spLocks noChangeArrowheads="1"/>
        </xdr:cNvSpPr>
      </xdr:nvSpPr>
      <xdr:spPr bwMode="auto">
        <a:xfrm>
          <a:off x="7505700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24</xdr:col>
      <xdr:colOff>190500</xdr:colOff>
      <xdr:row>199</xdr:row>
      <xdr:rowOff>0</xdr:rowOff>
    </xdr:from>
    <xdr:to>
      <xdr:col>25</xdr:col>
      <xdr:colOff>200025</xdr:colOff>
      <xdr:row>200</xdr:row>
      <xdr:rowOff>9525</xdr:rowOff>
    </xdr:to>
    <xdr:sp macro="" textlink="">
      <xdr:nvSpPr>
        <xdr:cNvPr id="790" name="Rectangle 793"/>
        <xdr:cNvSpPr>
          <a:spLocks noChangeArrowheads="1"/>
        </xdr:cNvSpPr>
      </xdr:nvSpPr>
      <xdr:spPr bwMode="auto">
        <a:xfrm>
          <a:off x="8315325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26</xdr:col>
      <xdr:colOff>190500</xdr:colOff>
      <xdr:row>199</xdr:row>
      <xdr:rowOff>0</xdr:rowOff>
    </xdr:from>
    <xdr:to>
      <xdr:col>27</xdr:col>
      <xdr:colOff>200025</xdr:colOff>
      <xdr:row>200</xdr:row>
      <xdr:rowOff>9525</xdr:rowOff>
    </xdr:to>
    <xdr:sp macro="" textlink="">
      <xdr:nvSpPr>
        <xdr:cNvPr id="791" name="Rectangle 794"/>
        <xdr:cNvSpPr>
          <a:spLocks noChangeArrowheads="1"/>
        </xdr:cNvSpPr>
      </xdr:nvSpPr>
      <xdr:spPr bwMode="auto">
        <a:xfrm>
          <a:off x="9163050" y="549211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30</xdr:col>
      <xdr:colOff>190500</xdr:colOff>
      <xdr:row>199</xdr:row>
      <xdr:rowOff>0</xdr:rowOff>
    </xdr:from>
    <xdr:to>
      <xdr:col>31</xdr:col>
      <xdr:colOff>200025</xdr:colOff>
      <xdr:row>200</xdr:row>
      <xdr:rowOff>9525</xdr:rowOff>
    </xdr:to>
    <xdr:sp macro="" textlink="">
      <xdr:nvSpPr>
        <xdr:cNvPr id="792" name="Rectangle 795"/>
        <xdr:cNvSpPr>
          <a:spLocks noChangeArrowheads="1"/>
        </xdr:cNvSpPr>
      </xdr:nvSpPr>
      <xdr:spPr bwMode="auto">
        <a:xfrm>
          <a:off x="10868025" y="549211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793" name="Rectangle 796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199</xdr:row>
      <xdr:rowOff>0</xdr:rowOff>
    </xdr:from>
    <xdr:to>
      <xdr:col>37</xdr:col>
      <xdr:colOff>190500</xdr:colOff>
      <xdr:row>200</xdr:row>
      <xdr:rowOff>9525</xdr:rowOff>
    </xdr:to>
    <xdr:sp macro="" textlink="">
      <xdr:nvSpPr>
        <xdr:cNvPr id="794" name="Rectangle 797"/>
        <xdr:cNvSpPr>
          <a:spLocks noChangeArrowheads="1"/>
        </xdr:cNvSpPr>
      </xdr:nvSpPr>
      <xdr:spPr bwMode="auto">
        <a:xfrm>
          <a:off x="13201650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211</xdr:row>
      <xdr:rowOff>0</xdr:rowOff>
    </xdr:from>
    <xdr:to>
      <xdr:col>11</xdr:col>
      <xdr:colOff>200025</xdr:colOff>
      <xdr:row>211</xdr:row>
      <xdr:rowOff>0</xdr:rowOff>
    </xdr:to>
    <xdr:sp macro="" textlink="">
      <xdr:nvSpPr>
        <xdr:cNvPr id="795" name="Rectangle 798"/>
        <xdr:cNvSpPr>
          <a:spLocks noChangeArrowheads="1"/>
        </xdr:cNvSpPr>
      </xdr:nvSpPr>
      <xdr:spPr bwMode="auto">
        <a:xfrm>
          <a:off x="2209800" y="58102500"/>
          <a:ext cx="4762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12</xdr:col>
      <xdr:colOff>190500</xdr:colOff>
      <xdr:row>211</xdr:row>
      <xdr:rowOff>0</xdr:rowOff>
    </xdr:from>
    <xdr:to>
      <xdr:col>13</xdr:col>
      <xdr:colOff>200025</xdr:colOff>
      <xdr:row>211</xdr:row>
      <xdr:rowOff>0</xdr:rowOff>
    </xdr:to>
    <xdr:sp macro="" textlink="">
      <xdr:nvSpPr>
        <xdr:cNvPr id="796" name="Rectangle 799"/>
        <xdr:cNvSpPr>
          <a:spLocks noChangeArrowheads="1"/>
        </xdr:cNvSpPr>
      </xdr:nvSpPr>
      <xdr:spPr bwMode="auto">
        <a:xfrm>
          <a:off x="3057525" y="5810250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14</xdr:col>
      <xdr:colOff>190500</xdr:colOff>
      <xdr:row>211</xdr:row>
      <xdr:rowOff>0</xdr:rowOff>
    </xdr:from>
    <xdr:to>
      <xdr:col>15</xdr:col>
      <xdr:colOff>200025</xdr:colOff>
      <xdr:row>211</xdr:row>
      <xdr:rowOff>0</xdr:rowOff>
    </xdr:to>
    <xdr:sp macro="" textlink="">
      <xdr:nvSpPr>
        <xdr:cNvPr id="797" name="Rectangle 800"/>
        <xdr:cNvSpPr>
          <a:spLocks noChangeArrowheads="1"/>
        </xdr:cNvSpPr>
      </xdr:nvSpPr>
      <xdr:spPr bwMode="auto">
        <a:xfrm>
          <a:off x="3933825" y="58102500"/>
          <a:ext cx="5810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211</xdr:row>
      <xdr:rowOff>0</xdr:rowOff>
    </xdr:from>
    <xdr:to>
      <xdr:col>17</xdr:col>
      <xdr:colOff>200025</xdr:colOff>
      <xdr:row>211</xdr:row>
      <xdr:rowOff>0</xdr:rowOff>
    </xdr:to>
    <xdr:sp macro="" textlink="">
      <xdr:nvSpPr>
        <xdr:cNvPr id="798" name="Rectangle 801"/>
        <xdr:cNvSpPr>
          <a:spLocks noChangeArrowheads="1"/>
        </xdr:cNvSpPr>
      </xdr:nvSpPr>
      <xdr:spPr bwMode="auto">
        <a:xfrm>
          <a:off x="4943475" y="5810250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190500</xdr:colOff>
      <xdr:row>211</xdr:row>
      <xdr:rowOff>0</xdr:rowOff>
    </xdr:from>
    <xdr:to>
      <xdr:col>19</xdr:col>
      <xdr:colOff>200025</xdr:colOff>
      <xdr:row>211</xdr:row>
      <xdr:rowOff>0</xdr:rowOff>
    </xdr:to>
    <xdr:sp macro="" textlink="">
      <xdr:nvSpPr>
        <xdr:cNvPr id="799" name="Rectangle 802"/>
        <xdr:cNvSpPr>
          <a:spLocks noChangeArrowheads="1"/>
        </xdr:cNvSpPr>
      </xdr:nvSpPr>
      <xdr:spPr bwMode="auto">
        <a:xfrm>
          <a:off x="5838825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211</xdr:row>
      <xdr:rowOff>0</xdr:rowOff>
    </xdr:from>
    <xdr:to>
      <xdr:col>21</xdr:col>
      <xdr:colOff>200025</xdr:colOff>
      <xdr:row>211</xdr:row>
      <xdr:rowOff>0</xdr:rowOff>
    </xdr:to>
    <xdr:sp macro="" textlink="">
      <xdr:nvSpPr>
        <xdr:cNvPr id="800" name="Rectangle 803"/>
        <xdr:cNvSpPr>
          <a:spLocks noChangeArrowheads="1"/>
        </xdr:cNvSpPr>
      </xdr:nvSpPr>
      <xdr:spPr bwMode="auto">
        <a:xfrm>
          <a:off x="6648450" y="58102500"/>
          <a:ext cx="4857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211</xdr:row>
      <xdr:rowOff>0</xdr:rowOff>
    </xdr:from>
    <xdr:to>
      <xdr:col>23</xdr:col>
      <xdr:colOff>200025</xdr:colOff>
      <xdr:row>211</xdr:row>
      <xdr:rowOff>0</xdr:rowOff>
    </xdr:to>
    <xdr:sp macro="" textlink="">
      <xdr:nvSpPr>
        <xdr:cNvPr id="801" name="Rectangle 804"/>
        <xdr:cNvSpPr>
          <a:spLocks noChangeArrowheads="1"/>
        </xdr:cNvSpPr>
      </xdr:nvSpPr>
      <xdr:spPr bwMode="auto">
        <a:xfrm>
          <a:off x="7505700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211</xdr:row>
      <xdr:rowOff>0</xdr:rowOff>
    </xdr:from>
    <xdr:to>
      <xdr:col>25</xdr:col>
      <xdr:colOff>200025</xdr:colOff>
      <xdr:row>211</xdr:row>
      <xdr:rowOff>0</xdr:rowOff>
    </xdr:to>
    <xdr:sp macro="" textlink="">
      <xdr:nvSpPr>
        <xdr:cNvPr id="802" name="Rectangle 805"/>
        <xdr:cNvSpPr>
          <a:spLocks noChangeArrowheads="1"/>
        </xdr:cNvSpPr>
      </xdr:nvSpPr>
      <xdr:spPr bwMode="auto">
        <a:xfrm>
          <a:off x="8315325" y="58102500"/>
          <a:ext cx="4762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211</xdr:row>
      <xdr:rowOff>0</xdr:rowOff>
    </xdr:from>
    <xdr:to>
      <xdr:col>27</xdr:col>
      <xdr:colOff>200025</xdr:colOff>
      <xdr:row>211</xdr:row>
      <xdr:rowOff>0</xdr:rowOff>
    </xdr:to>
    <xdr:sp macro="" textlink="">
      <xdr:nvSpPr>
        <xdr:cNvPr id="803" name="Rectangle 806"/>
        <xdr:cNvSpPr>
          <a:spLocks noChangeArrowheads="1"/>
        </xdr:cNvSpPr>
      </xdr:nvSpPr>
      <xdr:spPr bwMode="auto">
        <a:xfrm>
          <a:off x="9163050" y="58102500"/>
          <a:ext cx="457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211</xdr:row>
      <xdr:rowOff>0</xdr:rowOff>
    </xdr:from>
    <xdr:to>
      <xdr:col>31</xdr:col>
      <xdr:colOff>200025</xdr:colOff>
      <xdr:row>211</xdr:row>
      <xdr:rowOff>0</xdr:rowOff>
    </xdr:to>
    <xdr:sp macro="" textlink="">
      <xdr:nvSpPr>
        <xdr:cNvPr id="804" name="Rectangle 807"/>
        <xdr:cNvSpPr>
          <a:spLocks noChangeArrowheads="1"/>
        </xdr:cNvSpPr>
      </xdr:nvSpPr>
      <xdr:spPr bwMode="auto">
        <a:xfrm>
          <a:off x="10868025" y="58102500"/>
          <a:ext cx="4286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211</xdr:row>
      <xdr:rowOff>0</xdr:rowOff>
    </xdr:from>
    <xdr:to>
      <xdr:col>33</xdr:col>
      <xdr:colOff>200025</xdr:colOff>
      <xdr:row>211</xdr:row>
      <xdr:rowOff>0</xdr:rowOff>
    </xdr:to>
    <xdr:sp macro="" textlink="">
      <xdr:nvSpPr>
        <xdr:cNvPr id="805" name="Rectangle 808"/>
        <xdr:cNvSpPr>
          <a:spLocks noChangeArrowheads="1"/>
        </xdr:cNvSpPr>
      </xdr:nvSpPr>
      <xdr:spPr bwMode="auto">
        <a:xfrm>
          <a:off x="11649075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211</xdr:row>
      <xdr:rowOff>0</xdr:rowOff>
    </xdr:from>
    <xdr:to>
      <xdr:col>37</xdr:col>
      <xdr:colOff>190500</xdr:colOff>
      <xdr:row>211</xdr:row>
      <xdr:rowOff>0</xdr:rowOff>
    </xdr:to>
    <xdr:sp macro="" textlink="">
      <xdr:nvSpPr>
        <xdr:cNvPr id="806" name="Rectangle 809"/>
        <xdr:cNvSpPr>
          <a:spLocks noChangeArrowheads="1"/>
        </xdr:cNvSpPr>
      </xdr:nvSpPr>
      <xdr:spPr bwMode="auto">
        <a:xfrm>
          <a:off x="13201650" y="5810250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234</xdr:row>
      <xdr:rowOff>0</xdr:rowOff>
    </xdr:from>
    <xdr:to>
      <xdr:col>11</xdr:col>
      <xdr:colOff>200025</xdr:colOff>
      <xdr:row>235</xdr:row>
      <xdr:rowOff>9525</xdr:rowOff>
    </xdr:to>
    <xdr:sp macro="" textlink="">
      <xdr:nvSpPr>
        <xdr:cNvPr id="807" name="Rectangle 810"/>
        <xdr:cNvSpPr>
          <a:spLocks noChangeArrowheads="1"/>
        </xdr:cNvSpPr>
      </xdr:nvSpPr>
      <xdr:spPr bwMode="auto">
        <a:xfrm>
          <a:off x="2209800" y="649700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12</xdr:col>
      <xdr:colOff>190500</xdr:colOff>
      <xdr:row>234</xdr:row>
      <xdr:rowOff>0</xdr:rowOff>
    </xdr:from>
    <xdr:to>
      <xdr:col>13</xdr:col>
      <xdr:colOff>200025</xdr:colOff>
      <xdr:row>235</xdr:row>
      <xdr:rowOff>9525</xdr:rowOff>
    </xdr:to>
    <xdr:sp macro="" textlink="">
      <xdr:nvSpPr>
        <xdr:cNvPr id="808" name="Rectangle 811"/>
        <xdr:cNvSpPr>
          <a:spLocks noChangeArrowheads="1"/>
        </xdr:cNvSpPr>
      </xdr:nvSpPr>
      <xdr:spPr bwMode="auto">
        <a:xfrm>
          <a:off x="3057525" y="649700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14</xdr:col>
      <xdr:colOff>190500</xdr:colOff>
      <xdr:row>234</xdr:row>
      <xdr:rowOff>0</xdr:rowOff>
    </xdr:from>
    <xdr:to>
      <xdr:col>15</xdr:col>
      <xdr:colOff>200025</xdr:colOff>
      <xdr:row>235</xdr:row>
      <xdr:rowOff>9525</xdr:rowOff>
    </xdr:to>
    <xdr:sp macro="" textlink="">
      <xdr:nvSpPr>
        <xdr:cNvPr id="809" name="Rectangle 812"/>
        <xdr:cNvSpPr>
          <a:spLocks noChangeArrowheads="1"/>
        </xdr:cNvSpPr>
      </xdr:nvSpPr>
      <xdr:spPr bwMode="auto">
        <a:xfrm>
          <a:off x="3933825" y="6497002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234</xdr:row>
      <xdr:rowOff>0</xdr:rowOff>
    </xdr:from>
    <xdr:to>
      <xdr:col>17</xdr:col>
      <xdr:colOff>200025</xdr:colOff>
      <xdr:row>235</xdr:row>
      <xdr:rowOff>9525</xdr:rowOff>
    </xdr:to>
    <xdr:sp macro="" textlink="">
      <xdr:nvSpPr>
        <xdr:cNvPr id="810" name="Rectangle 813"/>
        <xdr:cNvSpPr>
          <a:spLocks noChangeArrowheads="1"/>
        </xdr:cNvSpPr>
      </xdr:nvSpPr>
      <xdr:spPr bwMode="auto">
        <a:xfrm>
          <a:off x="4943475" y="649700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190500</xdr:colOff>
      <xdr:row>234</xdr:row>
      <xdr:rowOff>0</xdr:rowOff>
    </xdr:from>
    <xdr:to>
      <xdr:col>19</xdr:col>
      <xdr:colOff>200025</xdr:colOff>
      <xdr:row>235</xdr:row>
      <xdr:rowOff>9525</xdr:rowOff>
    </xdr:to>
    <xdr:sp macro="" textlink="">
      <xdr:nvSpPr>
        <xdr:cNvPr id="811" name="Rectangle 814"/>
        <xdr:cNvSpPr>
          <a:spLocks noChangeArrowheads="1"/>
        </xdr:cNvSpPr>
      </xdr:nvSpPr>
      <xdr:spPr bwMode="auto">
        <a:xfrm>
          <a:off x="583882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20</xdr:col>
      <xdr:colOff>190500</xdr:colOff>
      <xdr:row>234</xdr:row>
      <xdr:rowOff>0</xdr:rowOff>
    </xdr:from>
    <xdr:to>
      <xdr:col>21</xdr:col>
      <xdr:colOff>200025</xdr:colOff>
      <xdr:row>235</xdr:row>
      <xdr:rowOff>9525</xdr:rowOff>
    </xdr:to>
    <xdr:sp macro="" textlink="">
      <xdr:nvSpPr>
        <xdr:cNvPr id="812" name="Rectangle 815"/>
        <xdr:cNvSpPr>
          <a:spLocks noChangeArrowheads="1"/>
        </xdr:cNvSpPr>
      </xdr:nvSpPr>
      <xdr:spPr bwMode="auto">
        <a:xfrm>
          <a:off x="6648450" y="649700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22</xdr:col>
      <xdr:colOff>190500</xdr:colOff>
      <xdr:row>234</xdr:row>
      <xdr:rowOff>0</xdr:rowOff>
    </xdr:from>
    <xdr:to>
      <xdr:col>23</xdr:col>
      <xdr:colOff>200025</xdr:colOff>
      <xdr:row>235</xdr:row>
      <xdr:rowOff>9525</xdr:rowOff>
    </xdr:to>
    <xdr:sp macro="" textlink="">
      <xdr:nvSpPr>
        <xdr:cNvPr id="813" name="Rectangle 816"/>
        <xdr:cNvSpPr>
          <a:spLocks noChangeArrowheads="1"/>
        </xdr:cNvSpPr>
      </xdr:nvSpPr>
      <xdr:spPr bwMode="auto">
        <a:xfrm>
          <a:off x="7505700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24</xdr:col>
      <xdr:colOff>190500</xdr:colOff>
      <xdr:row>234</xdr:row>
      <xdr:rowOff>0</xdr:rowOff>
    </xdr:from>
    <xdr:to>
      <xdr:col>25</xdr:col>
      <xdr:colOff>200025</xdr:colOff>
      <xdr:row>235</xdr:row>
      <xdr:rowOff>9525</xdr:rowOff>
    </xdr:to>
    <xdr:sp macro="" textlink="">
      <xdr:nvSpPr>
        <xdr:cNvPr id="814" name="Rectangle 817"/>
        <xdr:cNvSpPr>
          <a:spLocks noChangeArrowheads="1"/>
        </xdr:cNvSpPr>
      </xdr:nvSpPr>
      <xdr:spPr bwMode="auto">
        <a:xfrm>
          <a:off x="8315325" y="649700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234</xdr:row>
      <xdr:rowOff>0</xdr:rowOff>
    </xdr:from>
    <xdr:to>
      <xdr:col>27</xdr:col>
      <xdr:colOff>200025</xdr:colOff>
      <xdr:row>235</xdr:row>
      <xdr:rowOff>9525</xdr:rowOff>
    </xdr:to>
    <xdr:sp macro="" textlink="">
      <xdr:nvSpPr>
        <xdr:cNvPr id="815" name="Rectangle 818"/>
        <xdr:cNvSpPr>
          <a:spLocks noChangeArrowheads="1"/>
        </xdr:cNvSpPr>
      </xdr:nvSpPr>
      <xdr:spPr bwMode="auto">
        <a:xfrm>
          <a:off x="9163050" y="649700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234</xdr:row>
      <xdr:rowOff>0</xdr:rowOff>
    </xdr:from>
    <xdr:to>
      <xdr:col>31</xdr:col>
      <xdr:colOff>200025</xdr:colOff>
      <xdr:row>235</xdr:row>
      <xdr:rowOff>9525</xdr:rowOff>
    </xdr:to>
    <xdr:sp macro="" textlink="">
      <xdr:nvSpPr>
        <xdr:cNvPr id="816" name="Rectangle 819"/>
        <xdr:cNvSpPr>
          <a:spLocks noChangeArrowheads="1"/>
        </xdr:cNvSpPr>
      </xdr:nvSpPr>
      <xdr:spPr bwMode="auto">
        <a:xfrm>
          <a:off x="10868025" y="649700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234</xdr:row>
      <xdr:rowOff>0</xdr:rowOff>
    </xdr:from>
    <xdr:to>
      <xdr:col>33</xdr:col>
      <xdr:colOff>200025</xdr:colOff>
      <xdr:row>235</xdr:row>
      <xdr:rowOff>9525</xdr:rowOff>
    </xdr:to>
    <xdr:sp macro="" textlink="">
      <xdr:nvSpPr>
        <xdr:cNvPr id="817" name="Rectangle 820"/>
        <xdr:cNvSpPr>
          <a:spLocks noChangeArrowheads="1"/>
        </xdr:cNvSpPr>
      </xdr:nvSpPr>
      <xdr:spPr bwMode="auto">
        <a:xfrm>
          <a:off x="1164907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234</xdr:row>
      <xdr:rowOff>0</xdr:rowOff>
    </xdr:from>
    <xdr:to>
      <xdr:col>37</xdr:col>
      <xdr:colOff>190500</xdr:colOff>
      <xdr:row>235</xdr:row>
      <xdr:rowOff>9525</xdr:rowOff>
    </xdr:to>
    <xdr:sp macro="" textlink="">
      <xdr:nvSpPr>
        <xdr:cNvPr id="818" name="Rectangle 821"/>
        <xdr:cNvSpPr>
          <a:spLocks noChangeArrowheads="1"/>
        </xdr:cNvSpPr>
      </xdr:nvSpPr>
      <xdr:spPr bwMode="auto">
        <a:xfrm>
          <a:off x="13201650" y="649700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21</xdr:row>
      <xdr:rowOff>0</xdr:rowOff>
    </xdr:from>
    <xdr:to>
      <xdr:col>29</xdr:col>
      <xdr:colOff>200025</xdr:colOff>
      <xdr:row>22</xdr:row>
      <xdr:rowOff>9525</xdr:rowOff>
    </xdr:to>
    <xdr:sp macro="" textlink="">
      <xdr:nvSpPr>
        <xdr:cNvPr id="819" name="Rectangle 1149"/>
        <xdr:cNvSpPr>
          <a:spLocks noChangeArrowheads="1"/>
        </xdr:cNvSpPr>
      </xdr:nvSpPr>
      <xdr:spPr bwMode="auto">
        <a:xfrm>
          <a:off x="9991725" y="60293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57</xdr:row>
      <xdr:rowOff>0</xdr:rowOff>
    </xdr:from>
    <xdr:to>
      <xdr:col>37</xdr:col>
      <xdr:colOff>190500</xdr:colOff>
      <xdr:row>58</xdr:row>
      <xdr:rowOff>9525</xdr:rowOff>
    </xdr:to>
    <xdr:sp macro="" textlink="">
      <xdr:nvSpPr>
        <xdr:cNvPr id="820" name="Rectangle 1150"/>
        <xdr:cNvSpPr>
          <a:spLocks noChangeArrowheads="1"/>
        </xdr:cNvSpPr>
      </xdr:nvSpPr>
      <xdr:spPr bwMode="auto">
        <a:xfrm>
          <a:off x="13201650" y="160020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92</xdr:row>
      <xdr:rowOff>0</xdr:rowOff>
    </xdr:from>
    <xdr:to>
      <xdr:col>37</xdr:col>
      <xdr:colOff>190500</xdr:colOff>
      <xdr:row>93</xdr:row>
      <xdr:rowOff>9525</xdr:rowOff>
    </xdr:to>
    <xdr:sp macro="" textlink="">
      <xdr:nvSpPr>
        <xdr:cNvPr id="821" name="Rectangle 1151"/>
        <xdr:cNvSpPr>
          <a:spLocks noChangeArrowheads="1"/>
        </xdr:cNvSpPr>
      </xdr:nvSpPr>
      <xdr:spPr bwMode="auto">
        <a:xfrm>
          <a:off x="13201650" y="254984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128</xdr:row>
      <xdr:rowOff>0</xdr:rowOff>
    </xdr:from>
    <xdr:to>
      <xdr:col>37</xdr:col>
      <xdr:colOff>190500</xdr:colOff>
      <xdr:row>129</xdr:row>
      <xdr:rowOff>9525</xdr:rowOff>
    </xdr:to>
    <xdr:sp macro="" textlink="">
      <xdr:nvSpPr>
        <xdr:cNvPr id="822" name="Rectangle 1152"/>
        <xdr:cNvSpPr>
          <a:spLocks noChangeArrowheads="1"/>
        </xdr:cNvSpPr>
      </xdr:nvSpPr>
      <xdr:spPr bwMode="auto">
        <a:xfrm>
          <a:off x="13201650" y="353187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164</xdr:row>
      <xdr:rowOff>0</xdr:rowOff>
    </xdr:from>
    <xdr:to>
      <xdr:col>37</xdr:col>
      <xdr:colOff>190500</xdr:colOff>
      <xdr:row>165</xdr:row>
      <xdr:rowOff>9525</xdr:rowOff>
    </xdr:to>
    <xdr:sp macro="" textlink="">
      <xdr:nvSpPr>
        <xdr:cNvPr id="823" name="Rectangle 1153"/>
        <xdr:cNvSpPr>
          <a:spLocks noChangeArrowheads="1"/>
        </xdr:cNvSpPr>
      </xdr:nvSpPr>
      <xdr:spPr bwMode="auto">
        <a:xfrm>
          <a:off x="13201650" y="4529137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199</xdr:row>
      <xdr:rowOff>0</xdr:rowOff>
    </xdr:from>
    <xdr:to>
      <xdr:col>37</xdr:col>
      <xdr:colOff>190500</xdr:colOff>
      <xdr:row>200</xdr:row>
      <xdr:rowOff>9525</xdr:rowOff>
    </xdr:to>
    <xdr:sp macro="" textlink="">
      <xdr:nvSpPr>
        <xdr:cNvPr id="824" name="Rectangle 1154"/>
        <xdr:cNvSpPr>
          <a:spLocks noChangeArrowheads="1"/>
        </xdr:cNvSpPr>
      </xdr:nvSpPr>
      <xdr:spPr bwMode="auto">
        <a:xfrm>
          <a:off x="13201650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36</xdr:col>
      <xdr:colOff>190500</xdr:colOff>
      <xdr:row>211</xdr:row>
      <xdr:rowOff>0</xdr:rowOff>
    </xdr:from>
    <xdr:to>
      <xdr:col>37</xdr:col>
      <xdr:colOff>190500</xdr:colOff>
      <xdr:row>211</xdr:row>
      <xdr:rowOff>0</xdr:rowOff>
    </xdr:to>
    <xdr:sp macro="" textlink="">
      <xdr:nvSpPr>
        <xdr:cNvPr id="825" name="Rectangle 1155"/>
        <xdr:cNvSpPr>
          <a:spLocks noChangeArrowheads="1"/>
        </xdr:cNvSpPr>
      </xdr:nvSpPr>
      <xdr:spPr bwMode="auto">
        <a:xfrm>
          <a:off x="13201650" y="5810250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234</xdr:row>
      <xdr:rowOff>0</xdr:rowOff>
    </xdr:from>
    <xdr:to>
      <xdr:col>37</xdr:col>
      <xdr:colOff>190500</xdr:colOff>
      <xdr:row>235</xdr:row>
      <xdr:rowOff>9525</xdr:rowOff>
    </xdr:to>
    <xdr:sp macro="" textlink="">
      <xdr:nvSpPr>
        <xdr:cNvPr id="826" name="Rectangle 1156"/>
        <xdr:cNvSpPr>
          <a:spLocks noChangeArrowheads="1"/>
        </xdr:cNvSpPr>
      </xdr:nvSpPr>
      <xdr:spPr bwMode="auto">
        <a:xfrm>
          <a:off x="13201650" y="649700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234</xdr:row>
      <xdr:rowOff>0</xdr:rowOff>
    </xdr:from>
    <xdr:to>
      <xdr:col>29</xdr:col>
      <xdr:colOff>200025</xdr:colOff>
      <xdr:row>235</xdr:row>
      <xdr:rowOff>9525</xdr:rowOff>
    </xdr:to>
    <xdr:sp macro="" textlink="">
      <xdr:nvSpPr>
        <xdr:cNvPr id="827" name="Rectangle 1209"/>
        <xdr:cNvSpPr>
          <a:spLocks noChangeArrowheads="1"/>
        </xdr:cNvSpPr>
      </xdr:nvSpPr>
      <xdr:spPr bwMode="auto">
        <a:xfrm>
          <a:off x="9991725" y="649700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211</xdr:row>
      <xdr:rowOff>0</xdr:rowOff>
    </xdr:from>
    <xdr:to>
      <xdr:col>29</xdr:col>
      <xdr:colOff>200025</xdr:colOff>
      <xdr:row>211</xdr:row>
      <xdr:rowOff>0</xdr:rowOff>
    </xdr:to>
    <xdr:sp macro="" textlink="">
      <xdr:nvSpPr>
        <xdr:cNvPr id="828" name="Rectangle 1210"/>
        <xdr:cNvSpPr>
          <a:spLocks noChangeArrowheads="1"/>
        </xdr:cNvSpPr>
      </xdr:nvSpPr>
      <xdr:spPr bwMode="auto">
        <a:xfrm>
          <a:off x="9991725" y="58102500"/>
          <a:ext cx="504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199</xdr:row>
      <xdr:rowOff>0</xdr:rowOff>
    </xdr:from>
    <xdr:to>
      <xdr:col>29</xdr:col>
      <xdr:colOff>200025</xdr:colOff>
      <xdr:row>200</xdr:row>
      <xdr:rowOff>9525</xdr:rowOff>
    </xdr:to>
    <xdr:sp macro="" textlink="">
      <xdr:nvSpPr>
        <xdr:cNvPr id="829" name="Rectangle 1211"/>
        <xdr:cNvSpPr>
          <a:spLocks noChangeArrowheads="1"/>
        </xdr:cNvSpPr>
      </xdr:nvSpPr>
      <xdr:spPr bwMode="auto">
        <a:xfrm>
          <a:off x="9991725" y="549211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830" name="Rectangle 1212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831" name="Rectangle 1213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832" name="Rectangle 1214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57</xdr:row>
      <xdr:rowOff>0</xdr:rowOff>
    </xdr:from>
    <xdr:to>
      <xdr:col>29</xdr:col>
      <xdr:colOff>200025</xdr:colOff>
      <xdr:row>58</xdr:row>
      <xdr:rowOff>9525</xdr:rowOff>
    </xdr:to>
    <xdr:sp macro="" textlink="">
      <xdr:nvSpPr>
        <xdr:cNvPr id="833" name="Rectangle 1215"/>
        <xdr:cNvSpPr>
          <a:spLocks noChangeArrowheads="1"/>
        </xdr:cNvSpPr>
      </xdr:nvSpPr>
      <xdr:spPr bwMode="auto">
        <a:xfrm>
          <a:off x="9991725" y="160020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0</xdr:row>
      <xdr:rowOff>0</xdr:rowOff>
    </xdr:from>
    <xdr:to>
      <xdr:col>29</xdr:col>
      <xdr:colOff>200025</xdr:colOff>
      <xdr:row>0</xdr:row>
      <xdr:rowOff>0</xdr:rowOff>
    </xdr:to>
    <xdr:sp macro="" textlink="">
      <xdr:nvSpPr>
        <xdr:cNvPr id="834" name="Rectangle 1216"/>
        <xdr:cNvSpPr>
          <a:spLocks noChangeArrowheads="1"/>
        </xdr:cNvSpPr>
      </xdr:nvSpPr>
      <xdr:spPr bwMode="auto">
        <a:xfrm>
          <a:off x="9991725" y="0"/>
          <a:ext cx="504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180975</xdr:colOff>
      <xdr:row>21</xdr:row>
      <xdr:rowOff>0</xdr:rowOff>
    </xdr:from>
    <xdr:to>
      <xdr:col>19</xdr:col>
      <xdr:colOff>190500</xdr:colOff>
      <xdr:row>22</xdr:row>
      <xdr:rowOff>9525</xdr:rowOff>
    </xdr:to>
    <xdr:sp macro="" textlink="">
      <xdr:nvSpPr>
        <xdr:cNvPr id="835" name="Rectangle 1242"/>
        <xdr:cNvSpPr>
          <a:spLocks noChangeArrowheads="1"/>
        </xdr:cNvSpPr>
      </xdr:nvSpPr>
      <xdr:spPr bwMode="auto">
        <a:xfrm>
          <a:off x="5829300" y="60293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21</xdr:row>
      <xdr:rowOff>0</xdr:rowOff>
    </xdr:from>
    <xdr:to>
      <xdr:col>11</xdr:col>
      <xdr:colOff>200025</xdr:colOff>
      <xdr:row>22</xdr:row>
      <xdr:rowOff>9525</xdr:rowOff>
    </xdr:to>
    <xdr:sp macro="" textlink="">
      <xdr:nvSpPr>
        <xdr:cNvPr id="836" name="Rectangle 1243"/>
        <xdr:cNvSpPr>
          <a:spLocks noChangeArrowheads="1"/>
        </xdr:cNvSpPr>
      </xdr:nvSpPr>
      <xdr:spPr bwMode="auto">
        <a:xfrm>
          <a:off x="2209800" y="60293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21</xdr:row>
      <xdr:rowOff>0</xdr:rowOff>
    </xdr:from>
    <xdr:to>
      <xdr:col>13</xdr:col>
      <xdr:colOff>200025</xdr:colOff>
      <xdr:row>22</xdr:row>
      <xdr:rowOff>9525</xdr:rowOff>
    </xdr:to>
    <xdr:sp macro="" textlink="">
      <xdr:nvSpPr>
        <xdr:cNvPr id="837" name="Rectangle 1244"/>
        <xdr:cNvSpPr>
          <a:spLocks noChangeArrowheads="1"/>
        </xdr:cNvSpPr>
      </xdr:nvSpPr>
      <xdr:spPr bwMode="auto">
        <a:xfrm>
          <a:off x="3057525" y="60293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21</xdr:row>
      <xdr:rowOff>0</xdr:rowOff>
    </xdr:from>
    <xdr:to>
      <xdr:col>15</xdr:col>
      <xdr:colOff>200025</xdr:colOff>
      <xdr:row>22</xdr:row>
      <xdr:rowOff>9525</xdr:rowOff>
    </xdr:to>
    <xdr:sp macro="" textlink="">
      <xdr:nvSpPr>
        <xdr:cNvPr id="838" name="Rectangle 1245"/>
        <xdr:cNvSpPr>
          <a:spLocks noChangeArrowheads="1"/>
        </xdr:cNvSpPr>
      </xdr:nvSpPr>
      <xdr:spPr bwMode="auto">
        <a:xfrm>
          <a:off x="3933825" y="602932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21</xdr:row>
      <xdr:rowOff>0</xdr:rowOff>
    </xdr:from>
    <xdr:to>
      <xdr:col>17</xdr:col>
      <xdr:colOff>200025</xdr:colOff>
      <xdr:row>22</xdr:row>
      <xdr:rowOff>9525</xdr:rowOff>
    </xdr:to>
    <xdr:sp macro="" textlink="">
      <xdr:nvSpPr>
        <xdr:cNvPr id="839" name="Rectangle 1246"/>
        <xdr:cNvSpPr>
          <a:spLocks noChangeArrowheads="1"/>
        </xdr:cNvSpPr>
      </xdr:nvSpPr>
      <xdr:spPr bwMode="auto">
        <a:xfrm>
          <a:off x="4943475" y="60293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21</xdr:row>
      <xdr:rowOff>0</xdr:rowOff>
    </xdr:from>
    <xdr:to>
      <xdr:col>19</xdr:col>
      <xdr:colOff>200025</xdr:colOff>
      <xdr:row>22</xdr:row>
      <xdr:rowOff>9525</xdr:rowOff>
    </xdr:to>
    <xdr:sp macro="" textlink="">
      <xdr:nvSpPr>
        <xdr:cNvPr id="840" name="Rectangle 1247"/>
        <xdr:cNvSpPr>
          <a:spLocks noChangeArrowheads="1"/>
        </xdr:cNvSpPr>
      </xdr:nvSpPr>
      <xdr:spPr bwMode="auto">
        <a:xfrm>
          <a:off x="5838825" y="60293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21</xdr:row>
      <xdr:rowOff>0</xdr:rowOff>
    </xdr:from>
    <xdr:to>
      <xdr:col>21</xdr:col>
      <xdr:colOff>200025</xdr:colOff>
      <xdr:row>22</xdr:row>
      <xdr:rowOff>9525</xdr:rowOff>
    </xdr:to>
    <xdr:sp macro="" textlink="">
      <xdr:nvSpPr>
        <xdr:cNvPr id="841" name="Rectangle 1248"/>
        <xdr:cNvSpPr>
          <a:spLocks noChangeArrowheads="1"/>
        </xdr:cNvSpPr>
      </xdr:nvSpPr>
      <xdr:spPr bwMode="auto">
        <a:xfrm>
          <a:off x="6648450" y="60293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21</xdr:row>
      <xdr:rowOff>0</xdr:rowOff>
    </xdr:from>
    <xdr:to>
      <xdr:col>23</xdr:col>
      <xdr:colOff>200025</xdr:colOff>
      <xdr:row>22</xdr:row>
      <xdr:rowOff>9525</xdr:rowOff>
    </xdr:to>
    <xdr:sp macro="" textlink="">
      <xdr:nvSpPr>
        <xdr:cNvPr id="842" name="Rectangle 1249"/>
        <xdr:cNvSpPr>
          <a:spLocks noChangeArrowheads="1"/>
        </xdr:cNvSpPr>
      </xdr:nvSpPr>
      <xdr:spPr bwMode="auto">
        <a:xfrm>
          <a:off x="7505700" y="60293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21</xdr:row>
      <xdr:rowOff>0</xdr:rowOff>
    </xdr:from>
    <xdr:to>
      <xdr:col>25</xdr:col>
      <xdr:colOff>200025</xdr:colOff>
      <xdr:row>22</xdr:row>
      <xdr:rowOff>9525</xdr:rowOff>
    </xdr:to>
    <xdr:sp macro="" textlink="">
      <xdr:nvSpPr>
        <xdr:cNvPr id="843" name="Rectangle 1250"/>
        <xdr:cNvSpPr>
          <a:spLocks noChangeArrowheads="1"/>
        </xdr:cNvSpPr>
      </xdr:nvSpPr>
      <xdr:spPr bwMode="auto">
        <a:xfrm>
          <a:off x="8315325" y="60293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21</xdr:row>
      <xdr:rowOff>0</xdr:rowOff>
    </xdr:from>
    <xdr:to>
      <xdr:col>27</xdr:col>
      <xdr:colOff>200025</xdr:colOff>
      <xdr:row>22</xdr:row>
      <xdr:rowOff>9525</xdr:rowOff>
    </xdr:to>
    <xdr:sp macro="" textlink="">
      <xdr:nvSpPr>
        <xdr:cNvPr id="844" name="Rectangle 1251"/>
        <xdr:cNvSpPr>
          <a:spLocks noChangeArrowheads="1"/>
        </xdr:cNvSpPr>
      </xdr:nvSpPr>
      <xdr:spPr bwMode="auto">
        <a:xfrm>
          <a:off x="9163050" y="60293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21</xdr:row>
      <xdr:rowOff>0</xdr:rowOff>
    </xdr:from>
    <xdr:to>
      <xdr:col>31</xdr:col>
      <xdr:colOff>200025</xdr:colOff>
      <xdr:row>22</xdr:row>
      <xdr:rowOff>9525</xdr:rowOff>
    </xdr:to>
    <xdr:sp macro="" textlink="">
      <xdr:nvSpPr>
        <xdr:cNvPr id="845" name="Rectangle 1252"/>
        <xdr:cNvSpPr>
          <a:spLocks noChangeArrowheads="1"/>
        </xdr:cNvSpPr>
      </xdr:nvSpPr>
      <xdr:spPr bwMode="auto">
        <a:xfrm>
          <a:off x="10868025" y="60293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21</xdr:row>
      <xdr:rowOff>0</xdr:rowOff>
    </xdr:from>
    <xdr:to>
      <xdr:col>33</xdr:col>
      <xdr:colOff>200025</xdr:colOff>
      <xdr:row>22</xdr:row>
      <xdr:rowOff>9525</xdr:rowOff>
    </xdr:to>
    <xdr:sp macro="" textlink="">
      <xdr:nvSpPr>
        <xdr:cNvPr id="846" name="Rectangle 1253"/>
        <xdr:cNvSpPr>
          <a:spLocks noChangeArrowheads="1"/>
        </xdr:cNvSpPr>
      </xdr:nvSpPr>
      <xdr:spPr bwMode="auto">
        <a:xfrm>
          <a:off x="11649075" y="60293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21</xdr:row>
      <xdr:rowOff>0</xdr:rowOff>
    </xdr:from>
    <xdr:to>
      <xdr:col>29</xdr:col>
      <xdr:colOff>200025</xdr:colOff>
      <xdr:row>22</xdr:row>
      <xdr:rowOff>9525</xdr:rowOff>
    </xdr:to>
    <xdr:sp macro="" textlink="">
      <xdr:nvSpPr>
        <xdr:cNvPr id="847" name="Rectangle 1254"/>
        <xdr:cNvSpPr>
          <a:spLocks noChangeArrowheads="1"/>
        </xdr:cNvSpPr>
      </xdr:nvSpPr>
      <xdr:spPr bwMode="auto">
        <a:xfrm>
          <a:off x="9991725" y="60293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57</xdr:row>
      <xdr:rowOff>0</xdr:rowOff>
    </xdr:from>
    <xdr:to>
      <xdr:col>11</xdr:col>
      <xdr:colOff>200025</xdr:colOff>
      <xdr:row>58</xdr:row>
      <xdr:rowOff>9525</xdr:rowOff>
    </xdr:to>
    <xdr:sp macro="" textlink="">
      <xdr:nvSpPr>
        <xdr:cNvPr id="848" name="Rectangle 1255"/>
        <xdr:cNvSpPr>
          <a:spLocks noChangeArrowheads="1"/>
        </xdr:cNvSpPr>
      </xdr:nvSpPr>
      <xdr:spPr bwMode="auto">
        <a:xfrm>
          <a:off x="2209800" y="160020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57</xdr:row>
      <xdr:rowOff>0</xdr:rowOff>
    </xdr:from>
    <xdr:to>
      <xdr:col>13</xdr:col>
      <xdr:colOff>200025</xdr:colOff>
      <xdr:row>58</xdr:row>
      <xdr:rowOff>9525</xdr:rowOff>
    </xdr:to>
    <xdr:sp macro="" textlink="">
      <xdr:nvSpPr>
        <xdr:cNvPr id="849" name="Rectangle 1256"/>
        <xdr:cNvSpPr>
          <a:spLocks noChangeArrowheads="1"/>
        </xdr:cNvSpPr>
      </xdr:nvSpPr>
      <xdr:spPr bwMode="auto">
        <a:xfrm>
          <a:off x="3057525" y="160020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57</xdr:row>
      <xdr:rowOff>0</xdr:rowOff>
    </xdr:from>
    <xdr:to>
      <xdr:col>15</xdr:col>
      <xdr:colOff>200025</xdr:colOff>
      <xdr:row>58</xdr:row>
      <xdr:rowOff>9525</xdr:rowOff>
    </xdr:to>
    <xdr:sp macro="" textlink="">
      <xdr:nvSpPr>
        <xdr:cNvPr id="850" name="Rectangle 1257"/>
        <xdr:cNvSpPr>
          <a:spLocks noChangeArrowheads="1"/>
        </xdr:cNvSpPr>
      </xdr:nvSpPr>
      <xdr:spPr bwMode="auto">
        <a:xfrm>
          <a:off x="3933825" y="1600200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57</xdr:row>
      <xdr:rowOff>0</xdr:rowOff>
    </xdr:from>
    <xdr:to>
      <xdr:col>17</xdr:col>
      <xdr:colOff>200025</xdr:colOff>
      <xdr:row>58</xdr:row>
      <xdr:rowOff>9525</xdr:rowOff>
    </xdr:to>
    <xdr:sp macro="" textlink="">
      <xdr:nvSpPr>
        <xdr:cNvPr id="851" name="Rectangle 1258"/>
        <xdr:cNvSpPr>
          <a:spLocks noChangeArrowheads="1"/>
        </xdr:cNvSpPr>
      </xdr:nvSpPr>
      <xdr:spPr bwMode="auto">
        <a:xfrm>
          <a:off x="4943475" y="160020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57</xdr:row>
      <xdr:rowOff>0</xdr:rowOff>
    </xdr:from>
    <xdr:to>
      <xdr:col>19</xdr:col>
      <xdr:colOff>200025</xdr:colOff>
      <xdr:row>58</xdr:row>
      <xdr:rowOff>9525</xdr:rowOff>
    </xdr:to>
    <xdr:sp macro="" textlink="">
      <xdr:nvSpPr>
        <xdr:cNvPr id="852" name="Rectangle 1259"/>
        <xdr:cNvSpPr>
          <a:spLocks noChangeArrowheads="1"/>
        </xdr:cNvSpPr>
      </xdr:nvSpPr>
      <xdr:spPr bwMode="auto">
        <a:xfrm>
          <a:off x="5838825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57</xdr:row>
      <xdr:rowOff>0</xdr:rowOff>
    </xdr:from>
    <xdr:to>
      <xdr:col>21</xdr:col>
      <xdr:colOff>200025</xdr:colOff>
      <xdr:row>58</xdr:row>
      <xdr:rowOff>9525</xdr:rowOff>
    </xdr:to>
    <xdr:sp macro="" textlink="">
      <xdr:nvSpPr>
        <xdr:cNvPr id="853" name="Rectangle 1260"/>
        <xdr:cNvSpPr>
          <a:spLocks noChangeArrowheads="1"/>
        </xdr:cNvSpPr>
      </xdr:nvSpPr>
      <xdr:spPr bwMode="auto">
        <a:xfrm>
          <a:off x="6648450" y="1600200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57</xdr:row>
      <xdr:rowOff>0</xdr:rowOff>
    </xdr:from>
    <xdr:to>
      <xdr:col>23</xdr:col>
      <xdr:colOff>200025</xdr:colOff>
      <xdr:row>58</xdr:row>
      <xdr:rowOff>9525</xdr:rowOff>
    </xdr:to>
    <xdr:sp macro="" textlink="">
      <xdr:nvSpPr>
        <xdr:cNvPr id="854" name="Rectangle 1261"/>
        <xdr:cNvSpPr>
          <a:spLocks noChangeArrowheads="1"/>
        </xdr:cNvSpPr>
      </xdr:nvSpPr>
      <xdr:spPr bwMode="auto">
        <a:xfrm>
          <a:off x="7505700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57</xdr:row>
      <xdr:rowOff>0</xdr:rowOff>
    </xdr:from>
    <xdr:to>
      <xdr:col>25</xdr:col>
      <xdr:colOff>200025</xdr:colOff>
      <xdr:row>58</xdr:row>
      <xdr:rowOff>9525</xdr:rowOff>
    </xdr:to>
    <xdr:sp macro="" textlink="">
      <xdr:nvSpPr>
        <xdr:cNvPr id="855" name="Rectangle 1262"/>
        <xdr:cNvSpPr>
          <a:spLocks noChangeArrowheads="1"/>
        </xdr:cNvSpPr>
      </xdr:nvSpPr>
      <xdr:spPr bwMode="auto">
        <a:xfrm>
          <a:off x="8315325" y="160020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57</xdr:row>
      <xdr:rowOff>0</xdr:rowOff>
    </xdr:from>
    <xdr:to>
      <xdr:col>27</xdr:col>
      <xdr:colOff>200025</xdr:colOff>
      <xdr:row>58</xdr:row>
      <xdr:rowOff>9525</xdr:rowOff>
    </xdr:to>
    <xdr:sp macro="" textlink="">
      <xdr:nvSpPr>
        <xdr:cNvPr id="856" name="Rectangle 1263"/>
        <xdr:cNvSpPr>
          <a:spLocks noChangeArrowheads="1"/>
        </xdr:cNvSpPr>
      </xdr:nvSpPr>
      <xdr:spPr bwMode="auto">
        <a:xfrm>
          <a:off x="9163050" y="160020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57</xdr:row>
      <xdr:rowOff>0</xdr:rowOff>
    </xdr:from>
    <xdr:to>
      <xdr:col>31</xdr:col>
      <xdr:colOff>200025</xdr:colOff>
      <xdr:row>58</xdr:row>
      <xdr:rowOff>9525</xdr:rowOff>
    </xdr:to>
    <xdr:sp macro="" textlink="">
      <xdr:nvSpPr>
        <xdr:cNvPr id="857" name="Rectangle 1264"/>
        <xdr:cNvSpPr>
          <a:spLocks noChangeArrowheads="1"/>
        </xdr:cNvSpPr>
      </xdr:nvSpPr>
      <xdr:spPr bwMode="auto">
        <a:xfrm>
          <a:off x="10868025" y="160020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57</xdr:row>
      <xdr:rowOff>0</xdr:rowOff>
    </xdr:from>
    <xdr:to>
      <xdr:col>33</xdr:col>
      <xdr:colOff>200025</xdr:colOff>
      <xdr:row>58</xdr:row>
      <xdr:rowOff>9525</xdr:rowOff>
    </xdr:to>
    <xdr:sp macro="" textlink="">
      <xdr:nvSpPr>
        <xdr:cNvPr id="858" name="Rectangle 1265"/>
        <xdr:cNvSpPr>
          <a:spLocks noChangeArrowheads="1"/>
        </xdr:cNvSpPr>
      </xdr:nvSpPr>
      <xdr:spPr bwMode="auto">
        <a:xfrm>
          <a:off x="11649075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57</xdr:row>
      <xdr:rowOff>0</xdr:rowOff>
    </xdr:from>
    <xdr:to>
      <xdr:col>29</xdr:col>
      <xdr:colOff>200025</xdr:colOff>
      <xdr:row>58</xdr:row>
      <xdr:rowOff>9525</xdr:rowOff>
    </xdr:to>
    <xdr:sp macro="" textlink="">
      <xdr:nvSpPr>
        <xdr:cNvPr id="859" name="Rectangle 1266"/>
        <xdr:cNvSpPr>
          <a:spLocks noChangeArrowheads="1"/>
        </xdr:cNvSpPr>
      </xdr:nvSpPr>
      <xdr:spPr bwMode="auto">
        <a:xfrm>
          <a:off x="9991725" y="160020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92</xdr:row>
      <xdr:rowOff>0</xdr:rowOff>
    </xdr:from>
    <xdr:to>
      <xdr:col>11</xdr:col>
      <xdr:colOff>200025</xdr:colOff>
      <xdr:row>93</xdr:row>
      <xdr:rowOff>9525</xdr:rowOff>
    </xdr:to>
    <xdr:sp macro="" textlink="">
      <xdr:nvSpPr>
        <xdr:cNvPr id="860" name="Rectangle 1267"/>
        <xdr:cNvSpPr>
          <a:spLocks noChangeArrowheads="1"/>
        </xdr:cNvSpPr>
      </xdr:nvSpPr>
      <xdr:spPr bwMode="auto">
        <a:xfrm>
          <a:off x="2209800" y="254984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92</xdr:row>
      <xdr:rowOff>0</xdr:rowOff>
    </xdr:from>
    <xdr:to>
      <xdr:col>13</xdr:col>
      <xdr:colOff>200025</xdr:colOff>
      <xdr:row>93</xdr:row>
      <xdr:rowOff>9525</xdr:rowOff>
    </xdr:to>
    <xdr:sp macro="" textlink="">
      <xdr:nvSpPr>
        <xdr:cNvPr id="861" name="Rectangle 1268"/>
        <xdr:cNvSpPr>
          <a:spLocks noChangeArrowheads="1"/>
        </xdr:cNvSpPr>
      </xdr:nvSpPr>
      <xdr:spPr bwMode="auto">
        <a:xfrm>
          <a:off x="3057525" y="254984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92</xdr:row>
      <xdr:rowOff>0</xdr:rowOff>
    </xdr:from>
    <xdr:to>
      <xdr:col>15</xdr:col>
      <xdr:colOff>200025</xdr:colOff>
      <xdr:row>93</xdr:row>
      <xdr:rowOff>9525</xdr:rowOff>
    </xdr:to>
    <xdr:sp macro="" textlink="">
      <xdr:nvSpPr>
        <xdr:cNvPr id="862" name="Rectangle 1269"/>
        <xdr:cNvSpPr>
          <a:spLocks noChangeArrowheads="1"/>
        </xdr:cNvSpPr>
      </xdr:nvSpPr>
      <xdr:spPr bwMode="auto">
        <a:xfrm>
          <a:off x="3933825" y="2549842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92</xdr:row>
      <xdr:rowOff>0</xdr:rowOff>
    </xdr:from>
    <xdr:to>
      <xdr:col>17</xdr:col>
      <xdr:colOff>200025</xdr:colOff>
      <xdr:row>93</xdr:row>
      <xdr:rowOff>9525</xdr:rowOff>
    </xdr:to>
    <xdr:sp macro="" textlink="">
      <xdr:nvSpPr>
        <xdr:cNvPr id="863" name="Rectangle 1270"/>
        <xdr:cNvSpPr>
          <a:spLocks noChangeArrowheads="1"/>
        </xdr:cNvSpPr>
      </xdr:nvSpPr>
      <xdr:spPr bwMode="auto">
        <a:xfrm>
          <a:off x="4943475" y="254984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92</xdr:row>
      <xdr:rowOff>0</xdr:rowOff>
    </xdr:from>
    <xdr:to>
      <xdr:col>19</xdr:col>
      <xdr:colOff>200025</xdr:colOff>
      <xdr:row>93</xdr:row>
      <xdr:rowOff>9525</xdr:rowOff>
    </xdr:to>
    <xdr:sp macro="" textlink="">
      <xdr:nvSpPr>
        <xdr:cNvPr id="864" name="Rectangle 1271"/>
        <xdr:cNvSpPr>
          <a:spLocks noChangeArrowheads="1"/>
        </xdr:cNvSpPr>
      </xdr:nvSpPr>
      <xdr:spPr bwMode="auto">
        <a:xfrm>
          <a:off x="583882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92</xdr:row>
      <xdr:rowOff>0</xdr:rowOff>
    </xdr:from>
    <xdr:to>
      <xdr:col>21</xdr:col>
      <xdr:colOff>200025</xdr:colOff>
      <xdr:row>93</xdr:row>
      <xdr:rowOff>9525</xdr:rowOff>
    </xdr:to>
    <xdr:sp macro="" textlink="">
      <xdr:nvSpPr>
        <xdr:cNvPr id="865" name="Rectangle 1272"/>
        <xdr:cNvSpPr>
          <a:spLocks noChangeArrowheads="1"/>
        </xdr:cNvSpPr>
      </xdr:nvSpPr>
      <xdr:spPr bwMode="auto">
        <a:xfrm>
          <a:off x="6648450" y="254984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92</xdr:row>
      <xdr:rowOff>0</xdr:rowOff>
    </xdr:from>
    <xdr:to>
      <xdr:col>23</xdr:col>
      <xdr:colOff>200025</xdr:colOff>
      <xdr:row>93</xdr:row>
      <xdr:rowOff>9525</xdr:rowOff>
    </xdr:to>
    <xdr:sp macro="" textlink="">
      <xdr:nvSpPr>
        <xdr:cNvPr id="866" name="Rectangle 1273"/>
        <xdr:cNvSpPr>
          <a:spLocks noChangeArrowheads="1"/>
        </xdr:cNvSpPr>
      </xdr:nvSpPr>
      <xdr:spPr bwMode="auto">
        <a:xfrm>
          <a:off x="7505700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92</xdr:row>
      <xdr:rowOff>0</xdr:rowOff>
    </xdr:from>
    <xdr:to>
      <xdr:col>25</xdr:col>
      <xdr:colOff>200025</xdr:colOff>
      <xdr:row>93</xdr:row>
      <xdr:rowOff>9525</xdr:rowOff>
    </xdr:to>
    <xdr:sp macro="" textlink="">
      <xdr:nvSpPr>
        <xdr:cNvPr id="867" name="Rectangle 1274"/>
        <xdr:cNvSpPr>
          <a:spLocks noChangeArrowheads="1"/>
        </xdr:cNvSpPr>
      </xdr:nvSpPr>
      <xdr:spPr bwMode="auto">
        <a:xfrm>
          <a:off x="8315325" y="254984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92</xdr:row>
      <xdr:rowOff>0</xdr:rowOff>
    </xdr:from>
    <xdr:to>
      <xdr:col>27</xdr:col>
      <xdr:colOff>200025</xdr:colOff>
      <xdr:row>93</xdr:row>
      <xdr:rowOff>9525</xdr:rowOff>
    </xdr:to>
    <xdr:sp macro="" textlink="">
      <xdr:nvSpPr>
        <xdr:cNvPr id="868" name="Rectangle 1275"/>
        <xdr:cNvSpPr>
          <a:spLocks noChangeArrowheads="1"/>
        </xdr:cNvSpPr>
      </xdr:nvSpPr>
      <xdr:spPr bwMode="auto">
        <a:xfrm>
          <a:off x="9163050" y="254984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869" name="Rectangle 1276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870" name="Rectangle 1277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871" name="Rectangle 1278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128</xdr:row>
      <xdr:rowOff>0</xdr:rowOff>
    </xdr:from>
    <xdr:to>
      <xdr:col>11</xdr:col>
      <xdr:colOff>200025</xdr:colOff>
      <xdr:row>129</xdr:row>
      <xdr:rowOff>9525</xdr:rowOff>
    </xdr:to>
    <xdr:sp macro="" textlink="">
      <xdr:nvSpPr>
        <xdr:cNvPr id="872" name="Rectangle 1279"/>
        <xdr:cNvSpPr>
          <a:spLocks noChangeArrowheads="1"/>
        </xdr:cNvSpPr>
      </xdr:nvSpPr>
      <xdr:spPr bwMode="auto">
        <a:xfrm>
          <a:off x="2209800" y="353187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128</xdr:row>
      <xdr:rowOff>0</xdr:rowOff>
    </xdr:from>
    <xdr:to>
      <xdr:col>13</xdr:col>
      <xdr:colOff>200025</xdr:colOff>
      <xdr:row>129</xdr:row>
      <xdr:rowOff>9525</xdr:rowOff>
    </xdr:to>
    <xdr:sp macro="" textlink="">
      <xdr:nvSpPr>
        <xdr:cNvPr id="873" name="Rectangle 1280"/>
        <xdr:cNvSpPr>
          <a:spLocks noChangeArrowheads="1"/>
        </xdr:cNvSpPr>
      </xdr:nvSpPr>
      <xdr:spPr bwMode="auto">
        <a:xfrm>
          <a:off x="3057525" y="353187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128</xdr:row>
      <xdr:rowOff>0</xdr:rowOff>
    </xdr:from>
    <xdr:to>
      <xdr:col>15</xdr:col>
      <xdr:colOff>200025</xdr:colOff>
      <xdr:row>129</xdr:row>
      <xdr:rowOff>9525</xdr:rowOff>
    </xdr:to>
    <xdr:sp macro="" textlink="">
      <xdr:nvSpPr>
        <xdr:cNvPr id="874" name="Rectangle 1281"/>
        <xdr:cNvSpPr>
          <a:spLocks noChangeArrowheads="1"/>
        </xdr:cNvSpPr>
      </xdr:nvSpPr>
      <xdr:spPr bwMode="auto">
        <a:xfrm>
          <a:off x="3933825" y="3531870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128</xdr:row>
      <xdr:rowOff>0</xdr:rowOff>
    </xdr:from>
    <xdr:to>
      <xdr:col>17</xdr:col>
      <xdr:colOff>200025</xdr:colOff>
      <xdr:row>129</xdr:row>
      <xdr:rowOff>9525</xdr:rowOff>
    </xdr:to>
    <xdr:sp macro="" textlink="">
      <xdr:nvSpPr>
        <xdr:cNvPr id="875" name="Rectangle 1282"/>
        <xdr:cNvSpPr>
          <a:spLocks noChangeArrowheads="1"/>
        </xdr:cNvSpPr>
      </xdr:nvSpPr>
      <xdr:spPr bwMode="auto">
        <a:xfrm>
          <a:off x="4943475" y="353187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128</xdr:row>
      <xdr:rowOff>0</xdr:rowOff>
    </xdr:from>
    <xdr:to>
      <xdr:col>19</xdr:col>
      <xdr:colOff>200025</xdr:colOff>
      <xdr:row>129</xdr:row>
      <xdr:rowOff>9525</xdr:rowOff>
    </xdr:to>
    <xdr:sp macro="" textlink="">
      <xdr:nvSpPr>
        <xdr:cNvPr id="876" name="Rectangle 1283"/>
        <xdr:cNvSpPr>
          <a:spLocks noChangeArrowheads="1"/>
        </xdr:cNvSpPr>
      </xdr:nvSpPr>
      <xdr:spPr bwMode="auto">
        <a:xfrm>
          <a:off x="583882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128</xdr:row>
      <xdr:rowOff>0</xdr:rowOff>
    </xdr:from>
    <xdr:to>
      <xdr:col>21</xdr:col>
      <xdr:colOff>200025</xdr:colOff>
      <xdr:row>129</xdr:row>
      <xdr:rowOff>9525</xdr:rowOff>
    </xdr:to>
    <xdr:sp macro="" textlink="">
      <xdr:nvSpPr>
        <xdr:cNvPr id="877" name="Rectangle 1284"/>
        <xdr:cNvSpPr>
          <a:spLocks noChangeArrowheads="1"/>
        </xdr:cNvSpPr>
      </xdr:nvSpPr>
      <xdr:spPr bwMode="auto">
        <a:xfrm>
          <a:off x="6648450" y="3531870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128</xdr:row>
      <xdr:rowOff>0</xdr:rowOff>
    </xdr:from>
    <xdr:to>
      <xdr:col>23</xdr:col>
      <xdr:colOff>200025</xdr:colOff>
      <xdr:row>129</xdr:row>
      <xdr:rowOff>9525</xdr:rowOff>
    </xdr:to>
    <xdr:sp macro="" textlink="">
      <xdr:nvSpPr>
        <xdr:cNvPr id="878" name="Rectangle 1285"/>
        <xdr:cNvSpPr>
          <a:spLocks noChangeArrowheads="1"/>
        </xdr:cNvSpPr>
      </xdr:nvSpPr>
      <xdr:spPr bwMode="auto">
        <a:xfrm>
          <a:off x="7505700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128</xdr:row>
      <xdr:rowOff>0</xdr:rowOff>
    </xdr:from>
    <xdr:to>
      <xdr:col>25</xdr:col>
      <xdr:colOff>200025</xdr:colOff>
      <xdr:row>129</xdr:row>
      <xdr:rowOff>9525</xdr:rowOff>
    </xdr:to>
    <xdr:sp macro="" textlink="">
      <xdr:nvSpPr>
        <xdr:cNvPr id="879" name="Rectangle 1286"/>
        <xdr:cNvSpPr>
          <a:spLocks noChangeArrowheads="1"/>
        </xdr:cNvSpPr>
      </xdr:nvSpPr>
      <xdr:spPr bwMode="auto">
        <a:xfrm>
          <a:off x="8315325" y="353187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128</xdr:row>
      <xdr:rowOff>0</xdr:rowOff>
    </xdr:from>
    <xdr:to>
      <xdr:col>27</xdr:col>
      <xdr:colOff>200025</xdr:colOff>
      <xdr:row>129</xdr:row>
      <xdr:rowOff>9525</xdr:rowOff>
    </xdr:to>
    <xdr:sp macro="" textlink="">
      <xdr:nvSpPr>
        <xdr:cNvPr id="880" name="Rectangle 1287"/>
        <xdr:cNvSpPr>
          <a:spLocks noChangeArrowheads="1"/>
        </xdr:cNvSpPr>
      </xdr:nvSpPr>
      <xdr:spPr bwMode="auto">
        <a:xfrm>
          <a:off x="9163050" y="353187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128</xdr:row>
      <xdr:rowOff>0</xdr:rowOff>
    </xdr:from>
    <xdr:to>
      <xdr:col>31</xdr:col>
      <xdr:colOff>200025</xdr:colOff>
      <xdr:row>129</xdr:row>
      <xdr:rowOff>9525</xdr:rowOff>
    </xdr:to>
    <xdr:sp macro="" textlink="">
      <xdr:nvSpPr>
        <xdr:cNvPr id="881" name="Rectangle 1288"/>
        <xdr:cNvSpPr>
          <a:spLocks noChangeArrowheads="1"/>
        </xdr:cNvSpPr>
      </xdr:nvSpPr>
      <xdr:spPr bwMode="auto">
        <a:xfrm>
          <a:off x="10868025" y="353187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128</xdr:row>
      <xdr:rowOff>0</xdr:rowOff>
    </xdr:from>
    <xdr:to>
      <xdr:col>33</xdr:col>
      <xdr:colOff>200025</xdr:colOff>
      <xdr:row>129</xdr:row>
      <xdr:rowOff>9525</xdr:rowOff>
    </xdr:to>
    <xdr:sp macro="" textlink="">
      <xdr:nvSpPr>
        <xdr:cNvPr id="882" name="Rectangle 1289"/>
        <xdr:cNvSpPr>
          <a:spLocks noChangeArrowheads="1"/>
        </xdr:cNvSpPr>
      </xdr:nvSpPr>
      <xdr:spPr bwMode="auto">
        <a:xfrm>
          <a:off x="1164907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883" name="Rectangle 1290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164</xdr:row>
      <xdr:rowOff>0</xdr:rowOff>
    </xdr:from>
    <xdr:to>
      <xdr:col>11</xdr:col>
      <xdr:colOff>200025</xdr:colOff>
      <xdr:row>165</xdr:row>
      <xdr:rowOff>9525</xdr:rowOff>
    </xdr:to>
    <xdr:sp macro="" textlink="">
      <xdr:nvSpPr>
        <xdr:cNvPr id="884" name="Rectangle 1291"/>
        <xdr:cNvSpPr>
          <a:spLocks noChangeArrowheads="1"/>
        </xdr:cNvSpPr>
      </xdr:nvSpPr>
      <xdr:spPr bwMode="auto">
        <a:xfrm>
          <a:off x="2209800" y="4529137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164</xdr:row>
      <xdr:rowOff>0</xdr:rowOff>
    </xdr:from>
    <xdr:to>
      <xdr:col>13</xdr:col>
      <xdr:colOff>200025</xdr:colOff>
      <xdr:row>165</xdr:row>
      <xdr:rowOff>9525</xdr:rowOff>
    </xdr:to>
    <xdr:sp macro="" textlink="">
      <xdr:nvSpPr>
        <xdr:cNvPr id="885" name="Rectangle 1292"/>
        <xdr:cNvSpPr>
          <a:spLocks noChangeArrowheads="1"/>
        </xdr:cNvSpPr>
      </xdr:nvSpPr>
      <xdr:spPr bwMode="auto">
        <a:xfrm>
          <a:off x="3057525" y="4529137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164</xdr:row>
      <xdr:rowOff>0</xdr:rowOff>
    </xdr:from>
    <xdr:to>
      <xdr:col>15</xdr:col>
      <xdr:colOff>200025</xdr:colOff>
      <xdr:row>165</xdr:row>
      <xdr:rowOff>9525</xdr:rowOff>
    </xdr:to>
    <xdr:sp macro="" textlink="">
      <xdr:nvSpPr>
        <xdr:cNvPr id="886" name="Rectangle 1293"/>
        <xdr:cNvSpPr>
          <a:spLocks noChangeArrowheads="1"/>
        </xdr:cNvSpPr>
      </xdr:nvSpPr>
      <xdr:spPr bwMode="auto">
        <a:xfrm>
          <a:off x="3933825" y="4529137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164</xdr:row>
      <xdr:rowOff>0</xdr:rowOff>
    </xdr:from>
    <xdr:to>
      <xdr:col>17</xdr:col>
      <xdr:colOff>200025</xdr:colOff>
      <xdr:row>165</xdr:row>
      <xdr:rowOff>9525</xdr:rowOff>
    </xdr:to>
    <xdr:sp macro="" textlink="">
      <xdr:nvSpPr>
        <xdr:cNvPr id="887" name="Rectangle 1294"/>
        <xdr:cNvSpPr>
          <a:spLocks noChangeArrowheads="1"/>
        </xdr:cNvSpPr>
      </xdr:nvSpPr>
      <xdr:spPr bwMode="auto">
        <a:xfrm>
          <a:off x="4943475" y="4529137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164</xdr:row>
      <xdr:rowOff>0</xdr:rowOff>
    </xdr:from>
    <xdr:to>
      <xdr:col>19</xdr:col>
      <xdr:colOff>200025</xdr:colOff>
      <xdr:row>165</xdr:row>
      <xdr:rowOff>9525</xdr:rowOff>
    </xdr:to>
    <xdr:sp macro="" textlink="">
      <xdr:nvSpPr>
        <xdr:cNvPr id="888" name="Rectangle 1295"/>
        <xdr:cNvSpPr>
          <a:spLocks noChangeArrowheads="1"/>
        </xdr:cNvSpPr>
      </xdr:nvSpPr>
      <xdr:spPr bwMode="auto">
        <a:xfrm>
          <a:off x="583882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164</xdr:row>
      <xdr:rowOff>0</xdr:rowOff>
    </xdr:from>
    <xdr:to>
      <xdr:col>21</xdr:col>
      <xdr:colOff>200025</xdr:colOff>
      <xdr:row>165</xdr:row>
      <xdr:rowOff>9525</xdr:rowOff>
    </xdr:to>
    <xdr:sp macro="" textlink="">
      <xdr:nvSpPr>
        <xdr:cNvPr id="889" name="Rectangle 1296"/>
        <xdr:cNvSpPr>
          <a:spLocks noChangeArrowheads="1"/>
        </xdr:cNvSpPr>
      </xdr:nvSpPr>
      <xdr:spPr bwMode="auto">
        <a:xfrm>
          <a:off x="6648450" y="4529137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164</xdr:row>
      <xdr:rowOff>0</xdr:rowOff>
    </xdr:from>
    <xdr:to>
      <xdr:col>23</xdr:col>
      <xdr:colOff>200025</xdr:colOff>
      <xdr:row>165</xdr:row>
      <xdr:rowOff>9525</xdr:rowOff>
    </xdr:to>
    <xdr:sp macro="" textlink="">
      <xdr:nvSpPr>
        <xdr:cNvPr id="890" name="Rectangle 1297"/>
        <xdr:cNvSpPr>
          <a:spLocks noChangeArrowheads="1"/>
        </xdr:cNvSpPr>
      </xdr:nvSpPr>
      <xdr:spPr bwMode="auto">
        <a:xfrm>
          <a:off x="7505700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164</xdr:row>
      <xdr:rowOff>0</xdr:rowOff>
    </xdr:from>
    <xdr:to>
      <xdr:col>25</xdr:col>
      <xdr:colOff>200025</xdr:colOff>
      <xdr:row>165</xdr:row>
      <xdr:rowOff>9525</xdr:rowOff>
    </xdr:to>
    <xdr:sp macro="" textlink="">
      <xdr:nvSpPr>
        <xdr:cNvPr id="891" name="Rectangle 1298"/>
        <xdr:cNvSpPr>
          <a:spLocks noChangeArrowheads="1"/>
        </xdr:cNvSpPr>
      </xdr:nvSpPr>
      <xdr:spPr bwMode="auto">
        <a:xfrm>
          <a:off x="8315325" y="4529137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164</xdr:row>
      <xdr:rowOff>0</xdr:rowOff>
    </xdr:from>
    <xdr:to>
      <xdr:col>27</xdr:col>
      <xdr:colOff>200025</xdr:colOff>
      <xdr:row>165</xdr:row>
      <xdr:rowOff>9525</xdr:rowOff>
    </xdr:to>
    <xdr:sp macro="" textlink="">
      <xdr:nvSpPr>
        <xdr:cNvPr id="892" name="Rectangle 1299"/>
        <xdr:cNvSpPr>
          <a:spLocks noChangeArrowheads="1"/>
        </xdr:cNvSpPr>
      </xdr:nvSpPr>
      <xdr:spPr bwMode="auto">
        <a:xfrm>
          <a:off x="9163050" y="4529137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893" name="Rectangle 1300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894" name="Rectangle 1301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895" name="Rectangle 1302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199</xdr:row>
      <xdr:rowOff>0</xdr:rowOff>
    </xdr:from>
    <xdr:to>
      <xdr:col>11</xdr:col>
      <xdr:colOff>200025</xdr:colOff>
      <xdr:row>200</xdr:row>
      <xdr:rowOff>9525</xdr:rowOff>
    </xdr:to>
    <xdr:sp macro="" textlink="">
      <xdr:nvSpPr>
        <xdr:cNvPr id="896" name="Rectangle 1306"/>
        <xdr:cNvSpPr>
          <a:spLocks noChangeArrowheads="1"/>
        </xdr:cNvSpPr>
      </xdr:nvSpPr>
      <xdr:spPr bwMode="auto">
        <a:xfrm>
          <a:off x="2209800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199</xdr:row>
      <xdr:rowOff>0</xdr:rowOff>
    </xdr:from>
    <xdr:to>
      <xdr:col>13</xdr:col>
      <xdr:colOff>200025</xdr:colOff>
      <xdr:row>200</xdr:row>
      <xdr:rowOff>9525</xdr:rowOff>
    </xdr:to>
    <xdr:sp macro="" textlink="">
      <xdr:nvSpPr>
        <xdr:cNvPr id="897" name="Rectangle 1307"/>
        <xdr:cNvSpPr>
          <a:spLocks noChangeArrowheads="1"/>
        </xdr:cNvSpPr>
      </xdr:nvSpPr>
      <xdr:spPr bwMode="auto">
        <a:xfrm>
          <a:off x="305752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199</xdr:row>
      <xdr:rowOff>0</xdr:rowOff>
    </xdr:from>
    <xdr:to>
      <xdr:col>15</xdr:col>
      <xdr:colOff>200025</xdr:colOff>
      <xdr:row>200</xdr:row>
      <xdr:rowOff>9525</xdr:rowOff>
    </xdr:to>
    <xdr:sp macro="" textlink="">
      <xdr:nvSpPr>
        <xdr:cNvPr id="898" name="Rectangle 1308"/>
        <xdr:cNvSpPr>
          <a:spLocks noChangeArrowheads="1"/>
        </xdr:cNvSpPr>
      </xdr:nvSpPr>
      <xdr:spPr bwMode="auto">
        <a:xfrm>
          <a:off x="3933825" y="549211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199</xdr:row>
      <xdr:rowOff>0</xdr:rowOff>
    </xdr:from>
    <xdr:to>
      <xdr:col>17</xdr:col>
      <xdr:colOff>200025</xdr:colOff>
      <xdr:row>200</xdr:row>
      <xdr:rowOff>9525</xdr:rowOff>
    </xdr:to>
    <xdr:sp macro="" textlink="">
      <xdr:nvSpPr>
        <xdr:cNvPr id="899" name="Rectangle 1309"/>
        <xdr:cNvSpPr>
          <a:spLocks noChangeArrowheads="1"/>
        </xdr:cNvSpPr>
      </xdr:nvSpPr>
      <xdr:spPr bwMode="auto">
        <a:xfrm>
          <a:off x="494347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199</xdr:row>
      <xdr:rowOff>0</xdr:rowOff>
    </xdr:from>
    <xdr:to>
      <xdr:col>19</xdr:col>
      <xdr:colOff>200025</xdr:colOff>
      <xdr:row>200</xdr:row>
      <xdr:rowOff>9525</xdr:rowOff>
    </xdr:to>
    <xdr:sp macro="" textlink="">
      <xdr:nvSpPr>
        <xdr:cNvPr id="900" name="Rectangle 1310"/>
        <xdr:cNvSpPr>
          <a:spLocks noChangeArrowheads="1"/>
        </xdr:cNvSpPr>
      </xdr:nvSpPr>
      <xdr:spPr bwMode="auto">
        <a:xfrm>
          <a:off x="583882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pPr algn="ctr"/>
          <a:r>
            <a:rPr lang="en-US">
              <a:latin typeface="Arial" pitchFamily="34" charset="0"/>
              <a:cs typeface="Arial" pitchFamily="34" charset="0"/>
            </a:rPr>
            <a:t>B</a:t>
          </a:r>
        </a:p>
      </xdr:txBody>
    </xdr:sp>
    <xdr:clientData/>
  </xdr:twoCellAnchor>
  <xdr:twoCellAnchor>
    <xdr:from>
      <xdr:col>20</xdr:col>
      <xdr:colOff>190500</xdr:colOff>
      <xdr:row>199</xdr:row>
      <xdr:rowOff>0</xdr:rowOff>
    </xdr:from>
    <xdr:to>
      <xdr:col>21</xdr:col>
      <xdr:colOff>200025</xdr:colOff>
      <xdr:row>200</xdr:row>
      <xdr:rowOff>9525</xdr:rowOff>
    </xdr:to>
    <xdr:sp macro="" textlink="">
      <xdr:nvSpPr>
        <xdr:cNvPr id="901" name="Rectangle 1311"/>
        <xdr:cNvSpPr>
          <a:spLocks noChangeArrowheads="1"/>
        </xdr:cNvSpPr>
      </xdr:nvSpPr>
      <xdr:spPr bwMode="auto">
        <a:xfrm>
          <a:off x="6648450" y="549211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199</xdr:row>
      <xdr:rowOff>0</xdr:rowOff>
    </xdr:from>
    <xdr:to>
      <xdr:col>23</xdr:col>
      <xdr:colOff>200025</xdr:colOff>
      <xdr:row>200</xdr:row>
      <xdr:rowOff>9525</xdr:rowOff>
    </xdr:to>
    <xdr:sp macro="" textlink="">
      <xdr:nvSpPr>
        <xdr:cNvPr id="902" name="Rectangle 1312"/>
        <xdr:cNvSpPr>
          <a:spLocks noChangeArrowheads="1"/>
        </xdr:cNvSpPr>
      </xdr:nvSpPr>
      <xdr:spPr bwMode="auto">
        <a:xfrm>
          <a:off x="7505700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199</xdr:row>
      <xdr:rowOff>0</xdr:rowOff>
    </xdr:from>
    <xdr:to>
      <xdr:col>25</xdr:col>
      <xdr:colOff>200025</xdr:colOff>
      <xdr:row>200</xdr:row>
      <xdr:rowOff>9525</xdr:rowOff>
    </xdr:to>
    <xdr:sp macro="" textlink="">
      <xdr:nvSpPr>
        <xdr:cNvPr id="903" name="Rectangle 1313"/>
        <xdr:cNvSpPr>
          <a:spLocks noChangeArrowheads="1"/>
        </xdr:cNvSpPr>
      </xdr:nvSpPr>
      <xdr:spPr bwMode="auto">
        <a:xfrm>
          <a:off x="8315325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199</xdr:row>
      <xdr:rowOff>0</xdr:rowOff>
    </xdr:from>
    <xdr:to>
      <xdr:col>27</xdr:col>
      <xdr:colOff>200025</xdr:colOff>
      <xdr:row>200</xdr:row>
      <xdr:rowOff>9525</xdr:rowOff>
    </xdr:to>
    <xdr:sp macro="" textlink="">
      <xdr:nvSpPr>
        <xdr:cNvPr id="904" name="Rectangle 1314"/>
        <xdr:cNvSpPr>
          <a:spLocks noChangeArrowheads="1"/>
        </xdr:cNvSpPr>
      </xdr:nvSpPr>
      <xdr:spPr bwMode="auto">
        <a:xfrm>
          <a:off x="9163050" y="549211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199</xdr:row>
      <xdr:rowOff>0</xdr:rowOff>
    </xdr:from>
    <xdr:to>
      <xdr:col>31</xdr:col>
      <xdr:colOff>200025</xdr:colOff>
      <xdr:row>200</xdr:row>
      <xdr:rowOff>9525</xdr:rowOff>
    </xdr:to>
    <xdr:sp macro="" textlink="">
      <xdr:nvSpPr>
        <xdr:cNvPr id="905" name="Rectangle 1315"/>
        <xdr:cNvSpPr>
          <a:spLocks noChangeArrowheads="1"/>
        </xdr:cNvSpPr>
      </xdr:nvSpPr>
      <xdr:spPr bwMode="auto">
        <a:xfrm>
          <a:off x="10868025" y="549211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906" name="Rectangle 1316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199</xdr:row>
      <xdr:rowOff>0</xdr:rowOff>
    </xdr:from>
    <xdr:to>
      <xdr:col>29</xdr:col>
      <xdr:colOff>200025</xdr:colOff>
      <xdr:row>200</xdr:row>
      <xdr:rowOff>9525</xdr:rowOff>
    </xdr:to>
    <xdr:sp macro="" textlink="">
      <xdr:nvSpPr>
        <xdr:cNvPr id="907" name="Rectangle 1317"/>
        <xdr:cNvSpPr>
          <a:spLocks noChangeArrowheads="1"/>
        </xdr:cNvSpPr>
      </xdr:nvSpPr>
      <xdr:spPr bwMode="auto">
        <a:xfrm>
          <a:off x="9991725" y="549211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211</xdr:row>
      <xdr:rowOff>0</xdr:rowOff>
    </xdr:from>
    <xdr:to>
      <xdr:col>11</xdr:col>
      <xdr:colOff>200025</xdr:colOff>
      <xdr:row>211</xdr:row>
      <xdr:rowOff>0</xdr:rowOff>
    </xdr:to>
    <xdr:sp macro="" textlink="">
      <xdr:nvSpPr>
        <xdr:cNvPr id="908" name="Rectangle 1318"/>
        <xdr:cNvSpPr>
          <a:spLocks noChangeArrowheads="1"/>
        </xdr:cNvSpPr>
      </xdr:nvSpPr>
      <xdr:spPr bwMode="auto">
        <a:xfrm>
          <a:off x="2209800" y="58102500"/>
          <a:ext cx="4762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211</xdr:row>
      <xdr:rowOff>0</xdr:rowOff>
    </xdr:from>
    <xdr:to>
      <xdr:col>13</xdr:col>
      <xdr:colOff>200025</xdr:colOff>
      <xdr:row>211</xdr:row>
      <xdr:rowOff>0</xdr:rowOff>
    </xdr:to>
    <xdr:sp macro="" textlink="">
      <xdr:nvSpPr>
        <xdr:cNvPr id="909" name="Rectangle 1319"/>
        <xdr:cNvSpPr>
          <a:spLocks noChangeArrowheads="1"/>
        </xdr:cNvSpPr>
      </xdr:nvSpPr>
      <xdr:spPr bwMode="auto">
        <a:xfrm>
          <a:off x="3057525" y="5810250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211</xdr:row>
      <xdr:rowOff>0</xdr:rowOff>
    </xdr:from>
    <xdr:to>
      <xdr:col>15</xdr:col>
      <xdr:colOff>200025</xdr:colOff>
      <xdr:row>211</xdr:row>
      <xdr:rowOff>0</xdr:rowOff>
    </xdr:to>
    <xdr:sp macro="" textlink="">
      <xdr:nvSpPr>
        <xdr:cNvPr id="910" name="Rectangle 1320"/>
        <xdr:cNvSpPr>
          <a:spLocks noChangeArrowheads="1"/>
        </xdr:cNvSpPr>
      </xdr:nvSpPr>
      <xdr:spPr bwMode="auto">
        <a:xfrm>
          <a:off x="3933825" y="58102500"/>
          <a:ext cx="5810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211</xdr:row>
      <xdr:rowOff>0</xdr:rowOff>
    </xdr:from>
    <xdr:to>
      <xdr:col>17</xdr:col>
      <xdr:colOff>200025</xdr:colOff>
      <xdr:row>211</xdr:row>
      <xdr:rowOff>0</xdr:rowOff>
    </xdr:to>
    <xdr:sp macro="" textlink="">
      <xdr:nvSpPr>
        <xdr:cNvPr id="911" name="Rectangle 1321"/>
        <xdr:cNvSpPr>
          <a:spLocks noChangeArrowheads="1"/>
        </xdr:cNvSpPr>
      </xdr:nvSpPr>
      <xdr:spPr bwMode="auto">
        <a:xfrm>
          <a:off x="4943475" y="5810250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211</xdr:row>
      <xdr:rowOff>0</xdr:rowOff>
    </xdr:from>
    <xdr:to>
      <xdr:col>19</xdr:col>
      <xdr:colOff>200025</xdr:colOff>
      <xdr:row>211</xdr:row>
      <xdr:rowOff>0</xdr:rowOff>
    </xdr:to>
    <xdr:sp macro="" textlink="">
      <xdr:nvSpPr>
        <xdr:cNvPr id="912" name="Rectangle 1322"/>
        <xdr:cNvSpPr>
          <a:spLocks noChangeArrowheads="1"/>
        </xdr:cNvSpPr>
      </xdr:nvSpPr>
      <xdr:spPr bwMode="auto">
        <a:xfrm>
          <a:off x="5838825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211</xdr:row>
      <xdr:rowOff>0</xdr:rowOff>
    </xdr:from>
    <xdr:to>
      <xdr:col>21</xdr:col>
      <xdr:colOff>200025</xdr:colOff>
      <xdr:row>211</xdr:row>
      <xdr:rowOff>0</xdr:rowOff>
    </xdr:to>
    <xdr:sp macro="" textlink="">
      <xdr:nvSpPr>
        <xdr:cNvPr id="913" name="Rectangle 1323"/>
        <xdr:cNvSpPr>
          <a:spLocks noChangeArrowheads="1"/>
        </xdr:cNvSpPr>
      </xdr:nvSpPr>
      <xdr:spPr bwMode="auto">
        <a:xfrm>
          <a:off x="6648450" y="58102500"/>
          <a:ext cx="4857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211</xdr:row>
      <xdr:rowOff>0</xdr:rowOff>
    </xdr:from>
    <xdr:to>
      <xdr:col>23</xdr:col>
      <xdr:colOff>200025</xdr:colOff>
      <xdr:row>211</xdr:row>
      <xdr:rowOff>0</xdr:rowOff>
    </xdr:to>
    <xdr:sp macro="" textlink="">
      <xdr:nvSpPr>
        <xdr:cNvPr id="914" name="Rectangle 1324"/>
        <xdr:cNvSpPr>
          <a:spLocks noChangeArrowheads="1"/>
        </xdr:cNvSpPr>
      </xdr:nvSpPr>
      <xdr:spPr bwMode="auto">
        <a:xfrm>
          <a:off x="7505700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211</xdr:row>
      <xdr:rowOff>0</xdr:rowOff>
    </xdr:from>
    <xdr:to>
      <xdr:col>25</xdr:col>
      <xdr:colOff>200025</xdr:colOff>
      <xdr:row>211</xdr:row>
      <xdr:rowOff>0</xdr:rowOff>
    </xdr:to>
    <xdr:sp macro="" textlink="">
      <xdr:nvSpPr>
        <xdr:cNvPr id="915" name="Rectangle 1325"/>
        <xdr:cNvSpPr>
          <a:spLocks noChangeArrowheads="1"/>
        </xdr:cNvSpPr>
      </xdr:nvSpPr>
      <xdr:spPr bwMode="auto">
        <a:xfrm>
          <a:off x="8315325" y="58102500"/>
          <a:ext cx="4762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211</xdr:row>
      <xdr:rowOff>0</xdr:rowOff>
    </xdr:from>
    <xdr:to>
      <xdr:col>27</xdr:col>
      <xdr:colOff>200025</xdr:colOff>
      <xdr:row>211</xdr:row>
      <xdr:rowOff>0</xdr:rowOff>
    </xdr:to>
    <xdr:sp macro="" textlink="">
      <xdr:nvSpPr>
        <xdr:cNvPr id="916" name="Rectangle 1326"/>
        <xdr:cNvSpPr>
          <a:spLocks noChangeArrowheads="1"/>
        </xdr:cNvSpPr>
      </xdr:nvSpPr>
      <xdr:spPr bwMode="auto">
        <a:xfrm>
          <a:off x="9163050" y="58102500"/>
          <a:ext cx="457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211</xdr:row>
      <xdr:rowOff>0</xdr:rowOff>
    </xdr:from>
    <xdr:to>
      <xdr:col>31</xdr:col>
      <xdr:colOff>200025</xdr:colOff>
      <xdr:row>211</xdr:row>
      <xdr:rowOff>0</xdr:rowOff>
    </xdr:to>
    <xdr:sp macro="" textlink="">
      <xdr:nvSpPr>
        <xdr:cNvPr id="917" name="Rectangle 1327"/>
        <xdr:cNvSpPr>
          <a:spLocks noChangeArrowheads="1"/>
        </xdr:cNvSpPr>
      </xdr:nvSpPr>
      <xdr:spPr bwMode="auto">
        <a:xfrm>
          <a:off x="10868025" y="58102500"/>
          <a:ext cx="4286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211</xdr:row>
      <xdr:rowOff>0</xdr:rowOff>
    </xdr:from>
    <xdr:to>
      <xdr:col>33</xdr:col>
      <xdr:colOff>200025</xdr:colOff>
      <xdr:row>211</xdr:row>
      <xdr:rowOff>0</xdr:rowOff>
    </xdr:to>
    <xdr:sp macro="" textlink="">
      <xdr:nvSpPr>
        <xdr:cNvPr id="918" name="Rectangle 1328"/>
        <xdr:cNvSpPr>
          <a:spLocks noChangeArrowheads="1"/>
        </xdr:cNvSpPr>
      </xdr:nvSpPr>
      <xdr:spPr bwMode="auto">
        <a:xfrm>
          <a:off x="11649075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211</xdr:row>
      <xdr:rowOff>0</xdr:rowOff>
    </xdr:from>
    <xdr:to>
      <xdr:col>29</xdr:col>
      <xdr:colOff>200025</xdr:colOff>
      <xdr:row>211</xdr:row>
      <xdr:rowOff>0</xdr:rowOff>
    </xdr:to>
    <xdr:sp macro="" textlink="">
      <xdr:nvSpPr>
        <xdr:cNvPr id="919" name="Rectangle 1329"/>
        <xdr:cNvSpPr>
          <a:spLocks noChangeArrowheads="1"/>
        </xdr:cNvSpPr>
      </xdr:nvSpPr>
      <xdr:spPr bwMode="auto">
        <a:xfrm>
          <a:off x="9991725" y="58102500"/>
          <a:ext cx="504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234</xdr:row>
      <xdr:rowOff>0</xdr:rowOff>
    </xdr:from>
    <xdr:to>
      <xdr:col>11</xdr:col>
      <xdr:colOff>200025</xdr:colOff>
      <xdr:row>235</xdr:row>
      <xdr:rowOff>9525</xdr:rowOff>
    </xdr:to>
    <xdr:sp macro="" textlink="">
      <xdr:nvSpPr>
        <xdr:cNvPr id="920" name="Rectangle 1330"/>
        <xdr:cNvSpPr>
          <a:spLocks noChangeArrowheads="1"/>
        </xdr:cNvSpPr>
      </xdr:nvSpPr>
      <xdr:spPr bwMode="auto">
        <a:xfrm>
          <a:off x="2209800" y="649700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234</xdr:row>
      <xdr:rowOff>0</xdr:rowOff>
    </xdr:from>
    <xdr:to>
      <xdr:col>13</xdr:col>
      <xdr:colOff>200025</xdr:colOff>
      <xdr:row>235</xdr:row>
      <xdr:rowOff>9525</xdr:rowOff>
    </xdr:to>
    <xdr:sp macro="" textlink="">
      <xdr:nvSpPr>
        <xdr:cNvPr id="921" name="Rectangle 1331"/>
        <xdr:cNvSpPr>
          <a:spLocks noChangeArrowheads="1"/>
        </xdr:cNvSpPr>
      </xdr:nvSpPr>
      <xdr:spPr bwMode="auto">
        <a:xfrm>
          <a:off x="3057525" y="649700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234</xdr:row>
      <xdr:rowOff>0</xdr:rowOff>
    </xdr:from>
    <xdr:to>
      <xdr:col>15</xdr:col>
      <xdr:colOff>200025</xdr:colOff>
      <xdr:row>235</xdr:row>
      <xdr:rowOff>9525</xdr:rowOff>
    </xdr:to>
    <xdr:sp macro="" textlink="">
      <xdr:nvSpPr>
        <xdr:cNvPr id="922" name="Rectangle 1332"/>
        <xdr:cNvSpPr>
          <a:spLocks noChangeArrowheads="1"/>
        </xdr:cNvSpPr>
      </xdr:nvSpPr>
      <xdr:spPr bwMode="auto">
        <a:xfrm>
          <a:off x="3933825" y="6497002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234</xdr:row>
      <xdr:rowOff>0</xdr:rowOff>
    </xdr:from>
    <xdr:to>
      <xdr:col>17</xdr:col>
      <xdr:colOff>200025</xdr:colOff>
      <xdr:row>235</xdr:row>
      <xdr:rowOff>9525</xdr:rowOff>
    </xdr:to>
    <xdr:sp macro="" textlink="">
      <xdr:nvSpPr>
        <xdr:cNvPr id="923" name="Rectangle 1333"/>
        <xdr:cNvSpPr>
          <a:spLocks noChangeArrowheads="1"/>
        </xdr:cNvSpPr>
      </xdr:nvSpPr>
      <xdr:spPr bwMode="auto">
        <a:xfrm>
          <a:off x="4943475" y="649700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234</xdr:row>
      <xdr:rowOff>0</xdr:rowOff>
    </xdr:from>
    <xdr:to>
      <xdr:col>19</xdr:col>
      <xdr:colOff>200025</xdr:colOff>
      <xdr:row>235</xdr:row>
      <xdr:rowOff>9525</xdr:rowOff>
    </xdr:to>
    <xdr:sp macro="" textlink="">
      <xdr:nvSpPr>
        <xdr:cNvPr id="924" name="Rectangle 1334"/>
        <xdr:cNvSpPr>
          <a:spLocks noChangeArrowheads="1"/>
        </xdr:cNvSpPr>
      </xdr:nvSpPr>
      <xdr:spPr bwMode="auto">
        <a:xfrm>
          <a:off x="583882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234</xdr:row>
      <xdr:rowOff>0</xdr:rowOff>
    </xdr:from>
    <xdr:to>
      <xdr:col>21</xdr:col>
      <xdr:colOff>200025</xdr:colOff>
      <xdr:row>235</xdr:row>
      <xdr:rowOff>9525</xdr:rowOff>
    </xdr:to>
    <xdr:sp macro="" textlink="">
      <xdr:nvSpPr>
        <xdr:cNvPr id="925" name="Rectangle 1335"/>
        <xdr:cNvSpPr>
          <a:spLocks noChangeArrowheads="1"/>
        </xdr:cNvSpPr>
      </xdr:nvSpPr>
      <xdr:spPr bwMode="auto">
        <a:xfrm>
          <a:off x="6648450" y="649700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234</xdr:row>
      <xdr:rowOff>0</xdr:rowOff>
    </xdr:from>
    <xdr:to>
      <xdr:col>23</xdr:col>
      <xdr:colOff>200025</xdr:colOff>
      <xdr:row>235</xdr:row>
      <xdr:rowOff>9525</xdr:rowOff>
    </xdr:to>
    <xdr:sp macro="" textlink="">
      <xdr:nvSpPr>
        <xdr:cNvPr id="926" name="Rectangle 1336"/>
        <xdr:cNvSpPr>
          <a:spLocks noChangeArrowheads="1"/>
        </xdr:cNvSpPr>
      </xdr:nvSpPr>
      <xdr:spPr bwMode="auto">
        <a:xfrm>
          <a:off x="7505700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234</xdr:row>
      <xdr:rowOff>0</xdr:rowOff>
    </xdr:from>
    <xdr:to>
      <xdr:col>25</xdr:col>
      <xdr:colOff>200025</xdr:colOff>
      <xdr:row>235</xdr:row>
      <xdr:rowOff>9525</xdr:rowOff>
    </xdr:to>
    <xdr:sp macro="" textlink="">
      <xdr:nvSpPr>
        <xdr:cNvPr id="927" name="Rectangle 1337"/>
        <xdr:cNvSpPr>
          <a:spLocks noChangeArrowheads="1"/>
        </xdr:cNvSpPr>
      </xdr:nvSpPr>
      <xdr:spPr bwMode="auto">
        <a:xfrm>
          <a:off x="8315325" y="649700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234</xdr:row>
      <xdr:rowOff>0</xdr:rowOff>
    </xdr:from>
    <xdr:to>
      <xdr:col>27</xdr:col>
      <xdr:colOff>200025</xdr:colOff>
      <xdr:row>235</xdr:row>
      <xdr:rowOff>9525</xdr:rowOff>
    </xdr:to>
    <xdr:sp macro="" textlink="">
      <xdr:nvSpPr>
        <xdr:cNvPr id="928" name="Rectangle 1338"/>
        <xdr:cNvSpPr>
          <a:spLocks noChangeArrowheads="1"/>
        </xdr:cNvSpPr>
      </xdr:nvSpPr>
      <xdr:spPr bwMode="auto">
        <a:xfrm>
          <a:off x="9163050" y="649700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234</xdr:row>
      <xdr:rowOff>0</xdr:rowOff>
    </xdr:from>
    <xdr:to>
      <xdr:col>31</xdr:col>
      <xdr:colOff>200025</xdr:colOff>
      <xdr:row>235</xdr:row>
      <xdr:rowOff>9525</xdr:rowOff>
    </xdr:to>
    <xdr:sp macro="" textlink="">
      <xdr:nvSpPr>
        <xdr:cNvPr id="929" name="Rectangle 1339"/>
        <xdr:cNvSpPr>
          <a:spLocks noChangeArrowheads="1"/>
        </xdr:cNvSpPr>
      </xdr:nvSpPr>
      <xdr:spPr bwMode="auto">
        <a:xfrm>
          <a:off x="10868025" y="649700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234</xdr:row>
      <xdr:rowOff>0</xdr:rowOff>
    </xdr:from>
    <xdr:to>
      <xdr:col>33</xdr:col>
      <xdr:colOff>200025</xdr:colOff>
      <xdr:row>235</xdr:row>
      <xdr:rowOff>9525</xdr:rowOff>
    </xdr:to>
    <xdr:sp macro="" textlink="">
      <xdr:nvSpPr>
        <xdr:cNvPr id="930" name="Rectangle 1340"/>
        <xdr:cNvSpPr>
          <a:spLocks noChangeArrowheads="1"/>
        </xdr:cNvSpPr>
      </xdr:nvSpPr>
      <xdr:spPr bwMode="auto">
        <a:xfrm>
          <a:off x="1164907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234</xdr:row>
      <xdr:rowOff>0</xdr:rowOff>
    </xdr:from>
    <xdr:to>
      <xdr:col>29</xdr:col>
      <xdr:colOff>200025</xdr:colOff>
      <xdr:row>235</xdr:row>
      <xdr:rowOff>9525</xdr:rowOff>
    </xdr:to>
    <xdr:sp macro="" textlink="">
      <xdr:nvSpPr>
        <xdr:cNvPr id="931" name="Rectangle 1341"/>
        <xdr:cNvSpPr>
          <a:spLocks noChangeArrowheads="1"/>
        </xdr:cNvSpPr>
      </xdr:nvSpPr>
      <xdr:spPr bwMode="auto">
        <a:xfrm>
          <a:off x="9991725" y="649700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21</xdr:row>
      <xdr:rowOff>0</xdr:rowOff>
    </xdr:from>
    <xdr:to>
      <xdr:col>37</xdr:col>
      <xdr:colOff>190500</xdr:colOff>
      <xdr:row>22</xdr:row>
      <xdr:rowOff>9525</xdr:rowOff>
    </xdr:to>
    <xdr:sp macro="" textlink="">
      <xdr:nvSpPr>
        <xdr:cNvPr id="932" name="Rectangle 1657"/>
        <xdr:cNvSpPr>
          <a:spLocks noChangeArrowheads="1"/>
        </xdr:cNvSpPr>
      </xdr:nvSpPr>
      <xdr:spPr bwMode="auto">
        <a:xfrm>
          <a:off x="13201650" y="60293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57</xdr:row>
      <xdr:rowOff>0</xdr:rowOff>
    </xdr:from>
    <xdr:to>
      <xdr:col>37</xdr:col>
      <xdr:colOff>190500</xdr:colOff>
      <xdr:row>58</xdr:row>
      <xdr:rowOff>9525</xdr:rowOff>
    </xdr:to>
    <xdr:sp macro="" textlink="">
      <xdr:nvSpPr>
        <xdr:cNvPr id="933" name="Rectangle 1658"/>
        <xdr:cNvSpPr>
          <a:spLocks noChangeArrowheads="1"/>
        </xdr:cNvSpPr>
      </xdr:nvSpPr>
      <xdr:spPr bwMode="auto">
        <a:xfrm>
          <a:off x="13201650" y="160020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92</xdr:row>
      <xdr:rowOff>0</xdr:rowOff>
    </xdr:from>
    <xdr:to>
      <xdr:col>37</xdr:col>
      <xdr:colOff>190500</xdr:colOff>
      <xdr:row>93</xdr:row>
      <xdr:rowOff>9525</xdr:rowOff>
    </xdr:to>
    <xdr:sp macro="" textlink="">
      <xdr:nvSpPr>
        <xdr:cNvPr id="934" name="Rectangle 1659"/>
        <xdr:cNvSpPr>
          <a:spLocks noChangeArrowheads="1"/>
        </xdr:cNvSpPr>
      </xdr:nvSpPr>
      <xdr:spPr bwMode="auto">
        <a:xfrm>
          <a:off x="13201650" y="254984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128</xdr:row>
      <xdr:rowOff>0</xdr:rowOff>
    </xdr:from>
    <xdr:to>
      <xdr:col>37</xdr:col>
      <xdr:colOff>190500</xdr:colOff>
      <xdr:row>129</xdr:row>
      <xdr:rowOff>9525</xdr:rowOff>
    </xdr:to>
    <xdr:sp macro="" textlink="">
      <xdr:nvSpPr>
        <xdr:cNvPr id="935" name="Rectangle 1660"/>
        <xdr:cNvSpPr>
          <a:spLocks noChangeArrowheads="1"/>
        </xdr:cNvSpPr>
      </xdr:nvSpPr>
      <xdr:spPr bwMode="auto">
        <a:xfrm>
          <a:off x="13201650" y="353187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164</xdr:row>
      <xdr:rowOff>0</xdr:rowOff>
    </xdr:from>
    <xdr:to>
      <xdr:col>37</xdr:col>
      <xdr:colOff>190500</xdr:colOff>
      <xdr:row>165</xdr:row>
      <xdr:rowOff>9525</xdr:rowOff>
    </xdr:to>
    <xdr:sp macro="" textlink="">
      <xdr:nvSpPr>
        <xdr:cNvPr id="936" name="Rectangle 1661"/>
        <xdr:cNvSpPr>
          <a:spLocks noChangeArrowheads="1"/>
        </xdr:cNvSpPr>
      </xdr:nvSpPr>
      <xdr:spPr bwMode="auto">
        <a:xfrm>
          <a:off x="13201650" y="4529137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199</xdr:row>
      <xdr:rowOff>0</xdr:rowOff>
    </xdr:from>
    <xdr:to>
      <xdr:col>37</xdr:col>
      <xdr:colOff>190500</xdr:colOff>
      <xdr:row>200</xdr:row>
      <xdr:rowOff>9525</xdr:rowOff>
    </xdr:to>
    <xdr:sp macro="" textlink="">
      <xdr:nvSpPr>
        <xdr:cNvPr id="937" name="Rectangle 1662"/>
        <xdr:cNvSpPr>
          <a:spLocks noChangeArrowheads="1"/>
        </xdr:cNvSpPr>
      </xdr:nvSpPr>
      <xdr:spPr bwMode="auto">
        <a:xfrm>
          <a:off x="13201650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211</xdr:row>
      <xdr:rowOff>0</xdr:rowOff>
    </xdr:from>
    <xdr:to>
      <xdr:col>37</xdr:col>
      <xdr:colOff>190500</xdr:colOff>
      <xdr:row>211</xdr:row>
      <xdr:rowOff>0</xdr:rowOff>
    </xdr:to>
    <xdr:sp macro="" textlink="">
      <xdr:nvSpPr>
        <xdr:cNvPr id="938" name="Rectangle 1663"/>
        <xdr:cNvSpPr>
          <a:spLocks noChangeArrowheads="1"/>
        </xdr:cNvSpPr>
      </xdr:nvSpPr>
      <xdr:spPr bwMode="auto">
        <a:xfrm>
          <a:off x="13201650" y="5810250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234</xdr:row>
      <xdr:rowOff>0</xdr:rowOff>
    </xdr:from>
    <xdr:to>
      <xdr:col>37</xdr:col>
      <xdr:colOff>190500</xdr:colOff>
      <xdr:row>235</xdr:row>
      <xdr:rowOff>9525</xdr:rowOff>
    </xdr:to>
    <xdr:sp macro="" textlink="">
      <xdr:nvSpPr>
        <xdr:cNvPr id="939" name="Rectangle 1664"/>
        <xdr:cNvSpPr>
          <a:spLocks noChangeArrowheads="1"/>
        </xdr:cNvSpPr>
      </xdr:nvSpPr>
      <xdr:spPr bwMode="auto">
        <a:xfrm>
          <a:off x="13201650" y="649700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21</xdr:row>
      <xdr:rowOff>0</xdr:rowOff>
    </xdr:from>
    <xdr:to>
      <xdr:col>11</xdr:col>
      <xdr:colOff>200025</xdr:colOff>
      <xdr:row>22</xdr:row>
      <xdr:rowOff>9525</xdr:rowOff>
    </xdr:to>
    <xdr:sp macro="" textlink="">
      <xdr:nvSpPr>
        <xdr:cNvPr id="940" name="Rectangle 1695"/>
        <xdr:cNvSpPr>
          <a:spLocks noChangeArrowheads="1"/>
        </xdr:cNvSpPr>
      </xdr:nvSpPr>
      <xdr:spPr bwMode="auto">
        <a:xfrm>
          <a:off x="2209800" y="60293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B</a:t>
          </a:r>
        </a:p>
      </xdr:txBody>
    </xdr:sp>
    <xdr:clientData/>
  </xdr:twoCellAnchor>
  <xdr:twoCellAnchor>
    <xdr:from>
      <xdr:col>12</xdr:col>
      <xdr:colOff>190500</xdr:colOff>
      <xdr:row>21</xdr:row>
      <xdr:rowOff>0</xdr:rowOff>
    </xdr:from>
    <xdr:to>
      <xdr:col>13</xdr:col>
      <xdr:colOff>200025</xdr:colOff>
      <xdr:row>22</xdr:row>
      <xdr:rowOff>9525</xdr:rowOff>
    </xdr:to>
    <xdr:sp macro="" textlink="">
      <xdr:nvSpPr>
        <xdr:cNvPr id="941" name="Rectangle 1696"/>
        <xdr:cNvSpPr>
          <a:spLocks noChangeArrowheads="1"/>
        </xdr:cNvSpPr>
      </xdr:nvSpPr>
      <xdr:spPr bwMode="auto">
        <a:xfrm>
          <a:off x="3057525" y="60293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14</xdr:col>
      <xdr:colOff>190500</xdr:colOff>
      <xdr:row>21</xdr:row>
      <xdr:rowOff>0</xdr:rowOff>
    </xdr:from>
    <xdr:to>
      <xdr:col>15</xdr:col>
      <xdr:colOff>200025</xdr:colOff>
      <xdr:row>22</xdr:row>
      <xdr:rowOff>9525</xdr:rowOff>
    </xdr:to>
    <xdr:sp macro="" textlink="">
      <xdr:nvSpPr>
        <xdr:cNvPr id="942" name="Rectangle 1697"/>
        <xdr:cNvSpPr>
          <a:spLocks noChangeArrowheads="1"/>
        </xdr:cNvSpPr>
      </xdr:nvSpPr>
      <xdr:spPr bwMode="auto">
        <a:xfrm>
          <a:off x="3933825" y="602932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16</xdr:col>
      <xdr:colOff>190500</xdr:colOff>
      <xdr:row>21</xdr:row>
      <xdr:rowOff>0</xdr:rowOff>
    </xdr:from>
    <xdr:to>
      <xdr:col>17</xdr:col>
      <xdr:colOff>200025</xdr:colOff>
      <xdr:row>22</xdr:row>
      <xdr:rowOff>9525</xdr:rowOff>
    </xdr:to>
    <xdr:sp macro="" textlink="">
      <xdr:nvSpPr>
        <xdr:cNvPr id="943" name="Rectangle 1698"/>
        <xdr:cNvSpPr>
          <a:spLocks noChangeArrowheads="1"/>
        </xdr:cNvSpPr>
      </xdr:nvSpPr>
      <xdr:spPr bwMode="auto">
        <a:xfrm>
          <a:off x="4943475" y="60293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21</xdr:row>
      <xdr:rowOff>0</xdr:rowOff>
    </xdr:from>
    <xdr:to>
      <xdr:col>19</xdr:col>
      <xdr:colOff>200025</xdr:colOff>
      <xdr:row>22</xdr:row>
      <xdr:rowOff>9525</xdr:rowOff>
    </xdr:to>
    <xdr:sp macro="" textlink="">
      <xdr:nvSpPr>
        <xdr:cNvPr id="944" name="Rectangle 1699"/>
        <xdr:cNvSpPr>
          <a:spLocks noChangeArrowheads="1"/>
        </xdr:cNvSpPr>
      </xdr:nvSpPr>
      <xdr:spPr bwMode="auto">
        <a:xfrm>
          <a:off x="5838825" y="60293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21</xdr:row>
      <xdr:rowOff>0</xdr:rowOff>
    </xdr:from>
    <xdr:to>
      <xdr:col>17</xdr:col>
      <xdr:colOff>200025</xdr:colOff>
      <xdr:row>22</xdr:row>
      <xdr:rowOff>9525</xdr:rowOff>
    </xdr:to>
    <xdr:sp macro="" textlink="">
      <xdr:nvSpPr>
        <xdr:cNvPr id="945" name="Rectangle 1700"/>
        <xdr:cNvSpPr>
          <a:spLocks noChangeArrowheads="1"/>
        </xdr:cNvSpPr>
      </xdr:nvSpPr>
      <xdr:spPr bwMode="auto">
        <a:xfrm>
          <a:off x="4943475" y="60293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  <a:p>
          <a:pPr algn="ctr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20</xdr:col>
      <xdr:colOff>180975</xdr:colOff>
      <xdr:row>21</xdr:row>
      <xdr:rowOff>0</xdr:rowOff>
    </xdr:from>
    <xdr:to>
      <xdr:col>21</xdr:col>
      <xdr:colOff>190500</xdr:colOff>
      <xdr:row>22</xdr:row>
      <xdr:rowOff>9525</xdr:rowOff>
    </xdr:to>
    <xdr:sp macro="" textlink="">
      <xdr:nvSpPr>
        <xdr:cNvPr id="946" name="Rectangle 1701"/>
        <xdr:cNvSpPr>
          <a:spLocks noChangeArrowheads="1"/>
        </xdr:cNvSpPr>
      </xdr:nvSpPr>
      <xdr:spPr bwMode="auto">
        <a:xfrm>
          <a:off x="6638925" y="60293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21</xdr:row>
      <xdr:rowOff>0</xdr:rowOff>
    </xdr:from>
    <xdr:to>
      <xdr:col>21</xdr:col>
      <xdr:colOff>200025</xdr:colOff>
      <xdr:row>22</xdr:row>
      <xdr:rowOff>9525</xdr:rowOff>
    </xdr:to>
    <xdr:sp macro="" textlink="">
      <xdr:nvSpPr>
        <xdr:cNvPr id="947" name="Rectangle 1702"/>
        <xdr:cNvSpPr>
          <a:spLocks noChangeArrowheads="1"/>
        </xdr:cNvSpPr>
      </xdr:nvSpPr>
      <xdr:spPr bwMode="auto">
        <a:xfrm>
          <a:off x="6648450" y="60293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21</xdr:row>
      <xdr:rowOff>0</xdr:rowOff>
    </xdr:from>
    <xdr:to>
      <xdr:col>21</xdr:col>
      <xdr:colOff>200025</xdr:colOff>
      <xdr:row>22</xdr:row>
      <xdr:rowOff>9525</xdr:rowOff>
    </xdr:to>
    <xdr:sp macro="" textlink="">
      <xdr:nvSpPr>
        <xdr:cNvPr id="948" name="Rectangle 1703"/>
        <xdr:cNvSpPr>
          <a:spLocks noChangeArrowheads="1"/>
        </xdr:cNvSpPr>
      </xdr:nvSpPr>
      <xdr:spPr bwMode="auto">
        <a:xfrm>
          <a:off x="6648450" y="60293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22</xdr:col>
      <xdr:colOff>190500</xdr:colOff>
      <xdr:row>21</xdr:row>
      <xdr:rowOff>0</xdr:rowOff>
    </xdr:from>
    <xdr:to>
      <xdr:col>23</xdr:col>
      <xdr:colOff>200025</xdr:colOff>
      <xdr:row>22</xdr:row>
      <xdr:rowOff>9525</xdr:rowOff>
    </xdr:to>
    <xdr:sp macro="" textlink="">
      <xdr:nvSpPr>
        <xdr:cNvPr id="949" name="Rectangle 1704"/>
        <xdr:cNvSpPr>
          <a:spLocks noChangeArrowheads="1"/>
        </xdr:cNvSpPr>
      </xdr:nvSpPr>
      <xdr:spPr bwMode="auto">
        <a:xfrm>
          <a:off x="7505700" y="60293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21</xdr:row>
      <xdr:rowOff>0</xdr:rowOff>
    </xdr:from>
    <xdr:to>
      <xdr:col>23</xdr:col>
      <xdr:colOff>200025</xdr:colOff>
      <xdr:row>22</xdr:row>
      <xdr:rowOff>9525</xdr:rowOff>
    </xdr:to>
    <xdr:sp macro="" textlink="">
      <xdr:nvSpPr>
        <xdr:cNvPr id="950" name="Rectangle 1705"/>
        <xdr:cNvSpPr>
          <a:spLocks noChangeArrowheads="1"/>
        </xdr:cNvSpPr>
      </xdr:nvSpPr>
      <xdr:spPr bwMode="auto">
        <a:xfrm>
          <a:off x="7505700" y="60293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180975</xdr:colOff>
      <xdr:row>21</xdr:row>
      <xdr:rowOff>0</xdr:rowOff>
    </xdr:from>
    <xdr:to>
      <xdr:col>23</xdr:col>
      <xdr:colOff>190500</xdr:colOff>
      <xdr:row>22</xdr:row>
      <xdr:rowOff>9525</xdr:rowOff>
    </xdr:to>
    <xdr:sp macro="" textlink="">
      <xdr:nvSpPr>
        <xdr:cNvPr id="951" name="Rectangle 1706"/>
        <xdr:cNvSpPr>
          <a:spLocks noChangeArrowheads="1"/>
        </xdr:cNvSpPr>
      </xdr:nvSpPr>
      <xdr:spPr bwMode="auto">
        <a:xfrm>
          <a:off x="7496175" y="60293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21</xdr:row>
      <xdr:rowOff>0</xdr:rowOff>
    </xdr:from>
    <xdr:to>
      <xdr:col>23</xdr:col>
      <xdr:colOff>200025</xdr:colOff>
      <xdr:row>22</xdr:row>
      <xdr:rowOff>9525</xdr:rowOff>
    </xdr:to>
    <xdr:sp macro="" textlink="">
      <xdr:nvSpPr>
        <xdr:cNvPr id="952" name="Rectangle 1707"/>
        <xdr:cNvSpPr>
          <a:spLocks noChangeArrowheads="1"/>
        </xdr:cNvSpPr>
      </xdr:nvSpPr>
      <xdr:spPr bwMode="auto">
        <a:xfrm>
          <a:off x="7505700" y="60293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21</xdr:row>
      <xdr:rowOff>0</xdr:rowOff>
    </xdr:from>
    <xdr:to>
      <xdr:col>23</xdr:col>
      <xdr:colOff>200025</xdr:colOff>
      <xdr:row>22</xdr:row>
      <xdr:rowOff>9525</xdr:rowOff>
    </xdr:to>
    <xdr:sp macro="" textlink="">
      <xdr:nvSpPr>
        <xdr:cNvPr id="953" name="Rectangle 1708"/>
        <xdr:cNvSpPr>
          <a:spLocks noChangeArrowheads="1"/>
        </xdr:cNvSpPr>
      </xdr:nvSpPr>
      <xdr:spPr bwMode="auto">
        <a:xfrm>
          <a:off x="7505700" y="60293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pPr rtl="0"/>
          <a:r>
            <a:rPr lang="en-US" sz="1200" b="0" i="0">
              <a:latin typeface="Arial" pitchFamily="34" charset="0"/>
              <a:ea typeface="+mn-ea"/>
              <a:cs typeface="Arial" pitchFamily="34" charset="0"/>
            </a:rPr>
            <a:t> C</a:t>
          </a:r>
          <a:endParaRPr lang="en-US" sz="1200" b="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190500</xdr:colOff>
      <xdr:row>21</xdr:row>
      <xdr:rowOff>0</xdr:rowOff>
    </xdr:from>
    <xdr:to>
      <xdr:col>37</xdr:col>
      <xdr:colOff>190500</xdr:colOff>
      <xdr:row>22</xdr:row>
      <xdr:rowOff>9525</xdr:rowOff>
    </xdr:to>
    <xdr:sp macro="" textlink="">
      <xdr:nvSpPr>
        <xdr:cNvPr id="954" name="Rectangle 1709"/>
        <xdr:cNvSpPr>
          <a:spLocks noChangeArrowheads="1"/>
        </xdr:cNvSpPr>
      </xdr:nvSpPr>
      <xdr:spPr bwMode="auto">
        <a:xfrm>
          <a:off x="13201650" y="60293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21</xdr:row>
      <xdr:rowOff>0</xdr:rowOff>
    </xdr:from>
    <xdr:to>
      <xdr:col>37</xdr:col>
      <xdr:colOff>190500</xdr:colOff>
      <xdr:row>22</xdr:row>
      <xdr:rowOff>9525</xdr:rowOff>
    </xdr:to>
    <xdr:sp macro="" textlink="">
      <xdr:nvSpPr>
        <xdr:cNvPr id="955" name="Rectangle 1710"/>
        <xdr:cNvSpPr>
          <a:spLocks noChangeArrowheads="1"/>
        </xdr:cNvSpPr>
      </xdr:nvSpPr>
      <xdr:spPr bwMode="auto">
        <a:xfrm>
          <a:off x="13201650" y="60293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57</xdr:row>
      <xdr:rowOff>0</xdr:rowOff>
    </xdr:from>
    <xdr:to>
      <xdr:col>11</xdr:col>
      <xdr:colOff>200025</xdr:colOff>
      <xdr:row>58</xdr:row>
      <xdr:rowOff>9525</xdr:rowOff>
    </xdr:to>
    <xdr:sp macro="" textlink="">
      <xdr:nvSpPr>
        <xdr:cNvPr id="956" name="Rectangle 1711"/>
        <xdr:cNvSpPr>
          <a:spLocks noChangeArrowheads="1"/>
        </xdr:cNvSpPr>
      </xdr:nvSpPr>
      <xdr:spPr bwMode="auto">
        <a:xfrm>
          <a:off x="2209800" y="160020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12</xdr:col>
      <xdr:colOff>190500</xdr:colOff>
      <xdr:row>57</xdr:row>
      <xdr:rowOff>0</xdr:rowOff>
    </xdr:from>
    <xdr:to>
      <xdr:col>13</xdr:col>
      <xdr:colOff>200025</xdr:colOff>
      <xdr:row>58</xdr:row>
      <xdr:rowOff>9525</xdr:rowOff>
    </xdr:to>
    <xdr:sp macro="" textlink="">
      <xdr:nvSpPr>
        <xdr:cNvPr id="957" name="Rectangle 1712"/>
        <xdr:cNvSpPr>
          <a:spLocks noChangeArrowheads="1"/>
        </xdr:cNvSpPr>
      </xdr:nvSpPr>
      <xdr:spPr bwMode="auto">
        <a:xfrm>
          <a:off x="3057525" y="160020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14</xdr:col>
      <xdr:colOff>190500</xdr:colOff>
      <xdr:row>57</xdr:row>
      <xdr:rowOff>0</xdr:rowOff>
    </xdr:from>
    <xdr:to>
      <xdr:col>15</xdr:col>
      <xdr:colOff>200025</xdr:colOff>
      <xdr:row>58</xdr:row>
      <xdr:rowOff>9525</xdr:rowOff>
    </xdr:to>
    <xdr:sp macro="" textlink="">
      <xdr:nvSpPr>
        <xdr:cNvPr id="958" name="Rectangle 1713"/>
        <xdr:cNvSpPr>
          <a:spLocks noChangeArrowheads="1"/>
        </xdr:cNvSpPr>
      </xdr:nvSpPr>
      <xdr:spPr bwMode="auto">
        <a:xfrm>
          <a:off x="3933825" y="1600200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57</xdr:row>
      <xdr:rowOff>0</xdr:rowOff>
    </xdr:from>
    <xdr:to>
      <xdr:col>17</xdr:col>
      <xdr:colOff>200025</xdr:colOff>
      <xdr:row>58</xdr:row>
      <xdr:rowOff>9525</xdr:rowOff>
    </xdr:to>
    <xdr:sp macro="" textlink="">
      <xdr:nvSpPr>
        <xdr:cNvPr id="959" name="Rectangle 1714"/>
        <xdr:cNvSpPr>
          <a:spLocks noChangeArrowheads="1"/>
        </xdr:cNvSpPr>
      </xdr:nvSpPr>
      <xdr:spPr bwMode="auto">
        <a:xfrm>
          <a:off x="4943475" y="160020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57</xdr:row>
      <xdr:rowOff>0</xdr:rowOff>
    </xdr:from>
    <xdr:to>
      <xdr:col>21</xdr:col>
      <xdr:colOff>200025</xdr:colOff>
      <xdr:row>58</xdr:row>
      <xdr:rowOff>9525</xdr:rowOff>
    </xdr:to>
    <xdr:sp macro="" textlink="">
      <xdr:nvSpPr>
        <xdr:cNvPr id="960" name="Rectangle 1715"/>
        <xdr:cNvSpPr>
          <a:spLocks noChangeArrowheads="1"/>
        </xdr:cNvSpPr>
      </xdr:nvSpPr>
      <xdr:spPr bwMode="auto">
        <a:xfrm>
          <a:off x="6648450" y="1600200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57</xdr:row>
      <xdr:rowOff>0</xdr:rowOff>
    </xdr:from>
    <xdr:to>
      <xdr:col>23</xdr:col>
      <xdr:colOff>200025</xdr:colOff>
      <xdr:row>58</xdr:row>
      <xdr:rowOff>9525</xdr:rowOff>
    </xdr:to>
    <xdr:sp macro="" textlink="">
      <xdr:nvSpPr>
        <xdr:cNvPr id="961" name="Rectangle 1716"/>
        <xdr:cNvSpPr>
          <a:spLocks noChangeArrowheads="1"/>
        </xdr:cNvSpPr>
      </xdr:nvSpPr>
      <xdr:spPr bwMode="auto">
        <a:xfrm>
          <a:off x="7505700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57</xdr:row>
      <xdr:rowOff>0</xdr:rowOff>
    </xdr:from>
    <xdr:to>
      <xdr:col>25</xdr:col>
      <xdr:colOff>200025</xdr:colOff>
      <xdr:row>58</xdr:row>
      <xdr:rowOff>9525</xdr:rowOff>
    </xdr:to>
    <xdr:sp macro="" textlink="">
      <xdr:nvSpPr>
        <xdr:cNvPr id="962" name="Rectangle 1717"/>
        <xdr:cNvSpPr>
          <a:spLocks noChangeArrowheads="1"/>
        </xdr:cNvSpPr>
      </xdr:nvSpPr>
      <xdr:spPr bwMode="auto">
        <a:xfrm>
          <a:off x="8315325" y="160020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57</xdr:row>
      <xdr:rowOff>0</xdr:rowOff>
    </xdr:from>
    <xdr:to>
      <xdr:col>27</xdr:col>
      <xdr:colOff>200025</xdr:colOff>
      <xdr:row>58</xdr:row>
      <xdr:rowOff>9525</xdr:rowOff>
    </xdr:to>
    <xdr:sp macro="" textlink="">
      <xdr:nvSpPr>
        <xdr:cNvPr id="963" name="Rectangle 1718"/>
        <xdr:cNvSpPr>
          <a:spLocks noChangeArrowheads="1"/>
        </xdr:cNvSpPr>
      </xdr:nvSpPr>
      <xdr:spPr bwMode="auto">
        <a:xfrm>
          <a:off x="9163050" y="160020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57</xdr:row>
      <xdr:rowOff>0</xdr:rowOff>
    </xdr:from>
    <xdr:to>
      <xdr:col>31</xdr:col>
      <xdr:colOff>200025</xdr:colOff>
      <xdr:row>58</xdr:row>
      <xdr:rowOff>9525</xdr:rowOff>
    </xdr:to>
    <xdr:sp macro="" textlink="">
      <xdr:nvSpPr>
        <xdr:cNvPr id="964" name="Rectangle 1719"/>
        <xdr:cNvSpPr>
          <a:spLocks noChangeArrowheads="1"/>
        </xdr:cNvSpPr>
      </xdr:nvSpPr>
      <xdr:spPr bwMode="auto">
        <a:xfrm>
          <a:off x="10868025" y="160020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57</xdr:row>
      <xdr:rowOff>0</xdr:rowOff>
    </xdr:from>
    <xdr:to>
      <xdr:col>33</xdr:col>
      <xdr:colOff>200025</xdr:colOff>
      <xdr:row>58</xdr:row>
      <xdr:rowOff>9525</xdr:rowOff>
    </xdr:to>
    <xdr:sp macro="" textlink="">
      <xdr:nvSpPr>
        <xdr:cNvPr id="965" name="Rectangle 1720"/>
        <xdr:cNvSpPr>
          <a:spLocks noChangeArrowheads="1"/>
        </xdr:cNvSpPr>
      </xdr:nvSpPr>
      <xdr:spPr bwMode="auto">
        <a:xfrm>
          <a:off x="11649075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57</xdr:row>
      <xdr:rowOff>0</xdr:rowOff>
    </xdr:from>
    <xdr:to>
      <xdr:col>37</xdr:col>
      <xdr:colOff>190500</xdr:colOff>
      <xdr:row>58</xdr:row>
      <xdr:rowOff>9525</xdr:rowOff>
    </xdr:to>
    <xdr:sp macro="" textlink="">
      <xdr:nvSpPr>
        <xdr:cNvPr id="966" name="Rectangle 1721"/>
        <xdr:cNvSpPr>
          <a:spLocks noChangeArrowheads="1"/>
        </xdr:cNvSpPr>
      </xdr:nvSpPr>
      <xdr:spPr bwMode="auto">
        <a:xfrm>
          <a:off x="13201650" y="160020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57</xdr:row>
      <xdr:rowOff>0</xdr:rowOff>
    </xdr:from>
    <xdr:to>
      <xdr:col>29</xdr:col>
      <xdr:colOff>200025</xdr:colOff>
      <xdr:row>58</xdr:row>
      <xdr:rowOff>9525</xdr:rowOff>
    </xdr:to>
    <xdr:sp macro="" textlink="">
      <xdr:nvSpPr>
        <xdr:cNvPr id="967" name="Rectangle 1722"/>
        <xdr:cNvSpPr>
          <a:spLocks noChangeArrowheads="1"/>
        </xdr:cNvSpPr>
      </xdr:nvSpPr>
      <xdr:spPr bwMode="auto">
        <a:xfrm>
          <a:off x="9991725" y="160020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180975</xdr:colOff>
      <xdr:row>57</xdr:row>
      <xdr:rowOff>0</xdr:rowOff>
    </xdr:from>
    <xdr:to>
      <xdr:col>19</xdr:col>
      <xdr:colOff>190500</xdr:colOff>
      <xdr:row>58</xdr:row>
      <xdr:rowOff>9525</xdr:rowOff>
    </xdr:to>
    <xdr:sp macro="" textlink="">
      <xdr:nvSpPr>
        <xdr:cNvPr id="968" name="Rectangle 1723"/>
        <xdr:cNvSpPr>
          <a:spLocks noChangeArrowheads="1"/>
        </xdr:cNvSpPr>
      </xdr:nvSpPr>
      <xdr:spPr bwMode="auto">
        <a:xfrm>
          <a:off x="5829300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57</xdr:row>
      <xdr:rowOff>0</xdr:rowOff>
    </xdr:from>
    <xdr:to>
      <xdr:col>11</xdr:col>
      <xdr:colOff>200025</xdr:colOff>
      <xdr:row>58</xdr:row>
      <xdr:rowOff>9525</xdr:rowOff>
    </xdr:to>
    <xdr:sp macro="" textlink="">
      <xdr:nvSpPr>
        <xdr:cNvPr id="969" name="Rectangle 1724"/>
        <xdr:cNvSpPr>
          <a:spLocks noChangeArrowheads="1"/>
        </xdr:cNvSpPr>
      </xdr:nvSpPr>
      <xdr:spPr bwMode="auto">
        <a:xfrm>
          <a:off x="2209800" y="160020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57</xdr:row>
      <xdr:rowOff>0</xdr:rowOff>
    </xdr:from>
    <xdr:to>
      <xdr:col>13</xdr:col>
      <xdr:colOff>200025</xdr:colOff>
      <xdr:row>58</xdr:row>
      <xdr:rowOff>9525</xdr:rowOff>
    </xdr:to>
    <xdr:sp macro="" textlink="">
      <xdr:nvSpPr>
        <xdr:cNvPr id="970" name="Rectangle 1725"/>
        <xdr:cNvSpPr>
          <a:spLocks noChangeArrowheads="1"/>
        </xdr:cNvSpPr>
      </xdr:nvSpPr>
      <xdr:spPr bwMode="auto">
        <a:xfrm>
          <a:off x="3057525" y="160020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57</xdr:row>
      <xdr:rowOff>0</xdr:rowOff>
    </xdr:from>
    <xdr:to>
      <xdr:col>15</xdr:col>
      <xdr:colOff>200025</xdr:colOff>
      <xdr:row>58</xdr:row>
      <xdr:rowOff>9525</xdr:rowOff>
    </xdr:to>
    <xdr:sp macro="" textlink="">
      <xdr:nvSpPr>
        <xdr:cNvPr id="971" name="Rectangle 1726"/>
        <xdr:cNvSpPr>
          <a:spLocks noChangeArrowheads="1"/>
        </xdr:cNvSpPr>
      </xdr:nvSpPr>
      <xdr:spPr bwMode="auto">
        <a:xfrm>
          <a:off x="3933825" y="1600200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57</xdr:row>
      <xdr:rowOff>0</xdr:rowOff>
    </xdr:from>
    <xdr:to>
      <xdr:col>17</xdr:col>
      <xdr:colOff>200025</xdr:colOff>
      <xdr:row>58</xdr:row>
      <xdr:rowOff>9525</xdr:rowOff>
    </xdr:to>
    <xdr:sp macro="" textlink="">
      <xdr:nvSpPr>
        <xdr:cNvPr id="972" name="Rectangle 1727"/>
        <xdr:cNvSpPr>
          <a:spLocks noChangeArrowheads="1"/>
        </xdr:cNvSpPr>
      </xdr:nvSpPr>
      <xdr:spPr bwMode="auto">
        <a:xfrm>
          <a:off x="4943475" y="160020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57</xdr:row>
      <xdr:rowOff>0</xdr:rowOff>
    </xdr:from>
    <xdr:to>
      <xdr:col>19</xdr:col>
      <xdr:colOff>200025</xdr:colOff>
      <xdr:row>58</xdr:row>
      <xdr:rowOff>9525</xdr:rowOff>
    </xdr:to>
    <xdr:sp macro="" textlink="">
      <xdr:nvSpPr>
        <xdr:cNvPr id="973" name="Rectangle 1728"/>
        <xdr:cNvSpPr>
          <a:spLocks noChangeArrowheads="1"/>
        </xdr:cNvSpPr>
      </xdr:nvSpPr>
      <xdr:spPr bwMode="auto">
        <a:xfrm>
          <a:off x="5838825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57</xdr:row>
      <xdr:rowOff>0</xdr:rowOff>
    </xdr:from>
    <xdr:to>
      <xdr:col>21</xdr:col>
      <xdr:colOff>200025</xdr:colOff>
      <xdr:row>58</xdr:row>
      <xdr:rowOff>9525</xdr:rowOff>
    </xdr:to>
    <xdr:sp macro="" textlink="">
      <xdr:nvSpPr>
        <xdr:cNvPr id="974" name="Rectangle 1729"/>
        <xdr:cNvSpPr>
          <a:spLocks noChangeArrowheads="1"/>
        </xdr:cNvSpPr>
      </xdr:nvSpPr>
      <xdr:spPr bwMode="auto">
        <a:xfrm>
          <a:off x="6648450" y="1600200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57</xdr:row>
      <xdr:rowOff>0</xdr:rowOff>
    </xdr:from>
    <xdr:to>
      <xdr:col>23</xdr:col>
      <xdr:colOff>200025</xdr:colOff>
      <xdr:row>58</xdr:row>
      <xdr:rowOff>9525</xdr:rowOff>
    </xdr:to>
    <xdr:sp macro="" textlink="">
      <xdr:nvSpPr>
        <xdr:cNvPr id="975" name="Rectangle 1730"/>
        <xdr:cNvSpPr>
          <a:spLocks noChangeArrowheads="1"/>
        </xdr:cNvSpPr>
      </xdr:nvSpPr>
      <xdr:spPr bwMode="auto">
        <a:xfrm>
          <a:off x="7505700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57</xdr:row>
      <xdr:rowOff>0</xdr:rowOff>
    </xdr:from>
    <xdr:to>
      <xdr:col>25</xdr:col>
      <xdr:colOff>200025</xdr:colOff>
      <xdr:row>58</xdr:row>
      <xdr:rowOff>9525</xdr:rowOff>
    </xdr:to>
    <xdr:sp macro="" textlink="">
      <xdr:nvSpPr>
        <xdr:cNvPr id="976" name="Rectangle 1731"/>
        <xdr:cNvSpPr>
          <a:spLocks noChangeArrowheads="1"/>
        </xdr:cNvSpPr>
      </xdr:nvSpPr>
      <xdr:spPr bwMode="auto">
        <a:xfrm>
          <a:off x="8315325" y="160020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57</xdr:row>
      <xdr:rowOff>0</xdr:rowOff>
    </xdr:from>
    <xdr:to>
      <xdr:col>27</xdr:col>
      <xdr:colOff>200025</xdr:colOff>
      <xdr:row>58</xdr:row>
      <xdr:rowOff>9525</xdr:rowOff>
    </xdr:to>
    <xdr:sp macro="" textlink="">
      <xdr:nvSpPr>
        <xdr:cNvPr id="977" name="Rectangle 1732"/>
        <xdr:cNvSpPr>
          <a:spLocks noChangeArrowheads="1"/>
        </xdr:cNvSpPr>
      </xdr:nvSpPr>
      <xdr:spPr bwMode="auto">
        <a:xfrm>
          <a:off x="9163050" y="160020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57</xdr:row>
      <xdr:rowOff>0</xdr:rowOff>
    </xdr:from>
    <xdr:to>
      <xdr:col>31</xdr:col>
      <xdr:colOff>200025</xdr:colOff>
      <xdr:row>58</xdr:row>
      <xdr:rowOff>9525</xdr:rowOff>
    </xdr:to>
    <xdr:sp macro="" textlink="">
      <xdr:nvSpPr>
        <xdr:cNvPr id="978" name="Rectangle 1733"/>
        <xdr:cNvSpPr>
          <a:spLocks noChangeArrowheads="1"/>
        </xdr:cNvSpPr>
      </xdr:nvSpPr>
      <xdr:spPr bwMode="auto">
        <a:xfrm>
          <a:off x="10868025" y="160020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57</xdr:row>
      <xdr:rowOff>0</xdr:rowOff>
    </xdr:from>
    <xdr:to>
      <xdr:col>33</xdr:col>
      <xdr:colOff>200025</xdr:colOff>
      <xdr:row>58</xdr:row>
      <xdr:rowOff>9525</xdr:rowOff>
    </xdr:to>
    <xdr:sp macro="" textlink="">
      <xdr:nvSpPr>
        <xdr:cNvPr id="979" name="Rectangle 1734"/>
        <xdr:cNvSpPr>
          <a:spLocks noChangeArrowheads="1"/>
        </xdr:cNvSpPr>
      </xdr:nvSpPr>
      <xdr:spPr bwMode="auto">
        <a:xfrm>
          <a:off x="11649075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57</xdr:row>
      <xdr:rowOff>0</xdr:rowOff>
    </xdr:from>
    <xdr:to>
      <xdr:col>29</xdr:col>
      <xdr:colOff>200025</xdr:colOff>
      <xdr:row>58</xdr:row>
      <xdr:rowOff>9525</xdr:rowOff>
    </xdr:to>
    <xdr:sp macro="" textlink="">
      <xdr:nvSpPr>
        <xdr:cNvPr id="980" name="Rectangle 1735"/>
        <xdr:cNvSpPr>
          <a:spLocks noChangeArrowheads="1"/>
        </xdr:cNvSpPr>
      </xdr:nvSpPr>
      <xdr:spPr bwMode="auto">
        <a:xfrm>
          <a:off x="9991725" y="160020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57</xdr:row>
      <xdr:rowOff>0</xdr:rowOff>
    </xdr:from>
    <xdr:to>
      <xdr:col>37</xdr:col>
      <xdr:colOff>190500</xdr:colOff>
      <xdr:row>58</xdr:row>
      <xdr:rowOff>9525</xdr:rowOff>
    </xdr:to>
    <xdr:sp macro="" textlink="">
      <xdr:nvSpPr>
        <xdr:cNvPr id="981" name="Rectangle 1736"/>
        <xdr:cNvSpPr>
          <a:spLocks noChangeArrowheads="1"/>
        </xdr:cNvSpPr>
      </xdr:nvSpPr>
      <xdr:spPr bwMode="auto">
        <a:xfrm>
          <a:off x="13201650" y="160020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56</xdr:row>
      <xdr:rowOff>332476</xdr:rowOff>
    </xdr:from>
    <xdr:to>
      <xdr:col>11</xdr:col>
      <xdr:colOff>200025</xdr:colOff>
      <xdr:row>58</xdr:row>
      <xdr:rowOff>539</xdr:rowOff>
    </xdr:to>
    <xdr:sp macro="" textlink="">
      <xdr:nvSpPr>
        <xdr:cNvPr id="982" name="Rectangle 1737"/>
        <xdr:cNvSpPr>
          <a:spLocks noChangeArrowheads="1"/>
        </xdr:cNvSpPr>
      </xdr:nvSpPr>
      <xdr:spPr bwMode="auto">
        <a:xfrm>
          <a:off x="2209800" y="15991576"/>
          <a:ext cx="476250" cy="28718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B</a:t>
          </a:r>
        </a:p>
      </xdr:txBody>
    </xdr:sp>
    <xdr:clientData/>
  </xdr:twoCellAnchor>
  <xdr:twoCellAnchor>
    <xdr:from>
      <xdr:col>12</xdr:col>
      <xdr:colOff>190500</xdr:colOff>
      <xdr:row>56</xdr:row>
      <xdr:rowOff>332476</xdr:rowOff>
    </xdr:from>
    <xdr:to>
      <xdr:col>13</xdr:col>
      <xdr:colOff>200025</xdr:colOff>
      <xdr:row>58</xdr:row>
      <xdr:rowOff>539</xdr:rowOff>
    </xdr:to>
    <xdr:sp macro="" textlink="">
      <xdr:nvSpPr>
        <xdr:cNvPr id="983" name="Rectangle 1738"/>
        <xdr:cNvSpPr>
          <a:spLocks noChangeArrowheads="1"/>
        </xdr:cNvSpPr>
      </xdr:nvSpPr>
      <xdr:spPr bwMode="auto">
        <a:xfrm>
          <a:off x="3057525" y="15991576"/>
          <a:ext cx="523875" cy="28718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B</a:t>
          </a:r>
        </a:p>
        <a:p>
          <a:pPr algn="ctr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190500</xdr:colOff>
      <xdr:row>56</xdr:row>
      <xdr:rowOff>332476</xdr:rowOff>
    </xdr:from>
    <xdr:to>
      <xdr:col>15</xdr:col>
      <xdr:colOff>200025</xdr:colOff>
      <xdr:row>58</xdr:row>
      <xdr:rowOff>539</xdr:rowOff>
    </xdr:to>
    <xdr:sp macro="" textlink="">
      <xdr:nvSpPr>
        <xdr:cNvPr id="984" name="Rectangle 1739"/>
        <xdr:cNvSpPr>
          <a:spLocks noChangeArrowheads="1"/>
        </xdr:cNvSpPr>
      </xdr:nvSpPr>
      <xdr:spPr bwMode="auto">
        <a:xfrm>
          <a:off x="3933825" y="15991576"/>
          <a:ext cx="581025" cy="28718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16</xdr:col>
      <xdr:colOff>190500</xdr:colOff>
      <xdr:row>57</xdr:row>
      <xdr:rowOff>0</xdr:rowOff>
    </xdr:from>
    <xdr:to>
      <xdr:col>17</xdr:col>
      <xdr:colOff>200025</xdr:colOff>
      <xdr:row>58</xdr:row>
      <xdr:rowOff>9525</xdr:rowOff>
    </xdr:to>
    <xdr:sp macro="" textlink="">
      <xdr:nvSpPr>
        <xdr:cNvPr id="985" name="Rectangle 1740"/>
        <xdr:cNvSpPr>
          <a:spLocks noChangeArrowheads="1"/>
        </xdr:cNvSpPr>
      </xdr:nvSpPr>
      <xdr:spPr bwMode="auto">
        <a:xfrm>
          <a:off x="4943475" y="160020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56</xdr:row>
      <xdr:rowOff>332476</xdr:rowOff>
    </xdr:from>
    <xdr:to>
      <xdr:col>19</xdr:col>
      <xdr:colOff>200025</xdr:colOff>
      <xdr:row>58</xdr:row>
      <xdr:rowOff>539</xdr:rowOff>
    </xdr:to>
    <xdr:sp macro="" textlink="">
      <xdr:nvSpPr>
        <xdr:cNvPr id="986" name="Rectangle 1741"/>
        <xdr:cNvSpPr>
          <a:spLocks noChangeArrowheads="1"/>
        </xdr:cNvSpPr>
      </xdr:nvSpPr>
      <xdr:spPr bwMode="auto">
        <a:xfrm>
          <a:off x="5838825" y="15991576"/>
          <a:ext cx="438150" cy="28718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16</xdr:col>
      <xdr:colOff>190500</xdr:colOff>
      <xdr:row>56</xdr:row>
      <xdr:rowOff>332476</xdr:rowOff>
    </xdr:from>
    <xdr:to>
      <xdr:col>17</xdr:col>
      <xdr:colOff>200025</xdr:colOff>
      <xdr:row>58</xdr:row>
      <xdr:rowOff>539</xdr:rowOff>
    </xdr:to>
    <xdr:sp macro="" textlink="">
      <xdr:nvSpPr>
        <xdr:cNvPr id="987" name="Rectangle 1742"/>
        <xdr:cNvSpPr>
          <a:spLocks noChangeArrowheads="1"/>
        </xdr:cNvSpPr>
      </xdr:nvSpPr>
      <xdr:spPr bwMode="auto">
        <a:xfrm>
          <a:off x="4943475" y="15991576"/>
          <a:ext cx="523875" cy="28718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20</xdr:col>
      <xdr:colOff>180975</xdr:colOff>
      <xdr:row>57</xdr:row>
      <xdr:rowOff>0</xdr:rowOff>
    </xdr:from>
    <xdr:to>
      <xdr:col>21</xdr:col>
      <xdr:colOff>190500</xdr:colOff>
      <xdr:row>58</xdr:row>
      <xdr:rowOff>9525</xdr:rowOff>
    </xdr:to>
    <xdr:sp macro="" textlink="">
      <xdr:nvSpPr>
        <xdr:cNvPr id="988" name="Rectangle 1743"/>
        <xdr:cNvSpPr>
          <a:spLocks noChangeArrowheads="1"/>
        </xdr:cNvSpPr>
      </xdr:nvSpPr>
      <xdr:spPr bwMode="auto">
        <a:xfrm>
          <a:off x="6638925" y="1600200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57</xdr:row>
      <xdr:rowOff>0</xdr:rowOff>
    </xdr:from>
    <xdr:to>
      <xdr:col>21</xdr:col>
      <xdr:colOff>200025</xdr:colOff>
      <xdr:row>58</xdr:row>
      <xdr:rowOff>9525</xdr:rowOff>
    </xdr:to>
    <xdr:sp macro="" textlink="">
      <xdr:nvSpPr>
        <xdr:cNvPr id="989" name="Rectangle 1744"/>
        <xdr:cNvSpPr>
          <a:spLocks noChangeArrowheads="1"/>
        </xdr:cNvSpPr>
      </xdr:nvSpPr>
      <xdr:spPr bwMode="auto">
        <a:xfrm>
          <a:off x="6648450" y="1600200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56</xdr:row>
      <xdr:rowOff>332476</xdr:rowOff>
    </xdr:from>
    <xdr:to>
      <xdr:col>21</xdr:col>
      <xdr:colOff>200025</xdr:colOff>
      <xdr:row>58</xdr:row>
      <xdr:rowOff>539</xdr:rowOff>
    </xdr:to>
    <xdr:sp macro="" textlink="">
      <xdr:nvSpPr>
        <xdr:cNvPr id="990" name="Rectangle 1745"/>
        <xdr:cNvSpPr>
          <a:spLocks noChangeArrowheads="1"/>
        </xdr:cNvSpPr>
      </xdr:nvSpPr>
      <xdr:spPr bwMode="auto">
        <a:xfrm>
          <a:off x="6648450" y="15991576"/>
          <a:ext cx="485775" cy="28718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57</xdr:row>
      <xdr:rowOff>0</xdr:rowOff>
    </xdr:from>
    <xdr:to>
      <xdr:col>23</xdr:col>
      <xdr:colOff>200025</xdr:colOff>
      <xdr:row>58</xdr:row>
      <xdr:rowOff>9525</xdr:rowOff>
    </xdr:to>
    <xdr:sp macro="" textlink="">
      <xdr:nvSpPr>
        <xdr:cNvPr id="991" name="Rectangle 1746"/>
        <xdr:cNvSpPr>
          <a:spLocks noChangeArrowheads="1"/>
        </xdr:cNvSpPr>
      </xdr:nvSpPr>
      <xdr:spPr bwMode="auto">
        <a:xfrm>
          <a:off x="7505700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57</xdr:row>
      <xdr:rowOff>0</xdr:rowOff>
    </xdr:from>
    <xdr:to>
      <xdr:col>23</xdr:col>
      <xdr:colOff>200025</xdr:colOff>
      <xdr:row>58</xdr:row>
      <xdr:rowOff>9525</xdr:rowOff>
    </xdr:to>
    <xdr:sp macro="" textlink="">
      <xdr:nvSpPr>
        <xdr:cNvPr id="992" name="Rectangle 1747"/>
        <xdr:cNvSpPr>
          <a:spLocks noChangeArrowheads="1"/>
        </xdr:cNvSpPr>
      </xdr:nvSpPr>
      <xdr:spPr bwMode="auto">
        <a:xfrm>
          <a:off x="7505700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180975</xdr:colOff>
      <xdr:row>57</xdr:row>
      <xdr:rowOff>0</xdr:rowOff>
    </xdr:from>
    <xdr:to>
      <xdr:col>23</xdr:col>
      <xdr:colOff>190500</xdr:colOff>
      <xdr:row>58</xdr:row>
      <xdr:rowOff>9525</xdr:rowOff>
    </xdr:to>
    <xdr:sp macro="" textlink="">
      <xdr:nvSpPr>
        <xdr:cNvPr id="993" name="Rectangle 1748"/>
        <xdr:cNvSpPr>
          <a:spLocks noChangeArrowheads="1"/>
        </xdr:cNvSpPr>
      </xdr:nvSpPr>
      <xdr:spPr bwMode="auto">
        <a:xfrm>
          <a:off x="7496175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57</xdr:row>
      <xdr:rowOff>0</xdr:rowOff>
    </xdr:from>
    <xdr:to>
      <xdr:col>23</xdr:col>
      <xdr:colOff>200025</xdr:colOff>
      <xdr:row>58</xdr:row>
      <xdr:rowOff>9525</xdr:rowOff>
    </xdr:to>
    <xdr:sp macro="" textlink="">
      <xdr:nvSpPr>
        <xdr:cNvPr id="994" name="Rectangle 1749"/>
        <xdr:cNvSpPr>
          <a:spLocks noChangeArrowheads="1"/>
        </xdr:cNvSpPr>
      </xdr:nvSpPr>
      <xdr:spPr bwMode="auto">
        <a:xfrm>
          <a:off x="7505700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56</xdr:row>
      <xdr:rowOff>332476</xdr:rowOff>
    </xdr:from>
    <xdr:to>
      <xdr:col>23</xdr:col>
      <xdr:colOff>200025</xdr:colOff>
      <xdr:row>58</xdr:row>
      <xdr:rowOff>539</xdr:rowOff>
    </xdr:to>
    <xdr:sp macro="" textlink="">
      <xdr:nvSpPr>
        <xdr:cNvPr id="995" name="Rectangle 1750"/>
        <xdr:cNvSpPr>
          <a:spLocks noChangeArrowheads="1"/>
        </xdr:cNvSpPr>
      </xdr:nvSpPr>
      <xdr:spPr bwMode="auto">
        <a:xfrm>
          <a:off x="7505700" y="15991576"/>
          <a:ext cx="438150" cy="28718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36</xdr:col>
      <xdr:colOff>190500</xdr:colOff>
      <xdr:row>57</xdr:row>
      <xdr:rowOff>0</xdr:rowOff>
    </xdr:from>
    <xdr:to>
      <xdr:col>37</xdr:col>
      <xdr:colOff>190500</xdr:colOff>
      <xdr:row>58</xdr:row>
      <xdr:rowOff>9525</xdr:rowOff>
    </xdr:to>
    <xdr:sp macro="" textlink="">
      <xdr:nvSpPr>
        <xdr:cNvPr id="996" name="Rectangle 1751"/>
        <xdr:cNvSpPr>
          <a:spLocks noChangeArrowheads="1"/>
        </xdr:cNvSpPr>
      </xdr:nvSpPr>
      <xdr:spPr bwMode="auto">
        <a:xfrm>
          <a:off x="13201650" y="160020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56</xdr:row>
      <xdr:rowOff>332476</xdr:rowOff>
    </xdr:from>
    <xdr:to>
      <xdr:col>37</xdr:col>
      <xdr:colOff>190500</xdr:colOff>
      <xdr:row>58</xdr:row>
      <xdr:rowOff>539</xdr:rowOff>
    </xdr:to>
    <xdr:sp macro="" textlink="">
      <xdr:nvSpPr>
        <xdr:cNvPr id="997" name="Rectangle 1752"/>
        <xdr:cNvSpPr>
          <a:spLocks noChangeArrowheads="1"/>
        </xdr:cNvSpPr>
      </xdr:nvSpPr>
      <xdr:spPr bwMode="auto">
        <a:xfrm>
          <a:off x="13201650" y="15991576"/>
          <a:ext cx="523875" cy="28718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10</xdr:col>
      <xdr:colOff>190500</xdr:colOff>
      <xdr:row>92</xdr:row>
      <xdr:rowOff>0</xdr:rowOff>
    </xdr:from>
    <xdr:to>
      <xdr:col>11</xdr:col>
      <xdr:colOff>200025</xdr:colOff>
      <xdr:row>93</xdr:row>
      <xdr:rowOff>9525</xdr:rowOff>
    </xdr:to>
    <xdr:sp macro="" textlink="">
      <xdr:nvSpPr>
        <xdr:cNvPr id="998" name="Rectangle 1753"/>
        <xdr:cNvSpPr>
          <a:spLocks noChangeArrowheads="1"/>
        </xdr:cNvSpPr>
      </xdr:nvSpPr>
      <xdr:spPr bwMode="auto">
        <a:xfrm>
          <a:off x="2209800" y="254984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12</xdr:col>
      <xdr:colOff>190500</xdr:colOff>
      <xdr:row>92</xdr:row>
      <xdr:rowOff>0</xdr:rowOff>
    </xdr:from>
    <xdr:to>
      <xdr:col>13</xdr:col>
      <xdr:colOff>200025</xdr:colOff>
      <xdr:row>93</xdr:row>
      <xdr:rowOff>9525</xdr:rowOff>
    </xdr:to>
    <xdr:sp macro="" textlink="">
      <xdr:nvSpPr>
        <xdr:cNvPr id="999" name="Rectangle 1754"/>
        <xdr:cNvSpPr>
          <a:spLocks noChangeArrowheads="1"/>
        </xdr:cNvSpPr>
      </xdr:nvSpPr>
      <xdr:spPr bwMode="auto">
        <a:xfrm>
          <a:off x="3057525" y="254984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14</xdr:col>
      <xdr:colOff>190500</xdr:colOff>
      <xdr:row>92</xdr:row>
      <xdr:rowOff>0</xdr:rowOff>
    </xdr:from>
    <xdr:to>
      <xdr:col>15</xdr:col>
      <xdr:colOff>200025</xdr:colOff>
      <xdr:row>93</xdr:row>
      <xdr:rowOff>9525</xdr:rowOff>
    </xdr:to>
    <xdr:sp macro="" textlink="">
      <xdr:nvSpPr>
        <xdr:cNvPr id="1000" name="Rectangle 1755"/>
        <xdr:cNvSpPr>
          <a:spLocks noChangeArrowheads="1"/>
        </xdr:cNvSpPr>
      </xdr:nvSpPr>
      <xdr:spPr bwMode="auto">
        <a:xfrm>
          <a:off x="3933825" y="2549842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92</xdr:row>
      <xdr:rowOff>0</xdr:rowOff>
    </xdr:from>
    <xdr:to>
      <xdr:col>17</xdr:col>
      <xdr:colOff>200025</xdr:colOff>
      <xdr:row>93</xdr:row>
      <xdr:rowOff>9525</xdr:rowOff>
    </xdr:to>
    <xdr:sp macro="" textlink="">
      <xdr:nvSpPr>
        <xdr:cNvPr id="1001" name="Rectangle 1756"/>
        <xdr:cNvSpPr>
          <a:spLocks noChangeArrowheads="1"/>
        </xdr:cNvSpPr>
      </xdr:nvSpPr>
      <xdr:spPr bwMode="auto">
        <a:xfrm>
          <a:off x="4943475" y="254984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92</xdr:row>
      <xdr:rowOff>0</xdr:rowOff>
    </xdr:from>
    <xdr:to>
      <xdr:col>21</xdr:col>
      <xdr:colOff>200025</xdr:colOff>
      <xdr:row>93</xdr:row>
      <xdr:rowOff>9525</xdr:rowOff>
    </xdr:to>
    <xdr:sp macro="" textlink="">
      <xdr:nvSpPr>
        <xdr:cNvPr id="1002" name="Rectangle 1757"/>
        <xdr:cNvSpPr>
          <a:spLocks noChangeArrowheads="1"/>
        </xdr:cNvSpPr>
      </xdr:nvSpPr>
      <xdr:spPr bwMode="auto">
        <a:xfrm>
          <a:off x="6648450" y="254984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92</xdr:row>
      <xdr:rowOff>0</xdr:rowOff>
    </xdr:from>
    <xdr:to>
      <xdr:col>23</xdr:col>
      <xdr:colOff>200025</xdr:colOff>
      <xdr:row>93</xdr:row>
      <xdr:rowOff>9525</xdr:rowOff>
    </xdr:to>
    <xdr:sp macro="" textlink="">
      <xdr:nvSpPr>
        <xdr:cNvPr id="1003" name="Rectangle 1758"/>
        <xdr:cNvSpPr>
          <a:spLocks noChangeArrowheads="1"/>
        </xdr:cNvSpPr>
      </xdr:nvSpPr>
      <xdr:spPr bwMode="auto">
        <a:xfrm>
          <a:off x="7505700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92</xdr:row>
      <xdr:rowOff>0</xdr:rowOff>
    </xdr:from>
    <xdr:to>
      <xdr:col>25</xdr:col>
      <xdr:colOff>200025</xdr:colOff>
      <xdr:row>93</xdr:row>
      <xdr:rowOff>9525</xdr:rowOff>
    </xdr:to>
    <xdr:sp macro="" textlink="">
      <xdr:nvSpPr>
        <xdr:cNvPr id="1004" name="Rectangle 1759"/>
        <xdr:cNvSpPr>
          <a:spLocks noChangeArrowheads="1"/>
        </xdr:cNvSpPr>
      </xdr:nvSpPr>
      <xdr:spPr bwMode="auto">
        <a:xfrm>
          <a:off x="8315325" y="254984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92</xdr:row>
      <xdr:rowOff>0</xdr:rowOff>
    </xdr:from>
    <xdr:to>
      <xdr:col>27</xdr:col>
      <xdr:colOff>200025</xdr:colOff>
      <xdr:row>93</xdr:row>
      <xdr:rowOff>9525</xdr:rowOff>
    </xdr:to>
    <xdr:sp macro="" textlink="">
      <xdr:nvSpPr>
        <xdr:cNvPr id="1005" name="Rectangle 1760"/>
        <xdr:cNvSpPr>
          <a:spLocks noChangeArrowheads="1"/>
        </xdr:cNvSpPr>
      </xdr:nvSpPr>
      <xdr:spPr bwMode="auto">
        <a:xfrm>
          <a:off x="9163050" y="254984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006" name="Rectangle 1761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007" name="Rectangle 1762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92</xdr:row>
      <xdr:rowOff>0</xdr:rowOff>
    </xdr:from>
    <xdr:to>
      <xdr:col>37</xdr:col>
      <xdr:colOff>190500</xdr:colOff>
      <xdr:row>93</xdr:row>
      <xdr:rowOff>9525</xdr:rowOff>
    </xdr:to>
    <xdr:sp macro="" textlink="">
      <xdr:nvSpPr>
        <xdr:cNvPr id="1008" name="Rectangle 1763"/>
        <xdr:cNvSpPr>
          <a:spLocks noChangeArrowheads="1"/>
        </xdr:cNvSpPr>
      </xdr:nvSpPr>
      <xdr:spPr bwMode="auto">
        <a:xfrm>
          <a:off x="13201650" y="254984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1009" name="Rectangle 1764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180975</xdr:colOff>
      <xdr:row>92</xdr:row>
      <xdr:rowOff>0</xdr:rowOff>
    </xdr:from>
    <xdr:to>
      <xdr:col>19</xdr:col>
      <xdr:colOff>190500</xdr:colOff>
      <xdr:row>93</xdr:row>
      <xdr:rowOff>9525</xdr:rowOff>
    </xdr:to>
    <xdr:sp macro="" textlink="">
      <xdr:nvSpPr>
        <xdr:cNvPr id="1010" name="Rectangle 1765"/>
        <xdr:cNvSpPr>
          <a:spLocks noChangeArrowheads="1"/>
        </xdr:cNvSpPr>
      </xdr:nvSpPr>
      <xdr:spPr bwMode="auto">
        <a:xfrm>
          <a:off x="5829300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92</xdr:row>
      <xdr:rowOff>0</xdr:rowOff>
    </xdr:from>
    <xdr:to>
      <xdr:col>11</xdr:col>
      <xdr:colOff>200025</xdr:colOff>
      <xdr:row>93</xdr:row>
      <xdr:rowOff>9525</xdr:rowOff>
    </xdr:to>
    <xdr:sp macro="" textlink="">
      <xdr:nvSpPr>
        <xdr:cNvPr id="1011" name="Rectangle 1766"/>
        <xdr:cNvSpPr>
          <a:spLocks noChangeArrowheads="1"/>
        </xdr:cNvSpPr>
      </xdr:nvSpPr>
      <xdr:spPr bwMode="auto">
        <a:xfrm>
          <a:off x="2209800" y="254984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92</xdr:row>
      <xdr:rowOff>0</xdr:rowOff>
    </xdr:from>
    <xdr:to>
      <xdr:col>13</xdr:col>
      <xdr:colOff>200025</xdr:colOff>
      <xdr:row>93</xdr:row>
      <xdr:rowOff>9525</xdr:rowOff>
    </xdr:to>
    <xdr:sp macro="" textlink="">
      <xdr:nvSpPr>
        <xdr:cNvPr id="1012" name="Rectangle 1767"/>
        <xdr:cNvSpPr>
          <a:spLocks noChangeArrowheads="1"/>
        </xdr:cNvSpPr>
      </xdr:nvSpPr>
      <xdr:spPr bwMode="auto">
        <a:xfrm>
          <a:off x="3057525" y="254984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92</xdr:row>
      <xdr:rowOff>0</xdr:rowOff>
    </xdr:from>
    <xdr:to>
      <xdr:col>15</xdr:col>
      <xdr:colOff>200025</xdr:colOff>
      <xdr:row>93</xdr:row>
      <xdr:rowOff>9525</xdr:rowOff>
    </xdr:to>
    <xdr:sp macro="" textlink="">
      <xdr:nvSpPr>
        <xdr:cNvPr id="1013" name="Rectangle 1768"/>
        <xdr:cNvSpPr>
          <a:spLocks noChangeArrowheads="1"/>
        </xdr:cNvSpPr>
      </xdr:nvSpPr>
      <xdr:spPr bwMode="auto">
        <a:xfrm>
          <a:off x="3933825" y="2549842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92</xdr:row>
      <xdr:rowOff>0</xdr:rowOff>
    </xdr:from>
    <xdr:to>
      <xdr:col>17</xdr:col>
      <xdr:colOff>200025</xdr:colOff>
      <xdr:row>93</xdr:row>
      <xdr:rowOff>9525</xdr:rowOff>
    </xdr:to>
    <xdr:sp macro="" textlink="">
      <xdr:nvSpPr>
        <xdr:cNvPr id="1014" name="Rectangle 1769"/>
        <xdr:cNvSpPr>
          <a:spLocks noChangeArrowheads="1"/>
        </xdr:cNvSpPr>
      </xdr:nvSpPr>
      <xdr:spPr bwMode="auto">
        <a:xfrm>
          <a:off x="4943475" y="254984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92</xdr:row>
      <xdr:rowOff>0</xdr:rowOff>
    </xdr:from>
    <xdr:to>
      <xdr:col>19</xdr:col>
      <xdr:colOff>200025</xdr:colOff>
      <xdr:row>93</xdr:row>
      <xdr:rowOff>9525</xdr:rowOff>
    </xdr:to>
    <xdr:sp macro="" textlink="">
      <xdr:nvSpPr>
        <xdr:cNvPr id="1015" name="Rectangle 1770"/>
        <xdr:cNvSpPr>
          <a:spLocks noChangeArrowheads="1"/>
        </xdr:cNvSpPr>
      </xdr:nvSpPr>
      <xdr:spPr bwMode="auto">
        <a:xfrm>
          <a:off x="583882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92</xdr:row>
      <xdr:rowOff>0</xdr:rowOff>
    </xdr:from>
    <xdr:to>
      <xdr:col>21</xdr:col>
      <xdr:colOff>200025</xdr:colOff>
      <xdr:row>93</xdr:row>
      <xdr:rowOff>9525</xdr:rowOff>
    </xdr:to>
    <xdr:sp macro="" textlink="">
      <xdr:nvSpPr>
        <xdr:cNvPr id="1016" name="Rectangle 1771"/>
        <xdr:cNvSpPr>
          <a:spLocks noChangeArrowheads="1"/>
        </xdr:cNvSpPr>
      </xdr:nvSpPr>
      <xdr:spPr bwMode="auto">
        <a:xfrm>
          <a:off x="6648450" y="254984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92</xdr:row>
      <xdr:rowOff>0</xdr:rowOff>
    </xdr:from>
    <xdr:to>
      <xdr:col>23</xdr:col>
      <xdr:colOff>200025</xdr:colOff>
      <xdr:row>93</xdr:row>
      <xdr:rowOff>9525</xdr:rowOff>
    </xdr:to>
    <xdr:sp macro="" textlink="">
      <xdr:nvSpPr>
        <xdr:cNvPr id="1017" name="Rectangle 1772"/>
        <xdr:cNvSpPr>
          <a:spLocks noChangeArrowheads="1"/>
        </xdr:cNvSpPr>
      </xdr:nvSpPr>
      <xdr:spPr bwMode="auto">
        <a:xfrm>
          <a:off x="7505700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92</xdr:row>
      <xdr:rowOff>0</xdr:rowOff>
    </xdr:from>
    <xdr:to>
      <xdr:col>25</xdr:col>
      <xdr:colOff>200025</xdr:colOff>
      <xdr:row>93</xdr:row>
      <xdr:rowOff>9525</xdr:rowOff>
    </xdr:to>
    <xdr:sp macro="" textlink="">
      <xdr:nvSpPr>
        <xdr:cNvPr id="1018" name="Rectangle 1773"/>
        <xdr:cNvSpPr>
          <a:spLocks noChangeArrowheads="1"/>
        </xdr:cNvSpPr>
      </xdr:nvSpPr>
      <xdr:spPr bwMode="auto">
        <a:xfrm>
          <a:off x="8315325" y="254984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92</xdr:row>
      <xdr:rowOff>0</xdr:rowOff>
    </xdr:from>
    <xdr:to>
      <xdr:col>27</xdr:col>
      <xdr:colOff>200025</xdr:colOff>
      <xdr:row>93</xdr:row>
      <xdr:rowOff>9525</xdr:rowOff>
    </xdr:to>
    <xdr:sp macro="" textlink="">
      <xdr:nvSpPr>
        <xdr:cNvPr id="1019" name="Rectangle 1774"/>
        <xdr:cNvSpPr>
          <a:spLocks noChangeArrowheads="1"/>
        </xdr:cNvSpPr>
      </xdr:nvSpPr>
      <xdr:spPr bwMode="auto">
        <a:xfrm>
          <a:off x="9163050" y="254984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020" name="Rectangle 1775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021" name="Rectangle 1776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1022" name="Rectangle 1777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92</xdr:row>
      <xdr:rowOff>0</xdr:rowOff>
    </xdr:from>
    <xdr:to>
      <xdr:col>37</xdr:col>
      <xdr:colOff>190500</xdr:colOff>
      <xdr:row>93</xdr:row>
      <xdr:rowOff>9525</xdr:rowOff>
    </xdr:to>
    <xdr:sp macro="" textlink="">
      <xdr:nvSpPr>
        <xdr:cNvPr id="1023" name="Rectangle 1778"/>
        <xdr:cNvSpPr>
          <a:spLocks noChangeArrowheads="1"/>
        </xdr:cNvSpPr>
      </xdr:nvSpPr>
      <xdr:spPr bwMode="auto">
        <a:xfrm>
          <a:off x="13201650" y="254984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91</xdr:row>
      <xdr:rowOff>314504</xdr:rowOff>
    </xdr:from>
    <xdr:to>
      <xdr:col>11</xdr:col>
      <xdr:colOff>200025</xdr:colOff>
      <xdr:row>92</xdr:row>
      <xdr:rowOff>269576</xdr:rowOff>
    </xdr:to>
    <xdr:sp macro="" textlink="">
      <xdr:nvSpPr>
        <xdr:cNvPr id="1024" name="Rectangle 1779"/>
        <xdr:cNvSpPr>
          <a:spLocks noChangeArrowheads="1"/>
        </xdr:cNvSpPr>
      </xdr:nvSpPr>
      <xdr:spPr bwMode="auto">
        <a:xfrm>
          <a:off x="2209800" y="25470029"/>
          <a:ext cx="476250" cy="29797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K</a:t>
          </a:r>
        </a:p>
      </xdr:txBody>
    </xdr:sp>
    <xdr:clientData/>
  </xdr:twoCellAnchor>
  <xdr:twoCellAnchor>
    <xdr:from>
      <xdr:col>12</xdr:col>
      <xdr:colOff>190500</xdr:colOff>
      <xdr:row>91</xdr:row>
      <xdr:rowOff>323490</xdr:rowOff>
    </xdr:from>
    <xdr:to>
      <xdr:col>13</xdr:col>
      <xdr:colOff>200025</xdr:colOff>
      <xdr:row>92</xdr:row>
      <xdr:rowOff>270115</xdr:rowOff>
    </xdr:to>
    <xdr:sp macro="" textlink="">
      <xdr:nvSpPr>
        <xdr:cNvPr id="1025" name="Rectangle 1780"/>
        <xdr:cNvSpPr>
          <a:spLocks noChangeArrowheads="1"/>
        </xdr:cNvSpPr>
      </xdr:nvSpPr>
      <xdr:spPr bwMode="auto">
        <a:xfrm>
          <a:off x="3057525" y="25479015"/>
          <a:ext cx="523875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14</xdr:col>
      <xdr:colOff>190500</xdr:colOff>
      <xdr:row>91</xdr:row>
      <xdr:rowOff>323490</xdr:rowOff>
    </xdr:from>
    <xdr:to>
      <xdr:col>15</xdr:col>
      <xdr:colOff>200025</xdr:colOff>
      <xdr:row>92</xdr:row>
      <xdr:rowOff>270115</xdr:rowOff>
    </xdr:to>
    <xdr:sp macro="" textlink="">
      <xdr:nvSpPr>
        <xdr:cNvPr id="1026" name="Rectangle 1781"/>
        <xdr:cNvSpPr>
          <a:spLocks noChangeArrowheads="1"/>
        </xdr:cNvSpPr>
      </xdr:nvSpPr>
      <xdr:spPr bwMode="auto">
        <a:xfrm>
          <a:off x="3933825" y="25479015"/>
          <a:ext cx="581025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16</xdr:col>
      <xdr:colOff>190500</xdr:colOff>
      <xdr:row>92</xdr:row>
      <xdr:rowOff>0</xdr:rowOff>
    </xdr:from>
    <xdr:to>
      <xdr:col>17</xdr:col>
      <xdr:colOff>200025</xdr:colOff>
      <xdr:row>93</xdr:row>
      <xdr:rowOff>9525</xdr:rowOff>
    </xdr:to>
    <xdr:sp macro="" textlink="">
      <xdr:nvSpPr>
        <xdr:cNvPr id="1027" name="Rectangle 1782"/>
        <xdr:cNvSpPr>
          <a:spLocks noChangeArrowheads="1"/>
        </xdr:cNvSpPr>
      </xdr:nvSpPr>
      <xdr:spPr bwMode="auto">
        <a:xfrm>
          <a:off x="4943475" y="254984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91</xdr:row>
      <xdr:rowOff>323490</xdr:rowOff>
    </xdr:from>
    <xdr:to>
      <xdr:col>19</xdr:col>
      <xdr:colOff>200025</xdr:colOff>
      <xdr:row>92</xdr:row>
      <xdr:rowOff>270115</xdr:rowOff>
    </xdr:to>
    <xdr:sp macro="" textlink="">
      <xdr:nvSpPr>
        <xdr:cNvPr id="1028" name="Rectangle 1783"/>
        <xdr:cNvSpPr>
          <a:spLocks noChangeArrowheads="1"/>
        </xdr:cNvSpPr>
      </xdr:nvSpPr>
      <xdr:spPr bwMode="auto">
        <a:xfrm>
          <a:off x="5838825" y="25479015"/>
          <a:ext cx="438150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16</xdr:col>
      <xdr:colOff>190500</xdr:colOff>
      <xdr:row>91</xdr:row>
      <xdr:rowOff>323490</xdr:rowOff>
    </xdr:from>
    <xdr:to>
      <xdr:col>17</xdr:col>
      <xdr:colOff>200025</xdr:colOff>
      <xdr:row>92</xdr:row>
      <xdr:rowOff>270115</xdr:rowOff>
    </xdr:to>
    <xdr:sp macro="" textlink="">
      <xdr:nvSpPr>
        <xdr:cNvPr id="1029" name="Rectangle 1784"/>
        <xdr:cNvSpPr>
          <a:spLocks noChangeArrowheads="1"/>
        </xdr:cNvSpPr>
      </xdr:nvSpPr>
      <xdr:spPr bwMode="auto">
        <a:xfrm>
          <a:off x="4943475" y="25479015"/>
          <a:ext cx="523875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20</xdr:col>
      <xdr:colOff>180975</xdr:colOff>
      <xdr:row>92</xdr:row>
      <xdr:rowOff>0</xdr:rowOff>
    </xdr:from>
    <xdr:to>
      <xdr:col>21</xdr:col>
      <xdr:colOff>190500</xdr:colOff>
      <xdr:row>93</xdr:row>
      <xdr:rowOff>9525</xdr:rowOff>
    </xdr:to>
    <xdr:sp macro="" textlink="">
      <xdr:nvSpPr>
        <xdr:cNvPr id="1030" name="Rectangle 1785"/>
        <xdr:cNvSpPr>
          <a:spLocks noChangeArrowheads="1"/>
        </xdr:cNvSpPr>
      </xdr:nvSpPr>
      <xdr:spPr bwMode="auto">
        <a:xfrm>
          <a:off x="6638925" y="254984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92</xdr:row>
      <xdr:rowOff>0</xdr:rowOff>
    </xdr:from>
    <xdr:to>
      <xdr:col>21</xdr:col>
      <xdr:colOff>200025</xdr:colOff>
      <xdr:row>93</xdr:row>
      <xdr:rowOff>9525</xdr:rowOff>
    </xdr:to>
    <xdr:sp macro="" textlink="">
      <xdr:nvSpPr>
        <xdr:cNvPr id="1031" name="Rectangle 1786"/>
        <xdr:cNvSpPr>
          <a:spLocks noChangeArrowheads="1"/>
        </xdr:cNvSpPr>
      </xdr:nvSpPr>
      <xdr:spPr bwMode="auto">
        <a:xfrm>
          <a:off x="6648450" y="254984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91</xdr:row>
      <xdr:rowOff>323490</xdr:rowOff>
    </xdr:from>
    <xdr:to>
      <xdr:col>21</xdr:col>
      <xdr:colOff>200025</xdr:colOff>
      <xdr:row>92</xdr:row>
      <xdr:rowOff>270115</xdr:rowOff>
    </xdr:to>
    <xdr:sp macro="" textlink="">
      <xdr:nvSpPr>
        <xdr:cNvPr id="1032" name="Rectangle 1787"/>
        <xdr:cNvSpPr>
          <a:spLocks noChangeArrowheads="1"/>
        </xdr:cNvSpPr>
      </xdr:nvSpPr>
      <xdr:spPr bwMode="auto">
        <a:xfrm>
          <a:off x="6648450" y="25479015"/>
          <a:ext cx="485775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22</xdr:col>
      <xdr:colOff>190500</xdr:colOff>
      <xdr:row>92</xdr:row>
      <xdr:rowOff>0</xdr:rowOff>
    </xdr:from>
    <xdr:to>
      <xdr:col>23</xdr:col>
      <xdr:colOff>200025</xdr:colOff>
      <xdr:row>93</xdr:row>
      <xdr:rowOff>9525</xdr:rowOff>
    </xdr:to>
    <xdr:sp macro="" textlink="">
      <xdr:nvSpPr>
        <xdr:cNvPr id="1033" name="Rectangle 1788"/>
        <xdr:cNvSpPr>
          <a:spLocks noChangeArrowheads="1"/>
        </xdr:cNvSpPr>
      </xdr:nvSpPr>
      <xdr:spPr bwMode="auto">
        <a:xfrm>
          <a:off x="7505700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92</xdr:row>
      <xdr:rowOff>0</xdr:rowOff>
    </xdr:from>
    <xdr:to>
      <xdr:col>23</xdr:col>
      <xdr:colOff>200025</xdr:colOff>
      <xdr:row>93</xdr:row>
      <xdr:rowOff>9525</xdr:rowOff>
    </xdr:to>
    <xdr:sp macro="" textlink="">
      <xdr:nvSpPr>
        <xdr:cNvPr id="1034" name="Rectangle 1789"/>
        <xdr:cNvSpPr>
          <a:spLocks noChangeArrowheads="1"/>
        </xdr:cNvSpPr>
      </xdr:nvSpPr>
      <xdr:spPr bwMode="auto">
        <a:xfrm>
          <a:off x="7505700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180975</xdr:colOff>
      <xdr:row>92</xdr:row>
      <xdr:rowOff>0</xdr:rowOff>
    </xdr:from>
    <xdr:to>
      <xdr:col>23</xdr:col>
      <xdr:colOff>190500</xdr:colOff>
      <xdr:row>93</xdr:row>
      <xdr:rowOff>9525</xdr:rowOff>
    </xdr:to>
    <xdr:sp macro="" textlink="">
      <xdr:nvSpPr>
        <xdr:cNvPr id="1035" name="Rectangle 1790"/>
        <xdr:cNvSpPr>
          <a:spLocks noChangeArrowheads="1"/>
        </xdr:cNvSpPr>
      </xdr:nvSpPr>
      <xdr:spPr bwMode="auto">
        <a:xfrm>
          <a:off x="74961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92</xdr:row>
      <xdr:rowOff>0</xdr:rowOff>
    </xdr:from>
    <xdr:to>
      <xdr:col>23</xdr:col>
      <xdr:colOff>200025</xdr:colOff>
      <xdr:row>93</xdr:row>
      <xdr:rowOff>9525</xdr:rowOff>
    </xdr:to>
    <xdr:sp macro="" textlink="">
      <xdr:nvSpPr>
        <xdr:cNvPr id="1036" name="Rectangle 1791"/>
        <xdr:cNvSpPr>
          <a:spLocks noChangeArrowheads="1"/>
        </xdr:cNvSpPr>
      </xdr:nvSpPr>
      <xdr:spPr bwMode="auto">
        <a:xfrm>
          <a:off x="7505700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91</xdr:row>
      <xdr:rowOff>323490</xdr:rowOff>
    </xdr:from>
    <xdr:to>
      <xdr:col>23</xdr:col>
      <xdr:colOff>200025</xdr:colOff>
      <xdr:row>92</xdr:row>
      <xdr:rowOff>270115</xdr:rowOff>
    </xdr:to>
    <xdr:sp macro="" textlink="">
      <xdr:nvSpPr>
        <xdr:cNvPr id="1037" name="Rectangle 1792"/>
        <xdr:cNvSpPr>
          <a:spLocks noChangeArrowheads="1"/>
        </xdr:cNvSpPr>
      </xdr:nvSpPr>
      <xdr:spPr bwMode="auto">
        <a:xfrm>
          <a:off x="7505700" y="25479015"/>
          <a:ext cx="438150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36</xdr:col>
      <xdr:colOff>190500</xdr:colOff>
      <xdr:row>92</xdr:row>
      <xdr:rowOff>0</xdr:rowOff>
    </xdr:from>
    <xdr:to>
      <xdr:col>37</xdr:col>
      <xdr:colOff>190500</xdr:colOff>
      <xdr:row>93</xdr:row>
      <xdr:rowOff>9525</xdr:rowOff>
    </xdr:to>
    <xdr:sp macro="" textlink="">
      <xdr:nvSpPr>
        <xdr:cNvPr id="1038" name="Rectangle 1793"/>
        <xdr:cNvSpPr>
          <a:spLocks noChangeArrowheads="1"/>
        </xdr:cNvSpPr>
      </xdr:nvSpPr>
      <xdr:spPr bwMode="auto">
        <a:xfrm>
          <a:off x="13201650" y="254984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91</xdr:row>
      <xdr:rowOff>323490</xdr:rowOff>
    </xdr:from>
    <xdr:to>
      <xdr:col>37</xdr:col>
      <xdr:colOff>190500</xdr:colOff>
      <xdr:row>92</xdr:row>
      <xdr:rowOff>270115</xdr:rowOff>
    </xdr:to>
    <xdr:sp macro="" textlink="">
      <xdr:nvSpPr>
        <xdr:cNvPr id="1039" name="Rectangle 1794"/>
        <xdr:cNvSpPr>
          <a:spLocks noChangeArrowheads="1"/>
        </xdr:cNvSpPr>
      </xdr:nvSpPr>
      <xdr:spPr bwMode="auto">
        <a:xfrm>
          <a:off x="13201650" y="25479015"/>
          <a:ext cx="523875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10</xdr:col>
      <xdr:colOff>190500</xdr:colOff>
      <xdr:row>128</xdr:row>
      <xdr:rowOff>0</xdr:rowOff>
    </xdr:from>
    <xdr:to>
      <xdr:col>11</xdr:col>
      <xdr:colOff>200025</xdr:colOff>
      <xdr:row>129</xdr:row>
      <xdr:rowOff>9525</xdr:rowOff>
    </xdr:to>
    <xdr:sp macro="" textlink="">
      <xdr:nvSpPr>
        <xdr:cNvPr id="1040" name="Rectangle 1795"/>
        <xdr:cNvSpPr>
          <a:spLocks noChangeArrowheads="1"/>
        </xdr:cNvSpPr>
      </xdr:nvSpPr>
      <xdr:spPr bwMode="auto">
        <a:xfrm>
          <a:off x="2209800" y="353187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12</xdr:col>
      <xdr:colOff>190500</xdr:colOff>
      <xdr:row>128</xdr:row>
      <xdr:rowOff>0</xdr:rowOff>
    </xdr:from>
    <xdr:to>
      <xdr:col>13</xdr:col>
      <xdr:colOff>200025</xdr:colOff>
      <xdr:row>129</xdr:row>
      <xdr:rowOff>9525</xdr:rowOff>
    </xdr:to>
    <xdr:sp macro="" textlink="">
      <xdr:nvSpPr>
        <xdr:cNvPr id="1041" name="Rectangle 1796"/>
        <xdr:cNvSpPr>
          <a:spLocks noChangeArrowheads="1"/>
        </xdr:cNvSpPr>
      </xdr:nvSpPr>
      <xdr:spPr bwMode="auto">
        <a:xfrm>
          <a:off x="3057525" y="353187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14</xdr:col>
      <xdr:colOff>190500</xdr:colOff>
      <xdr:row>128</xdr:row>
      <xdr:rowOff>0</xdr:rowOff>
    </xdr:from>
    <xdr:to>
      <xdr:col>15</xdr:col>
      <xdr:colOff>200025</xdr:colOff>
      <xdr:row>129</xdr:row>
      <xdr:rowOff>9525</xdr:rowOff>
    </xdr:to>
    <xdr:sp macro="" textlink="">
      <xdr:nvSpPr>
        <xdr:cNvPr id="1042" name="Rectangle 1797"/>
        <xdr:cNvSpPr>
          <a:spLocks noChangeArrowheads="1"/>
        </xdr:cNvSpPr>
      </xdr:nvSpPr>
      <xdr:spPr bwMode="auto">
        <a:xfrm>
          <a:off x="3933825" y="3531870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128</xdr:row>
      <xdr:rowOff>0</xdr:rowOff>
    </xdr:from>
    <xdr:to>
      <xdr:col>17</xdr:col>
      <xdr:colOff>200025</xdr:colOff>
      <xdr:row>129</xdr:row>
      <xdr:rowOff>9525</xdr:rowOff>
    </xdr:to>
    <xdr:sp macro="" textlink="">
      <xdr:nvSpPr>
        <xdr:cNvPr id="1043" name="Rectangle 1798"/>
        <xdr:cNvSpPr>
          <a:spLocks noChangeArrowheads="1"/>
        </xdr:cNvSpPr>
      </xdr:nvSpPr>
      <xdr:spPr bwMode="auto">
        <a:xfrm>
          <a:off x="4943475" y="353187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128</xdr:row>
      <xdr:rowOff>0</xdr:rowOff>
    </xdr:from>
    <xdr:to>
      <xdr:col>21</xdr:col>
      <xdr:colOff>200025</xdr:colOff>
      <xdr:row>129</xdr:row>
      <xdr:rowOff>9525</xdr:rowOff>
    </xdr:to>
    <xdr:sp macro="" textlink="">
      <xdr:nvSpPr>
        <xdr:cNvPr id="1044" name="Rectangle 1799"/>
        <xdr:cNvSpPr>
          <a:spLocks noChangeArrowheads="1"/>
        </xdr:cNvSpPr>
      </xdr:nvSpPr>
      <xdr:spPr bwMode="auto">
        <a:xfrm>
          <a:off x="6648450" y="3531870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128</xdr:row>
      <xdr:rowOff>0</xdr:rowOff>
    </xdr:from>
    <xdr:to>
      <xdr:col>23</xdr:col>
      <xdr:colOff>200025</xdr:colOff>
      <xdr:row>129</xdr:row>
      <xdr:rowOff>9525</xdr:rowOff>
    </xdr:to>
    <xdr:sp macro="" textlink="">
      <xdr:nvSpPr>
        <xdr:cNvPr id="1045" name="Rectangle 1800"/>
        <xdr:cNvSpPr>
          <a:spLocks noChangeArrowheads="1"/>
        </xdr:cNvSpPr>
      </xdr:nvSpPr>
      <xdr:spPr bwMode="auto">
        <a:xfrm>
          <a:off x="7505700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128</xdr:row>
      <xdr:rowOff>0</xdr:rowOff>
    </xdr:from>
    <xdr:to>
      <xdr:col>25</xdr:col>
      <xdr:colOff>200025</xdr:colOff>
      <xdr:row>129</xdr:row>
      <xdr:rowOff>9525</xdr:rowOff>
    </xdr:to>
    <xdr:sp macro="" textlink="">
      <xdr:nvSpPr>
        <xdr:cNvPr id="1046" name="Rectangle 1801"/>
        <xdr:cNvSpPr>
          <a:spLocks noChangeArrowheads="1"/>
        </xdr:cNvSpPr>
      </xdr:nvSpPr>
      <xdr:spPr bwMode="auto">
        <a:xfrm>
          <a:off x="8315325" y="353187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128</xdr:row>
      <xdr:rowOff>0</xdr:rowOff>
    </xdr:from>
    <xdr:to>
      <xdr:col>27</xdr:col>
      <xdr:colOff>200025</xdr:colOff>
      <xdr:row>129</xdr:row>
      <xdr:rowOff>9525</xdr:rowOff>
    </xdr:to>
    <xdr:sp macro="" textlink="">
      <xdr:nvSpPr>
        <xdr:cNvPr id="1047" name="Rectangle 1802"/>
        <xdr:cNvSpPr>
          <a:spLocks noChangeArrowheads="1"/>
        </xdr:cNvSpPr>
      </xdr:nvSpPr>
      <xdr:spPr bwMode="auto">
        <a:xfrm>
          <a:off x="9163050" y="353187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128</xdr:row>
      <xdr:rowOff>0</xdr:rowOff>
    </xdr:from>
    <xdr:to>
      <xdr:col>31</xdr:col>
      <xdr:colOff>200025</xdr:colOff>
      <xdr:row>129</xdr:row>
      <xdr:rowOff>9525</xdr:rowOff>
    </xdr:to>
    <xdr:sp macro="" textlink="">
      <xdr:nvSpPr>
        <xdr:cNvPr id="1048" name="Rectangle 1803"/>
        <xdr:cNvSpPr>
          <a:spLocks noChangeArrowheads="1"/>
        </xdr:cNvSpPr>
      </xdr:nvSpPr>
      <xdr:spPr bwMode="auto">
        <a:xfrm>
          <a:off x="10868025" y="353187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128</xdr:row>
      <xdr:rowOff>0</xdr:rowOff>
    </xdr:from>
    <xdr:to>
      <xdr:col>33</xdr:col>
      <xdr:colOff>200025</xdr:colOff>
      <xdr:row>129</xdr:row>
      <xdr:rowOff>9525</xdr:rowOff>
    </xdr:to>
    <xdr:sp macro="" textlink="">
      <xdr:nvSpPr>
        <xdr:cNvPr id="1049" name="Rectangle 1804"/>
        <xdr:cNvSpPr>
          <a:spLocks noChangeArrowheads="1"/>
        </xdr:cNvSpPr>
      </xdr:nvSpPr>
      <xdr:spPr bwMode="auto">
        <a:xfrm>
          <a:off x="1164907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128</xdr:row>
      <xdr:rowOff>0</xdr:rowOff>
    </xdr:from>
    <xdr:to>
      <xdr:col>37</xdr:col>
      <xdr:colOff>190500</xdr:colOff>
      <xdr:row>129</xdr:row>
      <xdr:rowOff>9525</xdr:rowOff>
    </xdr:to>
    <xdr:sp macro="" textlink="">
      <xdr:nvSpPr>
        <xdr:cNvPr id="1050" name="Rectangle 1805"/>
        <xdr:cNvSpPr>
          <a:spLocks noChangeArrowheads="1"/>
        </xdr:cNvSpPr>
      </xdr:nvSpPr>
      <xdr:spPr bwMode="auto">
        <a:xfrm>
          <a:off x="13201650" y="353187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1051" name="Rectangle 1806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180975</xdr:colOff>
      <xdr:row>128</xdr:row>
      <xdr:rowOff>0</xdr:rowOff>
    </xdr:from>
    <xdr:to>
      <xdr:col>19</xdr:col>
      <xdr:colOff>190500</xdr:colOff>
      <xdr:row>129</xdr:row>
      <xdr:rowOff>9525</xdr:rowOff>
    </xdr:to>
    <xdr:sp macro="" textlink="">
      <xdr:nvSpPr>
        <xdr:cNvPr id="1052" name="Rectangle 1807"/>
        <xdr:cNvSpPr>
          <a:spLocks noChangeArrowheads="1"/>
        </xdr:cNvSpPr>
      </xdr:nvSpPr>
      <xdr:spPr bwMode="auto">
        <a:xfrm>
          <a:off x="5829300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128</xdr:row>
      <xdr:rowOff>0</xdr:rowOff>
    </xdr:from>
    <xdr:to>
      <xdr:col>11</xdr:col>
      <xdr:colOff>200025</xdr:colOff>
      <xdr:row>129</xdr:row>
      <xdr:rowOff>9525</xdr:rowOff>
    </xdr:to>
    <xdr:sp macro="" textlink="">
      <xdr:nvSpPr>
        <xdr:cNvPr id="1053" name="Rectangle 1808"/>
        <xdr:cNvSpPr>
          <a:spLocks noChangeArrowheads="1"/>
        </xdr:cNvSpPr>
      </xdr:nvSpPr>
      <xdr:spPr bwMode="auto">
        <a:xfrm>
          <a:off x="2209800" y="353187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128</xdr:row>
      <xdr:rowOff>0</xdr:rowOff>
    </xdr:from>
    <xdr:to>
      <xdr:col>13</xdr:col>
      <xdr:colOff>200025</xdr:colOff>
      <xdr:row>129</xdr:row>
      <xdr:rowOff>9525</xdr:rowOff>
    </xdr:to>
    <xdr:sp macro="" textlink="">
      <xdr:nvSpPr>
        <xdr:cNvPr id="1054" name="Rectangle 1809"/>
        <xdr:cNvSpPr>
          <a:spLocks noChangeArrowheads="1"/>
        </xdr:cNvSpPr>
      </xdr:nvSpPr>
      <xdr:spPr bwMode="auto">
        <a:xfrm>
          <a:off x="3057525" y="353187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128</xdr:row>
      <xdr:rowOff>0</xdr:rowOff>
    </xdr:from>
    <xdr:to>
      <xdr:col>15</xdr:col>
      <xdr:colOff>200025</xdr:colOff>
      <xdr:row>129</xdr:row>
      <xdr:rowOff>9525</xdr:rowOff>
    </xdr:to>
    <xdr:sp macro="" textlink="">
      <xdr:nvSpPr>
        <xdr:cNvPr id="1055" name="Rectangle 1810"/>
        <xdr:cNvSpPr>
          <a:spLocks noChangeArrowheads="1"/>
        </xdr:cNvSpPr>
      </xdr:nvSpPr>
      <xdr:spPr bwMode="auto">
        <a:xfrm>
          <a:off x="3933825" y="3531870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128</xdr:row>
      <xdr:rowOff>0</xdr:rowOff>
    </xdr:from>
    <xdr:to>
      <xdr:col>17</xdr:col>
      <xdr:colOff>200025</xdr:colOff>
      <xdr:row>129</xdr:row>
      <xdr:rowOff>9525</xdr:rowOff>
    </xdr:to>
    <xdr:sp macro="" textlink="">
      <xdr:nvSpPr>
        <xdr:cNvPr id="1056" name="Rectangle 1811"/>
        <xdr:cNvSpPr>
          <a:spLocks noChangeArrowheads="1"/>
        </xdr:cNvSpPr>
      </xdr:nvSpPr>
      <xdr:spPr bwMode="auto">
        <a:xfrm>
          <a:off x="4943475" y="353187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128</xdr:row>
      <xdr:rowOff>0</xdr:rowOff>
    </xdr:from>
    <xdr:to>
      <xdr:col>19</xdr:col>
      <xdr:colOff>200025</xdr:colOff>
      <xdr:row>129</xdr:row>
      <xdr:rowOff>9525</xdr:rowOff>
    </xdr:to>
    <xdr:sp macro="" textlink="">
      <xdr:nvSpPr>
        <xdr:cNvPr id="1057" name="Rectangle 1812"/>
        <xdr:cNvSpPr>
          <a:spLocks noChangeArrowheads="1"/>
        </xdr:cNvSpPr>
      </xdr:nvSpPr>
      <xdr:spPr bwMode="auto">
        <a:xfrm>
          <a:off x="583882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128</xdr:row>
      <xdr:rowOff>0</xdr:rowOff>
    </xdr:from>
    <xdr:to>
      <xdr:col>21</xdr:col>
      <xdr:colOff>200025</xdr:colOff>
      <xdr:row>129</xdr:row>
      <xdr:rowOff>9525</xdr:rowOff>
    </xdr:to>
    <xdr:sp macro="" textlink="">
      <xdr:nvSpPr>
        <xdr:cNvPr id="1058" name="Rectangle 1813"/>
        <xdr:cNvSpPr>
          <a:spLocks noChangeArrowheads="1"/>
        </xdr:cNvSpPr>
      </xdr:nvSpPr>
      <xdr:spPr bwMode="auto">
        <a:xfrm>
          <a:off x="6648450" y="3531870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128</xdr:row>
      <xdr:rowOff>0</xdr:rowOff>
    </xdr:from>
    <xdr:to>
      <xdr:col>23</xdr:col>
      <xdr:colOff>200025</xdr:colOff>
      <xdr:row>129</xdr:row>
      <xdr:rowOff>9525</xdr:rowOff>
    </xdr:to>
    <xdr:sp macro="" textlink="">
      <xdr:nvSpPr>
        <xdr:cNvPr id="1059" name="Rectangle 1814"/>
        <xdr:cNvSpPr>
          <a:spLocks noChangeArrowheads="1"/>
        </xdr:cNvSpPr>
      </xdr:nvSpPr>
      <xdr:spPr bwMode="auto">
        <a:xfrm>
          <a:off x="7505700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128</xdr:row>
      <xdr:rowOff>0</xdr:rowOff>
    </xdr:from>
    <xdr:to>
      <xdr:col>25</xdr:col>
      <xdr:colOff>200025</xdr:colOff>
      <xdr:row>129</xdr:row>
      <xdr:rowOff>9525</xdr:rowOff>
    </xdr:to>
    <xdr:sp macro="" textlink="">
      <xdr:nvSpPr>
        <xdr:cNvPr id="1060" name="Rectangle 1815"/>
        <xdr:cNvSpPr>
          <a:spLocks noChangeArrowheads="1"/>
        </xdr:cNvSpPr>
      </xdr:nvSpPr>
      <xdr:spPr bwMode="auto">
        <a:xfrm>
          <a:off x="8315325" y="353187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128</xdr:row>
      <xdr:rowOff>0</xdr:rowOff>
    </xdr:from>
    <xdr:to>
      <xdr:col>27</xdr:col>
      <xdr:colOff>200025</xdr:colOff>
      <xdr:row>129</xdr:row>
      <xdr:rowOff>9525</xdr:rowOff>
    </xdr:to>
    <xdr:sp macro="" textlink="">
      <xdr:nvSpPr>
        <xdr:cNvPr id="1061" name="Rectangle 1816"/>
        <xdr:cNvSpPr>
          <a:spLocks noChangeArrowheads="1"/>
        </xdr:cNvSpPr>
      </xdr:nvSpPr>
      <xdr:spPr bwMode="auto">
        <a:xfrm>
          <a:off x="9163050" y="353187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128</xdr:row>
      <xdr:rowOff>0</xdr:rowOff>
    </xdr:from>
    <xdr:to>
      <xdr:col>31</xdr:col>
      <xdr:colOff>200025</xdr:colOff>
      <xdr:row>129</xdr:row>
      <xdr:rowOff>9525</xdr:rowOff>
    </xdr:to>
    <xdr:sp macro="" textlink="">
      <xdr:nvSpPr>
        <xdr:cNvPr id="1062" name="Rectangle 1817"/>
        <xdr:cNvSpPr>
          <a:spLocks noChangeArrowheads="1"/>
        </xdr:cNvSpPr>
      </xdr:nvSpPr>
      <xdr:spPr bwMode="auto">
        <a:xfrm>
          <a:off x="10868025" y="353187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128</xdr:row>
      <xdr:rowOff>0</xdr:rowOff>
    </xdr:from>
    <xdr:to>
      <xdr:col>33</xdr:col>
      <xdr:colOff>200025</xdr:colOff>
      <xdr:row>129</xdr:row>
      <xdr:rowOff>9525</xdr:rowOff>
    </xdr:to>
    <xdr:sp macro="" textlink="">
      <xdr:nvSpPr>
        <xdr:cNvPr id="1063" name="Rectangle 1818"/>
        <xdr:cNvSpPr>
          <a:spLocks noChangeArrowheads="1"/>
        </xdr:cNvSpPr>
      </xdr:nvSpPr>
      <xdr:spPr bwMode="auto">
        <a:xfrm>
          <a:off x="1164907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1064" name="Rectangle 1819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128</xdr:row>
      <xdr:rowOff>0</xdr:rowOff>
    </xdr:from>
    <xdr:to>
      <xdr:col>37</xdr:col>
      <xdr:colOff>190500</xdr:colOff>
      <xdr:row>129</xdr:row>
      <xdr:rowOff>9525</xdr:rowOff>
    </xdr:to>
    <xdr:sp macro="" textlink="">
      <xdr:nvSpPr>
        <xdr:cNvPr id="1065" name="Rectangle 1820"/>
        <xdr:cNvSpPr>
          <a:spLocks noChangeArrowheads="1"/>
        </xdr:cNvSpPr>
      </xdr:nvSpPr>
      <xdr:spPr bwMode="auto">
        <a:xfrm>
          <a:off x="13201650" y="353187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128</xdr:row>
      <xdr:rowOff>4728</xdr:rowOff>
    </xdr:from>
    <xdr:to>
      <xdr:col>11</xdr:col>
      <xdr:colOff>200025</xdr:colOff>
      <xdr:row>129</xdr:row>
      <xdr:rowOff>11509</xdr:rowOff>
    </xdr:to>
    <xdr:sp macro="" textlink="">
      <xdr:nvSpPr>
        <xdr:cNvPr id="1066" name="Rectangle 1821"/>
        <xdr:cNvSpPr>
          <a:spLocks noChangeArrowheads="1"/>
        </xdr:cNvSpPr>
      </xdr:nvSpPr>
      <xdr:spPr bwMode="auto">
        <a:xfrm>
          <a:off x="2209800" y="35323428"/>
          <a:ext cx="476250" cy="28300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   K	</a:t>
          </a: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190500</xdr:colOff>
      <xdr:row>128</xdr:row>
      <xdr:rowOff>4728</xdr:rowOff>
    </xdr:from>
    <xdr:to>
      <xdr:col>13</xdr:col>
      <xdr:colOff>200025</xdr:colOff>
      <xdr:row>129</xdr:row>
      <xdr:rowOff>11509</xdr:rowOff>
    </xdr:to>
    <xdr:sp macro="" textlink="">
      <xdr:nvSpPr>
        <xdr:cNvPr id="1067" name="Rectangle 1822"/>
        <xdr:cNvSpPr>
          <a:spLocks noChangeArrowheads="1"/>
        </xdr:cNvSpPr>
      </xdr:nvSpPr>
      <xdr:spPr bwMode="auto">
        <a:xfrm>
          <a:off x="3057525" y="35323428"/>
          <a:ext cx="523875" cy="28300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</a:t>
          </a:r>
        </a:p>
      </xdr:txBody>
    </xdr:sp>
    <xdr:clientData/>
  </xdr:twoCellAnchor>
  <xdr:twoCellAnchor>
    <xdr:from>
      <xdr:col>14</xdr:col>
      <xdr:colOff>190500</xdr:colOff>
      <xdr:row>127</xdr:row>
      <xdr:rowOff>336636</xdr:rowOff>
    </xdr:from>
    <xdr:to>
      <xdr:col>15</xdr:col>
      <xdr:colOff>200025</xdr:colOff>
      <xdr:row>129</xdr:row>
      <xdr:rowOff>2523</xdr:rowOff>
    </xdr:to>
    <xdr:sp macro="" textlink="">
      <xdr:nvSpPr>
        <xdr:cNvPr id="1068" name="Rectangle 1823"/>
        <xdr:cNvSpPr>
          <a:spLocks noChangeArrowheads="1"/>
        </xdr:cNvSpPr>
      </xdr:nvSpPr>
      <xdr:spPr bwMode="auto">
        <a:xfrm>
          <a:off x="3933825" y="35312436"/>
          <a:ext cx="581025" cy="28501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16</xdr:col>
      <xdr:colOff>190500</xdr:colOff>
      <xdr:row>128</xdr:row>
      <xdr:rowOff>0</xdr:rowOff>
    </xdr:from>
    <xdr:to>
      <xdr:col>17</xdr:col>
      <xdr:colOff>200025</xdr:colOff>
      <xdr:row>129</xdr:row>
      <xdr:rowOff>9525</xdr:rowOff>
    </xdr:to>
    <xdr:sp macro="" textlink="">
      <xdr:nvSpPr>
        <xdr:cNvPr id="1069" name="Rectangle 1824"/>
        <xdr:cNvSpPr>
          <a:spLocks noChangeArrowheads="1"/>
        </xdr:cNvSpPr>
      </xdr:nvSpPr>
      <xdr:spPr bwMode="auto">
        <a:xfrm>
          <a:off x="4943475" y="353187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128</xdr:row>
      <xdr:rowOff>4728</xdr:rowOff>
    </xdr:from>
    <xdr:to>
      <xdr:col>19</xdr:col>
      <xdr:colOff>200025</xdr:colOff>
      <xdr:row>129</xdr:row>
      <xdr:rowOff>11509</xdr:rowOff>
    </xdr:to>
    <xdr:sp macro="" textlink="">
      <xdr:nvSpPr>
        <xdr:cNvPr id="1070" name="Rectangle 1825"/>
        <xdr:cNvSpPr>
          <a:spLocks noChangeArrowheads="1"/>
        </xdr:cNvSpPr>
      </xdr:nvSpPr>
      <xdr:spPr bwMode="auto">
        <a:xfrm>
          <a:off x="5838825" y="35323428"/>
          <a:ext cx="438150" cy="28300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16</xdr:col>
      <xdr:colOff>190500</xdr:colOff>
      <xdr:row>128</xdr:row>
      <xdr:rowOff>3688</xdr:rowOff>
    </xdr:from>
    <xdr:to>
      <xdr:col>17</xdr:col>
      <xdr:colOff>200025</xdr:colOff>
      <xdr:row>129</xdr:row>
      <xdr:rowOff>10469</xdr:rowOff>
    </xdr:to>
    <xdr:sp macro="" textlink="">
      <xdr:nvSpPr>
        <xdr:cNvPr id="1071" name="Rectangle 1826"/>
        <xdr:cNvSpPr>
          <a:spLocks noChangeArrowheads="1"/>
        </xdr:cNvSpPr>
      </xdr:nvSpPr>
      <xdr:spPr bwMode="auto">
        <a:xfrm>
          <a:off x="4943475" y="35322388"/>
          <a:ext cx="523875" cy="28300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20</xdr:col>
      <xdr:colOff>180975</xdr:colOff>
      <xdr:row>128</xdr:row>
      <xdr:rowOff>0</xdr:rowOff>
    </xdr:from>
    <xdr:to>
      <xdr:col>21</xdr:col>
      <xdr:colOff>190500</xdr:colOff>
      <xdr:row>129</xdr:row>
      <xdr:rowOff>9525</xdr:rowOff>
    </xdr:to>
    <xdr:sp macro="" textlink="">
      <xdr:nvSpPr>
        <xdr:cNvPr id="1072" name="Rectangle 1827"/>
        <xdr:cNvSpPr>
          <a:spLocks noChangeArrowheads="1"/>
        </xdr:cNvSpPr>
      </xdr:nvSpPr>
      <xdr:spPr bwMode="auto">
        <a:xfrm>
          <a:off x="6638925" y="3531870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128</xdr:row>
      <xdr:rowOff>0</xdr:rowOff>
    </xdr:from>
    <xdr:to>
      <xdr:col>21</xdr:col>
      <xdr:colOff>200025</xdr:colOff>
      <xdr:row>129</xdr:row>
      <xdr:rowOff>9525</xdr:rowOff>
    </xdr:to>
    <xdr:sp macro="" textlink="">
      <xdr:nvSpPr>
        <xdr:cNvPr id="1073" name="Rectangle 1828"/>
        <xdr:cNvSpPr>
          <a:spLocks noChangeArrowheads="1"/>
        </xdr:cNvSpPr>
      </xdr:nvSpPr>
      <xdr:spPr bwMode="auto">
        <a:xfrm>
          <a:off x="6648450" y="3531870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128</xdr:row>
      <xdr:rowOff>4728</xdr:rowOff>
    </xdr:from>
    <xdr:to>
      <xdr:col>21</xdr:col>
      <xdr:colOff>200025</xdr:colOff>
      <xdr:row>129</xdr:row>
      <xdr:rowOff>11509</xdr:rowOff>
    </xdr:to>
    <xdr:sp macro="" textlink="">
      <xdr:nvSpPr>
        <xdr:cNvPr id="1074" name="Rectangle 1829"/>
        <xdr:cNvSpPr>
          <a:spLocks noChangeArrowheads="1"/>
        </xdr:cNvSpPr>
      </xdr:nvSpPr>
      <xdr:spPr bwMode="auto">
        <a:xfrm>
          <a:off x="6648450" y="35323428"/>
          <a:ext cx="485775" cy="28300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22</xdr:col>
      <xdr:colOff>190500</xdr:colOff>
      <xdr:row>128</xdr:row>
      <xdr:rowOff>0</xdr:rowOff>
    </xdr:from>
    <xdr:to>
      <xdr:col>23</xdr:col>
      <xdr:colOff>200025</xdr:colOff>
      <xdr:row>129</xdr:row>
      <xdr:rowOff>9525</xdr:rowOff>
    </xdr:to>
    <xdr:sp macro="" textlink="">
      <xdr:nvSpPr>
        <xdr:cNvPr id="1075" name="Rectangle 1830"/>
        <xdr:cNvSpPr>
          <a:spLocks noChangeArrowheads="1"/>
        </xdr:cNvSpPr>
      </xdr:nvSpPr>
      <xdr:spPr bwMode="auto">
        <a:xfrm>
          <a:off x="7505700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128</xdr:row>
      <xdr:rowOff>0</xdr:rowOff>
    </xdr:from>
    <xdr:to>
      <xdr:col>23</xdr:col>
      <xdr:colOff>200025</xdr:colOff>
      <xdr:row>129</xdr:row>
      <xdr:rowOff>9525</xdr:rowOff>
    </xdr:to>
    <xdr:sp macro="" textlink="">
      <xdr:nvSpPr>
        <xdr:cNvPr id="1076" name="Rectangle 1831"/>
        <xdr:cNvSpPr>
          <a:spLocks noChangeArrowheads="1"/>
        </xdr:cNvSpPr>
      </xdr:nvSpPr>
      <xdr:spPr bwMode="auto">
        <a:xfrm>
          <a:off x="7505700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180975</xdr:colOff>
      <xdr:row>128</xdr:row>
      <xdr:rowOff>0</xdr:rowOff>
    </xdr:from>
    <xdr:to>
      <xdr:col>23</xdr:col>
      <xdr:colOff>190500</xdr:colOff>
      <xdr:row>129</xdr:row>
      <xdr:rowOff>9525</xdr:rowOff>
    </xdr:to>
    <xdr:sp macro="" textlink="">
      <xdr:nvSpPr>
        <xdr:cNvPr id="1077" name="Rectangle 1832"/>
        <xdr:cNvSpPr>
          <a:spLocks noChangeArrowheads="1"/>
        </xdr:cNvSpPr>
      </xdr:nvSpPr>
      <xdr:spPr bwMode="auto">
        <a:xfrm>
          <a:off x="749617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128</xdr:row>
      <xdr:rowOff>0</xdr:rowOff>
    </xdr:from>
    <xdr:to>
      <xdr:col>23</xdr:col>
      <xdr:colOff>200025</xdr:colOff>
      <xdr:row>129</xdr:row>
      <xdr:rowOff>9525</xdr:rowOff>
    </xdr:to>
    <xdr:sp macro="" textlink="">
      <xdr:nvSpPr>
        <xdr:cNvPr id="1078" name="Rectangle 1833"/>
        <xdr:cNvSpPr>
          <a:spLocks noChangeArrowheads="1"/>
        </xdr:cNvSpPr>
      </xdr:nvSpPr>
      <xdr:spPr bwMode="auto">
        <a:xfrm>
          <a:off x="7505700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127</xdr:row>
      <xdr:rowOff>335596</xdr:rowOff>
    </xdr:from>
    <xdr:to>
      <xdr:col>23</xdr:col>
      <xdr:colOff>200025</xdr:colOff>
      <xdr:row>129</xdr:row>
      <xdr:rowOff>1483</xdr:rowOff>
    </xdr:to>
    <xdr:sp macro="" textlink="">
      <xdr:nvSpPr>
        <xdr:cNvPr id="1079" name="Rectangle 1834"/>
        <xdr:cNvSpPr>
          <a:spLocks noChangeArrowheads="1"/>
        </xdr:cNvSpPr>
      </xdr:nvSpPr>
      <xdr:spPr bwMode="auto">
        <a:xfrm>
          <a:off x="7505700" y="35311396"/>
          <a:ext cx="438150" cy="28501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36</xdr:col>
      <xdr:colOff>190500</xdr:colOff>
      <xdr:row>128</xdr:row>
      <xdr:rowOff>0</xdr:rowOff>
    </xdr:from>
    <xdr:to>
      <xdr:col>37</xdr:col>
      <xdr:colOff>190500</xdr:colOff>
      <xdr:row>129</xdr:row>
      <xdr:rowOff>9525</xdr:rowOff>
    </xdr:to>
    <xdr:sp macro="" textlink="">
      <xdr:nvSpPr>
        <xdr:cNvPr id="1080" name="Rectangle 1835"/>
        <xdr:cNvSpPr>
          <a:spLocks noChangeArrowheads="1"/>
        </xdr:cNvSpPr>
      </xdr:nvSpPr>
      <xdr:spPr bwMode="auto">
        <a:xfrm>
          <a:off x="13201650" y="3531870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127</xdr:row>
      <xdr:rowOff>335596</xdr:rowOff>
    </xdr:from>
    <xdr:to>
      <xdr:col>37</xdr:col>
      <xdr:colOff>190500</xdr:colOff>
      <xdr:row>129</xdr:row>
      <xdr:rowOff>1483</xdr:rowOff>
    </xdr:to>
    <xdr:sp macro="" textlink="">
      <xdr:nvSpPr>
        <xdr:cNvPr id="1081" name="Rectangle 1836"/>
        <xdr:cNvSpPr>
          <a:spLocks noChangeArrowheads="1"/>
        </xdr:cNvSpPr>
      </xdr:nvSpPr>
      <xdr:spPr bwMode="auto">
        <a:xfrm>
          <a:off x="13201650" y="35311396"/>
          <a:ext cx="523875" cy="28501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  <a:p>
          <a:pPr algn="ctr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190500</xdr:colOff>
      <xdr:row>164</xdr:row>
      <xdr:rowOff>0</xdr:rowOff>
    </xdr:from>
    <xdr:to>
      <xdr:col>11</xdr:col>
      <xdr:colOff>200025</xdr:colOff>
      <xdr:row>165</xdr:row>
      <xdr:rowOff>9525</xdr:rowOff>
    </xdr:to>
    <xdr:sp macro="" textlink="">
      <xdr:nvSpPr>
        <xdr:cNvPr id="1082" name="Rectangle 1837"/>
        <xdr:cNvSpPr>
          <a:spLocks noChangeArrowheads="1"/>
        </xdr:cNvSpPr>
      </xdr:nvSpPr>
      <xdr:spPr bwMode="auto">
        <a:xfrm>
          <a:off x="2209800" y="4529137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12</xdr:col>
      <xdr:colOff>190500</xdr:colOff>
      <xdr:row>164</xdr:row>
      <xdr:rowOff>0</xdr:rowOff>
    </xdr:from>
    <xdr:to>
      <xdr:col>13</xdr:col>
      <xdr:colOff>200025</xdr:colOff>
      <xdr:row>165</xdr:row>
      <xdr:rowOff>9525</xdr:rowOff>
    </xdr:to>
    <xdr:sp macro="" textlink="">
      <xdr:nvSpPr>
        <xdr:cNvPr id="1083" name="Rectangle 1838"/>
        <xdr:cNvSpPr>
          <a:spLocks noChangeArrowheads="1"/>
        </xdr:cNvSpPr>
      </xdr:nvSpPr>
      <xdr:spPr bwMode="auto">
        <a:xfrm>
          <a:off x="3057525" y="4529137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14</xdr:col>
      <xdr:colOff>190500</xdr:colOff>
      <xdr:row>164</xdr:row>
      <xdr:rowOff>0</xdr:rowOff>
    </xdr:from>
    <xdr:to>
      <xdr:col>15</xdr:col>
      <xdr:colOff>200025</xdr:colOff>
      <xdr:row>165</xdr:row>
      <xdr:rowOff>9525</xdr:rowOff>
    </xdr:to>
    <xdr:sp macro="" textlink="">
      <xdr:nvSpPr>
        <xdr:cNvPr id="1084" name="Rectangle 1839"/>
        <xdr:cNvSpPr>
          <a:spLocks noChangeArrowheads="1"/>
        </xdr:cNvSpPr>
      </xdr:nvSpPr>
      <xdr:spPr bwMode="auto">
        <a:xfrm>
          <a:off x="3933825" y="4529137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164</xdr:row>
      <xdr:rowOff>0</xdr:rowOff>
    </xdr:from>
    <xdr:to>
      <xdr:col>17</xdr:col>
      <xdr:colOff>200025</xdr:colOff>
      <xdr:row>165</xdr:row>
      <xdr:rowOff>9525</xdr:rowOff>
    </xdr:to>
    <xdr:sp macro="" textlink="">
      <xdr:nvSpPr>
        <xdr:cNvPr id="1085" name="Rectangle 1840"/>
        <xdr:cNvSpPr>
          <a:spLocks noChangeArrowheads="1"/>
        </xdr:cNvSpPr>
      </xdr:nvSpPr>
      <xdr:spPr bwMode="auto">
        <a:xfrm>
          <a:off x="4943475" y="4529137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164</xdr:row>
      <xdr:rowOff>0</xdr:rowOff>
    </xdr:from>
    <xdr:to>
      <xdr:col>21</xdr:col>
      <xdr:colOff>200025</xdr:colOff>
      <xdr:row>165</xdr:row>
      <xdr:rowOff>9525</xdr:rowOff>
    </xdr:to>
    <xdr:sp macro="" textlink="">
      <xdr:nvSpPr>
        <xdr:cNvPr id="1086" name="Rectangle 1841"/>
        <xdr:cNvSpPr>
          <a:spLocks noChangeArrowheads="1"/>
        </xdr:cNvSpPr>
      </xdr:nvSpPr>
      <xdr:spPr bwMode="auto">
        <a:xfrm>
          <a:off x="6648450" y="4529137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164</xdr:row>
      <xdr:rowOff>0</xdr:rowOff>
    </xdr:from>
    <xdr:to>
      <xdr:col>23</xdr:col>
      <xdr:colOff>200025</xdr:colOff>
      <xdr:row>165</xdr:row>
      <xdr:rowOff>9525</xdr:rowOff>
    </xdr:to>
    <xdr:sp macro="" textlink="">
      <xdr:nvSpPr>
        <xdr:cNvPr id="1087" name="Rectangle 1842"/>
        <xdr:cNvSpPr>
          <a:spLocks noChangeArrowheads="1"/>
        </xdr:cNvSpPr>
      </xdr:nvSpPr>
      <xdr:spPr bwMode="auto">
        <a:xfrm>
          <a:off x="7505700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164</xdr:row>
      <xdr:rowOff>0</xdr:rowOff>
    </xdr:from>
    <xdr:to>
      <xdr:col>25</xdr:col>
      <xdr:colOff>200025</xdr:colOff>
      <xdr:row>165</xdr:row>
      <xdr:rowOff>9525</xdr:rowOff>
    </xdr:to>
    <xdr:sp macro="" textlink="">
      <xdr:nvSpPr>
        <xdr:cNvPr id="1088" name="Rectangle 1843"/>
        <xdr:cNvSpPr>
          <a:spLocks noChangeArrowheads="1"/>
        </xdr:cNvSpPr>
      </xdr:nvSpPr>
      <xdr:spPr bwMode="auto">
        <a:xfrm>
          <a:off x="8315325" y="4529137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164</xdr:row>
      <xdr:rowOff>0</xdr:rowOff>
    </xdr:from>
    <xdr:to>
      <xdr:col>27</xdr:col>
      <xdr:colOff>200025</xdr:colOff>
      <xdr:row>165</xdr:row>
      <xdr:rowOff>9525</xdr:rowOff>
    </xdr:to>
    <xdr:sp macro="" textlink="">
      <xdr:nvSpPr>
        <xdr:cNvPr id="1089" name="Rectangle 1844"/>
        <xdr:cNvSpPr>
          <a:spLocks noChangeArrowheads="1"/>
        </xdr:cNvSpPr>
      </xdr:nvSpPr>
      <xdr:spPr bwMode="auto">
        <a:xfrm>
          <a:off x="9163050" y="4529137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090" name="Rectangle 1845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091" name="Rectangle 1846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164</xdr:row>
      <xdr:rowOff>0</xdr:rowOff>
    </xdr:from>
    <xdr:to>
      <xdr:col>37</xdr:col>
      <xdr:colOff>190500</xdr:colOff>
      <xdr:row>165</xdr:row>
      <xdr:rowOff>9525</xdr:rowOff>
    </xdr:to>
    <xdr:sp macro="" textlink="">
      <xdr:nvSpPr>
        <xdr:cNvPr id="1092" name="Rectangle 1847"/>
        <xdr:cNvSpPr>
          <a:spLocks noChangeArrowheads="1"/>
        </xdr:cNvSpPr>
      </xdr:nvSpPr>
      <xdr:spPr bwMode="auto">
        <a:xfrm>
          <a:off x="13201650" y="4529137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1093" name="Rectangle 1848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180975</xdr:colOff>
      <xdr:row>164</xdr:row>
      <xdr:rowOff>0</xdr:rowOff>
    </xdr:from>
    <xdr:to>
      <xdr:col>19</xdr:col>
      <xdr:colOff>190500</xdr:colOff>
      <xdr:row>165</xdr:row>
      <xdr:rowOff>9525</xdr:rowOff>
    </xdr:to>
    <xdr:sp macro="" textlink="">
      <xdr:nvSpPr>
        <xdr:cNvPr id="1094" name="Rectangle 1849"/>
        <xdr:cNvSpPr>
          <a:spLocks noChangeArrowheads="1"/>
        </xdr:cNvSpPr>
      </xdr:nvSpPr>
      <xdr:spPr bwMode="auto">
        <a:xfrm>
          <a:off x="5829300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164</xdr:row>
      <xdr:rowOff>0</xdr:rowOff>
    </xdr:from>
    <xdr:to>
      <xdr:col>11</xdr:col>
      <xdr:colOff>200025</xdr:colOff>
      <xdr:row>165</xdr:row>
      <xdr:rowOff>9525</xdr:rowOff>
    </xdr:to>
    <xdr:sp macro="" textlink="">
      <xdr:nvSpPr>
        <xdr:cNvPr id="1095" name="Rectangle 1850"/>
        <xdr:cNvSpPr>
          <a:spLocks noChangeArrowheads="1"/>
        </xdr:cNvSpPr>
      </xdr:nvSpPr>
      <xdr:spPr bwMode="auto">
        <a:xfrm>
          <a:off x="2209800" y="4529137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164</xdr:row>
      <xdr:rowOff>0</xdr:rowOff>
    </xdr:from>
    <xdr:to>
      <xdr:col>13</xdr:col>
      <xdr:colOff>200025</xdr:colOff>
      <xdr:row>165</xdr:row>
      <xdr:rowOff>9525</xdr:rowOff>
    </xdr:to>
    <xdr:sp macro="" textlink="">
      <xdr:nvSpPr>
        <xdr:cNvPr id="1096" name="Rectangle 1851"/>
        <xdr:cNvSpPr>
          <a:spLocks noChangeArrowheads="1"/>
        </xdr:cNvSpPr>
      </xdr:nvSpPr>
      <xdr:spPr bwMode="auto">
        <a:xfrm>
          <a:off x="3057525" y="4529137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164</xdr:row>
      <xdr:rowOff>0</xdr:rowOff>
    </xdr:from>
    <xdr:to>
      <xdr:col>15</xdr:col>
      <xdr:colOff>200025</xdr:colOff>
      <xdr:row>165</xdr:row>
      <xdr:rowOff>9525</xdr:rowOff>
    </xdr:to>
    <xdr:sp macro="" textlink="">
      <xdr:nvSpPr>
        <xdr:cNvPr id="1097" name="Rectangle 1852"/>
        <xdr:cNvSpPr>
          <a:spLocks noChangeArrowheads="1"/>
        </xdr:cNvSpPr>
      </xdr:nvSpPr>
      <xdr:spPr bwMode="auto">
        <a:xfrm>
          <a:off x="3933825" y="4529137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164</xdr:row>
      <xdr:rowOff>0</xdr:rowOff>
    </xdr:from>
    <xdr:to>
      <xdr:col>17</xdr:col>
      <xdr:colOff>200025</xdr:colOff>
      <xdr:row>165</xdr:row>
      <xdr:rowOff>9525</xdr:rowOff>
    </xdr:to>
    <xdr:sp macro="" textlink="">
      <xdr:nvSpPr>
        <xdr:cNvPr id="1098" name="Rectangle 1853"/>
        <xdr:cNvSpPr>
          <a:spLocks noChangeArrowheads="1"/>
        </xdr:cNvSpPr>
      </xdr:nvSpPr>
      <xdr:spPr bwMode="auto">
        <a:xfrm>
          <a:off x="4943475" y="4529137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164</xdr:row>
      <xdr:rowOff>0</xdr:rowOff>
    </xdr:from>
    <xdr:to>
      <xdr:col>19</xdr:col>
      <xdr:colOff>200025</xdr:colOff>
      <xdr:row>165</xdr:row>
      <xdr:rowOff>9525</xdr:rowOff>
    </xdr:to>
    <xdr:sp macro="" textlink="">
      <xdr:nvSpPr>
        <xdr:cNvPr id="1099" name="Rectangle 1854"/>
        <xdr:cNvSpPr>
          <a:spLocks noChangeArrowheads="1"/>
        </xdr:cNvSpPr>
      </xdr:nvSpPr>
      <xdr:spPr bwMode="auto">
        <a:xfrm>
          <a:off x="583882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164</xdr:row>
      <xdr:rowOff>0</xdr:rowOff>
    </xdr:from>
    <xdr:to>
      <xdr:col>21</xdr:col>
      <xdr:colOff>200025</xdr:colOff>
      <xdr:row>165</xdr:row>
      <xdr:rowOff>9525</xdr:rowOff>
    </xdr:to>
    <xdr:sp macro="" textlink="">
      <xdr:nvSpPr>
        <xdr:cNvPr id="1100" name="Rectangle 1855"/>
        <xdr:cNvSpPr>
          <a:spLocks noChangeArrowheads="1"/>
        </xdr:cNvSpPr>
      </xdr:nvSpPr>
      <xdr:spPr bwMode="auto">
        <a:xfrm>
          <a:off x="6648450" y="4529137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164</xdr:row>
      <xdr:rowOff>0</xdr:rowOff>
    </xdr:from>
    <xdr:to>
      <xdr:col>23</xdr:col>
      <xdr:colOff>200025</xdr:colOff>
      <xdr:row>165</xdr:row>
      <xdr:rowOff>9525</xdr:rowOff>
    </xdr:to>
    <xdr:sp macro="" textlink="">
      <xdr:nvSpPr>
        <xdr:cNvPr id="1101" name="Rectangle 1856"/>
        <xdr:cNvSpPr>
          <a:spLocks noChangeArrowheads="1"/>
        </xdr:cNvSpPr>
      </xdr:nvSpPr>
      <xdr:spPr bwMode="auto">
        <a:xfrm>
          <a:off x="7505700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164</xdr:row>
      <xdr:rowOff>0</xdr:rowOff>
    </xdr:from>
    <xdr:to>
      <xdr:col>25</xdr:col>
      <xdr:colOff>200025</xdr:colOff>
      <xdr:row>165</xdr:row>
      <xdr:rowOff>9525</xdr:rowOff>
    </xdr:to>
    <xdr:sp macro="" textlink="">
      <xdr:nvSpPr>
        <xdr:cNvPr id="1102" name="Rectangle 1857"/>
        <xdr:cNvSpPr>
          <a:spLocks noChangeArrowheads="1"/>
        </xdr:cNvSpPr>
      </xdr:nvSpPr>
      <xdr:spPr bwMode="auto">
        <a:xfrm>
          <a:off x="8315325" y="4529137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164</xdr:row>
      <xdr:rowOff>0</xdr:rowOff>
    </xdr:from>
    <xdr:to>
      <xdr:col>27</xdr:col>
      <xdr:colOff>200025</xdr:colOff>
      <xdr:row>165</xdr:row>
      <xdr:rowOff>9525</xdr:rowOff>
    </xdr:to>
    <xdr:sp macro="" textlink="">
      <xdr:nvSpPr>
        <xdr:cNvPr id="1103" name="Rectangle 1858"/>
        <xdr:cNvSpPr>
          <a:spLocks noChangeArrowheads="1"/>
        </xdr:cNvSpPr>
      </xdr:nvSpPr>
      <xdr:spPr bwMode="auto">
        <a:xfrm>
          <a:off x="9163050" y="4529137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104" name="Rectangle 1859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105" name="Rectangle 1860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1106" name="Rectangle 1861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164</xdr:row>
      <xdr:rowOff>0</xdr:rowOff>
    </xdr:from>
    <xdr:to>
      <xdr:col>37</xdr:col>
      <xdr:colOff>190500</xdr:colOff>
      <xdr:row>165</xdr:row>
      <xdr:rowOff>9525</xdr:rowOff>
    </xdr:to>
    <xdr:sp macro="" textlink="">
      <xdr:nvSpPr>
        <xdr:cNvPr id="1107" name="Rectangle 1862"/>
        <xdr:cNvSpPr>
          <a:spLocks noChangeArrowheads="1"/>
        </xdr:cNvSpPr>
      </xdr:nvSpPr>
      <xdr:spPr bwMode="auto">
        <a:xfrm>
          <a:off x="13201650" y="4529137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163</xdr:row>
      <xdr:rowOff>296533</xdr:rowOff>
    </xdr:from>
    <xdr:to>
      <xdr:col>11</xdr:col>
      <xdr:colOff>200025</xdr:colOff>
      <xdr:row>165</xdr:row>
      <xdr:rowOff>9525</xdr:rowOff>
    </xdr:to>
    <xdr:sp macro="" textlink="">
      <xdr:nvSpPr>
        <xdr:cNvPr id="1108" name="Rectangle 1863"/>
        <xdr:cNvSpPr>
          <a:spLocks noChangeArrowheads="1"/>
        </xdr:cNvSpPr>
      </xdr:nvSpPr>
      <xdr:spPr bwMode="auto">
        <a:xfrm>
          <a:off x="2209800" y="45245008"/>
          <a:ext cx="476250" cy="33211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  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12</xdr:col>
      <xdr:colOff>190500</xdr:colOff>
      <xdr:row>163</xdr:row>
      <xdr:rowOff>278562</xdr:rowOff>
    </xdr:from>
    <xdr:to>
      <xdr:col>13</xdr:col>
      <xdr:colOff>188703</xdr:colOff>
      <xdr:row>165</xdr:row>
      <xdr:rowOff>9525</xdr:rowOff>
    </xdr:to>
    <xdr:sp macro="" textlink="">
      <xdr:nvSpPr>
        <xdr:cNvPr id="1109" name="Rectangle 1864"/>
        <xdr:cNvSpPr>
          <a:spLocks noChangeArrowheads="1"/>
        </xdr:cNvSpPr>
      </xdr:nvSpPr>
      <xdr:spPr bwMode="auto">
        <a:xfrm>
          <a:off x="3057525" y="45227037"/>
          <a:ext cx="512553" cy="35008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</a:t>
          </a:r>
        </a:p>
      </xdr:txBody>
    </xdr:sp>
    <xdr:clientData/>
  </xdr:twoCellAnchor>
  <xdr:twoCellAnchor>
    <xdr:from>
      <xdr:col>14</xdr:col>
      <xdr:colOff>190500</xdr:colOff>
      <xdr:row>163</xdr:row>
      <xdr:rowOff>314505</xdr:rowOff>
    </xdr:from>
    <xdr:to>
      <xdr:col>15</xdr:col>
      <xdr:colOff>200025</xdr:colOff>
      <xdr:row>165</xdr:row>
      <xdr:rowOff>9525</xdr:rowOff>
    </xdr:to>
    <xdr:sp macro="" textlink="">
      <xdr:nvSpPr>
        <xdr:cNvPr id="1110" name="Rectangle 1865"/>
        <xdr:cNvSpPr>
          <a:spLocks noChangeArrowheads="1"/>
        </xdr:cNvSpPr>
      </xdr:nvSpPr>
      <xdr:spPr bwMode="auto">
        <a:xfrm>
          <a:off x="3933825" y="45262980"/>
          <a:ext cx="581025" cy="3141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164</xdr:row>
      <xdr:rowOff>0</xdr:rowOff>
    </xdr:from>
    <xdr:to>
      <xdr:col>17</xdr:col>
      <xdr:colOff>200025</xdr:colOff>
      <xdr:row>165</xdr:row>
      <xdr:rowOff>9525</xdr:rowOff>
    </xdr:to>
    <xdr:sp macro="" textlink="">
      <xdr:nvSpPr>
        <xdr:cNvPr id="1111" name="Rectangle 1866"/>
        <xdr:cNvSpPr>
          <a:spLocks noChangeArrowheads="1"/>
        </xdr:cNvSpPr>
      </xdr:nvSpPr>
      <xdr:spPr bwMode="auto">
        <a:xfrm>
          <a:off x="4943475" y="4529137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163</xdr:row>
      <xdr:rowOff>305519</xdr:rowOff>
    </xdr:from>
    <xdr:to>
      <xdr:col>19</xdr:col>
      <xdr:colOff>200025</xdr:colOff>
      <xdr:row>165</xdr:row>
      <xdr:rowOff>9525</xdr:rowOff>
    </xdr:to>
    <xdr:sp macro="" textlink="">
      <xdr:nvSpPr>
        <xdr:cNvPr id="1112" name="Rectangle 1867"/>
        <xdr:cNvSpPr>
          <a:spLocks noChangeArrowheads="1"/>
        </xdr:cNvSpPr>
      </xdr:nvSpPr>
      <xdr:spPr bwMode="auto">
        <a:xfrm>
          <a:off x="5838825" y="45253994"/>
          <a:ext cx="438150" cy="32313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KC</a:t>
          </a:r>
        </a:p>
      </xdr:txBody>
    </xdr:sp>
    <xdr:clientData/>
  </xdr:twoCellAnchor>
  <xdr:twoCellAnchor>
    <xdr:from>
      <xdr:col>16</xdr:col>
      <xdr:colOff>190500</xdr:colOff>
      <xdr:row>163</xdr:row>
      <xdr:rowOff>296533</xdr:rowOff>
    </xdr:from>
    <xdr:to>
      <xdr:col>17</xdr:col>
      <xdr:colOff>200025</xdr:colOff>
      <xdr:row>165</xdr:row>
      <xdr:rowOff>9525</xdr:rowOff>
    </xdr:to>
    <xdr:sp macro="" textlink="">
      <xdr:nvSpPr>
        <xdr:cNvPr id="1113" name="Rectangle 1868"/>
        <xdr:cNvSpPr>
          <a:spLocks noChangeArrowheads="1"/>
        </xdr:cNvSpPr>
      </xdr:nvSpPr>
      <xdr:spPr bwMode="auto">
        <a:xfrm>
          <a:off x="4943475" y="45245008"/>
          <a:ext cx="523875" cy="33211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20</xdr:col>
      <xdr:colOff>180975</xdr:colOff>
      <xdr:row>164</xdr:row>
      <xdr:rowOff>0</xdr:rowOff>
    </xdr:from>
    <xdr:to>
      <xdr:col>21</xdr:col>
      <xdr:colOff>190500</xdr:colOff>
      <xdr:row>165</xdr:row>
      <xdr:rowOff>9525</xdr:rowOff>
    </xdr:to>
    <xdr:sp macro="" textlink="">
      <xdr:nvSpPr>
        <xdr:cNvPr id="1114" name="Rectangle 1869"/>
        <xdr:cNvSpPr>
          <a:spLocks noChangeArrowheads="1"/>
        </xdr:cNvSpPr>
      </xdr:nvSpPr>
      <xdr:spPr bwMode="auto">
        <a:xfrm>
          <a:off x="6638925" y="4529137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164</xdr:row>
      <xdr:rowOff>0</xdr:rowOff>
    </xdr:from>
    <xdr:to>
      <xdr:col>21</xdr:col>
      <xdr:colOff>200025</xdr:colOff>
      <xdr:row>165</xdr:row>
      <xdr:rowOff>9525</xdr:rowOff>
    </xdr:to>
    <xdr:sp macro="" textlink="">
      <xdr:nvSpPr>
        <xdr:cNvPr id="1115" name="Rectangle 1870"/>
        <xdr:cNvSpPr>
          <a:spLocks noChangeArrowheads="1"/>
        </xdr:cNvSpPr>
      </xdr:nvSpPr>
      <xdr:spPr bwMode="auto">
        <a:xfrm>
          <a:off x="6648450" y="4529137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163</xdr:row>
      <xdr:rowOff>305519</xdr:rowOff>
    </xdr:from>
    <xdr:to>
      <xdr:col>21</xdr:col>
      <xdr:colOff>200025</xdr:colOff>
      <xdr:row>165</xdr:row>
      <xdr:rowOff>9525</xdr:rowOff>
    </xdr:to>
    <xdr:sp macro="" textlink="">
      <xdr:nvSpPr>
        <xdr:cNvPr id="1116" name="Rectangle 1871"/>
        <xdr:cNvSpPr>
          <a:spLocks noChangeArrowheads="1"/>
        </xdr:cNvSpPr>
      </xdr:nvSpPr>
      <xdr:spPr bwMode="auto">
        <a:xfrm>
          <a:off x="6648450" y="45253994"/>
          <a:ext cx="485775" cy="32313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22</xdr:col>
      <xdr:colOff>190500</xdr:colOff>
      <xdr:row>164</xdr:row>
      <xdr:rowOff>0</xdr:rowOff>
    </xdr:from>
    <xdr:to>
      <xdr:col>23</xdr:col>
      <xdr:colOff>200025</xdr:colOff>
      <xdr:row>165</xdr:row>
      <xdr:rowOff>9525</xdr:rowOff>
    </xdr:to>
    <xdr:sp macro="" textlink="">
      <xdr:nvSpPr>
        <xdr:cNvPr id="1117" name="Rectangle 1872"/>
        <xdr:cNvSpPr>
          <a:spLocks noChangeArrowheads="1"/>
        </xdr:cNvSpPr>
      </xdr:nvSpPr>
      <xdr:spPr bwMode="auto">
        <a:xfrm>
          <a:off x="7505700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164</xdr:row>
      <xdr:rowOff>0</xdr:rowOff>
    </xdr:from>
    <xdr:to>
      <xdr:col>23</xdr:col>
      <xdr:colOff>200025</xdr:colOff>
      <xdr:row>165</xdr:row>
      <xdr:rowOff>9525</xdr:rowOff>
    </xdr:to>
    <xdr:sp macro="" textlink="">
      <xdr:nvSpPr>
        <xdr:cNvPr id="1118" name="Rectangle 1873"/>
        <xdr:cNvSpPr>
          <a:spLocks noChangeArrowheads="1"/>
        </xdr:cNvSpPr>
      </xdr:nvSpPr>
      <xdr:spPr bwMode="auto">
        <a:xfrm>
          <a:off x="7505700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180975</xdr:colOff>
      <xdr:row>164</xdr:row>
      <xdr:rowOff>0</xdr:rowOff>
    </xdr:from>
    <xdr:to>
      <xdr:col>23</xdr:col>
      <xdr:colOff>190500</xdr:colOff>
      <xdr:row>165</xdr:row>
      <xdr:rowOff>9525</xdr:rowOff>
    </xdr:to>
    <xdr:sp macro="" textlink="">
      <xdr:nvSpPr>
        <xdr:cNvPr id="1119" name="Rectangle 1874"/>
        <xdr:cNvSpPr>
          <a:spLocks noChangeArrowheads="1"/>
        </xdr:cNvSpPr>
      </xdr:nvSpPr>
      <xdr:spPr bwMode="auto">
        <a:xfrm>
          <a:off x="74961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164</xdr:row>
      <xdr:rowOff>0</xdr:rowOff>
    </xdr:from>
    <xdr:to>
      <xdr:col>23</xdr:col>
      <xdr:colOff>200025</xdr:colOff>
      <xdr:row>165</xdr:row>
      <xdr:rowOff>9525</xdr:rowOff>
    </xdr:to>
    <xdr:sp macro="" textlink="">
      <xdr:nvSpPr>
        <xdr:cNvPr id="1120" name="Rectangle 1875"/>
        <xdr:cNvSpPr>
          <a:spLocks noChangeArrowheads="1"/>
        </xdr:cNvSpPr>
      </xdr:nvSpPr>
      <xdr:spPr bwMode="auto">
        <a:xfrm>
          <a:off x="7505700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163</xdr:row>
      <xdr:rowOff>305519</xdr:rowOff>
    </xdr:from>
    <xdr:to>
      <xdr:col>23</xdr:col>
      <xdr:colOff>200025</xdr:colOff>
      <xdr:row>165</xdr:row>
      <xdr:rowOff>9525</xdr:rowOff>
    </xdr:to>
    <xdr:sp macro="" textlink="">
      <xdr:nvSpPr>
        <xdr:cNvPr id="1121" name="Rectangle 1876"/>
        <xdr:cNvSpPr>
          <a:spLocks noChangeArrowheads="1"/>
        </xdr:cNvSpPr>
      </xdr:nvSpPr>
      <xdr:spPr bwMode="auto">
        <a:xfrm>
          <a:off x="7505700" y="45253994"/>
          <a:ext cx="438150" cy="32313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164</xdr:row>
      <xdr:rowOff>0</xdr:rowOff>
    </xdr:from>
    <xdr:to>
      <xdr:col>37</xdr:col>
      <xdr:colOff>190500</xdr:colOff>
      <xdr:row>165</xdr:row>
      <xdr:rowOff>9525</xdr:rowOff>
    </xdr:to>
    <xdr:sp macro="" textlink="">
      <xdr:nvSpPr>
        <xdr:cNvPr id="1122" name="Rectangle 1877"/>
        <xdr:cNvSpPr>
          <a:spLocks noChangeArrowheads="1"/>
        </xdr:cNvSpPr>
      </xdr:nvSpPr>
      <xdr:spPr bwMode="auto">
        <a:xfrm>
          <a:off x="13201650" y="4529137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163</xdr:row>
      <xdr:rowOff>314505</xdr:rowOff>
    </xdr:from>
    <xdr:to>
      <xdr:col>37</xdr:col>
      <xdr:colOff>190500</xdr:colOff>
      <xdr:row>165</xdr:row>
      <xdr:rowOff>9525</xdr:rowOff>
    </xdr:to>
    <xdr:sp macro="" textlink="">
      <xdr:nvSpPr>
        <xdr:cNvPr id="1123" name="Rectangle 1878"/>
        <xdr:cNvSpPr>
          <a:spLocks noChangeArrowheads="1"/>
        </xdr:cNvSpPr>
      </xdr:nvSpPr>
      <xdr:spPr bwMode="auto">
        <a:xfrm>
          <a:off x="13201650" y="45262980"/>
          <a:ext cx="523875" cy="3141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  <a:p>
          <a:pPr algn="ctr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190500</xdr:colOff>
      <xdr:row>199</xdr:row>
      <xdr:rowOff>0</xdr:rowOff>
    </xdr:from>
    <xdr:to>
      <xdr:col>11</xdr:col>
      <xdr:colOff>200025</xdr:colOff>
      <xdr:row>200</xdr:row>
      <xdr:rowOff>9525</xdr:rowOff>
    </xdr:to>
    <xdr:sp macro="" textlink="">
      <xdr:nvSpPr>
        <xdr:cNvPr id="1124" name="Rectangle 1888"/>
        <xdr:cNvSpPr>
          <a:spLocks noChangeArrowheads="1"/>
        </xdr:cNvSpPr>
      </xdr:nvSpPr>
      <xdr:spPr bwMode="auto">
        <a:xfrm>
          <a:off x="2209800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12</xdr:col>
      <xdr:colOff>190500</xdr:colOff>
      <xdr:row>199</xdr:row>
      <xdr:rowOff>0</xdr:rowOff>
    </xdr:from>
    <xdr:to>
      <xdr:col>13</xdr:col>
      <xdr:colOff>200025</xdr:colOff>
      <xdr:row>200</xdr:row>
      <xdr:rowOff>9525</xdr:rowOff>
    </xdr:to>
    <xdr:sp macro="" textlink="">
      <xdr:nvSpPr>
        <xdr:cNvPr id="1125" name="Rectangle 1889"/>
        <xdr:cNvSpPr>
          <a:spLocks noChangeArrowheads="1"/>
        </xdr:cNvSpPr>
      </xdr:nvSpPr>
      <xdr:spPr bwMode="auto">
        <a:xfrm>
          <a:off x="305752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14</xdr:col>
      <xdr:colOff>190500</xdr:colOff>
      <xdr:row>199</xdr:row>
      <xdr:rowOff>0</xdr:rowOff>
    </xdr:from>
    <xdr:to>
      <xdr:col>15</xdr:col>
      <xdr:colOff>200025</xdr:colOff>
      <xdr:row>200</xdr:row>
      <xdr:rowOff>9525</xdr:rowOff>
    </xdr:to>
    <xdr:sp macro="" textlink="">
      <xdr:nvSpPr>
        <xdr:cNvPr id="1126" name="Rectangle 1890"/>
        <xdr:cNvSpPr>
          <a:spLocks noChangeArrowheads="1"/>
        </xdr:cNvSpPr>
      </xdr:nvSpPr>
      <xdr:spPr bwMode="auto">
        <a:xfrm>
          <a:off x="3933825" y="549211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199</xdr:row>
      <xdr:rowOff>0</xdr:rowOff>
    </xdr:from>
    <xdr:to>
      <xdr:col>17</xdr:col>
      <xdr:colOff>200025</xdr:colOff>
      <xdr:row>200</xdr:row>
      <xdr:rowOff>9525</xdr:rowOff>
    </xdr:to>
    <xdr:sp macro="" textlink="">
      <xdr:nvSpPr>
        <xdr:cNvPr id="1127" name="Rectangle 1891"/>
        <xdr:cNvSpPr>
          <a:spLocks noChangeArrowheads="1"/>
        </xdr:cNvSpPr>
      </xdr:nvSpPr>
      <xdr:spPr bwMode="auto">
        <a:xfrm>
          <a:off x="494347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199</xdr:row>
      <xdr:rowOff>0</xdr:rowOff>
    </xdr:from>
    <xdr:to>
      <xdr:col>21</xdr:col>
      <xdr:colOff>200025</xdr:colOff>
      <xdr:row>200</xdr:row>
      <xdr:rowOff>9525</xdr:rowOff>
    </xdr:to>
    <xdr:sp macro="" textlink="">
      <xdr:nvSpPr>
        <xdr:cNvPr id="1128" name="Rectangle 1892"/>
        <xdr:cNvSpPr>
          <a:spLocks noChangeArrowheads="1"/>
        </xdr:cNvSpPr>
      </xdr:nvSpPr>
      <xdr:spPr bwMode="auto">
        <a:xfrm>
          <a:off x="6648450" y="549211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199</xdr:row>
      <xdr:rowOff>0</xdr:rowOff>
    </xdr:from>
    <xdr:to>
      <xdr:col>23</xdr:col>
      <xdr:colOff>200025</xdr:colOff>
      <xdr:row>200</xdr:row>
      <xdr:rowOff>9525</xdr:rowOff>
    </xdr:to>
    <xdr:sp macro="" textlink="">
      <xdr:nvSpPr>
        <xdr:cNvPr id="1129" name="Rectangle 1893"/>
        <xdr:cNvSpPr>
          <a:spLocks noChangeArrowheads="1"/>
        </xdr:cNvSpPr>
      </xdr:nvSpPr>
      <xdr:spPr bwMode="auto">
        <a:xfrm>
          <a:off x="7505700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199</xdr:row>
      <xdr:rowOff>0</xdr:rowOff>
    </xdr:from>
    <xdr:to>
      <xdr:col>25</xdr:col>
      <xdr:colOff>200025</xdr:colOff>
      <xdr:row>200</xdr:row>
      <xdr:rowOff>9525</xdr:rowOff>
    </xdr:to>
    <xdr:sp macro="" textlink="">
      <xdr:nvSpPr>
        <xdr:cNvPr id="1130" name="Rectangle 1894"/>
        <xdr:cNvSpPr>
          <a:spLocks noChangeArrowheads="1"/>
        </xdr:cNvSpPr>
      </xdr:nvSpPr>
      <xdr:spPr bwMode="auto">
        <a:xfrm>
          <a:off x="8315325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199</xdr:row>
      <xdr:rowOff>0</xdr:rowOff>
    </xdr:from>
    <xdr:to>
      <xdr:col>27</xdr:col>
      <xdr:colOff>200025</xdr:colOff>
      <xdr:row>200</xdr:row>
      <xdr:rowOff>9525</xdr:rowOff>
    </xdr:to>
    <xdr:sp macro="" textlink="">
      <xdr:nvSpPr>
        <xdr:cNvPr id="1131" name="Rectangle 1895"/>
        <xdr:cNvSpPr>
          <a:spLocks noChangeArrowheads="1"/>
        </xdr:cNvSpPr>
      </xdr:nvSpPr>
      <xdr:spPr bwMode="auto">
        <a:xfrm>
          <a:off x="9163050" y="549211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199</xdr:row>
      <xdr:rowOff>0</xdr:rowOff>
    </xdr:from>
    <xdr:to>
      <xdr:col>31</xdr:col>
      <xdr:colOff>200025</xdr:colOff>
      <xdr:row>200</xdr:row>
      <xdr:rowOff>9525</xdr:rowOff>
    </xdr:to>
    <xdr:sp macro="" textlink="">
      <xdr:nvSpPr>
        <xdr:cNvPr id="1132" name="Rectangle 1896"/>
        <xdr:cNvSpPr>
          <a:spLocks noChangeArrowheads="1"/>
        </xdr:cNvSpPr>
      </xdr:nvSpPr>
      <xdr:spPr bwMode="auto">
        <a:xfrm>
          <a:off x="10868025" y="549211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133" name="Rectangle 1897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199</xdr:row>
      <xdr:rowOff>0</xdr:rowOff>
    </xdr:from>
    <xdr:to>
      <xdr:col>37</xdr:col>
      <xdr:colOff>190500</xdr:colOff>
      <xdr:row>200</xdr:row>
      <xdr:rowOff>9525</xdr:rowOff>
    </xdr:to>
    <xdr:sp macro="" textlink="">
      <xdr:nvSpPr>
        <xdr:cNvPr id="1134" name="Rectangle 1898"/>
        <xdr:cNvSpPr>
          <a:spLocks noChangeArrowheads="1"/>
        </xdr:cNvSpPr>
      </xdr:nvSpPr>
      <xdr:spPr bwMode="auto">
        <a:xfrm>
          <a:off x="13201650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199</xdr:row>
      <xdr:rowOff>0</xdr:rowOff>
    </xdr:from>
    <xdr:to>
      <xdr:col>29</xdr:col>
      <xdr:colOff>200025</xdr:colOff>
      <xdr:row>200</xdr:row>
      <xdr:rowOff>9525</xdr:rowOff>
    </xdr:to>
    <xdr:sp macro="" textlink="">
      <xdr:nvSpPr>
        <xdr:cNvPr id="1135" name="Rectangle 1899"/>
        <xdr:cNvSpPr>
          <a:spLocks noChangeArrowheads="1"/>
        </xdr:cNvSpPr>
      </xdr:nvSpPr>
      <xdr:spPr bwMode="auto">
        <a:xfrm>
          <a:off x="9991725" y="549211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199</xdr:row>
      <xdr:rowOff>0</xdr:rowOff>
    </xdr:from>
    <xdr:to>
      <xdr:col>11</xdr:col>
      <xdr:colOff>200025</xdr:colOff>
      <xdr:row>200</xdr:row>
      <xdr:rowOff>9525</xdr:rowOff>
    </xdr:to>
    <xdr:sp macro="" textlink="">
      <xdr:nvSpPr>
        <xdr:cNvPr id="1136" name="Rectangle 1901"/>
        <xdr:cNvSpPr>
          <a:spLocks noChangeArrowheads="1"/>
        </xdr:cNvSpPr>
      </xdr:nvSpPr>
      <xdr:spPr bwMode="auto">
        <a:xfrm>
          <a:off x="2209800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199</xdr:row>
      <xdr:rowOff>0</xdr:rowOff>
    </xdr:from>
    <xdr:to>
      <xdr:col>13</xdr:col>
      <xdr:colOff>200025</xdr:colOff>
      <xdr:row>200</xdr:row>
      <xdr:rowOff>9525</xdr:rowOff>
    </xdr:to>
    <xdr:sp macro="" textlink="">
      <xdr:nvSpPr>
        <xdr:cNvPr id="1137" name="Rectangle 1902"/>
        <xdr:cNvSpPr>
          <a:spLocks noChangeArrowheads="1"/>
        </xdr:cNvSpPr>
      </xdr:nvSpPr>
      <xdr:spPr bwMode="auto">
        <a:xfrm>
          <a:off x="305752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199</xdr:row>
      <xdr:rowOff>0</xdr:rowOff>
    </xdr:from>
    <xdr:to>
      <xdr:col>15</xdr:col>
      <xdr:colOff>200025</xdr:colOff>
      <xdr:row>200</xdr:row>
      <xdr:rowOff>9525</xdr:rowOff>
    </xdr:to>
    <xdr:sp macro="" textlink="">
      <xdr:nvSpPr>
        <xdr:cNvPr id="1138" name="Rectangle 1903"/>
        <xdr:cNvSpPr>
          <a:spLocks noChangeArrowheads="1"/>
        </xdr:cNvSpPr>
      </xdr:nvSpPr>
      <xdr:spPr bwMode="auto">
        <a:xfrm>
          <a:off x="3933825" y="549211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199</xdr:row>
      <xdr:rowOff>0</xdr:rowOff>
    </xdr:from>
    <xdr:to>
      <xdr:col>17</xdr:col>
      <xdr:colOff>200025</xdr:colOff>
      <xdr:row>200</xdr:row>
      <xdr:rowOff>9525</xdr:rowOff>
    </xdr:to>
    <xdr:sp macro="" textlink="">
      <xdr:nvSpPr>
        <xdr:cNvPr id="1139" name="Rectangle 1904"/>
        <xdr:cNvSpPr>
          <a:spLocks noChangeArrowheads="1"/>
        </xdr:cNvSpPr>
      </xdr:nvSpPr>
      <xdr:spPr bwMode="auto">
        <a:xfrm>
          <a:off x="494347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199</xdr:row>
      <xdr:rowOff>0</xdr:rowOff>
    </xdr:from>
    <xdr:to>
      <xdr:col>23</xdr:col>
      <xdr:colOff>200025</xdr:colOff>
      <xdr:row>200</xdr:row>
      <xdr:rowOff>9525</xdr:rowOff>
    </xdr:to>
    <xdr:sp macro="" textlink="">
      <xdr:nvSpPr>
        <xdr:cNvPr id="1140" name="Rectangle 1907"/>
        <xdr:cNvSpPr>
          <a:spLocks noChangeArrowheads="1"/>
        </xdr:cNvSpPr>
      </xdr:nvSpPr>
      <xdr:spPr bwMode="auto">
        <a:xfrm>
          <a:off x="7505700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199</xdr:row>
      <xdr:rowOff>0</xdr:rowOff>
    </xdr:from>
    <xdr:to>
      <xdr:col>25</xdr:col>
      <xdr:colOff>200025</xdr:colOff>
      <xdr:row>200</xdr:row>
      <xdr:rowOff>9525</xdr:rowOff>
    </xdr:to>
    <xdr:sp macro="" textlink="">
      <xdr:nvSpPr>
        <xdr:cNvPr id="1141" name="Rectangle 1908"/>
        <xdr:cNvSpPr>
          <a:spLocks noChangeArrowheads="1"/>
        </xdr:cNvSpPr>
      </xdr:nvSpPr>
      <xdr:spPr bwMode="auto">
        <a:xfrm>
          <a:off x="8315325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199</xdr:row>
      <xdr:rowOff>0</xdr:rowOff>
    </xdr:from>
    <xdr:to>
      <xdr:col>27</xdr:col>
      <xdr:colOff>200025</xdr:colOff>
      <xdr:row>200</xdr:row>
      <xdr:rowOff>9525</xdr:rowOff>
    </xdr:to>
    <xdr:sp macro="" textlink="">
      <xdr:nvSpPr>
        <xdr:cNvPr id="1142" name="Rectangle 1909"/>
        <xdr:cNvSpPr>
          <a:spLocks noChangeArrowheads="1"/>
        </xdr:cNvSpPr>
      </xdr:nvSpPr>
      <xdr:spPr bwMode="auto">
        <a:xfrm>
          <a:off x="9163050" y="549211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199</xdr:row>
      <xdr:rowOff>0</xdr:rowOff>
    </xdr:from>
    <xdr:to>
      <xdr:col>31</xdr:col>
      <xdr:colOff>200025</xdr:colOff>
      <xdr:row>200</xdr:row>
      <xdr:rowOff>9525</xdr:rowOff>
    </xdr:to>
    <xdr:sp macro="" textlink="">
      <xdr:nvSpPr>
        <xdr:cNvPr id="1143" name="Rectangle 1910"/>
        <xdr:cNvSpPr>
          <a:spLocks noChangeArrowheads="1"/>
        </xdr:cNvSpPr>
      </xdr:nvSpPr>
      <xdr:spPr bwMode="auto">
        <a:xfrm>
          <a:off x="10868025" y="549211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144" name="Rectangle 1911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199</xdr:row>
      <xdr:rowOff>0</xdr:rowOff>
    </xdr:from>
    <xdr:to>
      <xdr:col>29</xdr:col>
      <xdr:colOff>200025</xdr:colOff>
      <xdr:row>200</xdr:row>
      <xdr:rowOff>9525</xdr:rowOff>
    </xdr:to>
    <xdr:sp macro="" textlink="">
      <xdr:nvSpPr>
        <xdr:cNvPr id="1145" name="Rectangle 1912"/>
        <xdr:cNvSpPr>
          <a:spLocks noChangeArrowheads="1"/>
        </xdr:cNvSpPr>
      </xdr:nvSpPr>
      <xdr:spPr bwMode="auto">
        <a:xfrm>
          <a:off x="9991725" y="549211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199</xdr:row>
      <xdr:rowOff>0</xdr:rowOff>
    </xdr:from>
    <xdr:to>
      <xdr:col>37</xdr:col>
      <xdr:colOff>190500</xdr:colOff>
      <xdr:row>200</xdr:row>
      <xdr:rowOff>9525</xdr:rowOff>
    </xdr:to>
    <xdr:sp macro="" textlink="">
      <xdr:nvSpPr>
        <xdr:cNvPr id="1146" name="Rectangle 1913"/>
        <xdr:cNvSpPr>
          <a:spLocks noChangeArrowheads="1"/>
        </xdr:cNvSpPr>
      </xdr:nvSpPr>
      <xdr:spPr bwMode="auto">
        <a:xfrm>
          <a:off x="13201650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pPr algn="ctr"/>
          <a:r>
            <a:rPr lang="en-US" sz="1200">
              <a:latin typeface="Arial" pitchFamily="34" charset="0"/>
              <a:cs typeface="Arial" pitchFamily="34" charset="0"/>
            </a:rPr>
            <a:t>B</a:t>
          </a:r>
        </a:p>
      </xdr:txBody>
    </xdr:sp>
    <xdr:clientData/>
  </xdr:twoCellAnchor>
  <xdr:twoCellAnchor>
    <xdr:from>
      <xdr:col>10</xdr:col>
      <xdr:colOff>190500</xdr:colOff>
      <xdr:row>199</xdr:row>
      <xdr:rowOff>0</xdr:rowOff>
    </xdr:from>
    <xdr:to>
      <xdr:col>11</xdr:col>
      <xdr:colOff>200025</xdr:colOff>
      <xdr:row>200</xdr:row>
      <xdr:rowOff>9525</xdr:rowOff>
    </xdr:to>
    <xdr:sp macro="" textlink="">
      <xdr:nvSpPr>
        <xdr:cNvPr id="1147" name="Rectangle 1914"/>
        <xdr:cNvSpPr>
          <a:spLocks noChangeArrowheads="1"/>
        </xdr:cNvSpPr>
      </xdr:nvSpPr>
      <xdr:spPr bwMode="auto">
        <a:xfrm>
          <a:off x="2209800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C</a:t>
          </a:r>
        </a:p>
      </xdr:txBody>
    </xdr:sp>
    <xdr:clientData/>
  </xdr:twoCellAnchor>
  <xdr:twoCellAnchor>
    <xdr:from>
      <xdr:col>12</xdr:col>
      <xdr:colOff>190500</xdr:colOff>
      <xdr:row>199</xdr:row>
      <xdr:rowOff>0</xdr:rowOff>
    </xdr:from>
    <xdr:to>
      <xdr:col>13</xdr:col>
      <xdr:colOff>200025</xdr:colOff>
      <xdr:row>200</xdr:row>
      <xdr:rowOff>9525</xdr:rowOff>
    </xdr:to>
    <xdr:sp macro="" textlink="">
      <xdr:nvSpPr>
        <xdr:cNvPr id="1148" name="Rectangle 1915"/>
        <xdr:cNvSpPr>
          <a:spLocks noChangeArrowheads="1"/>
        </xdr:cNvSpPr>
      </xdr:nvSpPr>
      <xdr:spPr bwMode="auto">
        <a:xfrm>
          <a:off x="305752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C</a:t>
          </a:r>
        </a:p>
      </xdr:txBody>
    </xdr:sp>
    <xdr:clientData/>
  </xdr:twoCellAnchor>
  <xdr:twoCellAnchor>
    <xdr:from>
      <xdr:col>14</xdr:col>
      <xdr:colOff>190500</xdr:colOff>
      <xdr:row>199</xdr:row>
      <xdr:rowOff>0</xdr:rowOff>
    </xdr:from>
    <xdr:to>
      <xdr:col>15</xdr:col>
      <xdr:colOff>200025</xdr:colOff>
      <xdr:row>200</xdr:row>
      <xdr:rowOff>9525</xdr:rowOff>
    </xdr:to>
    <xdr:sp macro="" textlink="">
      <xdr:nvSpPr>
        <xdr:cNvPr id="1149" name="Rectangle 1916"/>
        <xdr:cNvSpPr>
          <a:spLocks noChangeArrowheads="1"/>
        </xdr:cNvSpPr>
      </xdr:nvSpPr>
      <xdr:spPr bwMode="auto">
        <a:xfrm>
          <a:off x="3933825" y="549211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16</xdr:col>
      <xdr:colOff>190500</xdr:colOff>
      <xdr:row>199</xdr:row>
      <xdr:rowOff>0</xdr:rowOff>
    </xdr:from>
    <xdr:to>
      <xdr:col>17</xdr:col>
      <xdr:colOff>200025</xdr:colOff>
      <xdr:row>200</xdr:row>
      <xdr:rowOff>9525</xdr:rowOff>
    </xdr:to>
    <xdr:sp macro="" textlink="">
      <xdr:nvSpPr>
        <xdr:cNvPr id="1150" name="Rectangle 1917"/>
        <xdr:cNvSpPr>
          <a:spLocks noChangeArrowheads="1"/>
        </xdr:cNvSpPr>
      </xdr:nvSpPr>
      <xdr:spPr bwMode="auto">
        <a:xfrm>
          <a:off x="494347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199</xdr:row>
      <xdr:rowOff>0</xdr:rowOff>
    </xdr:from>
    <xdr:to>
      <xdr:col>17</xdr:col>
      <xdr:colOff>200025</xdr:colOff>
      <xdr:row>200</xdr:row>
      <xdr:rowOff>9525</xdr:rowOff>
    </xdr:to>
    <xdr:sp macro="" textlink="">
      <xdr:nvSpPr>
        <xdr:cNvPr id="1151" name="Rectangle 1919"/>
        <xdr:cNvSpPr>
          <a:spLocks noChangeArrowheads="1"/>
        </xdr:cNvSpPr>
      </xdr:nvSpPr>
      <xdr:spPr bwMode="auto">
        <a:xfrm>
          <a:off x="494347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22</xdr:col>
      <xdr:colOff>190500</xdr:colOff>
      <xdr:row>199</xdr:row>
      <xdr:rowOff>0</xdr:rowOff>
    </xdr:from>
    <xdr:to>
      <xdr:col>23</xdr:col>
      <xdr:colOff>200025</xdr:colOff>
      <xdr:row>200</xdr:row>
      <xdr:rowOff>9525</xdr:rowOff>
    </xdr:to>
    <xdr:sp macro="" textlink="">
      <xdr:nvSpPr>
        <xdr:cNvPr id="1152" name="Rectangle 1923"/>
        <xdr:cNvSpPr>
          <a:spLocks noChangeArrowheads="1"/>
        </xdr:cNvSpPr>
      </xdr:nvSpPr>
      <xdr:spPr bwMode="auto">
        <a:xfrm>
          <a:off x="7505700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199</xdr:row>
      <xdr:rowOff>0</xdr:rowOff>
    </xdr:from>
    <xdr:to>
      <xdr:col>23</xdr:col>
      <xdr:colOff>200025</xdr:colOff>
      <xdr:row>200</xdr:row>
      <xdr:rowOff>9525</xdr:rowOff>
    </xdr:to>
    <xdr:sp macro="" textlink="">
      <xdr:nvSpPr>
        <xdr:cNvPr id="1153" name="Rectangle 1924"/>
        <xdr:cNvSpPr>
          <a:spLocks noChangeArrowheads="1"/>
        </xdr:cNvSpPr>
      </xdr:nvSpPr>
      <xdr:spPr bwMode="auto">
        <a:xfrm>
          <a:off x="7505700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pPr algn="ctr"/>
          <a:r>
            <a:rPr lang="en-US" sz="1200">
              <a:latin typeface="Arial" pitchFamily="34" charset="0"/>
              <a:cs typeface="Arial" pitchFamily="34" charset="0"/>
            </a:rPr>
            <a:t>B</a:t>
          </a:r>
        </a:p>
      </xdr:txBody>
    </xdr:sp>
    <xdr:clientData/>
  </xdr:twoCellAnchor>
  <xdr:twoCellAnchor>
    <xdr:from>
      <xdr:col>10</xdr:col>
      <xdr:colOff>190500</xdr:colOff>
      <xdr:row>211</xdr:row>
      <xdr:rowOff>0</xdr:rowOff>
    </xdr:from>
    <xdr:to>
      <xdr:col>11</xdr:col>
      <xdr:colOff>200025</xdr:colOff>
      <xdr:row>211</xdr:row>
      <xdr:rowOff>0</xdr:rowOff>
    </xdr:to>
    <xdr:sp macro="" textlink="">
      <xdr:nvSpPr>
        <xdr:cNvPr id="1154" name="Rectangle 1930"/>
        <xdr:cNvSpPr>
          <a:spLocks noChangeArrowheads="1"/>
        </xdr:cNvSpPr>
      </xdr:nvSpPr>
      <xdr:spPr bwMode="auto">
        <a:xfrm>
          <a:off x="2209800" y="58102500"/>
          <a:ext cx="4762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12</xdr:col>
      <xdr:colOff>190500</xdr:colOff>
      <xdr:row>211</xdr:row>
      <xdr:rowOff>0</xdr:rowOff>
    </xdr:from>
    <xdr:to>
      <xdr:col>13</xdr:col>
      <xdr:colOff>200025</xdr:colOff>
      <xdr:row>211</xdr:row>
      <xdr:rowOff>0</xdr:rowOff>
    </xdr:to>
    <xdr:sp macro="" textlink="">
      <xdr:nvSpPr>
        <xdr:cNvPr id="1155" name="Rectangle 1931"/>
        <xdr:cNvSpPr>
          <a:spLocks noChangeArrowheads="1"/>
        </xdr:cNvSpPr>
      </xdr:nvSpPr>
      <xdr:spPr bwMode="auto">
        <a:xfrm>
          <a:off x="3057525" y="5810250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14</xdr:col>
      <xdr:colOff>190500</xdr:colOff>
      <xdr:row>211</xdr:row>
      <xdr:rowOff>0</xdr:rowOff>
    </xdr:from>
    <xdr:to>
      <xdr:col>15</xdr:col>
      <xdr:colOff>200025</xdr:colOff>
      <xdr:row>211</xdr:row>
      <xdr:rowOff>0</xdr:rowOff>
    </xdr:to>
    <xdr:sp macro="" textlink="">
      <xdr:nvSpPr>
        <xdr:cNvPr id="1156" name="Rectangle 1932"/>
        <xdr:cNvSpPr>
          <a:spLocks noChangeArrowheads="1"/>
        </xdr:cNvSpPr>
      </xdr:nvSpPr>
      <xdr:spPr bwMode="auto">
        <a:xfrm>
          <a:off x="3933825" y="58102500"/>
          <a:ext cx="5810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211</xdr:row>
      <xdr:rowOff>0</xdr:rowOff>
    </xdr:from>
    <xdr:to>
      <xdr:col>17</xdr:col>
      <xdr:colOff>200025</xdr:colOff>
      <xdr:row>211</xdr:row>
      <xdr:rowOff>0</xdr:rowOff>
    </xdr:to>
    <xdr:sp macro="" textlink="">
      <xdr:nvSpPr>
        <xdr:cNvPr id="1157" name="Rectangle 1933"/>
        <xdr:cNvSpPr>
          <a:spLocks noChangeArrowheads="1"/>
        </xdr:cNvSpPr>
      </xdr:nvSpPr>
      <xdr:spPr bwMode="auto">
        <a:xfrm>
          <a:off x="4943475" y="5810250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211</xdr:row>
      <xdr:rowOff>0</xdr:rowOff>
    </xdr:from>
    <xdr:to>
      <xdr:col>21</xdr:col>
      <xdr:colOff>200025</xdr:colOff>
      <xdr:row>211</xdr:row>
      <xdr:rowOff>0</xdr:rowOff>
    </xdr:to>
    <xdr:sp macro="" textlink="">
      <xdr:nvSpPr>
        <xdr:cNvPr id="1158" name="Rectangle 1934"/>
        <xdr:cNvSpPr>
          <a:spLocks noChangeArrowheads="1"/>
        </xdr:cNvSpPr>
      </xdr:nvSpPr>
      <xdr:spPr bwMode="auto">
        <a:xfrm>
          <a:off x="6648450" y="58102500"/>
          <a:ext cx="4857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211</xdr:row>
      <xdr:rowOff>0</xdr:rowOff>
    </xdr:from>
    <xdr:to>
      <xdr:col>23</xdr:col>
      <xdr:colOff>200025</xdr:colOff>
      <xdr:row>211</xdr:row>
      <xdr:rowOff>0</xdr:rowOff>
    </xdr:to>
    <xdr:sp macro="" textlink="">
      <xdr:nvSpPr>
        <xdr:cNvPr id="1159" name="Rectangle 1935"/>
        <xdr:cNvSpPr>
          <a:spLocks noChangeArrowheads="1"/>
        </xdr:cNvSpPr>
      </xdr:nvSpPr>
      <xdr:spPr bwMode="auto">
        <a:xfrm>
          <a:off x="7505700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211</xdr:row>
      <xdr:rowOff>0</xdr:rowOff>
    </xdr:from>
    <xdr:to>
      <xdr:col>25</xdr:col>
      <xdr:colOff>200025</xdr:colOff>
      <xdr:row>211</xdr:row>
      <xdr:rowOff>0</xdr:rowOff>
    </xdr:to>
    <xdr:sp macro="" textlink="">
      <xdr:nvSpPr>
        <xdr:cNvPr id="1160" name="Rectangle 1936"/>
        <xdr:cNvSpPr>
          <a:spLocks noChangeArrowheads="1"/>
        </xdr:cNvSpPr>
      </xdr:nvSpPr>
      <xdr:spPr bwMode="auto">
        <a:xfrm>
          <a:off x="8315325" y="58102500"/>
          <a:ext cx="4762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211</xdr:row>
      <xdr:rowOff>0</xdr:rowOff>
    </xdr:from>
    <xdr:to>
      <xdr:col>27</xdr:col>
      <xdr:colOff>200025</xdr:colOff>
      <xdr:row>211</xdr:row>
      <xdr:rowOff>0</xdr:rowOff>
    </xdr:to>
    <xdr:sp macro="" textlink="">
      <xdr:nvSpPr>
        <xdr:cNvPr id="1161" name="Rectangle 1937"/>
        <xdr:cNvSpPr>
          <a:spLocks noChangeArrowheads="1"/>
        </xdr:cNvSpPr>
      </xdr:nvSpPr>
      <xdr:spPr bwMode="auto">
        <a:xfrm>
          <a:off x="9163050" y="58102500"/>
          <a:ext cx="457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211</xdr:row>
      <xdr:rowOff>0</xdr:rowOff>
    </xdr:from>
    <xdr:to>
      <xdr:col>31</xdr:col>
      <xdr:colOff>200025</xdr:colOff>
      <xdr:row>211</xdr:row>
      <xdr:rowOff>0</xdr:rowOff>
    </xdr:to>
    <xdr:sp macro="" textlink="">
      <xdr:nvSpPr>
        <xdr:cNvPr id="1162" name="Rectangle 1938"/>
        <xdr:cNvSpPr>
          <a:spLocks noChangeArrowheads="1"/>
        </xdr:cNvSpPr>
      </xdr:nvSpPr>
      <xdr:spPr bwMode="auto">
        <a:xfrm>
          <a:off x="10868025" y="58102500"/>
          <a:ext cx="4286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211</xdr:row>
      <xdr:rowOff>0</xdr:rowOff>
    </xdr:from>
    <xdr:to>
      <xdr:col>33</xdr:col>
      <xdr:colOff>200025</xdr:colOff>
      <xdr:row>211</xdr:row>
      <xdr:rowOff>0</xdr:rowOff>
    </xdr:to>
    <xdr:sp macro="" textlink="">
      <xdr:nvSpPr>
        <xdr:cNvPr id="1163" name="Rectangle 1939"/>
        <xdr:cNvSpPr>
          <a:spLocks noChangeArrowheads="1"/>
        </xdr:cNvSpPr>
      </xdr:nvSpPr>
      <xdr:spPr bwMode="auto">
        <a:xfrm>
          <a:off x="11649075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211</xdr:row>
      <xdr:rowOff>0</xdr:rowOff>
    </xdr:from>
    <xdr:to>
      <xdr:col>37</xdr:col>
      <xdr:colOff>190500</xdr:colOff>
      <xdr:row>211</xdr:row>
      <xdr:rowOff>0</xdr:rowOff>
    </xdr:to>
    <xdr:sp macro="" textlink="">
      <xdr:nvSpPr>
        <xdr:cNvPr id="1164" name="Rectangle 1940"/>
        <xdr:cNvSpPr>
          <a:spLocks noChangeArrowheads="1"/>
        </xdr:cNvSpPr>
      </xdr:nvSpPr>
      <xdr:spPr bwMode="auto">
        <a:xfrm>
          <a:off x="13201650" y="5810250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211</xdr:row>
      <xdr:rowOff>0</xdr:rowOff>
    </xdr:from>
    <xdr:to>
      <xdr:col>29</xdr:col>
      <xdr:colOff>200025</xdr:colOff>
      <xdr:row>211</xdr:row>
      <xdr:rowOff>0</xdr:rowOff>
    </xdr:to>
    <xdr:sp macro="" textlink="">
      <xdr:nvSpPr>
        <xdr:cNvPr id="1165" name="Rectangle 1941"/>
        <xdr:cNvSpPr>
          <a:spLocks noChangeArrowheads="1"/>
        </xdr:cNvSpPr>
      </xdr:nvSpPr>
      <xdr:spPr bwMode="auto">
        <a:xfrm>
          <a:off x="9991725" y="58102500"/>
          <a:ext cx="504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180975</xdr:colOff>
      <xdr:row>211</xdr:row>
      <xdr:rowOff>0</xdr:rowOff>
    </xdr:from>
    <xdr:to>
      <xdr:col>19</xdr:col>
      <xdr:colOff>190500</xdr:colOff>
      <xdr:row>211</xdr:row>
      <xdr:rowOff>0</xdr:rowOff>
    </xdr:to>
    <xdr:sp macro="" textlink="">
      <xdr:nvSpPr>
        <xdr:cNvPr id="1166" name="Rectangle 1942"/>
        <xdr:cNvSpPr>
          <a:spLocks noChangeArrowheads="1"/>
        </xdr:cNvSpPr>
      </xdr:nvSpPr>
      <xdr:spPr bwMode="auto">
        <a:xfrm>
          <a:off x="5829300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12</xdr:col>
      <xdr:colOff>190500</xdr:colOff>
      <xdr:row>211</xdr:row>
      <xdr:rowOff>0</xdr:rowOff>
    </xdr:from>
    <xdr:to>
      <xdr:col>13</xdr:col>
      <xdr:colOff>200025</xdr:colOff>
      <xdr:row>211</xdr:row>
      <xdr:rowOff>0</xdr:rowOff>
    </xdr:to>
    <xdr:sp macro="" textlink="">
      <xdr:nvSpPr>
        <xdr:cNvPr id="1167" name="Rectangle 1944"/>
        <xdr:cNvSpPr>
          <a:spLocks noChangeArrowheads="1"/>
        </xdr:cNvSpPr>
      </xdr:nvSpPr>
      <xdr:spPr bwMode="auto">
        <a:xfrm>
          <a:off x="3057525" y="5810250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211</xdr:row>
      <xdr:rowOff>0</xdr:rowOff>
    </xdr:from>
    <xdr:to>
      <xdr:col>15</xdr:col>
      <xdr:colOff>200025</xdr:colOff>
      <xdr:row>211</xdr:row>
      <xdr:rowOff>0</xdr:rowOff>
    </xdr:to>
    <xdr:sp macro="" textlink="">
      <xdr:nvSpPr>
        <xdr:cNvPr id="1168" name="Rectangle 1945"/>
        <xdr:cNvSpPr>
          <a:spLocks noChangeArrowheads="1"/>
        </xdr:cNvSpPr>
      </xdr:nvSpPr>
      <xdr:spPr bwMode="auto">
        <a:xfrm>
          <a:off x="3933825" y="58102500"/>
          <a:ext cx="5810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211</xdr:row>
      <xdr:rowOff>0</xdr:rowOff>
    </xdr:from>
    <xdr:to>
      <xdr:col>17</xdr:col>
      <xdr:colOff>200025</xdr:colOff>
      <xdr:row>211</xdr:row>
      <xdr:rowOff>0</xdr:rowOff>
    </xdr:to>
    <xdr:sp macro="" textlink="">
      <xdr:nvSpPr>
        <xdr:cNvPr id="1169" name="Rectangle 1946"/>
        <xdr:cNvSpPr>
          <a:spLocks noChangeArrowheads="1"/>
        </xdr:cNvSpPr>
      </xdr:nvSpPr>
      <xdr:spPr bwMode="auto">
        <a:xfrm>
          <a:off x="4943475" y="5810250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211</xdr:row>
      <xdr:rowOff>0</xdr:rowOff>
    </xdr:from>
    <xdr:to>
      <xdr:col>19</xdr:col>
      <xdr:colOff>200025</xdr:colOff>
      <xdr:row>211</xdr:row>
      <xdr:rowOff>0</xdr:rowOff>
    </xdr:to>
    <xdr:sp macro="" textlink="">
      <xdr:nvSpPr>
        <xdr:cNvPr id="1170" name="Rectangle 1947"/>
        <xdr:cNvSpPr>
          <a:spLocks noChangeArrowheads="1"/>
        </xdr:cNvSpPr>
      </xdr:nvSpPr>
      <xdr:spPr bwMode="auto">
        <a:xfrm>
          <a:off x="5838825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211</xdr:row>
      <xdr:rowOff>0</xdr:rowOff>
    </xdr:from>
    <xdr:to>
      <xdr:col>21</xdr:col>
      <xdr:colOff>200025</xdr:colOff>
      <xdr:row>211</xdr:row>
      <xdr:rowOff>0</xdr:rowOff>
    </xdr:to>
    <xdr:sp macro="" textlink="">
      <xdr:nvSpPr>
        <xdr:cNvPr id="1171" name="Rectangle 1948"/>
        <xdr:cNvSpPr>
          <a:spLocks noChangeArrowheads="1"/>
        </xdr:cNvSpPr>
      </xdr:nvSpPr>
      <xdr:spPr bwMode="auto">
        <a:xfrm>
          <a:off x="6648450" y="58102500"/>
          <a:ext cx="4857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211</xdr:row>
      <xdr:rowOff>0</xdr:rowOff>
    </xdr:from>
    <xdr:to>
      <xdr:col>23</xdr:col>
      <xdr:colOff>200025</xdr:colOff>
      <xdr:row>211</xdr:row>
      <xdr:rowOff>0</xdr:rowOff>
    </xdr:to>
    <xdr:sp macro="" textlink="">
      <xdr:nvSpPr>
        <xdr:cNvPr id="1172" name="Rectangle 1949"/>
        <xdr:cNvSpPr>
          <a:spLocks noChangeArrowheads="1"/>
        </xdr:cNvSpPr>
      </xdr:nvSpPr>
      <xdr:spPr bwMode="auto">
        <a:xfrm>
          <a:off x="7505700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211</xdr:row>
      <xdr:rowOff>0</xdr:rowOff>
    </xdr:from>
    <xdr:to>
      <xdr:col>25</xdr:col>
      <xdr:colOff>200025</xdr:colOff>
      <xdr:row>211</xdr:row>
      <xdr:rowOff>0</xdr:rowOff>
    </xdr:to>
    <xdr:sp macro="" textlink="">
      <xdr:nvSpPr>
        <xdr:cNvPr id="1173" name="Rectangle 1950"/>
        <xdr:cNvSpPr>
          <a:spLocks noChangeArrowheads="1"/>
        </xdr:cNvSpPr>
      </xdr:nvSpPr>
      <xdr:spPr bwMode="auto">
        <a:xfrm>
          <a:off x="8315325" y="58102500"/>
          <a:ext cx="4762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211</xdr:row>
      <xdr:rowOff>0</xdr:rowOff>
    </xdr:from>
    <xdr:to>
      <xdr:col>27</xdr:col>
      <xdr:colOff>200025</xdr:colOff>
      <xdr:row>211</xdr:row>
      <xdr:rowOff>0</xdr:rowOff>
    </xdr:to>
    <xdr:sp macro="" textlink="">
      <xdr:nvSpPr>
        <xdr:cNvPr id="1174" name="Rectangle 1951"/>
        <xdr:cNvSpPr>
          <a:spLocks noChangeArrowheads="1"/>
        </xdr:cNvSpPr>
      </xdr:nvSpPr>
      <xdr:spPr bwMode="auto">
        <a:xfrm>
          <a:off x="9163050" y="58102500"/>
          <a:ext cx="457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211</xdr:row>
      <xdr:rowOff>0</xdr:rowOff>
    </xdr:from>
    <xdr:to>
      <xdr:col>31</xdr:col>
      <xdr:colOff>200025</xdr:colOff>
      <xdr:row>211</xdr:row>
      <xdr:rowOff>0</xdr:rowOff>
    </xdr:to>
    <xdr:sp macro="" textlink="">
      <xdr:nvSpPr>
        <xdr:cNvPr id="1175" name="Rectangle 1952"/>
        <xdr:cNvSpPr>
          <a:spLocks noChangeArrowheads="1"/>
        </xdr:cNvSpPr>
      </xdr:nvSpPr>
      <xdr:spPr bwMode="auto">
        <a:xfrm>
          <a:off x="10868025" y="58102500"/>
          <a:ext cx="4286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211</xdr:row>
      <xdr:rowOff>0</xdr:rowOff>
    </xdr:from>
    <xdr:to>
      <xdr:col>33</xdr:col>
      <xdr:colOff>200025</xdr:colOff>
      <xdr:row>211</xdr:row>
      <xdr:rowOff>0</xdr:rowOff>
    </xdr:to>
    <xdr:sp macro="" textlink="">
      <xdr:nvSpPr>
        <xdr:cNvPr id="1176" name="Rectangle 1953"/>
        <xdr:cNvSpPr>
          <a:spLocks noChangeArrowheads="1"/>
        </xdr:cNvSpPr>
      </xdr:nvSpPr>
      <xdr:spPr bwMode="auto">
        <a:xfrm>
          <a:off x="11649075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211</xdr:row>
      <xdr:rowOff>0</xdr:rowOff>
    </xdr:from>
    <xdr:to>
      <xdr:col>29</xdr:col>
      <xdr:colOff>200025</xdr:colOff>
      <xdr:row>211</xdr:row>
      <xdr:rowOff>0</xdr:rowOff>
    </xdr:to>
    <xdr:sp macro="" textlink="">
      <xdr:nvSpPr>
        <xdr:cNvPr id="1177" name="Rectangle 1954"/>
        <xdr:cNvSpPr>
          <a:spLocks noChangeArrowheads="1"/>
        </xdr:cNvSpPr>
      </xdr:nvSpPr>
      <xdr:spPr bwMode="auto">
        <a:xfrm>
          <a:off x="9991725" y="58102500"/>
          <a:ext cx="504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211</xdr:row>
      <xdr:rowOff>0</xdr:rowOff>
    </xdr:from>
    <xdr:to>
      <xdr:col>37</xdr:col>
      <xdr:colOff>190500</xdr:colOff>
      <xdr:row>211</xdr:row>
      <xdr:rowOff>0</xdr:rowOff>
    </xdr:to>
    <xdr:sp macro="" textlink="">
      <xdr:nvSpPr>
        <xdr:cNvPr id="1178" name="Rectangle 1955"/>
        <xdr:cNvSpPr>
          <a:spLocks noChangeArrowheads="1"/>
        </xdr:cNvSpPr>
      </xdr:nvSpPr>
      <xdr:spPr bwMode="auto">
        <a:xfrm>
          <a:off x="13201650" y="5810250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211</xdr:row>
      <xdr:rowOff>0</xdr:rowOff>
    </xdr:from>
    <xdr:to>
      <xdr:col>17</xdr:col>
      <xdr:colOff>200025</xdr:colOff>
      <xdr:row>211</xdr:row>
      <xdr:rowOff>0</xdr:rowOff>
    </xdr:to>
    <xdr:sp macro="" textlink="">
      <xdr:nvSpPr>
        <xdr:cNvPr id="1179" name="Rectangle 1958"/>
        <xdr:cNvSpPr>
          <a:spLocks noChangeArrowheads="1"/>
        </xdr:cNvSpPr>
      </xdr:nvSpPr>
      <xdr:spPr bwMode="auto">
        <a:xfrm>
          <a:off x="4943475" y="5810250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211</xdr:row>
      <xdr:rowOff>0</xdr:rowOff>
    </xdr:from>
    <xdr:to>
      <xdr:col>19</xdr:col>
      <xdr:colOff>200025</xdr:colOff>
      <xdr:row>211</xdr:row>
      <xdr:rowOff>0</xdr:rowOff>
    </xdr:to>
    <xdr:sp macro="" textlink="">
      <xdr:nvSpPr>
        <xdr:cNvPr id="1180" name="Rectangle 1959"/>
        <xdr:cNvSpPr>
          <a:spLocks noChangeArrowheads="1"/>
        </xdr:cNvSpPr>
      </xdr:nvSpPr>
      <xdr:spPr bwMode="auto">
        <a:xfrm>
          <a:off x="5838825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211</xdr:row>
      <xdr:rowOff>0</xdr:rowOff>
    </xdr:from>
    <xdr:to>
      <xdr:col>17</xdr:col>
      <xdr:colOff>200025</xdr:colOff>
      <xdr:row>211</xdr:row>
      <xdr:rowOff>0</xdr:rowOff>
    </xdr:to>
    <xdr:sp macro="" textlink="">
      <xdr:nvSpPr>
        <xdr:cNvPr id="1181" name="Rectangle 1960"/>
        <xdr:cNvSpPr>
          <a:spLocks noChangeArrowheads="1"/>
        </xdr:cNvSpPr>
      </xdr:nvSpPr>
      <xdr:spPr bwMode="auto">
        <a:xfrm>
          <a:off x="4943475" y="5810250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180975</xdr:colOff>
      <xdr:row>211</xdr:row>
      <xdr:rowOff>0</xdr:rowOff>
    </xdr:from>
    <xdr:to>
      <xdr:col>21</xdr:col>
      <xdr:colOff>190500</xdr:colOff>
      <xdr:row>211</xdr:row>
      <xdr:rowOff>0</xdr:rowOff>
    </xdr:to>
    <xdr:sp macro="" textlink="">
      <xdr:nvSpPr>
        <xdr:cNvPr id="1182" name="Rectangle 1961"/>
        <xdr:cNvSpPr>
          <a:spLocks noChangeArrowheads="1"/>
        </xdr:cNvSpPr>
      </xdr:nvSpPr>
      <xdr:spPr bwMode="auto">
        <a:xfrm>
          <a:off x="6638925" y="58102500"/>
          <a:ext cx="4857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211</xdr:row>
      <xdr:rowOff>0</xdr:rowOff>
    </xdr:from>
    <xdr:to>
      <xdr:col>21</xdr:col>
      <xdr:colOff>200025</xdr:colOff>
      <xdr:row>211</xdr:row>
      <xdr:rowOff>0</xdr:rowOff>
    </xdr:to>
    <xdr:sp macro="" textlink="">
      <xdr:nvSpPr>
        <xdr:cNvPr id="1183" name="Rectangle 1962"/>
        <xdr:cNvSpPr>
          <a:spLocks noChangeArrowheads="1"/>
        </xdr:cNvSpPr>
      </xdr:nvSpPr>
      <xdr:spPr bwMode="auto">
        <a:xfrm>
          <a:off x="6648450" y="58102500"/>
          <a:ext cx="4857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211</xdr:row>
      <xdr:rowOff>0</xdr:rowOff>
    </xdr:from>
    <xdr:to>
      <xdr:col>21</xdr:col>
      <xdr:colOff>200025</xdr:colOff>
      <xdr:row>211</xdr:row>
      <xdr:rowOff>0</xdr:rowOff>
    </xdr:to>
    <xdr:sp macro="" textlink="">
      <xdr:nvSpPr>
        <xdr:cNvPr id="1184" name="Rectangle 1963"/>
        <xdr:cNvSpPr>
          <a:spLocks noChangeArrowheads="1"/>
        </xdr:cNvSpPr>
      </xdr:nvSpPr>
      <xdr:spPr bwMode="auto">
        <a:xfrm>
          <a:off x="6648450" y="58102500"/>
          <a:ext cx="4857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211</xdr:row>
      <xdr:rowOff>0</xdr:rowOff>
    </xdr:from>
    <xdr:to>
      <xdr:col>23</xdr:col>
      <xdr:colOff>200025</xdr:colOff>
      <xdr:row>211</xdr:row>
      <xdr:rowOff>0</xdr:rowOff>
    </xdr:to>
    <xdr:sp macro="" textlink="">
      <xdr:nvSpPr>
        <xdr:cNvPr id="1185" name="Rectangle 1964"/>
        <xdr:cNvSpPr>
          <a:spLocks noChangeArrowheads="1"/>
        </xdr:cNvSpPr>
      </xdr:nvSpPr>
      <xdr:spPr bwMode="auto">
        <a:xfrm>
          <a:off x="7505700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211</xdr:row>
      <xdr:rowOff>0</xdr:rowOff>
    </xdr:from>
    <xdr:to>
      <xdr:col>23</xdr:col>
      <xdr:colOff>200025</xdr:colOff>
      <xdr:row>211</xdr:row>
      <xdr:rowOff>0</xdr:rowOff>
    </xdr:to>
    <xdr:sp macro="" textlink="">
      <xdr:nvSpPr>
        <xdr:cNvPr id="1186" name="Rectangle 1965"/>
        <xdr:cNvSpPr>
          <a:spLocks noChangeArrowheads="1"/>
        </xdr:cNvSpPr>
      </xdr:nvSpPr>
      <xdr:spPr bwMode="auto">
        <a:xfrm>
          <a:off x="7505700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180975</xdr:colOff>
      <xdr:row>211</xdr:row>
      <xdr:rowOff>0</xdr:rowOff>
    </xdr:from>
    <xdr:to>
      <xdr:col>23</xdr:col>
      <xdr:colOff>190500</xdr:colOff>
      <xdr:row>211</xdr:row>
      <xdr:rowOff>0</xdr:rowOff>
    </xdr:to>
    <xdr:sp macro="" textlink="">
      <xdr:nvSpPr>
        <xdr:cNvPr id="1187" name="Rectangle 1966"/>
        <xdr:cNvSpPr>
          <a:spLocks noChangeArrowheads="1"/>
        </xdr:cNvSpPr>
      </xdr:nvSpPr>
      <xdr:spPr bwMode="auto">
        <a:xfrm>
          <a:off x="7496175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211</xdr:row>
      <xdr:rowOff>0</xdr:rowOff>
    </xdr:from>
    <xdr:to>
      <xdr:col>23</xdr:col>
      <xdr:colOff>200025</xdr:colOff>
      <xdr:row>211</xdr:row>
      <xdr:rowOff>0</xdr:rowOff>
    </xdr:to>
    <xdr:sp macro="" textlink="">
      <xdr:nvSpPr>
        <xdr:cNvPr id="1188" name="Rectangle 1967"/>
        <xdr:cNvSpPr>
          <a:spLocks noChangeArrowheads="1"/>
        </xdr:cNvSpPr>
      </xdr:nvSpPr>
      <xdr:spPr bwMode="auto">
        <a:xfrm>
          <a:off x="7505700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211</xdr:row>
      <xdr:rowOff>0</xdr:rowOff>
    </xdr:from>
    <xdr:to>
      <xdr:col>23</xdr:col>
      <xdr:colOff>200025</xdr:colOff>
      <xdr:row>211</xdr:row>
      <xdr:rowOff>0</xdr:rowOff>
    </xdr:to>
    <xdr:sp macro="" textlink="">
      <xdr:nvSpPr>
        <xdr:cNvPr id="1189" name="Rectangle 1968"/>
        <xdr:cNvSpPr>
          <a:spLocks noChangeArrowheads="1"/>
        </xdr:cNvSpPr>
      </xdr:nvSpPr>
      <xdr:spPr bwMode="auto">
        <a:xfrm>
          <a:off x="7505700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211</xdr:row>
      <xdr:rowOff>0</xdr:rowOff>
    </xdr:from>
    <xdr:to>
      <xdr:col>37</xdr:col>
      <xdr:colOff>190500</xdr:colOff>
      <xdr:row>211</xdr:row>
      <xdr:rowOff>0</xdr:rowOff>
    </xdr:to>
    <xdr:sp macro="" textlink="">
      <xdr:nvSpPr>
        <xdr:cNvPr id="1190" name="Rectangle 1969"/>
        <xdr:cNvSpPr>
          <a:spLocks noChangeArrowheads="1"/>
        </xdr:cNvSpPr>
      </xdr:nvSpPr>
      <xdr:spPr bwMode="auto">
        <a:xfrm>
          <a:off x="13201650" y="5810250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211</xdr:row>
      <xdr:rowOff>0</xdr:rowOff>
    </xdr:from>
    <xdr:to>
      <xdr:col>37</xdr:col>
      <xdr:colOff>190500</xdr:colOff>
      <xdr:row>211</xdr:row>
      <xdr:rowOff>0</xdr:rowOff>
    </xdr:to>
    <xdr:sp macro="" textlink="">
      <xdr:nvSpPr>
        <xdr:cNvPr id="1191" name="Rectangle 1970"/>
        <xdr:cNvSpPr>
          <a:spLocks noChangeArrowheads="1"/>
        </xdr:cNvSpPr>
      </xdr:nvSpPr>
      <xdr:spPr bwMode="auto">
        <a:xfrm>
          <a:off x="13201650" y="58102500"/>
          <a:ext cx="5238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234</xdr:row>
      <xdr:rowOff>0</xdr:rowOff>
    </xdr:from>
    <xdr:to>
      <xdr:col>11</xdr:col>
      <xdr:colOff>200025</xdr:colOff>
      <xdr:row>235</xdr:row>
      <xdr:rowOff>9525</xdr:rowOff>
    </xdr:to>
    <xdr:sp macro="" textlink="">
      <xdr:nvSpPr>
        <xdr:cNvPr id="1192" name="Rectangle 1971"/>
        <xdr:cNvSpPr>
          <a:spLocks noChangeArrowheads="1"/>
        </xdr:cNvSpPr>
      </xdr:nvSpPr>
      <xdr:spPr bwMode="auto">
        <a:xfrm>
          <a:off x="2209800" y="649700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12</xdr:col>
      <xdr:colOff>190500</xdr:colOff>
      <xdr:row>234</xdr:row>
      <xdr:rowOff>0</xdr:rowOff>
    </xdr:from>
    <xdr:to>
      <xdr:col>13</xdr:col>
      <xdr:colOff>200025</xdr:colOff>
      <xdr:row>235</xdr:row>
      <xdr:rowOff>9525</xdr:rowOff>
    </xdr:to>
    <xdr:sp macro="" textlink="">
      <xdr:nvSpPr>
        <xdr:cNvPr id="1193" name="Rectangle 1972"/>
        <xdr:cNvSpPr>
          <a:spLocks noChangeArrowheads="1"/>
        </xdr:cNvSpPr>
      </xdr:nvSpPr>
      <xdr:spPr bwMode="auto">
        <a:xfrm>
          <a:off x="3057525" y="649700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14</xdr:col>
      <xdr:colOff>190500</xdr:colOff>
      <xdr:row>234</xdr:row>
      <xdr:rowOff>0</xdr:rowOff>
    </xdr:from>
    <xdr:to>
      <xdr:col>15</xdr:col>
      <xdr:colOff>200025</xdr:colOff>
      <xdr:row>235</xdr:row>
      <xdr:rowOff>9525</xdr:rowOff>
    </xdr:to>
    <xdr:sp macro="" textlink="">
      <xdr:nvSpPr>
        <xdr:cNvPr id="1194" name="Rectangle 1973"/>
        <xdr:cNvSpPr>
          <a:spLocks noChangeArrowheads="1"/>
        </xdr:cNvSpPr>
      </xdr:nvSpPr>
      <xdr:spPr bwMode="auto">
        <a:xfrm>
          <a:off x="3933825" y="6497002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234</xdr:row>
      <xdr:rowOff>0</xdr:rowOff>
    </xdr:from>
    <xdr:to>
      <xdr:col>17</xdr:col>
      <xdr:colOff>200025</xdr:colOff>
      <xdr:row>235</xdr:row>
      <xdr:rowOff>9525</xdr:rowOff>
    </xdr:to>
    <xdr:sp macro="" textlink="">
      <xdr:nvSpPr>
        <xdr:cNvPr id="1195" name="Rectangle 1974"/>
        <xdr:cNvSpPr>
          <a:spLocks noChangeArrowheads="1"/>
        </xdr:cNvSpPr>
      </xdr:nvSpPr>
      <xdr:spPr bwMode="auto">
        <a:xfrm>
          <a:off x="4943475" y="649700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234</xdr:row>
      <xdr:rowOff>0</xdr:rowOff>
    </xdr:from>
    <xdr:to>
      <xdr:col>21</xdr:col>
      <xdr:colOff>200025</xdr:colOff>
      <xdr:row>235</xdr:row>
      <xdr:rowOff>9525</xdr:rowOff>
    </xdr:to>
    <xdr:sp macro="" textlink="">
      <xdr:nvSpPr>
        <xdr:cNvPr id="1196" name="Rectangle 1975"/>
        <xdr:cNvSpPr>
          <a:spLocks noChangeArrowheads="1"/>
        </xdr:cNvSpPr>
      </xdr:nvSpPr>
      <xdr:spPr bwMode="auto">
        <a:xfrm>
          <a:off x="6648450" y="649700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234</xdr:row>
      <xdr:rowOff>0</xdr:rowOff>
    </xdr:from>
    <xdr:to>
      <xdr:col>23</xdr:col>
      <xdr:colOff>200025</xdr:colOff>
      <xdr:row>235</xdr:row>
      <xdr:rowOff>9525</xdr:rowOff>
    </xdr:to>
    <xdr:sp macro="" textlink="">
      <xdr:nvSpPr>
        <xdr:cNvPr id="1197" name="Rectangle 1976"/>
        <xdr:cNvSpPr>
          <a:spLocks noChangeArrowheads="1"/>
        </xdr:cNvSpPr>
      </xdr:nvSpPr>
      <xdr:spPr bwMode="auto">
        <a:xfrm>
          <a:off x="7505700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234</xdr:row>
      <xdr:rowOff>0</xdr:rowOff>
    </xdr:from>
    <xdr:to>
      <xdr:col>25</xdr:col>
      <xdr:colOff>200025</xdr:colOff>
      <xdr:row>235</xdr:row>
      <xdr:rowOff>9525</xdr:rowOff>
    </xdr:to>
    <xdr:sp macro="" textlink="">
      <xdr:nvSpPr>
        <xdr:cNvPr id="1198" name="Rectangle 1977"/>
        <xdr:cNvSpPr>
          <a:spLocks noChangeArrowheads="1"/>
        </xdr:cNvSpPr>
      </xdr:nvSpPr>
      <xdr:spPr bwMode="auto">
        <a:xfrm>
          <a:off x="8315325" y="649700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234</xdr:row>
      <xdr:rowOff>0</xdr:rowOff>
    </xdr:from>
    <xdr:to>
      <xdr:col>27</xdr:col>
      <xdr:colOff>200025</xdr:colOff>
      <xdr:row>235</xdr:row>
      <xdr:rowOff>9525</xdr:rowOff>
    </xdr:to>
    <xdr:sp macro="" textlink="">
      <xdr:nvSpPr>
        <xdr:cNvPr id="1199" name="Rectangle 1978"/>
        <xdr:cNvSpPr>
          <a:spLocks noChangeArrowheads="1"/>
        </xdr:cNvSpPr>
      </xdr:nvSpPr>
      <xdr:spPr bwMode="auto">
        <a:xfrm>
          <a:off x="9163050" y="649700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234</xdr:row>
      <xdr:rowOff>0</xdr:rowOff>
    </xdr:from>
    <xdr:to>
      <xdr:col>31</xdr:col>
      <xdr:colOff>200025</xdr:colOff>
      <xdr:row>235</xdr:row>
      <xdr:rowOff>9525</xdr:rowOff>
    </xdr:to>
    <xdr:sp macro="" textlink="">
      <xdr:nvSpPr>
        <xdr:cNvPr id="1200" name="Rectangle 1979"/>
        <xdr:cNvSpPr>
          <a:spLocks noChangeArrowheads="1"/>
        </xdr:cNvSpPr>
      </xdr:nvSpPr>
      <xdr:spPr bwMode="auto">
        <a:xfrm>
          <a:off x="10868025" y="649700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234</xdr:row>
      <xdr:rowOff>0</xdr:rowOff>
    </xdr:from>
    <xdr:to>
      <xdr:col>33</xdr:col>
      <xdr:colOff>200025</xdr:colOff>
      <xdr:row>235</xdr:row>
      <xdr:rowOff>9525</xdr:rowOff>
    </xdr:to>
    <xdr:sp macro="" textlink="">
      <xdr:nvSpPr>
        <xdr:cNvPr id="1201" name="Rectangle 1980"/>
        <xdr:cNvSpPr>
          <a:spLocks noChangeArrowheads="1"/>
        </xdr:cNvSpPr>
      </xdr:nvSpPr>
      <xdr:spPr bwMode="auto">
        <a:xfrm>
          <a:off x="1164907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234</xdr:row>
      <xdr:rowOff>0</xdr:rowOff>
    </xdr:from>
    <xdr:to>
      <xdr:col>37</xdr:col>
      <xdr:colOff>190500</xdr:colOff>
      <xdr:row>235</xdr:row>
      <xdr:rowOff>9525</xdr:rowOff>
    </xdr:to>
    <xdr:sp macro="" textlink="">
      <xdr:nvSpPr>
        <xdr:cNvPr id="1202" name="Rectangle 1981"/>
        <xdr:cNvSpPr>
          <a:spLocks noChangeArrowheads="1"/>
        </xdr:cNvSpPr>
      </xdr:nvSpPr>
      <xdr:spPr bwMode="auto">
        <a:xfrm>
          <a:off x="13201650" y="649700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234</xdr:row>
      <xdr:rowOff>0</xdr:rowOff>
    </xdr:from>
    <xdr:to>
      <xdr:col>29</xdr:col>
      <xdr:colOff>200025</xdr:colOff>
      <xdr:row>235</xdr:row>
      <xdr:rowOff>9525</xdr:rowOff>
    </xdr:to>
    <xdr:sp macro="" textlink="">
      <xdr:nvSpPr>
        <xdr:cNvPr id="1203" name="Rectangle 1982"/>
        <xdr:cNvSpPr>
          <a:spLocks noChangeArrowheads="1"/>
        </xdr:cNvSpPr>
      </xdr:nvSpPr>
      <xdr:spPr bwMode="auto">
        <a:xfrm>
          <a:off x="9991725" y="649700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180975</xdr:colOff>
      <xdr:row>234</xdr:row>
      <xdr:rowOff>0</xdr:rowOff>
    </xdr:from>
    <xdr:to>
      <xdr:col>19</xdr:col>
      <xdr:colOff>190500</xdr:colOff>
      <xdr:row>235</xdr:row>
      <xdr:rowOff>9525</xdr:rowOff>
    </xdr:to>
    <xdr:sp macro="" textlink="">
      <xdr:nvSpPr>
        <xdr:cNvPr id="1204" name="Rectangle 1983"/>
        <xdr:cNvSpPr>
          <a:spLocks noChangeArrowheads="1"/>
        </xdr:cNvSpPr>
      </xdr:nvSpPr>
      <xdr:spPr bwMode="auto">
        <a:xfrm>
          <a:off x="5829300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234</xdr:row>
      <xdr:rowOff>0</xdr:rowOff>
    </xdr:from>
    <xdr:to>
      <xdr:col>11</xdr:col>
      <xdr:colOff>200025</xdr:colOff>
      <xdr:row>235</xdr:row>
      <xdr:rowOff>9525</xdr:rowOff>
    </xdr:to>
    <xdr:sp macro="" textlink="">
      <xdr:nvSpPr>
        <xdr:cNvPr id="1205" name="Rectangle 1984"/>
        <xdr:cNvSpPr>
          <a:spLocks noChangeArrowheads="1"/>
        </xdr:cNvSpPr>
      </xdr:nvSpPr>
      <xdr:spPr bwMode="auto">
        <a:xfrm>
          <a:off x="2209800" y="649700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234</xdr:row>
      <xdr:rowOff>0</xdr:rowOff>
    </xdr:from>
    <xdr:to>
      <xdr:col>13</xdr:col>
      <xdr:colOff>200025</xdr:colOff>
      <xdr:row>235</xdr:row>
      <xdr:rowOff>9525</xdr:rowOff>
    </xdr:to>
    <xdr:sp macro="" textlink="">
      <xdr:nvSpPr>
        <xdr:cNvPr id="1206" name="Rectangle 1985"/>
        <xdr:cNvSpPr>
          <a:spLocks noChangeArrowheads="1"/>
        </xdr:cNvSpPr>
      </xdr:nvSpPr>
      <xdr:spPr bwMode="auto">
        <a:xfrm>
          <a:off x="3057525" y="649700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234</xdr:row>
      <xdr:rowOff>0</xdr:rowOff>
    </xdr:from>
    <xdr:to>
      <xdr:col>15</xdr:col>
      <xdr:colOff>200025</xdr:colOff>
      <xdr:row>235</xdr:row>
      <xdr:rowOff>9525</xdr:rowOff>
    </xdr:to>
    <xdr:sp macro="" textlink="">
      <xdr:nvSpPr>
        <xdr:cNvPr id="1207" name="Rectangle 1986"/>
        <xdr:cNvSpPr>
          <a:spLocks noChangeArrowheads="1"/>
        </xdr:cNvSpPr>
      </xdr:nvSpPr>
      <xdr:spPr bwMode="auto">
        <a:xfrm>
          <a:off x="3933825" y="6497002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234</xdr:row>
      <xdr:rowOff>0</xdr:rowOff>
    </xdr:from>
    <xdr:to>
      <xdr:col>17</xdr:col>
      <xdr:colOff>200025</xdr:colOff>
      <xdr:row>235</xdr:row>
      <xdr:rowOff>9525</xdr:rowOff>
    </xdr:to>
    <xdr:sp macro="" textlink="">
      <xdr:nvSpPr>
        <xdr:cNvPr id="1208" name="Rectangle 1987"/>
        <xdr:cNvSpPr>
          <a:spLocks noChangeArrowheads="1"/>
        </xdr:cNvSpPr>
      </xdr:nvSpPr>
      <xdr:spPr bwMode="auto">
        <a:xfrm>
          <a:off x="4943475" y="649700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234</xdr:row>
      <xdr:rowOff>0</xdr:rowOff>
    </xdr:from>
    <xdr:to>
      <xdr:col>19</xdr:col>
      <xdr:colOff>200025</xdr:colOff>
      <xdr:row>235</xdr:row>
      <xdr:rowOff>9525</xdr:rowOff>
    </xdr:to>
    <xdr:sp macro="" textlink="">
      <xdr:nvSpPr>
        <xdr:cNvPr id="1209" name="Rectangle 1988"/>
        <xdr:cNvSpPr>
          <a:spLocks noChangeArrowheads="1"/>
        </xdr:cNvSpPr>
      </xdr:nvSpPr>
      <xdr:spPr bwMode="auto">
        <a:xfrm>
          <a:off x="583882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234</xdr:row>
      <xdr:rowOff>0</xdr:rowOff>
    </xdr:from>
    <xdr:to>
      <xdr:col>21</xdr:col>
      <xdr:colOff>200025</xdr:colOff>
      <xdr:row>235</xdr:row>
      <xdr:rowOff>9525</xdr:rowOff>
    </xdr:to>
    <xdr:sp macro="" textlink="">
      <xdr:nvSpPr>
        <xdr:cNvPr id="1210" name="Rectangle 1989"/>
        <xdr:cNvSpPr>
          <a:spLocks noChangeArrowheads="1"/>
        </xdr:cNvSpPr>
      </xdr:nvSpPr>
      <xdr:spPr bwMode="auto">
        <a:xfrm>
          <a:off x="6648450" y="649700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234</xdr:row>
      <xdr:rowOff>0</xdr:rowOff>
    </xdr:from>
    <xdr:to>
      <xdr:col>23</xdr:col>
      <xdr:colOff>200025</xdr:colOff>
      <xdr:row>235</xdr:row>
      <xdr:rowOff>9525</xdr:rowOff>
    </xdr:to>
    <xdr:sp macro="" textlink="">
      <xdr:nvSpPr>
        <xdr:cNvPr id="1211" name="Rectangle 1990"/>
        <xdr:cNvSpPr>
          <a:spLocks noChangeArrowheads="1"/>
        </xdr:cNvSpPr>
      </xdr:nvSpPr>
      <xdr:spPr bwMode="auto">
        <a:xfrm>
          <a:off x="7505700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234</xdr:row>
      <xdr:rowOff>0</xdr:rowOff>
    </xdr:from>
    <xdr:to>
      <xdr:col>25</xdr:col>
      <xdr:colOff>200025</xdr:colOff>
      <xdr:row>235</xdr:row>
      <xdr:rowOff>9525</xdr:rowOff>
    </xdr:to>
    <xdr:sp macro="" textlink="">
      <xdr:nvSpPr>
        <xdr:cNvPr id="1212" name="Rectangle 1991"/>
        <xdr:cNvSpPr>
          <a:spLocks noChangeArrowheads="1"/>
        </xdr:cNvSpPr>
      </xdr:nvSpPr>
      <xdr:spPr bwMode="auto">
        <a:xfrm>
          <a:off x="8315325" y="649700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234</xdr:row>
      <xdr:rowOff>0</xdr:rowOff>
    </xdr:from>
    <xdr:to>
      <xdr:col>27</xdr:col>
      <xdr:colOff>200025</xdr:colOff>
      <xdr:row>235</xdr:row>
      <xdr:rowOff>9525</xdr:rowOff>
    </xdr:to>
    <xdr:sp macro="" textlink="">
      <xdr:nvSpPr>
        <xdr:cNvPr id="1213" name="Rectangle 1992"/>
        <xdr:cNvSpPr>
          <a:spLocks noChangeArrowheads="1"/>
        </xdr:cNvSpPr>
      </xdr:nvSpPr>
      <xdr:spPr bwMode="auto">
        <a:xfrm>
          <a:off x="9163050" y="649700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234</xdr:row>
      <xdr:rowOff>0</xdr:rowOff>
    </xdr:from>
    <xdr:to>
      <xdr:col>31</xdr:col>
      <xdr:colOff>200025</xdr:colOff>
      <xdr:row>235</xdr:row>
      <xdr:rowOff>9525</xdr:rowOff>
    </xdr:to>
    <xdr:sp macro="" textlink="">
      <xdr:nvSpPr>
        <xdr:cNvPr id="1214" name="Rectangle 1993"/>
        <xdr:cNvSpPr>
          <a:spLocks noChangeArrowheads="1"/>
        </xdr:cNvSpPr>
      </xdr:nvSpPr>
      <xdr:spPr bwMode="auto">
        <a:xfrm>
          <a:off x="10868025" y="649700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234</xdr:row>
      <xdr:rowOff>0</xdr:rowOff>
    </xdr:from>
    <xdr:to>
      <xdr:col>33</xdr:col>
      <xdr:colOff>200025</xdr:colOff>
      <xdr:row>235</xdr:row>
      <xdr:rowOff>9525</xdr:rowOff>
    </xdr:to>
    <xdr:sp macro="" textlink="">
      <xdr:nvSpPr>
        <xdr:cNvPr id="1215" name="Rectangle 1994"/>
        <xdr:cNvSpPr>
          <a:spLocks noChangeArrowheads="1"/>
        </xdr:cNvSpPr>
      </xdr:nvSpPr>
      <xdr:spPr bwMode="auto">
        <a:xfrm>
          <a:off x="1164907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234</xdr:row>
      <xdr:rowOff>0</xdr:rowOff>
    </xdr:from>
    <xdr:to>
      <xdr:col>29</xdr:col>
      <xdr:colOff>200025</xdr:colOff>
      <xdr:row>235</xdr:row>
      <xdr:rowOff>9525</xdr:rowOff>
    </xdr:to>
    <xdr:sp macro="" textlink="">
      <xdr:nvSpPr>
        <xdr:cNvPr id="1216" name="Rectangle 1995"/>
        <xdr:cNvSpPr>
          <a:spLocks noChangeArrowheads="1"/>
        </xdr:cNvSpPr>
      </xdr:nvSpPr>
      <xdr:spPr bwMode="auto">
        <a:xfrm>
          <a:off x="9991725" y="649700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234</xdr:row>
      <xdr:rowOff>0</xdr:rowOff>
    </xdr:from>
    <xdr:to>
      <xdr:col>37</xdr:col>
      <xdr:colOff>190500</xdr:colOff>
      <xdr:row>235</xdr:row>
      <xdr:rowOff>9525</xdr:rowOff>
    </xdr:to>
    <xdr:sp macro="" textlink="">
      <xdr:nvSpPr>
        <xdr:cNvPr id="1217" name="Rectangle 1996"/>
        <xdr:cNvSpPr>
          <a:spLocks noChangeArrowheads="1"/>
        </xdr:cNvSpPr>
      </xdr:nvSpPr>
      <xdr:spPr bwMode="auto">
        <a:xfrm>
          <a:off x="13201650" y="649700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200025</xdr:colOff>
      <xdr:row>233</xdr:row>
      <xdr:rowOff>635168</xdr:rowOff>
    </xdr:from>
    <xdr:to>
      <xdr:col>11</xdr:col>
      <xdr:colOff>209550</xdr:colOff>
      <xdr:row>235</xdr:row>
      <xdr:rowOff>28575</xdr:rowOff>
    </xdr:to>
    <xdr:sp macro="" textlink="">
      <xdr:nvSpPr>
        <xdr:cNvPr id="1218" name="Rectangle 1997"/>
        <xdr:cNvSpPr>
          <a:spLocks noChangeArrowheads="1"/>
        </xdr:cNvSpPr>
      </xdr:nvSpPr>
      <xdr:spPr bwMode="auto">
        <a:xfrm>
          <a:off x="2219325" y="64890818"/>
          <a:ext cx="476250" cy="384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B</a:t>
          </a:r>
        </a:p>
      </xdr:txBody>
    </xdr:sp>
    <xdr:clientData/>
  </xdr:twoCellAnchor>
  <xdr:twoCellAnchor>
    <xdr:from>
      <xdr:col>12</xdr:col>
      <xdr:colOff>190500</xdr:colOff>
      <xdr:row>233</xdr:row>
      <xdr:rowOff>589924</xdr:rowOff>
    </xdr:from>
    <xdr:to>
      <xdr:col>13</xdr:col>
      <xdr:colOff>200025</xdr:colOff>
      <xdr:row>235</xdr:row>
      <xdr:rowOff>9526</xdr:rowOff>
    </xdr:to>
    <xdr:sp macro="" textlink="">
      <xdr:nvSpPr>
        <xdr:cNvPr id="1219" name="Rectangle 1998"/>
        <xdr:cNvSpPr>
          <a:spLocks noChangeArrowheads="1"/>
        </xdr:cNvSpPr>
      </xdr:nvSpPr>
      <xdr:spPr bwMode="auto">
        <a:xfrm>
          <a:off x="3057525" y="64845574"/>
          <a:ext cx="523875" cy="41020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14</xdr:col>
      <xdr:colOff>200025</xdr:colOff>
      <xdr:row>233</xdr:row>
      <xdr:rowOff>587544</xdr:rowOff>
    </xdr:from>
    <xdr:to>
      <xdr:col>15</xdr:col>
      <xdr:colOff>209550</xdr:colOff>
      <xdr:row>235</xdr:row>
      <xdr:rowOff>47626</xdr:rowOff>
    </xdr:to>
    <xdr:sp macro="" textlink="">
      <xdr:nvSpPr>
        <xdr:cNvPr id="1220" name="Rectangle 1999"/>
        <xdr:cNvSpPr>
          <a:spLocks noChangeArrowheads="1"/>
        </xdr:cNvSpPr>
      </xdr:nvSpPr>
      <xdr:spPr bwMode="auto">
        <a:xfrm>
          <a:off x="3943350" y="64843194"/>
          <a:ext cx="581025" cy="4506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16</xdr:col>
      <xdr:colOff>190500</xdr:colOff>
      <xdr:row>234</xdr:row>
      <xdr:rowOff>0</xdr:rowOff>
    </xdr:from>
    <xdr:to>
      <xdr:col>17</xdr:col>
      <xdr:colOff>200025</xdr:colOff>
      <xdr:row>235</xdr:row>
      <xdr:rowOff>9525</xdr:rowOff>
    </xdr:to>
    <xdr:sp macro="" textlink="">
      <xdr:nvSpPr>
        <xdr:cNvPr id="1221" name="Rectangle 2000"/>
        <xdr:cNvSpPr>
          <a:spLocks noChangeArrowheads="1"/>
        </xdr:cNvSpPr>
      </xdr:nvSpPr>
      <xdr:spPr bwMode="auto">
        <a:xfrm>
          <a:off x="4943475" y="649700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180975</xdr:colOff>
      <xdr:row>233</xdr:row>
      <xdr:rowOff>606593</xdr:rowOff>
    </xdr:from>
    <xdr:to>
      <xdr:col>19</xdr:col>
      <xdr:colOff>190500</xdr:colOff>
      <xdr:row>235</xdr:row>
      <xdr:rowOff>9525</xdr:rowOff>
    </xdr:to>
    <xdr:sp macro="" textlink="">
      <xdr:nvSpPr>
        <xdr:cNvPr id="1222" name="Rectangle 2001"/>
        <xdr:cNvSpPr>
          <a:spLocks noChangeArrowheads="1"/>
        </xdr:cNvSpPr>
      </xdr:nvSpPr>
      <xdr:spPr bwMode="auto">
        <a:xfrm>
          <a:off x="5829300" y="64862243"/>
          <a:ext cx="438150" cy="39353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233</xdr:row>
      <xdr:rowOff>606593</xdr:rowOff>
    </xdr:from>
    <xdr:to>
      <xdr:col>17</xdr:col>
      <xdr:colOff>200025</xdr:colOff>
      <xdr:row>235</xdr:row>
      <xdr:rowOff>38100</xdr:rowOff>
    </xdr:to>
    <xdr:sp macro="" textlink="">
      <xdr:nvSpPr>
        <xdr:cNvPr id="1223" name="Rectangle 2002"/>
        <xdr:cNvSpPr>
          <a:spLocks noChangeArrowheads="1"/>
        </xdr:cNvSpPr>
      </xdr:nvSpPr>
      <xdr:spPr bwMode="auto">
        <a:xfrm>
          <a:off x="4943475" y="64862243"/>
          <a:ext cx="523875" cy="4221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180975</xdr:colOff>
      <xdr:row>234</xdr:row>
      <xdr:rowOff>0</xdr:rowOff>
    </xdr:from>
    <xdr:to>
      <xdr:col>21</xdr:col>
      <xdr:colOff>190500</xdr:colOff>
      <xdr:row>235</xdr:row>
      <xdr:rowOff>9525</xdr:rowOff>
    </xdr:to>
    <xdr:sp macro="" textlink="">
      <xdr:nvSpPr>
        <xdr:cNvPr id="1224" name="Rectangle 2003"/>
        <xdr:cNvSpPr>
          <a:spLocks noChangeArrowheads="1"/>
        </xdr:cNvSpPr>
      </xdr:nvSpPr>
      <xdr:spPr bwMode="auto">
        <a:xfrm>
          <a:off x="6638925" y="649700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234</xdr:row>
      <xdr:rowOff>0</xdr:rowOff>
    </xdr:from>
    <xdr:to>
      <xdr:col>21</xdr:col>
      <xdr:colOff>200025</xdr:colOff>
      <xdr:row>235</xdr:row>
      <xdr:rowOff>9525</xdr:rowOff>
    </xdr:to>
    <xdr:sp macro="" textlink="">
      <xdr:nvSpPr>
        <xdr:cNvPr id="1225" name="Rectangle 2004"/>
        <xdr:cNvSpPr>
          <a:spLocks noChangeArrowheads="1"/>
        </xdr:cNvSpPr>
      </xdr:nvSpPr>
      <xdr:spPr bwMode="auto">
        <a:xfrm>
          <a:off x="6648450" y="649700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234</xdr:row>
      <xdr:rowOff>11284</xdr:rowOff>
    </xdr:from>
    <xdr:to>
      <xdr:col>21</xdr:col>
      <xdr:colOff>200025</xdr:colOff>
      <xdr:row>235</xdr:row>
      <xdr:rowOff>24152</xdr:rowOff>
    </xdr:to>
    <xdr:sp macro="" textlink="">
      <xdr:nvSpPr>
        <xdr:cNvPr id="1226" name="Rectangle 2005"/>
        <xdr:cNvSpPr>
          <a:spLocks noChangeArrowheads="1"/>
        </xdr:cNvSpPr>
      </xdr:nvSpPr>
      <xdr:spPr bwMode="auto">
        <a:xfrm>
          <a:off x="6648450" y="64981309"/>
          <a:ext cx="485775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22</xdr:col>
      <xdr:colOff>190500</xdr:colOff>
      <xdr:row>234</xdr:row>
      <xdr:rowOff>0</xdr:rowOff>
    </xdr:from>
    <xdr:to>
      <xdr:col>23</xdr:col>
      <xdr:colOff>200025</xdr:colOff>
      <xdr:row>235</xdr:row>
      <xdr:rowOff>9525</xdr:rowOff>
    </xdr:to>
    <xdr:sp macro="" textlink="">
      <xdr:nvSpPr>
        <xdr:cNvPr id="1227" name="Rectangle 2006"/>
        <xdr:cNvSpPr>
          <a:spLocks noChangeArrowheads="1"/>
        </xdr:cNvSpPr>
      </xdr:nvSpPr>
      <xdr:spPr bwMode="auto">
        <a:xfrm>
          <a:off x="7505700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234</xdr:row>
      <xdr:rowOff>0</xdr:rowOff>
    </xdr:from>
    <xdr:to>
      <xdr:col>23</xdr:col>
      <xdr:colOff>200025</xdr:colOff>
      <xdr:row>235</xdr:row>
      <xdr:rowOff>9525</xdr:rowOff>
    </xdr:to>
    <xdr:sp macro="" textlink="">
      <xdr:nvSpPr>
        <xdr:cNvPr id="1228" name="Rectangle 2007"/>
        <xdr:cNvSpPr>
          <a:spLocks noChangeArrowheads="1"/>
        </xdr:cNvSpPr>
      </xdr:nvSpPr>
      <xdr:spPr bwMode="auto">
        <a:xfrm>
          <a:off x="7505700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180975</xdr:colOff>
      <xdr:row>234</xdr:row>
      <xdr:rowOff>0</xdr:rowOff>
    </xdr:from>
    <xdr:to>
      <xdr:col>23</xdr:col>
      <xdr:colOff>190500</xdr:colOff>
      <xdr:row>235</xdr:row>
      <xdr:rowOff>9525</xdr:rowOff>
    </xdr:to>
    <xdr:sp macro="" textlink="">
      <xdr:nvSpPr>
        <xdr:cNvPr id="1229" name="Rectangle 2008"/>
        <xdr:cNvSpPr>
          <a:spLocks noChangeArrowheads="1"/>
        </xdr:cNvSpPr>
      </xdr:nvSpPr>
      <xdr:spPr bwMode="auto">
        <a:xfrm>
          <a:off x="749617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234</xdr:row>
      <xdr:rowOff>0</xdr:rowOff>
    </xdr:from>
    <xdr:to>
      <xdr:col>23</xdr:col>
      <xdr:colOff>200025</xdr:colOff>
      <xdr:row>235</xdr:row>
      <xdr:rowOff>9525</xdr:rowOff>
    </xdr:to>
    <xdr:sp macro="" textlink="">
      <xdr:nvSpPr>
        <xdr:cNvPr id="1230" name="Rectangle 2009"/>
        <xdr:cNvSpPr>
          <a:spLocks noChangeArrowheads="1"/>
        </xdr:cNvSpPr>
      </xdr:nvSpPr>
      <xdr:spPr bwMode="auto">
        <a:xfrm>
          <a:off x="7505700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234</xdr:row>
      <xdr:rowOff>8110</xdr:rowOff>
    </xdr:from>
    <xdr:to>
      <xdr:col>23</xdr:col>
      <xdr:colOff>200025</xdr:colOff>
      <xdr:row>235</xdr:row>
      <xdr:rowOff>20978</xdr:rowOff>
    </xdr:to>
    <xdr:sp macro="" textlink="">
      <xdr:nvSpPr>
        <xdr:cNvPr id="1231" name="Rectangle 2010"/>
        <xdr:cNvSpPr>
          <a:spLocks noChangeArrowheads="1"/>
        </xdr:cNvSpPr>
      </xdr:nvSpPr>
      <xdr:spPr bwMode="auto">
        <a:xfrm>
          <a:off x="7505700" y="64978135"/>
          <a:ext cx="438150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36</xdr:col>
      <xdr:colOff>190500</xdr:colOff>
      <xdr:row>234</xdr:row>
      <xdr:rowOff>0</xdr:rowOff>
    </xdr:from>
    <xdr:to>
      <xdr:col>37</xdr:col>
      <xdr:colOff>190500</xdr:colOff>
      <xdr:row>235</xdr:row>
      <xdr:rowOff>9525</xdr:rowOff>
    </xdr:to>
    <xdr:sp macro="" textlink="">
      <xdr:nvSpPr>
        <xdr:cNvPr id="1232" name="Rectangle 2011"/>
        <xdr:cNvSpPr>
          <a:spLocks noChangeArrowheads="1"/>
        </xdr:cNvSpPr>
      </xdr:nvSpPr>
      <xdr:spPr bwMode="auto">
        <a:xfrm>
          <a:off x="13201650" y="649700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234</xdr:row>
      <xdr:rowOff>1763</xdr:rowOff>
    </xdr:from>
    <xdr:to>
      <xdr:col>37</xdr:col>
      <xdr:colOff>190500</xdr:colOff>
      <xdr:row>235</xdr:row>
      <xdr:rowOff>14631</xdr:rowOff>
    </xdr:to>
    <xdr:sp macro="" textlink="">
      <xdr:nvSpPr>
        <xdr:cNvPr id="1233" name="Rectangle 2012"/>
        <xdr:cNvSpPr>
          <a:spLocks noChangeArrowheads="1"/>
        </xdr:cNvSpPr>
      </xdr:nvSpPr>
      <xdr:spPr bwMode="auto">
        <a:xfrm>
          <a:off x="13201650" y="64971788"/>
          <a:ext cx="523875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21</xdr:row>
      <xdr:rowOff>0</xdr:rowOff>
    </xdr:from>
    <xdr:to>
      <xdr:col>25</xdr:col>
      <xdr:colOff>200025</xdr:colOff>
      <xdr:row>22</xdr:row>
      <xdr:rowOff>9525</xdr:rowOff>
    </xdr:to>
    <xdr:sp macro="" textlink="">
      <xdr:nvSpPr>
        <xdr:cNvPr id="1234" name="Rectangle 3291"/>
        <xdr:cNvSpPr>
          <a:spLocks noChangeArrowheads="1"/>
        </xdr:cNvSpPr>
      </xdr:nvSpPr>
      <xdr:spPr bwMode="auto">
        <a:xfrm>
          <a:off x="8315325" y="60293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21</xdr:row>
      <xdr:rowOff>0</xdr:rowOff>
    </xdr:from>
    <xdr:to>
      <xdr:col>25</xdr:col>
      <xdr:colOff>200025</xdr:colOff>
      <xdr:row>22</xdr:row>
      <xdr:rowOff>9525</xdr:rowOff>
    </xdr:to>
    <xdr:sp macro="" textlink="">
      <xdr:nvSpPr>
        <xdr:cNvPr id="1235" name="Rectangle 3292"/>
        <xdr:cNvSpPr>
          <a:spLocks noChangeArrowheads="1"/>
        </xdr:cNvSpPr>
      </xdr:nvSpPr>
      <xdr:spPr bwMode="auto">
        <a:xfrm>
          <a:off x="8315325" y="60293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21</xdr:row>
      <xdr:rowOff>0</xdr:rowOff>
    </xdr:from>
    <xdr:to>
      <xdr:col>25</xdr:col>
      <xdr:colOff>200025</xdr:colOff>
      <xdr:row>22</xdr:row>
      <xdr:rowOff>9525</xdr:rowOff>
    </xdr:to>
    <xdr:sp macro="" textlink="">
      <xdr:nvSpPr>
        <xdr:cNvPr id="1236" name="Rectangle 3293"/>
        <xdr:cNvSpPr>
          <a:spLocks noChangeArrowheads="1"/>
        </xdr:cNvSpPr>
      </xdr:nvSpPr>
      <xdr:spPr bwMode="auto">
        <a:xfrm>
          <a:off x="8315325" y="60293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21</xdr:row>
      <xdr:rowOff>0</xdr:rowOff>
    </xdr:from>
    <xdr:to>
      <xdr:col>25</xdr:col>
      <xdr:colOff>200025</xdr:colOff>
      <xdr:row>22</xdr:row>
      <xdr:rowOff>9525</xdr:rowOff>
    </xdr:to>
    <xdr:sp macro="" textlink="">
      <xdr:nvSpPr>
        <xdr:cNvPr id="1237" name="Rectangle 3294"/>
        <xdr:cNvSpPr>
          <a:spLocks noChangeArrowheads="1"/>
        </xdr:cNvSpPr>
      </xdr:nvSpPr>
      <xdr:spPr bwMode="auto">
        <a:xfrm>
          <a:off x="8315325" y="60293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180975</xdr:colOff>
      <xdr:row>21</xdr:row>
      <xdr:rowOff>0</xdr:rowOff>
    </xdr:from>
    <xdr:to>
      <xdr:col>25</xdr:col>
      <xdr:colOff>190500</xdr:colOff>
      <xdr:row>22</xdr:row>
      <xdr:rowOff>9525</xdr:rowOff>
    </xdr:to>
    <xdr:sp macro="" textlink="">
      <xdr:nvSpPr>
        <xdr:cNvPr id="1238" name="Rectangle 3295"/>
        <xdr:cNvSpPr>
          <a:spLocks noChangeArrowheads="1"/>
        </xdr:cNvSpPr>
      </xdr:nvSpPr>
      <xdr:spPr bwMode="auto">
        <a:xfrm>
          <a:off x="8305800" y="60293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21</xdr:row>
      <xdr:rowOff>0</xdr:rowOff>
    </xdr:from>
    <xdr:to>
      <xdr:col>25</xdr:col>
      <xdr:colOff>200025</xdr:colOff>
      <xdr:row>22</xdr:row>
      <xdr:rowOff>9525</xdr:rowOff>
    </xdr:to>
    <xdr:sp macro="" textlink="">
      <xdr:nvSpPr>
        <xdr:cNvPr id="1239" name="Rectangle 3296"/>
        <xdr:cNvSpPr>
          <a:spLocks noChangeArrowheads="1"/>
        </xdr:cNvSpPr>
      </xdr:nvSpPr>
      <xdr:spPr bwMode="auto">
        <a:xfrm>
          <a:off x="8315325" y="60293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21</xdr:row>
      <xdr:rowOff>0</xdr:rowOff>
    </xdr:from>
    <xdr:to>
      <xdr:col>25</xdr:col>
      <xdr:colOff>200025</xdr:colOff>
      <xdr:row>22</xdr:row>
      <xdr:rowOff>9525</xdr:rowOff>
    </xdr:to>
    <xdr:sp macro="" textlink="">
      <xdr:nvSpPr>
        <xdr:cNvPr id="1240" name="Rectangle 3297"/>
        <xdr:cNvSpPr>
          <a:spLocks noChangeArrowheads="1"/>
        </xdr:cNvSpPr>
      </xdr:nvSpPr>
      <xdr:spPr bwMode="auto">
        <a:xfrm>
          <a:off x="8315325" y="60293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US">
              <a:latin typeface="Arial" pitchFamily="34" charset="0"/>
              <a:cs typeface="Arial" pitchFamily="34" charset="0"/>
            </a:rPr>
            <a:t>  </a:t>
          </a:r>
          <a:r>
            <a:rPr lang="en-US" sz="1100">
              <a:latin typeface="Arial" pitchFamily="34" charset="0"/>
              <a:cs typeface="Arial" pitchFamily="34" charset="0"/>
            </a:rPr>
            <a:t>K</a:t>
          </a:r>
        </a:p>
      </xdr:txBody>
    </xdr:sp>
    <xdr:clientData/>
  </xdr:twoCellAnchor>
  <xdr:twoCellAnchor>
    <xdr:from>
      <xdr:col>24</xdr:col>
      <xdr:colOff>190500</xdr:colOff>
      <xdr:row>57</xdr:row>
      <xdr:rowOff>0</xdr:rowOff>
    </xdr:from>
    <xdr:to>
      <xdr:col>25</xdr:col>
      <xdr:colOff>200025</xdr:colOff>
      <xdr:row>58</xdr:row>
      <xdr:rowOff>9525</xdr:rowOff>
    </xdr:to>
    <xdr:sp macro="" textlink="">
      <xdr:nvSpPr>
        <xdr:cNvPr id="1241" name="Rectangle 3298"/>
        <xdr:cNvSpPr>
          <a:spLocks noChangeArrowheads="1"/>
        </xdr:cNvSpPr>
      </xdr:nvSpPr>
      <xdr:spPr bwMode="auto">
        <a:xfrm>
          <a:off x="8315325" y="160020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57</xdr:row>
      <xdr:rowOff>0</xdr:rowOff>
    </xdr:from>
    <xdr:to>
      <xdr:col>25</xdr:col>
      <xdr:colOff>200025</xdr:colOff>
      <xdr:row>58</xdr:row>
      <xdr:rowOff>9525</xdr:rowOff>
    </xdr:to>
    <xdr:sp macro="" textlink="">
      <xdr:nvSpPr>
        <xdr:cNvPr id="1242" name="Rectangle 3299"/>
        <xdr:cNvSpPr>
          <a:spLocks noChangeArrowheads="1"/>
        </xdr:cNvSpPr>
      </xdr:nvSpPr>
      <xdr:spPr bwMode="auto">
        <a:xfrm>
          <a:off x="8315325" y="160020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57</xdr:row>
      <xdr:rowOff>0</xdr:rowOff>
    </xdr:from>
    <xdr:to>
      <xdr:col>25</xdr:col>
      <xdr:colOff>200025</xdr:colOff>
      <xdr:row>58</xdr:row>
      <xdr:rowOff>9525</xdr:rowOff>
    </xdr:to>
    <xdr:sp macro="" textlink="">
      <xdr:nvSpPr>
        <xdr:cNvPr id="1243" name="Rectangle 3300"/>
        <xdr:cNvSpPr>
          <a:spLocks noChangeArrowheads="1"/>
        </xdr:cNvSpPr>
      </xdr:nvSpPr>
      <xdr:spPr bwMode="auto">
        <a:xfrm>
          <a:off x="8315325" y="160020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57</xdr:row>
      <xdr:rowOff>0</xdr:rowOff>
    </xdr:from>
    <xdr:to>
      <xdr:col>25</xdr:col>
      <xdr:colOff>200025</xdr:colOff>
      <xdr:row>58</xdr:row>
      <xdr:rowOff>9525</xdr:rowOff>
    </xdr:to>
    <xdr:sp macro="" textlink="">
      <xdr:nvSpPr>
        <xdr:cNvPr id="1244" name="Rectangle 3301"/>
        <xdr:cNvSpPr>
          <a:spLocks noChangeArrowheads="1"/>
        </xdr:cNvSpPr>
      </xdr:nvSpPr>
      <xdr:spPr bwMode="auto">
        <a:xfrm>
          <a:off x="8315325" y="160020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57</xdr:row>
      <xdr:rowOff>0</xdr:rowOff>
    </xdr:from>
    <xdr:to>
      <xdr:col>25</xdr:col>
      <xdr:colOff>200025</xdr:colOff>
      <xdr:row>58</xdr:row>
      <xdr:rowOff>9525</xdr:rowOff>
    </xdr:to>
    <xdr:sp macro="" textlink="">
      <xdr:nvSpPr>
        <xdr:cNvPr id="1245" name="Rectangle 3302"/>
        <xdr:cNvSpPr>
          <a:spLocks noChangeArrowheads="1"/>
        </xdr:cNvSpPr>
      </xdr:nvSpPr>
      <xdr:spPr bwMode="auto">
        <a:xfrm>
          <a:off x="8315325" y="160020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57</xdr:row>
      <xdr:rowOff>0</xdr:rowOff>
    </xdr:from>
    <xdr:to>
      <xdr:col>25</xdr:col>
      <xdr:colOff>200025</xdr:colOff>
      <xdr:row>58</xdr:row>
      <xdr:rowOff>9525</xdr:rowOff>
    </xdr:to>
    <xdr:sp macro="" textlink="">
      <xdr:nvSpPr>
        <xdr:cNvPr id="1246" name="Rectangle 3303"/>
        <xdr:cNvSpPr>
          <a:spLocks noChangeArrowheads="1"/>
        </xdr:cNvSpPr>
      </xdr:nvSpPr>
      <xdr:spPr bwMode="auto">
        <a:xfrm>
          <a:off x="8315325" y="160020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180975</xdr:colOff>
      <xdr:row>57</xdr:row>
      <xdr:rowOff>0</xdr:rowOff>
    </xdr:from>
    <xdr:to>
      <xdr:col>25</xdr:col>
      <xdr:colOff>190500</xdr:colOff>
      <xdr:row>58</xdr:row>
      <xdr:rowOff>9525</xdr:rowOff>
    </xdr:to>
    <xdr:sp macro="" textlink="">
      <xdr:nvSpPr>
        <xdr:cNvPr id="1247" name="Rectangle 3304"/>
        <xdr:cNvSpPr>
          <a:spLocks noChangeArrowheads="1"/>
        </xdr:cNvSpPr>
      </xdr:nvSpPr>
      <xdr:spPr bwMode="auto">
        <a:xfrm>
          <a:off x="8305800" y="160020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57</xdr:row>
      <xdr:rowOff>0</xdr:rowOff>
    </xdr:from>
    <xdr:to>
      <xdr:col>25</xdr:col>
      <xdr:colOff>200025</xdr:colOff>
      <xdr:row>58</xdr:row>
      <xdr:rowOff>9525</xdr:rowOff>
    </xdr:to>
    <xdr:sp macro="" textlink="">
      <xdr:nvSpPr>
        <xdr:cNvPr id="1248" name="Rectangle 3305"/>
        <xdr:cNvSpPr>
          <a:spLocks noChangeArrowheads="1"/>
        </xdr:cNvSpPr>
      </xdr:nvSpPr>
      <xdr:spPr bwMode="auto">
        <a:xfrm>
          <a:off x="8315325" y="160020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56</xdr:row>
      <xdr:rowOff>332476</xdr:rowOff>
    </xdr:from>
    <xdr:to>
      <xdr:col>25</xdr:col>
      <xdr:colOff>200025</xdr:colOff>
      <xdr:row>58</xdr:row>
      <xdr:rowOff>539</xdr:rowOff>
    </xdr:to>
    <xdr:sp macro="" textlink="">
      <xdr:nvSpPr>
        <xdr:cNvPr id="1249" name="Rectangle 3306"/>
        <xdr:cNvSpPr>
          <a:spLocks noChangeArrowheads="1"/>
        </xdr:cNvSpPr>
      </xdr:nvSpPr>
      <xdr:spPr bwMode="auto">
        <a:xfrm>
          <a:off x="8315325" y="15991576"/>
          <a:ext cx="476250" cy="28718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24</xdr:col>
      <xdr:colOff>190500</xdr:colOff>
      <xdr:row>92</xdr:row>
      <xdr:rowOff>0</xdr:rowOff>
    </xdr:from>
    <xdr:to>
      <xdr:col>25</xdr:col>
      <xdr:colOff>200025</xdr:colOff>
      <xdr:row>93</xdr:row>
      <xdr:rowOff>9525</xdr:rowOff>
    </xdr:to>
    <xdr:sp macro="" textlink="">
      <xdr:nvSpPr>
        <xdr:cNvPr id="1250" name="Rectangle 3307"/>
        <xdr:cNvSpPr>
          <a:spLocks noChangeArrowheads="1"/>
        </xdr:cNvSpPr>
      </xdr:nvSpPr>
      <xdr:spPr bwMode="auto">
        <a:xfrm>
          <a:off x="8315325" y="254984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92</xdr:row>
      <xdr:rowOff>0</xdr:rowOff>
    </xdr:from>
    <xdr:to>
      <xdr:col>25</xdr:col>
      <xdr:colOff>200025</xdr:colOff>
      <xdr:row>93</xdr:row>
      <xdr:rowOff>9525</xdr:rowOff>
    </xdr:to>
    <xdr:sp macro="" textlink="">
      <xdr:nvSpPr>
        <xdr:cNvPr id="1251" name="Rectangle 3308"/>
        <xdr:cNvSpPr>
          <a:spLocks noChangeArrowheads="1"/>
        </xdr:cNvSpPr>
      </xdr:nvSpPr>
      <xdr:spPr bwMode="auto">
        <a:xfrm>
          <a:off x="8315325" y="254984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92</xdr:row>
      <xdr:rowOff>0</xdr:rowOff>
    </xdr:from>
    <xdr:to>
      <xdr:col>25</xdr:col>
      <xdr:colOff>200025</xdr:colOff>
      <xdr:row>93</xdr:row>
      <xdr:rowOff>9525</xdr:rowOff>
    </xdr:to>
    <xdr:sp macro="" textlink="">
      <xdr:nvSpPr>
        <xdr:cNvPr id="1252" name="Rectangle 3309"/>
        <xdr:cNvSpPr>
          <a:spLocks noChangeArrowheads="1"/>
        </xdr:cNvSpPr>
      </xdr:nvSpPr>
      <xdr:spPr bwMode="auto">
        <a:xfrm>
          <a:off x="8315325" y="254984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92</xdr:row>
      <xdr:rowOff>0</xdr:rowOff>
    </xdr:from>
    <xdr:to>
      <xdr:col>25</xdr:col>
      <xdr:colOff>200025</xdr:colOff>
      <xdr:row>93</xdr:row>
      <xdr:rowOff>9525</xdr:rowOff>
    </xdr:to>
    <xdr:sp macro="" textlink="">
      <xdr:nvSpPr>
        <xdr:cNvPr id="1253" name="Rectangle 3310"/>
        <xdr:cNvSpPr>
          <a:spLocks noChangeArrowheads="1"/>
        </xdr:cNvSpPr>
      </xdr:nvSpPr>
      <xdr:spPr bwMode="auto">
        <a:xfrm>
          <a:off x="8315325" y="254984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92</xdr:row>
      <xdr:rowOff>0</xdr:rowOff>
    </xdr:from>
    <xdr:to>
      <xdr:col>25</xdr:col>
      <xdr:colOff>200025</xdr:colOff>
      <xdr:row>93</xdr:row>
      <xdr:rowOff>9525</xdr:rowOff>
    </xdr:to>
    <xdr:sp macro="" textlink="">
      <xdr:nvSpPr>
        <xdr:cNvPr id="1254" name="Rectangle 3311"/>
        <xdr:cNvSpPr>
          <a:spLocks noChangeArrowheads="1"/>
        </xdr:cNvSpPr>
      </xdr:nvSpPr>
      <xdr:spPr bwMode="auto">
        <a:xfrm>
          <a:off x="8315325" y="254984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92</xdr:row>
      <xdr:rowOff>0</xdr:rowOff>
    </xdr:from>
    <xdr:to>
      <xdr:col>25</xdr:col>
      <xdr:colOff>200025</xdr:colOff>
      <xdr:row>93</xdr:row>
      <xdr:rowOff>9525</xdr:rowOff>
    </xdr:to>
    <xdr:sp macro="" textlink="">
      <xdr:nvSpPr>
        <xdr:cNvPr id="1255" name="Rectangle 3312"/>
        <xdr:cNvSpPr>
          <a:spLocks noChangeArrowheads="1"/>
        </xdr:cNvSpPr>
      </xdr:nvSpPr>
      <xdr:spPr bwMode="auto">
        <a:xfrm>
          <a:off x="8315325" y="254984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180975</xdr:colOff>
      <xdr:row>92</xdr:row>
      <xdr:rowOff>0</xdr:rowOff>
    </xdr:from>
    <xdr:to>
      <xdr:col>25</xdr:col>
      <xdr:colOff>190500</xdr:colOff>
      <xdr:row>93</xdr:row>
      <xdr:rowOff>9525</xdr:rowOff>
    </xdr:to>
    <xdr:sp macro="" textlink="">
      <xdr:nvSpPr>
        <xdr:cNvPr id="1256" name="Rectangle 3313"/>
        <xdr:cNvSpPr>
          <a:spLocks noChangeArrowheads="1"/>
        </xdr:cNvSpPr>
      </xdr:nvSpPr>
      <xdr:spPr bwMode="auto">
        <a:xfrm>
          <a:off x="8305800" y="254984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92</xdr:row>
      <xdr:rowOff>0</xdr:rowOff>
    </xdr:from>
    <xdr:to>
      <xdr:col>25</xdr:col>
      <xdr:colOff>200025</xdr:colOff>
      <xdr:row>93</xdr:row>
      <xdr:rowOff>9525</xdr:rowOff>
    </xdr:to>
    <xdr:sp macro="" textlink="">
      <xdr:nvSpPr>
        <xdr:cNvPr id="1257" name="Rectangle 3314"/>
        <xdr:cNvSpPr>
          <a:spLocks noChangeArrowheads="1"/>
        </xdr:cNvSpPr>
      </xdr:nvSpPr>
      <xdr:spPr bwMode="auto">
        <a:xfrm>
          <a:off x="8315325" y="254984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91</xdr:row>
      <xdr:rowOff>323490</xdr:rowOff>
    </xdr:from>
    <xdr:to>
      <xdr:col>25</xdr:col>
      <xdr:colOff>200025</xdr:colOff>
      <xdr:row>92</xdr:row>
      <xdr:rowOff>270115</xdr:rowOff>
    </xdr:to>
    <xdr:sp macro="" textlink="">
      <xdr:nvSpPr>
        <xdr:cNvPr id="1258" name="Rectangle 3315"/>
        <xdr:cNvSpPr>
          <a:spLocks noChangeArrowheads="1"/>
        </xdr:cNvSpPr>
      </xdr:nvSpPr>
      <xdr:spPr bwMode="auto">
        <a:xfrm>
          <a:off x="8315325" y="25479015"/>
          <a:ext cx="476250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24</xdr:col>
      <xdr:colOff>190500</xdr:colOff>
      <xdr:row>128</xdr:row>
      <xdr:rowOff>0</xdr:rowOff>
    </xdr:from>
    <xdr:to>
      <xdr:col>25</xdr:col>
      <xdr:colOff>200025</xdr:colOff>
      <xdr:row>129</xdr:row>
      <xdr:rowOff>9525</xdr:rowOff>
    </xdr:to>
    <xdr:sp macro="" textlink="">
      <xdr:nvSpPr>
        <xdr:cNvPr id="1259" name="Rectangle 3316"/>
        <xdr:cNvSpPr>
          <a:spLocks noChangeArrowheads="1"/>
        </xdr:cNvSpPr>
      </xdr:nvSpPr>
      <xdr:spPr bwMode="auto">
        <a:xfrm>
          <a:off x="8315325" y="353187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128</xdr:row>
      <xdr:rowOff>0</xdr:rowOff>
    </xdr:from>
    <xdr:to>
      <xdr:col>25</xdr:col>
      <xdr:colOff>200025</xdr:colOff>
      <xdr:row>129</xdr:row>
      <xdr:rowOff>9525</xdr:rowOff>
    </xdr:to>
    <xdr:sp macro="" textlink="">
      <xdr:nvSpPr>
        <xdr:cNvPr id="1260" name="Rectangle 3317"/>
        <xdr:cNvSpPr>
          <a:spLocks noChangeArrowheads="1"/>
        </xdr:cNvSpPr>
      </xdr:nvSpPr>
      <xdr:spPr bwMode="auto">
        <a:xfrm>
          <a:off x="8315325" y="353187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128</xdr:row>
      <xdr:rowOff>0</xdr:rowOff>
    </xdr:from>
    <xdr:to>
      <xdr:col>25</xdr:col>
      <xdr:colOff>200025</xdr:colOff>
      <xdr:row>129</xdr:row>
      <xdr:rowOff>9525</xdr:rowOff>
    </xdr:to>
    <xdr:sp macro="" textlink="">
      <xdr:nvSpPr>
        <xdr:cNvPr id="1261" name="Rectangle 3318"/>
        <xdr:cNvSpPr>
          <a:spLocks noChangeArrowheads="1"/>
        </xdr:cNvSpPr>
      </xdr:nvSpPr>
      <xdr:spPr bwMode="auto">
        <a:xfrm>
          <a:off x="8315325" y="353187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128</xdr:row>
      <xdr:rowOff>0</xdr:rowOff>
    </xdr:from>
    <xdr:to>
      <xdr:col>25</xdr:col>
      <xdr:colOff>200025</xdr:colOff>
      <xdr:row>129</xdr:row>
      <xdr:rowOff>9525</xdr:rowOff>
    </xdr:to>
    <xdr:sp macro="" textlink="">
      <xdr:nvSpPr>
        <xdr:cNvPr id="1262" name="Rectangle 3319"/>
        <xdr:cNvSpPr>
          <a:spLocks noChangeArrowheads="1"/>
        </xdr:cNvSpPr>
      </xdr:nvSpPr>
      <xdr:spPr bwMode="auto">
        <a:xfrm>
          <a:off x="8315325" y="353187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128</xdr:row>
      <xdr:rowOff>0</xdr:rowOff>
    </xdr:from>
    <xdr:to>
      <xdr:col>25</xdr:col>
      <xdr:colOff>200025</xdr:colOff>
      <xdr:row>129</xdr:row>
      <xdr:rowOff>9525</xdr:rowOff>
    </xdr:to>
    <xdr:sp macro="" textlink="">
      <xdr:nvSpPr>
        <xdr:cNvPr id="1263" name="Rectangle 3320"/>
        <xdr:cNvSpPr>
          <a:spLocks noChangeArrowheads="1"/>
        </xdr:cNvSpPr>
      </xdr:nvSpPr>
      <xdr:spPr bwMode="auto">
        <a:xfrm>
          <a:off x="8315325" y="353187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128</xdr:row>
      <xdr:rowOff>0</xdr:rowOff>
    </xdr:from>
    <xdr:to>
      <xdr:col>25</xdr:col>
      <xdr:colOff>200025</xdr:colOff>
      <xdr:row>129</xdr:row>
      <xdr:rowOff>9525</xdr:rowOff>
    </xdr:to>
    <xdr:sp macro="" textlink="">
      <xdr:nvSpPr>
        <xdr:cNvPr id="1264" name="Rectangle 3321"/>
        <xdr:cNvSpPr>
          <a:spLocks noChangeArrowheads="1"/>
        </xdr:cNvSpPr>
      </xdr:nvSpPr>
      <xdr:spPr bwMode="auto">
        <a:xfrm>
          <a:off x="8315325" y="353187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180975</xdr:colOff>
      <xdr:row>128</xdr:row>
      <xdr:rowOff>0</xdr:rowOff>
    </xdr:from>
    <xdr:to>
      <xdr:col>25</xdr:col>
      <xdr:colOff>190500</xdr:colOff>
      <xdr:row>129</xdr:row>
      <xdr:rowOff>9525</xdr:rowOff>
    </xdr:to>
    <xdr:sp macro="" textlink="">
      <xdr:nvSpPr>
        <xdr:cNvPr id="1265" name="Rectangle 3322"/>
        <xdr:cNvSpPr>
          <a:spLocks noChangeArrowheads="1"/>
        </xdr:cNvSpPr>
      </xdr:nvSpPr>
      <xdr:spPr bwMode="auto">
        <a:xfrm>
          <a:off x="8305800" y="353187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128</xdr:row>
      <xdr:rowOff>0</xdr:rowOff>
    </xdr:from>
    <xdr:to>
      <xdr:col>25</xdr:col>
      <xdr:colOff>200025</xdr:colOff>
      <xdr:row>129</xdr:row>
      <xdr:rowOff>9525</xdr:rowOff>
    </xdr:to>
    <xdr:sp macro="" textlink="">
      <xdr:nvSpPr>
        <xdr:cNvPr id="1266" name="Rectangle 3323"/>
        <xdr:cNvSpPr>
          <a:spLocks noChangeArrowheads="1"/>
        </xdr:cNvSpPr>
      </xdr:nvSpPr>
      <xdr:spPr bwMode="auto">
        <a:xfrm>
          <a:off x="8315325" y="3531870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128</xdr:row>
      <xdr:rowOff>4728</xdr:rowOff>
    </xdr:from>
    <xdr:to>
      <xdr:col>25</xdr:col>
      <xdr:colOff>200025</xdr:colOff>
      <xdr:row>129</xdr:row>
      <xdr:rowOff>11509</xdr:rowOff>
    </xdr:to>
    <xdr:sp macro="" textlink="">
      <xdr:nvSpPr>
        <xdr:cNvPr id="1267" name="Rectangle 3324"/>
        <xdr:cNvSpPr>
          <a:spLocks noChangeArrowheads="1"/>
        </xdr:cNvSpPr>
      </xdr:nvSpPr>
      <xdr:spPr bwMode="auto">
        <a:xfrm>
          <a:off x="8315325" y="35323428"/>
          <a:ext cx="476250" cy="28300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24</xdr:col>
      <xdr:colOff>190500</xdr:colOff>
      <xdr:row>164</xdr:row>
      <xdr:rowOff>0</xdr:rowOff>
    </xdr:from>
    <xdr:to>
      <xdr:col>25</xdr:col>
      <xdr:colOff>200025</xdr:colOff>
      <xdr:row>165</xdr:row>
      <xdr:rowOff>9525</xdr:rowOff>
    </xdr:to>
    <xdr:sp macro="" textlink="">
      <xdr:nvSpPr>
        <xdr:cNvPr id="1268" name="Rectangle 3325"/>
        <xdr:cNvSpPr>
          <a:spLocks noChangeArrowheads="1"/>
        </xdr:cNvSpPr>
      </xdr:nvSpPr>
      <xdr:spPr bwMode="auto">
        <a:xfrm>
          <a:off x="8315325" y="4529137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164</xdr:row>
      <xdr:rowOff>0</xdr:rowOff>
    </xdr:from>
    <xdr:to>
      <xdr:col>25</xdr:col>
      <xdr:colOff>200025</xdr:colOff>
      <xdr:row>165</xdr:row>
      <xdr:rowOff>9525</xdr:rowOff>
    </xdr:to>
    <xdr:sp macro="" textlink="">
      <xdr:nvSpPr>
        <xdr:cNvPr id="1269" name="Rectangle 3326"/>
        <xdr:cNvSpPr>
          <a:spLocks noChangeArrowheads="1"/>
        </xdr:cNvSpPr>
      </xdr:nvSpPr>
      <xdr:spPr bwMode="auto">
        <a:xfrm>
          <a:off x="8315325" y="4529137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164</xdr:row>
      <xdr:rowOff>0</xdr:rowOff>
    </xdr:from>
    <xdr:to>
      <xdr:col>25</xdr:col>
      <xdr:colOff>200025</xdr:colOff>
      <xdr:row>165</xdr:row>
      <xdr:rowOff>9525</xdr:rowOff>
    </xdr:to>
    <xdr:sp macro="" textlink="">
      <xdr:nvSpPr>
        <xdr:cNvPr id="1270" name="Rectangle 3327"/>
        <xdr:cNvSpPr>
          <a:spLocks noChangeArrowheads="1"/>
        </xdr:cNvSpPr>
      </xdr:nvSpPr>
      <xdr:spPr bwMode="auto">
        <a:xfrm>
          <a:off x="8315325" y="4529137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164</xdr:row>
      <xdr:rowOff>0</xdr:rowOff>
    </xdr:from>
    <xdr:to>
      <xdr:col>25</xdr:col>
      <xdr:colOff>200025</xdr:colOff>
      <xdr:row>165</xdr:row>
      <xdr:rowOff>9525</xdr:rowOff>
    </xdr:to>
    <xdr:sp macro="" textlink="">
      <xdr:nvSpPr>
        <xdr:cNvPr id="1271" name="Rectangle 3328"/>
        <xdr:cNvSpPr>
          <a:spLocks noChangeArrowheads="1"/>
        </xdr:cNvSpPr>
      </xdr:nvSpPr>
      <xdr:spPr bwMode="auto">
        <a:xfrm>
          <a:off x="8315325" y="4529137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164</xdr:row>
      <xdr:rowOff>0</xdr:rowOff>
    </xdr:from>
    <xdr:to>
      <xdr:col>25</xdr:col>
      <xdr:colOff>200025</xdr:colOff>
      <xdr:row>165</xdr:row>
      <xdr:rowOff>9525</xdr:rowOff>
    </xdr:to>
    <xdr:sp macro="" textlink="">
      <xdr:nvSpPr>
        <xdr:cNvPr id="1272" name="Rectangle 3329"/>
        <xdr:cNvSpPr>
          <a:spLocks noChangeArrowheads="1"/>
        </xdr:cNvSpPr>
      </xdr:nvSpPr>
      <xdr:spPr bwMode="auto">
        <a:xfrm>
          <a:off x="8315325" y="4529137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164</xdr:row>
      <xdr:rowOff>0</xdr:rowOff>
    </xdr:from>
    <xdr:to>
      <xdr:col>25</xdr:col>
      <xdr:colOff>200025</xdr:colOff>
      <xdr:row>165</xdr:row>
      <xdr:rowOff>9525</xdr:rowOff>
    </xdr:to>
    <xdr:sp macro="" textlink="">
      <xdr:nvSpPr>
        <xdr:cNvPr id="1273" name="Rectangle 3330"/>
        <xdr:cNvSpPr>
          <a:spLocks noChangeArrowheads="1"/>
        </xdr:cNvSpPr>
      </xdr:nvSpPr>
      <xdr:spPr bwMode="auto">
        <a:xfrm>
          <a:off x="8315325" y="4529137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180975</xdr:colOff>
      <xdr:row>164</xdr:row>
      <xdr:rowOff>0</xdr:rowOff>
    </xdr:from>
    <xdr:to>
      <xdr:col>25</xdr:col>
      <xdr:colOff>190500</xdr:colOff>
      <xdr:row>165</xdr:row>
      <xdr:rowOff>9525</xdr:rowOff>
    </xdr:to>
    <xdr:sp macro="" textlink="">
      <xdr:nvSpPr>
        <xdr:cNvPr id="1274" name="Rectangle 3331"/>
        <xdr:cNvSpPr>
          <a:spLocks noChangeArrowheads="1"/>
        </xdr:cNvSpPr>
      </xdr:nvSpPr>
      <xdr:spPr bwMode="auto">
        <a:xfrm>
          <a:off x="8305800" y="4529137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164</xdr:row>
      <xdr:rowOff>0</xdr:rowOff>
    </xdr:from>
    <xdr:to>
      <xdr:col>25</xdr:col>
      <xdr:colOff>200025</xdr:colOff>
      <xdr:row>165</xdr:row>
      <xdr:rowOff>9525</xdr:rowOff>
    </xdr:to>
    <xdr:sp macro="" textlink="">
      <xdr:nvSpPr>
        <xdr:cNvPr id="1275" name="Rectangle 3332"/>
        <xdr:cNvSpPr>
          <a:spLocks noChangeArrowheads="1"/>
        </xdr:cNvSpPr>
      </xdr:nvSpPr>
      <xdr:spPr bwMode="auto">
        <a:xfrm>
          <a:off x="8315325" y="4529137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163</xdr:row>
      <xdr:rowOff>305519</xdr:rowOff>
    </xdr:from>
    <xdr:to>
      <xdr:col>25</xdr:col>
      <xdr:colOff>200025</xdr:colOff>
      <xdr:row>165</xdr:row>
      <xdr:rowOff>9525</xdr:rowOff>
    </xdr:to>
    <xdr:sp macro="" textlink="">
      <xdr:nvSpPr>
        <xdr:cNvPr id="1276" name="Rectangle 3333"/>
        <xdr:cNvSpPr>
          <a:spLocks noChangeArrowheads="1"/>
        </xdr:cNvSpPr>
      </xdr:nvSpPr>
      <xdr:spPr bwMode="auto">
        <a:xfrm>
          <a:off x="8315325" y="45253994"/>
          <a:ext cx="476250" cy="32313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199</xdr:row>
      <xdr:rowOff>0</xdr:rowOff>
    </xdr:from>
    <xdr:to>
      <xdr:col>25</xdr:col>
      <xdr:colOff>200025</xdr:colOff>
      <xdr:row>200</xdr:row>
      <xdr:rowOff>9525</xdr:rowOff>
    </xdr:to>
    <xdr:sp macro="" textlink="">
      <xdr:nvSpPr>
        <xdr:cNvPr id="1277" name="Rectangle 3334"/>
        <xdr:cNvSpPr>
          <a:spLocks noChangeArrowheads="1"/>
        </xdr:cNvSpPr>
      </xdr:nvSpPr>
      <xdr:spPr bwMode="auto">
        <a:xfrm>
          <a:off x="8315325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24</xdr:col>
      <xdr:colOff>190500</xdr:colOff>
      <xdr:row>199</xdr:row>
      <xdr:rowOff>0</xdr:rowOff>
    </xdr:from>
    <xdr:to>
      <xdr:col>25</xdr:col>
      <xdr:colOff>200025</xdr:colOff>
      <xdr:row>200</xdr:row>
      <xdr:rowOff>9525</xdr:rowOff>
    </xdr:to>
    <xdr:sp macro="" textlink="">
      <xdr:nvSpPr>
        <xdr:cNvPr id="1278" name="Rectangle 3335"/>
        <xdr:cNvSpPr>
          <a:spLocks noChangeArrowheads="1"/>
        </xdr:cNvSpPr>
      </xdr:nvSpPr>
      <xdr:spPr bwMode="auto">
        <a:xfrm>
          <a:off x="8315325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199</xdr:row>
      <xdr:rowOff>0</xdr:rowOff>
    </xdr:from>
    <xdr:to>
      <xdr:col>25</xdr:col>
      <xdr:colOff>200025</xdr:colOff>
      <xdr:row>200</xdr:row>
      <xdr:rowOff>9525</xdr:rowOff>
    </xdr:to>
    <xdr:sp macro="" textlink="">
      <xdr:nvSpPr>
        <xdr:cNvPr id="1279" name="Rectangle 3336"/>
        <xdr:cNvSpPr>
          <a:spLocks noChangeArrowheads="1"/>
        </xdr:cNvSpPr>
      </xdr:nvSpPr>
      <xdr:spPr bwMode="auto">
        <a:xfrm>
          <a:off x="8315325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199</xdr:row>
      <xdr:rowOff>0</xdr:rowOff>
    </xdr:from>
    <xdr:to>
      <xdr:col>25</xdr:col>
      <xdr:colOff>200025</xdr:colOff>
      <xdr:row>200</xdr:row>
      <xdr:rowOff>9525</xdr:rowOff>
    </xdr:to>
    <xdr:sp macro="" textlink="">
      <xdr:nvSpPr>
        <xdr:cNvPr id="1280" name="Rectangle 3337"/>
        <xdr:cNvSpPr>
          <a:spLocks noChangeArrowheads="1"/>
        </xdr:cNvSpPr>
      </xdr:nvSpPr>
      <xdr:spPr bwMode="auto">
        <a:xfrm>
          <a:off x="8315325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199</xdr:row>
      <xdr:rowOff>0</xdr:rowOff>
    </xdr:from>
    <xdr:to>
      <xdr:col>25</xdr:col>
      <xdr:colOff>200025</xdr:colOff>
      <xdr:row>200</xdr:row>
      <xdr:rowOff>9525</xdr:rowOff>
    </xdr:to>
    <xdr:sp macro="" textlink="">
      <xdr:nvSpPr>
        <xdr:cNvPr id="1281" name="Rectangle 3338"/>
        <xdr:cNvSpPr>
          <a:spLocks noChangeArrowheads="1"/>
        </xdr:cNvSpPr>
      </xdr:nvSpPr>
      <xdr:spPr bwMode="auto">
        <a:xfrm>
          <a:off x="8315325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199</xdr:row>
      <xdr:rowOff>0</xdr:rowOff>
    </xdr:from>
    <xdr:to>
      <xdr:col>25</xdr:col>
      <xdr:colOff>200025</xdr:colOff>
      <xdr:row>200</xdr:row>
      <xdr:rowOff>9525</xdr:rowOff>
    </xdr:to>
    <xdr:sp macro="" textlink="">
      <xdr:nvSpPr>
        <xdr:cNvPr id="1282" name="Rectangle 3339"/>
        <xdr:cNvSpPr>
          <a:spLocks noChangeArrowheads="1"/>
        </xdr:cNvSpPr>
      </xdr:nvSpPr>
      <xdr:spPr bwMode="auto">
        <a:xfrm>
          <a:off x="8315325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pPr algn="ctr"/>
          <a:r>
            <a:rPr lang="en-US" sz="1200" b="0">
              <a:latin typeface="Arial" pitchFamily="34" charset="0"/>
              <a:cs typeface="Arial" pitchFamily="34" charset="0"/>
            </a:rPr>
            <a:t>B</a:t>
          </a:r>
        </a:p>
      </xdr:txBody>
    </xdr:sp>
    <xdr:clientData/>
  </xdr:twoCellAnchor>
  <xdr:twoCellAnchor>
    <xdr:from>
      <xdr:col>24</xdr:col>
      <xdr:colOff>190500</xdr:colOff>
      <xdr:row>211</xdr:row>
      <xdr:rowOff>0</xdr:rowOff>
    </xdr:from>
    <xdr:to>
      <xdr:col>25</xdr:col>
      <xdr:colOff>200025</xdr:colOff>
      <xdr:row>211</xdr:row>
      <xdr:rowOff>0</xdr:rowOff>
    </xdr:to>
    <xdr:sp macro="" textlink="">
      <xdr:nvSpPr>
        <xdr:cNvPr id="1283" name="Rectangle 3343"/>
        <xdr:cNvSpPr>
          <a:spLocks noChangeArrowheads="1"/>
        </xdr:cNvSpPr>
      </xdr:nvSpPr>
      <xdr:spPr bwMode="auto">
        <a:xfrm>
          <a:off x="8315325" y="58102500"/>
          <a:ext cx="4762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211</xdr:row>
      <xdr:rowOff>0</xdr:rowOff>
    </xdr:from>
    <xdr:to>
      <xdr:col>25</xdr:col>
      <xdr:colOff>200025</xdr:colOff>
      <xdr:row>211</xdr:row>
      <xdr:rowOff>0</xdr:rowOff>
    </xdr:to>
    <xdr:sp macro="" textlink="">
      <xdr:nvSpPr>
        <xdr:cNvPr id="1284" name="Rectangle 3344"/>
        <xdr:cNvSpPr>
          <a:spLocks noChangeArrowheads="1"/>
        </xdr:cNvSpPr>
      </xdr:nvSpPr>
      <xdr:spPr bwMode="auto">
        <a:xfrm>
          <a:off x="8315325" y="58102500"/>
          <a:ext cx="4762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211</xdr:row>
      <xdr:rowOff>0</xdr:rowOff>
    </xdr:from>
    <xdr:to>
      <xdr:col>25</xdr:col>
      <xdr:colOff>200025</xdr:colOff>
      <xdr:row>211</xdr:row>
      <xdr:rowOff>0</xdr:rowOff>
    </xdr:to>
    <xdr:sp macro="" textlink="">
      <xdr:nvSpPr>
        <xdr:cNvPr id="1285" name="Rectangle 3345"/>
        <xdr:cNvSpPr>
          <a:spLocks noChangeArrowheads="1"/>
        </xdr:cNvSpPr>
      </xdr:nvSpPr>
      <xdr:spPr bwMode="auto">
        <a:xfrm>
          <a:off x="8315325" y="58102500"/>
          <a:ext cx="4762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211</xdr:row>
      <xdr:rowOff>0</xdr:rowOff>
    </xdr:from>
    <xdr:to>
      <xdr:col>25</xdr:col>
      <xdr:colOff>200025</xdr:colOff>
      <xdr:row>211</xdr:row>
      <xdr:rowOff>0</xdr:rowOff>
    </xdr:to>
    <xdr:sp macro="" textlink="">
      <xdr:nvSpPr>
        <xdr:cNvPr id="1286" name="Rectangle 3346"/>
        <xdr:cNvSpPr>
          <a:spLocks noChangeArrowheads="1"/>
        </xdr:cNvSpPr>
      </xdr:nvSpPr>
      <xdr:spPr bwMode="auto">
        <a:xfrm>
          <a:off x="8315325" y="58102500"/>
          <a:ext cx="4762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211</xdr:row>
      <xdr:rowOff>0</xdr:rowOff>
    </xdr:from>
    <xdr:to>
      <xdr:col>25</xdr:col>
      <xdr:colOff>200025</xdr:colOff>
      <xdr:row>211</xdr:row>
      <xdr:rowOff>0</xdr:rowOff>
    </xdr:to>
    <xdr:sp macro="" textlink="">
      <xdr:nvSpPr>
        <xdr:cNvPr id="1287" name="Rectangle 3347"/>
        <xdr:cNvSpPr>
          <a:spLocks noChangeArrowheads="1"/>
        </xdr:cNvSpPr>
      </xdr:nvSpPr>
      <xdr:spPr bwMode="auto">
        <a:xfrm>
          <a:off x="8315325" y="58102500"/>
          <a:ext cx="4762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211</xdr:row>
      <xdr:rowOff>0</xdr:rowOff>
    </xdr:from>
    <xdr:to>
      <xdr:col>25</xdr:col>
      <xdr:colOff>200025</xdr:colOff>
      <xdr:row>211</xdr:row>
      <xdr:rowOff>0</xdr:rowOff>
    </xdr:to>
    <xdr:sp macro="" textlink="">
      <xdr:nvSpPr>
        <xdr:cNvPr id="1288" name="Rectangle 3348"/>
        <xdr:cNvSpPr>
          <a:spLocks noChangeArrowheads="1"/>
        </xdr:cNvSpPr>
      </xdr:nvSpPr>
      <xdr:spPr bwMode="auto">
        <a:xfrm>
          <a:off x="8315325" y="58102500"/>
          <a:ext cx="4762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180975</xdr:colOff>
      <xdr:row>211</xdr:row>
      <xdr:rowOff>0</xdr:rowOff>
    </xdr:from>
    <xdr:to>
      <xdr:col>25</xdr:col>
      <xdr:colOff>190500</xdr:colOff>
      <xdr:row>211</xdr:row>
      <xdr:rowOff>0</xdr:rowOff>
    </xdr:to>
    <xdr:sp macro="" textlink="">
      <xdr:nvSpPr>
        <xdr:cNvPr id="1289" name="Rectangle 3349"/>
        <xdr:cNvSpPr>
          <a:spLocks noChangeArrowheads="1"/>
        </xdr:cNvSpPr>
      </xdr:nvSpPr>
      <xdr:spPr bwMode="auto">
        <a:xfrm>
          <a:off x="8305800" y="58102500"/>
          <a:ext cx="4762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211</xdr:row>
      <xdr:rowOff>0</xdr:rowOff>
    </xdr:from>
    <xdr:to>
      <xdr:col>25</xdr:col>
      <xdr:colOff>200025</xdr:colOff>
      <xdr:row>211</xdr:row>
      <xdr:rowOff>0</xdr:rowOff>
    </xdr:to>
    <xdr:sp macro="" textlink="">
      <xdr:nvSpPr>
        <xdr:cNvPr id="1290" name="Rectangle 3350"/>
        <xdr:cNvSpPr>
          <a:spLocks noChangeArrowheads="1"/>
        </xdr:cNvSpPr>
      </xdr:nvSpPr>
      <xdr:spPr bwMode="auto">
        <a:xfrm>
          <a:off x="8315325" y="58102500"/>
          <a:ext cx="4762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211</xdr:row>
      <xdr:rowOff>0</xdr:rowOff>
    </xdr:from>
    <xdr:to>
      <xdr:col>25</xdr:col>
      <xdr:colOff>200025</xdr:colOff>
      <xdr:row>211</xdr:row>
      <xdr:rowOff>0</xdr:rowOff>
    </xdr:to>
    <xdr:sp macro="" textlink="">
      <xdr:nvSpPr>
        <xdr:cNvPr id="1291" name="Rectangle 3351"/>
        <xdr:cNvSpPr>
          <a:spLocks noChangeArrowheads="1"/>
        </xdr:cNvSpPr>
      </xdr:nvSpPr>
      <xdr:spPr bwMode="auto">
        <a:xfrm>
          <a:off x="8315325" y="58102500"/>
          <a:ext cx="4762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234</xdr:row>
      <xdr:rowOff>0</xdr:rowOff>
    </xdr:from>
    <xdr:to>
      <xdr:col>25</xdr:col>
      <xdr:colOff>200025</xdr:colOff>
      <xdr:row>235</xdr:row>
      <xdr:rowOff>9525</xdr:rowOff>
    </xdr:to>
    <xdr:sp macro="" textlink="">
      <xdr:nvSpPr>
        <xdr:cNvPr id="1292" name="Rectangle 3352"/>
        <xdr:cNvSpPr>
          <a:spLocks noChangeArrowheads="1"/>
        </xdr:cNvSpPr>
      </xdr:nvSpPr>
      <xdr:spPr bwMode="auto">
        <a:xfrm>
          <a:off x="8315325" y="649700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24</xdr:col>
      <xdr:colOff>190500</xdr:colOff>
      <xdr:row>234</xdr:row>
      <xdr:rowOff>0</xdr:rowOff>
    </xdr:from>
    <xdr:to>
      <xdr:col>25</xdr:col>
      <xdr:colOff>200025</xdr:colOff>
      <xdr:row>235</xdr:row>
      <xdr:rowOff>9525</xdr:rowOff>
    </xdr:to>
    <xdr:sp macro="" textlink="">
      <xdr:nvSpPr>
        <xdr:cNvPr id="1293" name="Rectangle 3353"/>
        <xdr:cNvSpPr>
          <a:spLocks noChangeArrowheads="1"/>
        </xdr:cNvSpPr>
      </xdr:nvSpPr>
      <xdr:spPr bwMode="auto">
        <a:xfrm>
          <a:off x="8315325" y="649700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234</xdr:row>
      <xdr:rowOff>0</xdr:rowOff>
    </xdr:from>
    <xdr:to>
      <xdr:col>25</xdr:col>
      <xdr:colOff>200025</xdr:colOff>
      <xdr:row>235</xdr:row>
      <xdr:rowOff>9525</xdr:rowOff>
    </xdr:to>
    <xdr:sp macro="" textlink="">
      <xdr:nvSpPr>
        <xdr:cNvPr id="1294" name="Rectangle 3354"/>
        <xdr:cNvSpPr>
          <a:spLocks noChangeArrowheads="1"/>
        </xdr:cNvSpPr>
      </xdr:nvSpPr>
      <xdr:spPr bwMode="auto">
        <a:xfrm>
          <a:off x="8315325" y="649700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234</xdr:row>
      <xdr:rowOff>0</xdr:rowOff>
    </xdr:from>
    <xdr:to>
      <xdr:col>25</xdr:col>
      <xdr:colOff>200025</xdr:colOff>
      <xdr:row>235</xdr:row>
      <xdr:rowOff>9525</xdr:rowOff>
    </xdr:to>
    <xdr:sp macro="" textlink="">
      <xdr:nvSpPr>
        <xdr:cNvPr id="1295" name="Rectangle 3355"/>
        <xdr:cNvSpPr>
          <a:spLocks noChangeArrowheads="1"/>
        </xdr:cNvSpPr>
      </xdr:nvSpPr>
      <xdr:spPr bwMode="auto">
        <a:xfrm>
          <a:off x="8315325" y="649700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234</xdr:row>
      <xdr:rowOff>0</xdr:rowOff>
    </xdr:from>
    <xdr:to>
      <xdr:col>25</xdr:col>
      <xdr:colOff>200025</xdr:colOff>
      <xdr:row>235</xdr:row>
      <xdr:rowOff>9525</xdr:rowOff>
    </xdr:to>
    <xdr:sp macro="" textlink="">
      <xdr:nvSpPr>
        <xdr:cNvPr id="1296" name="Rectangle 3356"/>
        <xdr:cNvSpPr>
          <a:spLocks noChangeArrowheads="1"/>
        </xdr:cNvSpPr>
      </xdr:nvSpPr>
      <xdr:spPr bwMode="auto">
        <a:xfrm>
          <a:off x="8315325" y="649700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234</xdr:row>
      <xdr:rowOff>0</xdr:rowOff>
    </xdr:from>
    <xdr:to>
      <xdr:col>25</xdr:col>
      <xdr:colOff>200025</xdr:colOff>
      <xdr:row>235</xdr:row>
      <xdr:rowOff>9525</xdr:rowOff>
    </xdr:to>
    <xdr:sp macro="" textlink="">
      <xdr:nvSpPr>
        <xdr:cNvPr id="1297" name="Rectangle 3357"/>
        <xdr:cNvSpPr>
          <a:spLocks noChangeArrowheads="1"/>
        </xdr:cNvSpPr>
      </xdr:nvSpPr>
      <xdr:spPr bwMode="auto">
        <a:xfrm>
          <a:off x="8315325" y="649700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180975</xdr:colOff>
      <xdr:row>234</xdr:row>
      <xdr:rowOff>0</xdr:rowOff>
    </xdr:from>
    <xdr:to>
      <xdr:col>25</xdr:col>
      <xdr:colOff>190500</xdr:colOff>
      <xdr:row>235</xdr:row>
      <xdr:rowOff>9525</xdr:rowOff>
    </xdr:to>
    <xdr:sp macro="" textlink="">
      <xdr:nvSpPr>
        <xdr:cNvPr id="1298" name="Rectangle 3358"/>
        <xdr:cNvSpPr>
          <a:spLocks noChangeArrowheads="1"/>
        </xdr:cNvSpPr>
      </xdr:nvSpPr>
      <xdr:spPr bwMode="auto">
        <a:xfrm>
          <a:off x="8305800" y="649700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234</xdr:row>
      <xdr:rowOff>0</xdr:rowOff>
    </xdr:from>
    <xdr:to>
      <xdr:col>25</xdr:col>
      <xdr:colOff>200025</xdr:colOff>
      <xdr:row>235</xdr:row>
      <xdr:rowOff>9525</xdr:rowOff>
    </xdr:to>
    <xdr:sp macro="" textlink="">
      <xdr:nvSpPr>
        <xdr:cNvPr id="1299" name="Rectangle 3359"/>
        <xdr:cNvSpPr>
          <a:spLocks noChangeArrowheads="1"/>
        </xdr:cNvSpPr>
      </xdr:nvSpPr>
      <xdr:spPr bwMode="auto">
        <a:xfrm>
          <a:off x="8315325" y="649700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234</xdr:row>
      <xdr:rowOff>3347</xdr:rowOff>
    </xdr:from>
    <xdr:to>
      <xdr:col>25</xdr:col>
      <xdr:colOff>200025</xdr:colOff>
      <xdr:row>235</xdr:row>
      <xdr:rowOff>66675</xdr:rowOff>
    </xdr:to>
    <xdr:sp macro="" textlink="">
      <xdr:nvSpPr>
        <xdr:cNvPr id="1300" name="Rectangle 3360"/>
        <xdr:cNvSpPr>
          <a:spLocks noChangeArrowheads="1"/>
        </xdr:cNvSpPr>
      </xdr:nvSpPr>
      <xdr:spPr bwMode="auto">
        <a:xfrm>
          <a:off x="8315325" y="64973372"/>
          <a:ext cx="476250" cy="33955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21</xdr:row>
      <xdr:rowOff>0</xdr:rowOff>
    </xdr:from>
    <xdr:to>
      <xdr:col>27</xdr:col>
      <xdr:colOff>200025</xdr:colOff>
      <xdr:row>22</xdr:row>
      <xdr:rowOff>9525</xdr:rowOff>
    </xdr:to>
    <xdr:sp macro="" textlink="">
      <xdr:nvSpPr>
        <xdr:cNvPr id="1301" name="Rectangle 3619"/>
        <xdr:cNvSpPr>
          <a:spLocks noChangeArrowheads="1"/>
        </xdr:cNvSpPr>
      </xdr:nvSpPr>
      <xdr:spPr bwMode="auto">
        <a:xfrm>
          <a:off x="9163050" y="60293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21</xdr:row>
      <xdr:rowOff>0</xdr:rowOff>
    </xdr:from>
    <xdr:to>
      <xdr:col>27</xdr:col>
      <xdr:colOff>200025</xdr:colOff>
      <xdr:row>22</xdr:row>
      <xdr:rowOff>9525</xdr:rowOff>
    </xdr:to>
    <xdr:sp macro="" textlink="">
      <xdr:nvSpPr>
        <xdr:cNvPr id="1302" name="Rectangle 3620"/>
        <xdr:cNvSpPr>
          <a:spLocks noChangeArrowheads="1"/>
        </xdr:cNvSpPr>
      </xdr:nvSpPr>
      <xdr:spPr bwMode="auto">
        <a:xfrm>
          <a:off x="9163050" y="60293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21</xdr:row>
      <xdr:rowOff>0</xdr:rowOff>
    </xdr:from>
    <xdr:to>
      <xdr:col>27</xdr:col>
      <xdr:colOff>200025</xdr:colOff>
      <xdr:row>22</xdr:row>
      <xdr:rowOff>9525</xdr:rowOff>
    </xdr:to>
    <xdr:sp macro="" textlink="">
      <xdr:nvSpPr>
        <xdr:cNvPr id="1303" name="Rectangle 3621"/>
        <xdr:cNvSpPr>
          <a:spLocks noChangeArrowheads="1"/>
        </xdr:cNvSpPr>
      </xdr:nvSpPr>
      <xdr:spPr bwMode="auto">
        <a:xfrm>
          <a:off x="9163050" y="60293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21</xdr:row>
      <xdr:rowOff>0</xdr:rowOff>
    </xdr:from>
    <xdr:to>
      <xdr:col>27</xdr:col>
      <xdr:colOff>200025</xdr:colOff>
      <xdr:row>22</xdr:row>
      <xdr:rowOff>9525</xdr:rowOff>
    </xdr:to>
    <xdr:sp macro="" textlink="">
      <xdr:nvSpPr>
        <xdr:cNvPr id="1304" name="Rectangle 3622"/>
        <xdr:cNvSpPr>
          <a:spLocks noChangeArrowheads="1"/>
        </xdr:cNvSpPr>
      </xdr:nvSpPr>
      <xdr:spPr bwMode="auto">
        <a:xfrm>
          <a:off x="9163050" y="60293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21</xdr:row>
      <xdr:rowOff>0</xdr:rowOff>
    </xdr:from>
    <xdr:to>
      <xdr:col>27</xdr:col>
      <xdr:colOff>200025</xdr:colOff>
      <xdr:row>22</xdr:row>
      <xdr:rowOff>9525</xdr:rowOff>
    </xdr:to>
    <xdr:sp macro="" textlink="">
      <xdr:nvSpPr>
        <xdr:cNvPr id="1305" name="Rectangle 3623"/>
        <xdr:cNvSpPr>
          <a:spLocks noChangeArrowheads="1"/>
        </xdr:cNvSpPr>
      </xdr:nvSpPr>
      <xdr:spPr bwMode="auto">
        <a:xfrm>
          <a:off x="9163050" y="60293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21</xdr:row>
      <xdr:rowOff>0</xdr:rowOff>
    </xdr:from>
    <xdr:to>
      <xdr:col>27</xdr:col>
      <xdr:colOff>200025</xdr:colOff>
      <xdr:row>22</xdr:row>
      <xdr:rowOff>9525</xdr:rowOff>
    </xdr:to>
    <xdr:sp macro="" textlink="">
      <xdr:nvSpPr>
        <xdr:cNvPr id="1306" name="Rectangle 3624"/>
        <xdr:cNvSpPr>
          <a:spLocks noChangeArrowheads="1"/>
        </xdr:cNvSpPr>
      </xdr:nvSpPr>
      <xdr:spPr bwMode="auto">
        <a:xfrm>
          <a:off x="9163050" y="60293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180975</xdr:colOff>
      <xdr:row>21</xdr:row>
      <xdr:rowOff>0</xdr:rowOff>
    </xdr:from>
    <xdr:to>
      <xdr:col>27</xdr:col>
      <xdr:colOff>190500</xdr:colOff>
      <xdr:row>22</xdr:row>
      <xdr:rowOff>9525</xdr:rowOff>
    </xdr:to>
    <xdr:sp macro="" textlink="">
      <xdr:nvSpPr>
        <xdr:cNvPr id="1307" name="Rectangle 3625"/>
        <xdr:cNvSpPr>
          <a:spLocks noChangeArrowheads="1"/>
        </xdr:cNvSpPr>
      </xdr:nvSpPr>
      <xdr:spPr bwMode="auto">
        <a:xfrm>
          <a:off x="9153525" y="60293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21</xdr:row>
      <xdr:rowOff>0</xdr:rowOff>
    </xdr:from>
    <xdr:to>
      <xdr:col>27</xdr:col>
      <xdr:colOff>200025</xdr:colOff>
      <xdr:row>22</xdr:row>
      <xdr:rowOff>9525</xdr:rowOff>
    </xdr:to>
    <xdr:sp macro="" textlink="">
      <xdr:nvSpPr>
        <xdr:cNvPr id="1308" name="Rectangle 3626"/>
        <xdr:cNvSpPr>
          <a:spLocks noChangeArrowheads="1"/>
        </xdr:cNvSpPr>
      </xdr:nvSpPr>
      <xdr:spPr bwMode="auto">
        <a:xfrm>
          <a:off x="9163050" y="60293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21</xdr:row>
      <xdr:rowOff>0</xdr:rowOff>
    </xdr:from>
    <xdr:to>
      <xdr:col>27</xdr:col>
      <xdr:colOff>200025</xdr:colOff>
      <xdr:row>22</xdr:row>
      <xdr:rowOff>9525</xdr:rowOff>
    </xdr:to>
    <xdr:sp macro="" textlink="">
      <xdr:nvSpPr>
        <xdr:cNvPr id="1309" name="Rectangle 3627"/>
        <xdr:cNvSpPr>
          <a:spLocks noChangeArrowheads="1"/>
        </xdr:cNvSpPr>
      </xdr:nvSpPr>
      <xdr:spPr bwMode="auto">
        <a:xfrm>
          <a:off x="9163050" y="60293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US" sz="120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  K</a:t>
          </a:r>
        </a:p>
      </xdr:txBody>
    </xdr:sp>
    <xdr:clientData/>
  </xdr:twoCellAnchor>
  <xdr:twoCellAnchor>
    <xdr:from>
      <xdr:col>26</xdr:col>
      <xdr:colOff>190500</xdr:colOff>
      <xdr:row>57</xdr:row>
      <xdr:rowOff>0</xdr:rowOff>
    </xdr:from>
    <xdr:to>
      <xdr:col>27</xdr:col>
      <xdr:colOff>200025</xdr:colOff>
      <xdr:row>58</xdr:row>
      <xdr:rowOff>9525</xdr:rowOff>
    </xdr:to>
    <xdr:sp macro="" textlink="">
      <xdr:nvSpPr>
        <xdr:cNvPr id="1310" name="Rectangle 3628"/>
        <xdr:cNvSpPr>
          <a:spLocks noChangeArrowheads="1"/>
        </xdr:cNvSpPr>
      </xdr:nvSpPr>
      <xdr:spPr bwMode="auto">
        <a:xfrm>
          <a:off x="9163050" y="160020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57</xdr:row>
      <xdr:rowOff>0</xdr:rowOff>
    </xdr:from>
    <xdr:to>
      <xdr:col>27</xdr:col>
      <xdr:colOff>200025</xdr:colOff>
      <xdr:row>58</xdr:row>
      <xdr:rowOff>9525</xdr:rowOff>
    </xdr:to>
    <xdr:sp macro="" textlink="">
      <xdr:nvSpPr>
        <xdr:cNvPr id="1311" name="Rectangle 3629"/>
        <xdr:cNvSpPr>
          <a:spLocks noChangeArrowheads="1"/>
        </xdr:cNvSpPr>
      </xdr:nvSpPr>
      <xdr:spPr bwMode="auto">
        <a:xfrm>
          <a:off x="9163050" y="160020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57</xdr:row>
      <xdr:rowOff>0</xdr:rowOff>
    </xdr:from>
    <xdr:to>
      <xdr:col>27</xdr:col>
      <xdr:colOff>200025</xdr:colOff>
      <xdr:row>58</xdr:row>
      <xdr:rowOff>9525</xdr:rowOff>
    </xdr:to>
    <xdr:sp macro="" textlink="">
      <xdr:nvSpPr>
        <xdr:cNvPr id="1312" name="Rectangle 3630"/>
        <xdr:cNvSpPr>
          <a:spLocks noChangeArrowheads="1"/>
        </xdr:cNvSpPr>
      </xdr:nvSpPr>
      <xdr:spPr bwMode="auto">
        <a:xfrm>
          <a:off x="9163050" y="160020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57</xdr:row>
      <xdr:rowOff>0</xdr:rowOff>
    </xdr:from>
    <xdr:to>
      <xdr:col>27</xdr:col>
      <xdr:colOff>200025</xdr:colOff>
      <xdr:row>58</xdr:row>
      <xdr:rowOff>9525</xdr:rowOff>
    </xdr:to>
    <xdr:sp macro="" textlink="">
      <xdr:nvSpPr>
        <xdr:cNvPr id="1313" name="Rectangle 3631"/>
        <xdr:cNvSpPr>
          <a:spLocks noChangeArrowheads="1"/>
        </xdr:cNvSpPr>
      </xdr:nvSpPr>
      <xdr:spPr bwMode="auto">
        <a:xfrm>
          <a:off x="9163050" y="160020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57</xdr:row>
      <xdr:rowOff>0</xdr:rowOff>
    </xdr:from>
    <xdr:to>
      <xdr:col>27</xdr:col>
      <xdr:colOff>200025</xdr:colOff>
      <xdr:row>58</xdr:row>
      <xdr:rowOff>9525</xdr:rowOff>
    </xdr:to>
    <xdr:sp macro="" textlink="">
      <xdr:nvSpPr>
        <xdr:cNvPr id="1314" name="Rectangle 3632"/>
        <xdr:cNvSpPr>
          <a:spLocks noChangeArrowheads="1"/>
        </xdr:cNvSpPr>
      </xdr:nvSpPr>
      <xdr:spPr bwMode="auto">
        <a:xfrm>
          <a:off x="9163050" y="160020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57</xdr:row>
      <xdr:rowOff>0</xdr:rowOff>
    </xdr:from>
    <xdr:to>
      <xdr:col>27</xdr:col>
      <xdr:colOff>200025</xdr:colOff>
      <xdr:row>58</xdr:row>
      <xdr:rowOff>9525</xdr:rowOff>
    </xdr:to>
    <xdr:sp macro="" textlink="">
      <xdr:nvSpPr>
        <xdr:cNvPr id="1315" name="Rectangle 3633"/>
        <xdr:cNvSpPr>
          <a:spLocks noChangeArrowheads="1"/>
        </xdr:cNvSpPr>
      </xdr:nvSpPr>
      <xdr:spPr bwMode="auto">
        <a:xfrm>
          <a:off x="9163050" y="160020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57</xdr:row>
      <xdr:rowOff>0</xdr:rowOff>
    </xdr:from>
    <xdr:to>
      <xdr:col>27</xdr:col>
      <xdr:colOff>200025</xdr:colOff>
      <xdr:row>58</xdr:row>
      <xdr:rowOff>9525</xdr:rowOff>
    </xdr:to>
    <xdr:sp macro="" textlink="">
      <xdr:nvSpPr>
        <xdr:cNvPr id="1316" name="Rectangle 3634"/>
        <xdr:cNvSpPr>
          <a:spLocks noChangeArrowheads="1"/>
        </xdr:cNvSpPr>
      </xdr:nvSpPr>
      <xdr:spPr bwMode="auto">
        <a:xfrm>
          <a:off x="9163050" y="160020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57</xdr:row>
      <xdr:rowOff>0</xdr:rowOff>
    </xdr:from>
    <xdr:to>
      <xdr:col>27</xdr:col>
      <xdr:colOff>200025</xdr:colOff>
      <xdr:row>58</xdr:row>
      <xdr:rowOff>9525</xdr:rowOff>
    </xdr:to>
    <xdr:sp macro="" textlink="">
      <xdr:nvSpPr>
        <xdr:cNvPr id="1317" name="Rectangle 3635"/>
        <xdr:cNvSpPr>
          <a:spLocks noChangeArrowheads="1"/>
        </xdr:cNvSpPr>
      </xdr:nvSpPr>
      <xdr:spPr bwMode="auto">
        <a:xfrm>
          <a:off x="9163050" y="160020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57</xdr:row>
      <xdr:rowOff>0</xdr:rowOff>
    </xdr:from>
    <xdr:to>
      <xdr:col>27</xdr:col>
      <xdr:colOff>200025</xdr:colOff>
      <xdr:row>58</xdr:row>
      <xdr:rowOff>9525</xdr:rowOff>
    </xdr:to>
    <xdr:sp macro="" textlink="">
      <xdr:nvSpPr>
        <xdr:cNvPr id="1318" name="Rectangle 3636"/>
        <xdr:cNvSpPr>
          <a:spLocks noChangeArrowheads="1"/>
        </xdr:cNvSpPr>
      </xdr:nvSpPr>
      <xdr:spPr bwMode="auto">
        <a:xfrm>
          <a:off x="9163050" y="160020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57</xdr:row>
      <xdr:rowOff>0</xdr:rowOff>
    </xdr:from>
    <xdr:to>
      <xdr:col>27</xdr:col>
      <xdr:colOff>200025</xdr:colOff>
      <xdr:row>58</xdr:row>
      <xdr:rowOff>9525</xdr:rowOff>
    </xdr:to>
    <xdr:sp macro="" textlink="">
      <xdr:nvSpPr>
        <xdr:cNvPr id="1319" name="Rectangle 3637"/>
        <xdr:cNvSpPr>
          <a:spLocks noChangeArrowheads="1"/>
        </xdr:cNvSpPr>
      </xdr:nvSpPr>
      <xdr:spPr bwMode="auto">
        <a:xfrm>
          <a:off x="9163050" y="160020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180975</xdr:colOff>
      <xdr:row>57</xdr:row>
      <xdr:rowOff>0</xdr:rowOff>
    </xdr:from>
    <xdr:to>
      <xdr:col>27</xdr:col>
      <xdr:colOff>190500</xdr:colOff>
      <xdr:row>58</xdr:row>
      <xdr:rowOff>9525</xdr:rowOff>
    </xdr:to>
    <xdr:sp macro="" textlink="">
      <xdr:nvSpPr>
        <xdr:cNvPr id="1320" name="Rectangle 3638"/>
        <xdr:cNvSpPr>
          <a:spLocks noChangeArrowheads="1"/>
        </xdr:cNvSpPr>
      </xdr:nvSpPr>
      <xdr:spPr bwMode="auto">
        <a:xfrm>
          <a:off x="9153525" y="160020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57</xdr:row>
      <xdr:rowOff>0</xdr:rowOff>
    </xdr:from>
    <xdr:to>
      <xdr:col>27</xdr:col>
      <xdr:colOff>200025</xdr:colOff>
      <xdr:row>58</xdr:row>
      <xdr:rowOff>9525</xdr:rowOff>
    </xdr:to>
    <xdr:sp macro="" textlink="">
      <xdr:nvSpPr>
        <xdr:cNvPr id="1321" name="Rectangle 3639"/>
        <xdr:cNvSpPr>
          <a:spLocks noChangeArrowheads="1"/>
        </xdr:cNvSpPr>
      </xdr:nvSpPr>
      <xdr:spPr bwMode="auto">
        <a:xfrm>
          <a:off x="9163050" y="160020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56</xdr:row>
      <xdr:rowOff>332476</xdr:rowOff>
    </xdr:from>
    <xdr:to>
      <xdr:col>27</xdr:col>
      <xdr:colOff>200025</xdr:colOff>
      <xdr:row>58</xdr:row>
      <xdr:rowOff>539</xdr:rowOff>
    </xdr:to>
    <xdr:sp macro="" textlink="">
      <xdr:nvSpPr>
        <xdr:cNvPr id="1322" name="Rectangle 3640"/>
        <xdr:cNvSpPr>
          <a:spLocks noChangeArrowheads="1"/>
        </xdr:cNvSpPr>
      </xdr:nvSpPr>
      <xdr:spPr bwMode="auto">
        <a:xfrm>
          <a:off x="9163050" y="15991576"/>
          <a:ext cx="457200" cy="28718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26</xdr:col>
      <xdr:colOff>190500</xdr:colOff>
      <xdr:row>92</xdr:row>
      <xdr:rowOff>0</xdr:rowOff>
    </xdr:from>
    <xdr:to>
      <xdr:col>27</xdr:col>
      <xdr:colOff>200025</xdr:colOff>
      <xdr:row>93</xdr:row>
      <xdr:rowOff>9525</xdr:rowOff>
    </xdr:to>
    <xdr:sp macro="" textlink="">
      <xdr:nvSpPr>
        <xdr:cNvPr id="1323" name="Rectangle 3641"/>
        <xdr:cNvSpPr>
          <a:spLocks noChangeArrowheads="1"/>
        </xdr:cNvSpPr>
      </xdr:nvSpPr>
      <xdr:spPr bwMode="auto">
        <a:xfrm>
          <a:off x="9163050" y="254984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92</xdr:row>
      <xdr:rowOff>0</xdr:rowOff>
    </xdr:from>
    <xdr:to>
      <xdr:col>27</xdr:col>
      <xdr:colOff>200025</xdr:colOff>
      <xdr:row>93</xdr:row>
      <xdr:rowOff>9525</xdr:rowOff>
    </xdr:to>
    <xdr:sp macro="" textlink="">
      <xdr:nvSpPr>
        <xdr:cNvPr id="1324" name="Rectangle 3642"/>
        <xdr:cNvSpPr>
          <a:spLocks noChangeArrowheads="1"/>
        </xdr:cNvSpPr>
      </xdr:nvSpPr>
      <xdr:spPr bwMode="auto">
        <a:xfrm>
          <a:off x="9163050" y="254984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92</xdr:row>
      <xdr:rowOff>0</xdr:rowOff>
    </xdr:from>
    <xdr:to>
      <xdr:col>27</xdr:col>
      <xdr:colOff>200025</xdr:colOff>
      <xdr:row>93</xdr:row>
      <xdr:rowOff>9525</xdr:rowOff>
    </xdr:to>
    <xdr:sp macro="" textlink="">
      <xdr:nvSpPr>
        <xdr:cNvPr id="1325" name="Rectangle 3643"/>
        <xdr:cNvSpPr>
          <a:spLocks noChangeArrowheads="1"/>
        </xdr:cNvSpPr>
      </xdr:nvSpPr>
      <xdr:spPr bwMode="auto">
        <a:xfrm>
          <a:off x="9163050" y="254984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92</xdr:row>
      <xdr:rowOff>0</xdr:rowOff>
    </xdr:from>
    <xdr:to>
      <xdr:col>27</xdr:col>
      <xdr:colOff>200025</xdr:colOff>
      <xdr:row>93</xdr:row>
      <xdr:rowOff>9525</xdr:rowOff>
    </xdr:to>
    <xdr:sp macro="" textlink="">
      <xdr:nvSpPr>
        <xdr:cNvPr id="1326" name="Rectangle 3644"/>
        <xdr:cNvSpPr>
          <a:spLocks noChangeArrowheads="1"/>
        </xdr:cNvSpPr>
      </xdr:nvSpPr>
      <xdr:spPr bwMode="auto">
        <a:xfrm>
          <a:off x="9163050" y="254984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92</xdr:row>
      <xdr:rowOff>0</xdr:rowOff>
    </xdr:from>
    <xdr:to>
      <xdr:col>27</xdr:col>
      <xdr:colOff>200025</xdr:colOff>
      <xdr:row>93</xdr:row>
      <xdr:rowOff>9525</xdr:rowOff>
    </xdr:to>
    <xdr:sp macro="" textlink="">
      <xdr:nvSpPr>
        <xdr:cNvPr id="1327" name="Rectangle 3645"/>
        <xdr:cNvSpPr>
          <a:spLocks noChangeArrowheads="1"/>
        </xdr:cNvSpPr>
      </xdr:nvSpPr>
      <xdr:spPr bwMode="auto">
        <a:xfrm>
          <a:off x="9163050" y="254984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92</xdr:row>
      <xdr:rowOff>0</xdr:rowOff>
    </xdr:from>
    <xdr:to>
      <xdr:col>27</xdr:col>
      <xdr:colOff>200025</xdr:colOff>
      <xdr:row>93</xdr:row>
      <xdr:rowOff>9525</xdr:rowOff>
    </xdr:to>
    <xdr:sp macro="" textlink="">
      <xdr:nvSpPr>
        <xdr:cNvPr id="1328" name="Rectangle 3646"/>
        <xdr:cNvSpPr>
          <a:spLocks noChangeArrowheads="1"/>
        </xdr:cNvSpPr>
      </xdr:nvSpPr>
      <xdr:spPr bwMode="auto">
        <a:xfrm>
          <a:off x="9163050" y="254984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92</xdr:row>
      <xdr:rowOff>0</xdr:rowOff>
    </xdr:from>
    <xdr:to>
      <xdr:col>27</xdr:col>
      <xdr:colOff>200025</xdr:colOff>
      <xdr:row>93</xdr:row>
      <xdr:rowOff>9525</xdr:rowOff>
    </xdr:to>
    <xdr:sp macro="" textlink="">
      <xdr:nvSpPr>
        <xdr:cNvPr id="1329" name="Rectangle 3647"/>
        <xdr:cNvSpPr>
          <a:spLocks noChangeArrowheads="1"/>
        </xdr:cNvSpPr>
      </xdr:nvSpPr>
      <xdr:spPr bwMode="auto">
        <a:xfrm>
          <a:off x="9163050" y="254984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92</xdr:row>
      <xdr:rowOff>0</xdr:rowOff>
    </xdr:from>
    <xdr:to>
      <xdr:col>27</xdr:col>
      <xdr:colOff>200025</xdr:colOff>
      <xdr:row>93</xdr:row>
      <xdr:rowOff>9525</xdr:rowOff>
    </xdr:to>
    <xdr:sp macro="" textlink="">
      <xdr:nvSpPr>
        <xdr:cNvPr id="1330" name="Rectangle 3648"/>
        <xdr:cNvSpPr>
          <a:spLocks noChangeArrowheads="1"/>
        </xdr:cNvSpPr>
      </xdr:nvSpPr>
      <xdr:spPr bwMode="auto">
        <a:xfrm>
          <a:off x="9163050" y="254984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92</xdr:row>
      <xdr:rowOff>0</xdr:rowOff>
    </xdr:from>
    <xdr:to>
      <xdr:col>27</xdr:col>
      <xdr:colOff>200025</xdr:colOff>
      <xdr:row>93</xdr:row>
      <xdr:rowOff>9525</xdr:rowOff>
    </xdr:to>
    <xdr:sp macro="" textlink="">
      <xdr:nvSpPr>
        <xdr:cNvPr id="1331" name="Rectangle 3649"/>
        <xdr:cNvSpPr>
          <a:spLocks noChangeArrowheads="1"/>
        </xdr:cNvSpPr>
      </xdr:nvSpPr>
      <xdr:spPr bwMode="auto">
        <a:xfrm>
          <a:off x="9163050" y="254984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92</xdr:row>
      <xdr:rowOff>0</xdr:rowOff>
    </xdr:from>
    <xdr:to>
      <xdr:col>27</xdr:col>
      <xdr:colOff>200025</xdr:colOff>
      <xdr:row>93</xdr:row>
      <xdr:rowOff>9525</xdr:rowOff>
    </xdr:to>
    <xdr:sp macro="" textlink="">
      <xdr:nvSpPr>
        <xdr:cNvPr id="1332" name="Rectangle 3650"/>
        <xdr:cNvSpPr>
          <a:spLocks noChangeArrowheads="1"/>
        </xdr:cNvSpPr>
      </xdr:nvSpPr>
      <xdr:spPr bwMode="auto">
        <a:xfrm>
          <a:off x="9163050" y="254984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180975</xdr:colOff>
      <xdr:row>92</xdr:row>
      <xdr:rowOff>0</xdr:rowOff>
    </xdr:from>
    <xdr:to>
      <xdr:col>27</xdr:col>
      <xdr:colOff>190500</xdr:colOff>
      <xdr:row>93</xdr:row>
      <xdr:rowOff>9525</xdr:rowOff>
    </xdr:to>
    <xdr:sp macro="" textlink="">
      <xdr:nvSpPr>
        <xdr:cNvPr id="1333" name="Rectangle 3651"/>
        <xdr:cNvSpPr>
          <a:spLocks noChangeArrowheads="1"/>
        </xdr:cNvSpPr>
      </xdr:nvSpPr>
      <xdr:spPr bwMode="auto">
        <a:xfrm>
          <a:off x="9153525" y="254984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92</xdr:row>
      <xdr:rowOff>0</xdr:rowOff>
    </xdr:from>
    <xdr:to>
      <xdr:col>27</xdr:col>
      <xdr:colOff>200025</xdr:colOff>
      <xdr:row>93</xdr:row>
      <xdr:rowOff>9525</xdr:rowOff>
    </xdr:to>
    <xdr:sp macro="" textlink="">
      <xdr:nvSpPr>
        <xdr:cNvPr id="1334" name="Rectangle 3652"/>
        <xdr:cNvSpPr>
          <a:spLocks noChangeArrowheads="1"/>
        </xdr:cNvSpPr>
      </xdr:nvSpPr>
      <xdr:spPr bwMode="auto">
        <a:xfrm>
          <a:off x="9163050" y="254984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91</xdr:row>
      <xdr:rowOff>323490</xdr:rowOff>
    </xdr:from>
    <xdr:to>
      <xdr:col>27</xdr:col>
      <xdr:colOff>200025</xdr:colOff>
      <xdr:row>92</xdr:row>
      <xdr:rowOff>270115</xdr:rowOff>
    </xdr:to>
    <xdr:sp macro="" textlink="">
      <xdr:nvSpPr>
        <xdr:cNvPr id="1335" name="Rectangle 3653"/>
        <xdr:cNvSpPr>
          <a:spLocks noChangeArrowheads="1"/>
        </xdr:cNvSpPr>
      </xdr:nvSpPr>
      <xdr:spPr bwMode="auto">
        <a:xfrm>
          <a:off x="9163050" y="25479015"/>
          <a:ext cx="457200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26</xdr:col>
      <xdr:colOff>190500</xdr:colOff>
      <xdr:row>128</xdr:row>
      <xdr:rowOff>0</xdr:rowOff>
    </xdr:from>
    <xdr:to>
      <xdr:col>27</xdr:col>
      <xdr:colOff>200025</xdr:colOff>
      <xdr:row>129</xdr:row>
      <xdr:rowOff>9525</xdr:rowOff>
    </xdr:to>
    <xdr:sp macro="" textlink="">
      <xdr:nvSpPr>
        <xdr:cNvPr id="1336" name="Rectangle 3654"/>
        <xdr:cNvSpPr>
          <a:spLocks noChangeArrowheads="1"/>
        </xdr:cNvSpPr>
      </xdr:nvSpPr>
      <xdr:spPr bwMode="auto">
        <a:xfrm>
          <a:off x="9163050" y="353187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128</xdr:row>
      <xdr:rowOff>0</xdr:rowOff>
    </xdr:from>
    <xdr:to>
      <xdr:col>27</xdr:col>
      <xdr:colOff>200025</xdr:colOff>
      <xdr:row>129</xdr:row>
      <xdr:rowOff>9525</xdr:rowOff>
    </xdr:to>
    <xdr:sp macro="" textlink="">
      <xdr:nvSpPr>
        <xdr:cNvPr id="1337" name="Rectangle 3655"/>
        <xdr:cNvSpPr>
          <a:spLocks noChangeArrowheads="1"/>
        </xdr:cNvSpPr>
      </xdr:nvSpPr>
      <xdr:spPr bwMode="auto">
        <a:xfrm>
          <a:off x="9163050" y="353187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128</xdr:row>
      <xdr:rowOff>0</xdr:rowOff>
    </xdr:from>
    <xdr:to>
      <xdr:col>27</xdr:col>
      <xdr:colOff>200025</xdr:colOff>
      <xdr:row>129</xdr:row>
      <xdr:rowOff>9525</xdr:rowOff>
    </xdr:to>
    <xdr:sp macro="" textlink="">
      <xdr:nvSpPr>
        <xdr:cNvPr id="1338" name="Rectangle 3656"/>
        <xdr:cNvSpPr>
          <a:spLocks noChangeArrowheads="1"/>
        </xdr:cNvSpPr>
      </xdr:nvSpPr>
      <xdr:spPr bwMode="auto">
        <a:xfrm>
          <a:off x="9163050" y="353187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128</xdr:row>
      <xdr:rowOff>0</xdr:rowOff>
    </xdr:from>
    <xdr:to>
      <xdr:col>27</xdr:col>
      <xdr:colOff>200025</xdr:colOff>
      <xdr:row>129</xdr:row>
      <xdr:rowOff>9525</xdr:rowOff>
    </xdr:to>
    <xdr:sp macro="" textlink="">
      <xdr:nvSpPr>
        <xdr:cNvPr id="1339" name="Rectangle 3657"/>
        <xdr:cNvSpPr>
          <a:spLocks noChangeArrowheads="1"/>
        </xdr:cNvSpPr>
      </xdr:nvSpPr>
      <xdr:spPr bwMode="auto">
        <a:xfrm>
          <a:off x="9163050" y="353187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128</xdr:row>
      <xdr:rowOff>0</xdr:rowOff>
    </xdr:from>
    <xdr:to>
      <xdr:col>27</xdr:col>
      <xdr:colOff>200025</xdr:colOff>
      <xdr:row>129</xdr:row>
      <xdr:rowOff>9525</xdr:rowOff>
    </xdr:to>
    <xdr:sp macro="" textlink="">
      <xdr:nvSpPr>
        <xdr:cNvPr id="1340" name="Rectangle 3658"/>
        <xdr:cNvSpPr>
          <a:spLocks noChangeArrowheads="1"/>
        </xdr:cNvSpPr>
      </xdr:nvSpPr>
      <xdr:spPr bwMode="auto">
        <a:xfrm>
          <a:off x="9163050" y="353187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128</xdr:row>
      <xdr:rowOff>0</xdr:rowOff>
    </xdr:from>
    <xdr:to>
      <xdr:col>27</xdr:col>
      <xdr:colOff>200025</xdr:colOff>
      <xdr:row>129</xdr:row>
      <xdr:rowOff>9525</xdr:rowOff>
    </xdr:to>
    <xdr:sp macro="" textlink="">
      <xdr:nvSpPr>
        <xdr:cNvPr id="1341" name="Rectangle 3659"/>
        <xdr:cNvSpPr>
          <a:spLocks noChangeArrowheads="1"/>
        </xdr:cNvSpPr>
      </xdr:nvSpPr>
      <xdr:spPr bwMode="auto">
        <a:xfrm>
          <a:off x="9163050" y="353187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128</xdr:row>
      <xdr:rowOff>0</xdr:rowOff>
    </xdr:from>
    <xdr:to>
      <xdr:col>27</xdr:col>
      <xdr:colOff>200025</xdr:colOff>
      <xdr:row>129</xdr:row>
      <xdr:rowOff>9525</xdr:rowOff>
    </xdr:to>
    <xdr:sp macro="" textlink="">
      <xdr:nvSpPr>
        <xdr:cNvPr id="1342" name="Rectangle 3660"/>
        <xdr:cNvSpPr>
          <a:spLocks noChangeArrowheads="1"/>
        </xdr:cNvSpPr>
      </xdr:nvSpPr>
      <xdr:spPr bwMode="auto">
        <a:xfrm>
          <a:off x="9163050" y="353187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128</xdr:row>
      <xdr:rowOff>0</xdr:rowOff>
    </xdr:from>
    <xdr:to>
      <xdr:col>27</xdr:col>
      <xdr:colOff>200025</xdr:colOff>
      <xdr:row>129</xdr:row>
      <xdr:rowOff>9525</xdr:rowOff>
    </xdr:to>
    <xdr:sp macro="" textlink="">
      <xdr:nvSpPr>
        <xdr:cNvPr id="1343" name="Rectangle 3661"/>
        <xdr:cNvSpPr>
          <a:spLocks noChangeArrowheads="1"/>
        </xdr:cNvSpPr>
      </xdr:nvSpPr>
      <xdr:spPr bwMode="auto">
        <a:xfrm>
          <a:off x="9163050" y="353187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128</xdr:row>
      <xdr:rowOff>0</xdr:rowOff>
    </xdr:from>
    <xdr:to>
      <xdr:col>27</xdr:col>
      <xdr:colOff>200025</xdr:colOff>
      <xdr:row>129</xdr:row>
      <xdr:rowOff>9525</xdr:rowOff>
    </xdr:to>
    <xdr:sp macro="" textlink="">
      <xdr:nvSpPr>
        <xdr:cNvPr id="1344" name="Rectangle 3662"/>
        <xdr:cNvSpPr>
          <a:spLocks noChangeArrowheads="1"/>
        </xdr:cNvSpPr>
      </xdr:nvSpPr>
      <xdr:spPr bwMode="auto">
        <a:xfrm>
          <a:off x="9163050" y="353187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128</xdr:row>
      <xdr:rowOff>0</xdr:rowOff>
    </xdr:from>
    <xdr:to>
      <xdr:col>27</xdr:col>
      <xdr:colOff>200025</xdr:colOff>
      <xdr:row>129</xdr:row>
      <xdr:rowOff>9525</xdr:rowOff>
    </xdr:to>
    <xdr:sp macro="" textlink="">
      <xdr:nvSpPr>
        <xdr:cNvPr id="1345" name="Rectangle 3663"/>
        <xdr:cNvSpPr>
          <a:spLocks noChangeArrowheads="1"/>
        </xdr:cNvSpPr>
      </xdr:nvSpPr>
      <xdr:spPr bwMode="auto">
        <a:xfrm>
          <a:off x="9163050" y="353187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180975</xdr:colOff>
      <xdr:row>128</xdr:row>
      <xdr:rowOff>0</xdr:rowOff>
    </xdr:from>
    <xdr:to>
      <xdr:col>27</xdr:col>
      <xdr:colOff>190500</xdr:colOff>
      <xdr:row>129</xdr:row>
      <xdr:rowOff>9525</xdr:rowOff>
    </xdr:to>
    <xdr:sp macro="" textlink="">
      <xdr:nvSpPr>
        <xdr:cNvPr id="1346" name="Rectangle 3664"/>
        <xdr:cNvSpPr>
          <a:spLocks noChangeArrowheads="1"/>
        </xdr:cNvSpPr>
      </xdr:nvSpPr>
      <xdr:spPr bwMode="auto">
        <a:xfrm>
          <a:off x="9153525" y="353187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128</xdr:row>
      <xdr:rowOff>0</xdr:rowOff>
    </xdr:from>
    <xdr:to>
      <xdr:col>27</xdr:col>
      <xdr:colOff>200025</xdr:colOff>
      <xdr:row>129</xdr:row>
      <xdr:rowOff>9525</xdr:rowOff>
    </xdr:to>
    <xdr:sp macro="" textlink="">
      <xdr:nvSpPr>
        <xdr:cNvPr id="1347" name="Rectangle 3665"/>
        <xdr:cNvSpPr>
          <a:spLocks noChangeArrowheads="1"/>
        </xdr:cNvSpPr>
      </xdr:nvSpPr>
      <xdr:spPr bwMode="auto">
        <a:xfrm>
          <a:off x="9163050" y="3531870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128</xdr:row>
      <xdr:rowOff>4728</xdr:rowOff>
    </xdr:from>
    <xdr:to>
      <xdr:col>27</xdr:col>
      <xdr:colOff>200025</xdr:colOff>
      <xdr:row>129</xdr:row>
      <xdr:rowOff>11509</xdr:rowOff>
    </xdr:to>
    <xdr:sp macro="" textlink="">
      <xdr:nvSpPr>
        <xdr:cNvPr id="1348" name="Rectangle 3666"/>
        <xdr:cNvSpPr>
          <a:spLocks noChangeArrowheads="1"/>
        </xdr:cNvSpPr>
      </xdr:nvSpPr>
      <xdr:spPr bwMode="auto">
        <a:xfrm>
          <a:off x="9163050" y="35323428"/>
          <a:ext cx="457200" cy="28300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26</xdr:col>
      <xdr:colOff>190500</xdr:colOff>
      <xdr:row>164</xdr:row>
      <xdr:rowOff>0</xdr:rowOff>
    </xdr:from>
    <xdr:to>
      <xdr:col>27</xdr:col>
      <xdr:colOff>200025</xdr:colOff>
      <xdr:row>165</xdr:row>
      <xdr:rowOff>9525</xdr:rowOff>
    </xdr:to>
    <xdr:sp macro="" textlink="">
      <xdr:nvSpPr>
        <xdr:cNvPr id="1349" name="Rectangle 3667"/>
        <xdr:cNvSpPr>
          <a:spLocks noChangeArrowheads="1"/>
        </xdr:cNvSpPr>
      </xdr:nvSpPr>
      <xdr:spPr bwMode="auto">
        <a:xfrm>
          <a:off x="9163050" y="4529137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164</xdr:row>
      <xdr:rowOff>0</xdr:rowOff>
    </xdr:from>
    <xdr:to>
      <xdr:col>27</xdr:col>
      <xdr:colOff>200025</xdr:colOff>
      <xdr:row>165</xdr:row>
      <xdr:rowOff>9525</xdr:rowOff>
    </xdr:to>
    <xdr:sp macro="" textlink="">
      <xdr:nvSpPr>
        <xdr:cNvPr id="1350" name="Rectangle 3668"/>
        <xdr:cNvSpPr>
          <a:spLocks noChangeArrowheads="1"/>
        </xdr:cNvSpPr>
      </xdr:nvSpPr>
      <xdr:spPr bwMode="auto">
        <a:xfrm>
          <a:off x="9163050" y="4529137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164</xdr:row>
      <xdr:rowOff>0</xdr:rowOff>
    </xdr:from>
    <xdr:to>
      <xdr:col>27</xdr:col>
      <xdr:colOff>200025</xdr:colOff>
      <xdr:row>165</xdr:row>
      <xdr:rowOff>9525</xdr:rowOff>
    </xdr:to>
    <xdr:sp macro="" textlink="">
      <xdr:nvSpPr>
        <xdr:cNvPr id="1351" name="Rectangle 3669"/>
        <xdr:cNvSpPr>
          <a:spLocks noChangeArrowheads="1"/>
        </xdr:cNvSpPr>
      </xdr:nvSpPr>
      <xdr:spPr bwMode="auto">
        <a:xfrm>
          <a:off x="9163050" y="4529137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164</xdr:row>
      <xdr:rowOff>0</xdr:rowOff>
    </xdr:from>
    <xdr:to>
      <xdr:col>27</xdr:col>
      <xdr:colOff>200025</xdr:colOff>
      <xdr:row>165</xdr:row>
      <xdr:rowOff>9525</xdr:rowOff>
    </xdr:to>
    <xdr:sp macro="" textlink="">
      <xdr:nvSpPr>
        <xdr:cNvPr id="1352" name="Rectangle 3670"/>
        <xdr:cNvSpPr>
          <a:spLocks noChangeArrowheads="1"/>
        </xdr:cNvSpPr>
      </xdr:nvSpPr>
      <xdr:spPr bwMode="auto">
        <a:xfrm>
          <a:off x="9163050" y="4529137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164</xdr:row>
      <xdr:rowOff>0</xdr:rowOff>
    </xdr:from>
    <xdr:to>
      <xdr:col>27</xdr:col>
      <xdr:colOff>200025</xdr:colOff>
      <xdr:row>165</xdr:row>
      <xdr:rowOff>9525</xdr:rowOff>
    </xdr:to>
    <xdr:sp macro="" textlink="">
      <xdr:nvSpPr>
        <xdr:cNvPr id="1353" name="Rectangle 3671"/>
        <xdr:cNvSpPr>
          <a:spLocks noChangeArrowheads="1"/>
        </xdr:cNvSpPr>
      </xdr:nvSpPr>
      <xdr:spPr bwMode="auto">
        <a:xfrm>
          <a:off x="9163050" y="4529137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164</xdr:row>
      <xdr:rowOff>0</xdr:rowOff>
    </xdr:from>
    <xdr:to>
      <xdr:col>27</xdr:col>
      <xdr:colOff>200025</xdr:colOff>
      <xdr:row>165</xdr:row>
      <xdr:rowOff>9525</xdr:rowOff>
    </xdr:to>
    <xdr:sp macro="" textlink="">
      <xdr:nvSpPr>
        <xdr:cNvPr id="1354" name="Rectangle 3672"/>
        <xdr:cNvSpPr>
          <a:spLocks noChangeArrowheads="1"/>
        </xdr:cNvSpPr>
      </xdr:nvSpPr>
      <xdr:spPr bwMode="auto">
        <a:xfrm>
          <a:off x="9163050" y="4529137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164</xdr:row>
      <xdr:rowOff>0</xdr:rowOff>
    </xdr:from>
    <xdr:to>
      <xdr:col>27</xdr:col>
      <xdr:colOff>200025</xdr:colOff>
      <xdr:row>165</xdr:row>
      <xdr:rowOff>9525</xdr:rowOff>
    </xdr:to>
    <xdr:sp macro="" textlink="">
      <xdr:nvSpPr>
        <xdr:cNvPr id="1355" name="Rectangle 3673"/>
        <xdr:cNvSpPr>
          <a:spLocks noChangeArrowheads="1"/>
        </xdr:cNvSpPr>
      </xdr:nvSpPr>
      <xdr:spPr bwMode="auto">
        <a:xfrm>
          <a:off x="9163050" y="4529137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164</xdr:row>
      <xdr:rowOff>0</xdr:rowOff>
    </xdr:from>
    <xdr:to>
      <xdr:col>27</xdr:col>
      <xdr:colOff>200025</xdr:colOff>
      <xdr:row>165</xdr:row>
      <xdr:rowOff>9525</xdr:rowOff>
    </xdr:to>
    <xdr:sp macro="" textlink="">
      <xdr:nvSpPr>
        <xdr:cNvPr id="1356" name="Rectangle 3674"/>
        <xdr:cNvSpPr>
          <a:spLocks noChangeArrowheads="1"/>
        </xdr:cNvSpPr>
      </xdr:nvSpPr>
      <xdr:spPr bwMode="auto">
        <a:xfrm>
          <a:off x="9163050" y="4529137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164</xdr:row>
      <xdr:rowOff>0</xdr:rowOff>
    </xdr:from>
    <xdr:to>
      <xdr:col>27</xdr:col>
      <xdr:colOff>200025</xdr:colOff>
      <xdr:row>165</xdr:row>
      <xdr:rowOff>9525</xdr:rowOff>
    </xdr:to>
    <xdr:sp macro="" textlink="">
      <xdr:nvSpPr>
        <xdr:cNvPr id="1357" name="Rectangle 3675"/>
        <xdr:cNvSpPr>
          <a:spLocks noChangeArrowheads="1"/>
        </xdr:cNvSpPr>
      </xdr:nvSpPr>
      <xdr:spPr bwMode="auto">
        <a:xfrm>
          <a:off x="9163050" y="4529137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164</xdr:row>
      <xdr:rowOff>0</xdr:rowOff>
    </xdr:from>
    <xdr:to>
      <xdr:col>27</xdr:col>
      <xdr:colOff>200025</xdr:colOff>
      <xdr:row>165</xdr:row>
      <xdr:rowOff>9525</xdr:rowOff>
    </xdr:to>
    <xdr:sp macro="" textlink="">
      <xdr:nvSpPr>
        <xdr:cNvPr id="1358" name="Rectangle 3676"/>
        <xdr:cNvSpPr>
          <a:spLocks noChangeArrowheads="1"/>
        </xdr:cNvSpPr>
      </xdr:nvSpPr>
      <xdr:spPr bwMode="auto">
        <a:xfrm>
          <a:off x="9163050" y="4529137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180975</xdr:colOff>
      <xdr:row>164</xdr:row>
      <xdr:rowOff>0</xdr:rowOff>
    </xdr:from>
    <xdr:to>
      <xdr:col>27</xdr:col>
      <xdr:colOff>190500</xdr:colOff>
      <xdr:row>165</xdr:row>
      <xdr:rowOff>9525</xdr:rowOff>
    </xdr:to>
    <xdr:sp macro="" textlink="">
      <xdr:nvSpPr>
        <xdr:cNvPr id="1359" name="Rectangle 3677"/>
        <xdr:cNvSpPr>
          <a:spLocks noChangeArrowheads="1"/>
        </xdr:cNvSpPr>
      </xdr:nvSpPr>
      <xdr:spPr bwMode="auto">
        <a:xfrm>
          <a:off x="9153525" y="4529137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164</xdr:row>
      <xdr:rowOff>0</xdr:rowOff>
    </xdr:from>
    <xdr:to>
      <xdr:col>27</xdr:col>
      <xdr:colOff>200025</xdr:colOff>
      <xdr:row>165</xdr:row>
      <xdr:rowOff>9525</xdr:rowOff>
    </xdr:to>
    <xdr:sp macro="" textlink="">
      <xdr:nvSpPr>
        <xdr:cNvPr id="1360" name="Rectangle 3678"/>
        <xdr:cNvSpPr>
          <a:spLocks noChangeArrowheads="1"/>
        </xdr:cNvSpPr>
      </xdr:nvSpPr>
      <xdr:spPr bwMode="auto">
        <a:xfrm>
          <a:off x="9163050" y="4529137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163</xdr:row>
      <xdr:rowOff>314505</xdr:rowOff>
    </xdr:from>
    <xdr:to>
      <xdr:col>27</xdr:col>
      <xdr:colOff>200025</xdr:colOff>
      <xdr:row>165</xdr:row>
      <xdr:rowOff>9525</xdr:rowOff>
    </xdr:to>
    <xdr:sp macro="" textlink="">
      <xdr:nvSpPr>
        <xdr:cNvPr id="1361" name="Rectangle 3679"/>
        <xdr:cNvSpPr>
          <a:spLocks noChangeArrowheads="1"/>
        </xdr:cNvSpPr>
      </xdr:nvSpPr>
      <xdr:spPr bwMode="auto">
        <a:xfrm>
          <a:off x="9163050" y="45262980"/>
          <a:ext cx="457200" cy="3141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199</xdr:row>
      <xdr:rowOff>0</xdr:rowOff>
    </xdr:from>
    <xdr:to>
      <xdr:col>27</xdr:col>
      <xdr:colOff>200025</xdr:colOff>
      <xdr:row>200</xdr:row>
      <xdr:rowOff>9525</xdr:rowOff>
    </xdr:to>
    <xdr:sp macro="" textlink="">
      <xdr:nvSpPr>
        <xdr:cNvPr id="1362" name="Rectangle 3680"/>
        <xdr:cNvSpPr>
          <a:spLocks noChangeArrowheads="1"/>
        </xdr:cNvSpPr>
      </xdr:nvSpPr>
      <xdr:spPr bwMode="auto">
        <a:xfrm>
          <a:off x="9163050" y="549211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26</xdr:col>
      <xdr:colOff>190500</xdr:colOff>
      <xdr:row>199</xdr:row>
      <xdr:rowOff>0</xdr:rowOff>
    </xdr:from>
    <xdr:to>
      <xdr:col>27</xdr:col>
      <xdr:colOff>200025</xdr:colOff>
      <xdr:row>200</xdr:row>
      <xdr:rowOff>9525</xdr:rowOff>
    </xdr:to>
    <xdr:sp macro="" textlink="">
      <xdr:nvSpPr>
        <xdr:cNvPr id="1363" name="Rectangle 3681"/>
        <xdr:cNvSpPr>
          <a:spLocks noChangeArrowheads="1"/>
        </xdr:cNvSpPr>
      </xdr:nvSpPr>
      <xdr:spPr bwMode="auto">
        <a:xfrm>
          <a:off x="9163050" y="549211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199</xdr:row>
      <xdr:rowOff>0</xdr:rowOff>
    </xdr:from>
    <xdr:to>
      <xdr:col>27</xdr:col>
      <xdr:colOff>200025</xdr:colOff>
      <xdr:row>200</xdr:row>
      <xdr:rowOff>9525</xdr:rowOff>
    </xdr:to>
    <xdr:sp macro="" textlink="">
      <xdr:nvSpPr>
        <xdr:cNvPr id="1364" name="Rectangle 3682"/>
        <xdr:cNvSpPr>
          <a:spLocks noChangeArrowheads="1"/>
        </xdr:cNvSpPr>
      </xdr:nvSpPr>
      <xdr:spPr bwMode="auto">
        <a:xfrm>
          <a:off x="9163050" y="549211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199</xdr:row>
      <xdr:rowOff>0</xdr:rowOff>
    </xdr:from>
    <xdr:to>
      <xdr:col>27</xdr:col>
      <xdr:colOff>200025</xdr:colOff>
      <xdr:row>200</xdr:row>
      <xdr:rowOff>9525</xdr:rowOff>
    </xdr:to>
    <xdr:sp macro="" textlink="">
      <xdr:nvSpPr>
        <xdr:cNvPr id="1365" name="Rectangle 3683"/>
        <xdr:cNvSpPr>
          <a:spLocks noChangeArrowheads="1"/>
        </xdr:cNvSpPr>
      </xdr:nvSpPr>
      <xdr:spPr bwMode="auto">
        <a:xfrm>
          <a:off x="9163050" y="549211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199</xdr:row>
      <xdr:rowOff>0</xdr:rowOff>
    </xdr:from>
    <xdr:to>
      <xdr:col>27</xdr:col>
      <xdr:colOff>200025</xdr:colOff>
      <xdr:row>200</xdr:row>
      <xdr:rowOff>9525</xdr:rowOff>
    </xdr:to>
    <xdr:sp macro="" textlink="">
      <xdr:nvSpPr>
        <xdr:cNvPr id="1366" name="Rectangle 3684"/>
        <xdr:cNvSpPr>
          <a:spLocks noChangeArrowheads="1"/>
        </xdr:cNvSpPr>
      </xdr:nvSpPr>
      <xdr:spPr bwMode="auto">
        <a:xfrm>
          <a:off x="9163050" y="549211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26</xdr:col>
      <xdr:colOff>190500</xdr:colOff>
      <xdr:row>199</xdr:row>
      <xdr:rowOff>0</xdr:rowOff>
    </xdr:from>
    <xdr:to>
      <xdr:col>27</xdr:col>
      <xdr:colOff>200025</xdr:colOff>
      <xdr:row>200</xdr:row>
      <xdr:rowOff>9525</xdr:rowOff>
    </xdr:to>
    <xdr:sp macro="" textlink="">
      <xdr:nvSpPr>
        <xdr:cNvPr id="1367" name="Rectangle 3685"/>
        <xdr:cNvSpPr>
          <a:spLocks noChangeArrowheads="1"/>
        </xdr:cNvSpPr>
      </xdr:nvSpPr>
      <xdr:spPr bwMode="auto">
        <a:xfrm>
          <a:off x="9163050" y="549211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199</xdr:row>
      <xdr:rowOff>0</xdr:rowOff>
    </xdr:from>
    <xdr:to>
      <xdr:col>27</xdr:col>
      <xdr:colOff>200025</xdr:colOff>
      <xdr:row>200</xdr:row>
      <xdr:rowOff>9525</xdr:rowOff>
    </xdr:to>
    <xdr:sp macro="" textlink="">
      <xdr:nvSpPr>
        <xdr:cNvPr id="1368" name="Rectangle 3686"/>
        <xdr:cNvSpPr>
          <a:spLocks noChangeArrowheads="1"/>
        </xdr:cNvSpPr>
      </xdr:nvSpPr>
      <xdr:spPr bwMode="auto">
        <a:xfrm>
          <a:off x="9163050" y="549211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199</xdr:row>
      <xdr:rowOff>0</xdr:rowOff>
    </xdr:from>
    <xdr:to>
      <xdr:col>27</xdr:col>
      <xdr:colOff>200025</xdr:colOff>
      <xdr:row>200</xdr:row>
      <xdr:rowOff>9525</xdr:rowOff>
    </xdr:to>
    <xdr:sp macro="" textlink="">
      <xdr:nvSpPr>
        <xdr:cNvPr id="1369" name="Rectangle 3687"/>
        <xdr:cNvSpPr>
          <a:spLocks noChangeArrowheads="1"/>
        </xdr:cNvSpPr>
      </xdr:nvSpPr>
      <xdr:spPr bwMode="auto">
        <a:xfrm>
          <a:off x="9163050" y="549211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pPr algn="ctr"/>
          <a:r>
            <a:rPr lang="en-US" sz="1200">
              <a:latin typeface="Arial" pitchFamily="34" charset="0"/>
              <a:cs typeface="Arial" pitchFamily="34" charset="0"/>
            </a:rPr>
            <a:t>B</a:t>
          </a:r>
        </a:p>
      </xdr:txBody>
    </xdr:sp>
    <xdr:clientData/>
  </xdr:twoCellAnchor>
  <xdr:twoCellAnchor>
    <xdr:from>
      <xdr:col>26</xdr:col>
      <xdr:colOff>190500</xdr:colOff>
      <xdr:row>211</xdr:row>
      <xdr:rowOff>0</xdr:rowOff>
    </xdr:from>
    <xdr:to>
      <xdr:col>27</xdr:col>
      <xdr:colOff>200025</xdr:colOff>
      <xdr:row>211</xdr:row>
      <xdr:rowOff>0</xdr:rowOff>
    </xdr:to>
    <xdr:sp macro="" textlink="">
      <xdr:nvSpPr>
        <xdr:cNvPr id="1370" name="Rectangle 3693"/>
        <xdr:cNvSpPr>
          <a:spLocks noChangeArrowheads="1"/>
        </xdr:cNvSpPr>
      </xdr:nvSpPr>
      <xdr:spPr bwMode="auto">
        <a:xfrm>
          <a:off x="9163050" y="58102500"/>
          <a:ext cx="457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211</xdr:row>
      <xdr:rowOff>0</xdr:rowOff>
    </xdr:from>
    <xdr:to>
      <xdr:col>27</xdr:col>
      <xdr:colOff>200025</xdr:colOff>
      <xdr:row>211</xdr:row>
      <xdr:rowOff>0</xdr:rowOff>
    </xdr:to>
    <xdr:sp macro="" textlink="">
      <xdr:nvSpPr>
        <xdr:cNvPr id="1371" name="Rectangle 3694"/>
        <xdr:cNvSpPr>
          <a:spLocks noChangeArrowheads="1"/>
        </xdr:cNvSpPr>
      </xdr:nvSpPr>
      <xdr:spPr bwMode="auto">
        <a:xfrm>
          <a:off x="9163050" y="58102500"/>
          <a:ext cx="457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211</xdr:row>
      <xdr:rowOff>0</xdr:rowOff>
    </xdr:from>
    <xdr:to>
      <xdr:col>27</xdr:col>
      <xdr:colOff>200025</xdr:colOff>
      <xdr:row>211</xdr:row>
      <xdr:rowOff>0</xdr:rowOff>
    </xdr:to>
    <xdr:sp macro="" textlink="">
      <xdr:nvSpPr>
        <xdr:cNvPr id="1372" name="Rectangle 3695"/>
        <xdr:cNvSpPr>
          <a:spLocks noChangeArrowheads="1"/>
        </xdr:cNvSpPr>
      </xdr:nvSpPr>
      <xdr:spPr bwMode="auto">
        <a:xfrm>
          <a:off x="9163050" y="58102500"/>
          <a:ext cx="457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211</xdr:row>
      <xdr:rowOff>0</xdr:rowOff>
    </xdr:from>
    <xdr:to>
      <xdr:col>27</xdr:col>
      <xdr:colOff>200025</xdr:colOff>
      <xdr:row>211</xdr:row>
      <xdr:rowOff>0</xdr:rowOff>
    </xdr:to>
    <xdr:sp macro="" textlink="">
      <xdr:nvSpPr>
        <xdr:cNvPr id="1373" name="Rectangle 3696"/>
        <xdr:cNvSpPr>
          <a:spLocks noChangeArrowheads="1"/>
        </xdr:cNvSpPr>
      </xdr:nvSpPr>
      <xdr:spPr bwMode="auto">
        <a:xfrm>
          <a:off x="9163050" y="58102500"/>
          <a:ext cx="457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180975</xdr:colOff>
      <xdr:row>211</xdr:row>
      <xdr:rowOff>0</xdr:rowOff>
    </xdr:from>
    <xdr:to>
      <xdr:col>27</xdr:col>
      <xdr:colOff>190500</xdr:colOff>
      <xdr:row>211</xdr:row>
      <xdr:rowOff>0</xdr:rowOff>
    </xdr:to>
    <xdr:sp macro="" textlink="">
      <xdr:nvSpPr>
        <xdr:cNvPr id="1374" name="Rectangle 3697"/>
        <xdr:cNvSpPr>
          <a:spLocks noChangeArrowheads="1"/>
        </xdr:cNvSpPr>
      </xdr:nvSpPr>
      <xdr:spPr bwMode="auto">
        <a:xfrm>
          <a:off x="9153525" y="58102500"/>
          <a:ext cx="457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211</xdr:row>
      <xdr:rowOff>0</xdr:rowOff>
    </xdr:from>
    <xdr:to>
      <xdr:col>27</xdr:col>
      <xdr:colOff>200025</xdr:colOff>
      <xdr:row>211</xdr:row>
      <xdr:rowOff>0</xdr:rowOff>
    </xdr:to>
    <xdr:sp macro="" textlink="">
      <xdr:nvSpPr>
        <xdr:cNvPr id="1375" name="Rectangle 3698"/>
        <xdr:cNvSpPr>
          <a:spLocks noChangeArrowheads="1"/>
        </xdr:cNvSpPr>
      </xdr:nvSpPr>
      <xdr:spPr bwMode="auto">
        <a:xfrm>
          <a:off x="9163050" y="58102500"/>
          <a:ext cx="457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211</xdr:row>
      <xdr:rowOff>0</xdr:rowOff>
    </xdr:from>
    <xdr:to>
      <xdr:col>27</xdr:col>
      <xdr:colOff>200025</xdr:colOff>
      <xdr:row>211</xdr:row>
      <xdr:rowOff>0</xdr:rowOff>
    </xdr:to>
    <xdr:sp macro="" textlink="">
      <xdr:nvSpPr>
        <xdr:cNvPr id="1376" name="Rectangle 3699"/>
        <xdr:cNvSpPr>
          <a:spLocks noChangeArrowheads="1"/>
        </xdr:cNvSpPr>
      </xdr:nvSpPr>
      <xdr:spPr bwMode="auto">
        <a:xfrm>
          <a:off x="9163050" y="58102500"/>
          <a:ext cx="457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234</xdr:row>
      <xdr:rowOff>0</xdr:rowOff>
    </xdr:from>
    <xdr:to>
      <xdr:col>27</xdr:col>
      <xdr:colOff>200025</xdr:colOff>
      <xdr:row>235</xdr:row>
      <xdr:rowOff>9525</xdr:rowOff>
    </xdr:to>
    <xdr:sp macro="" textlink="">
      <xdr:nvSpPr>
        <xdr:cNvPr id="1377" name="Rectangle 3700"/>
        <xdr:cNvSpPr>
          <a:spLocks noChangeArrowheads="1"/>
        </xdr:cNvSpPr>
      </xdr:nvSpPr>
      <xdr:spPr bwMode="auto">
        <a:xfrm>
          <a:off x="9163050" y="649700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234</xdr:row>
      <xdr:rowOff>0</xdr:rowOff>
    </xdr:from>
    <xdr:to>
      <xdr:col>27</xdr:col>
      <xdr:colOff>200025</xdr:colOff>
      <xdr:row>235</xdr:row>
      <xdr:rowOff>9525</xdr:rowOff>
    </xdr:to>
    <xdr:sp macro="" textlink="">
      <xdr:nvSpPr>
        <xdr:cNvPr id="1378" name="Rectangle 3701"/>
        <xdr:cNvSpPr>
          <a:spLocks noChangeArrowheads="1"/>
        </xdr:cNvSpPr>
      </xdr:nvSpPr>
      <xdr:spPr bwMode="auto">
        <a:xfrm>
          <a:off x="9163050" y="649700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234</xdr:row>
      <xdr:rowOff>0</xdr:rowOff>
    </xdr:from>
    <xdr:to>
      <xdr:col>27</xdr:col>
      <xdr:colOff>200025</xdr:colOff>
      <xdr:row>235</xdr:row>
      <xdr:rowOff>9525</xdr:rowOff>
    </xdr:to>
    <xdr:sp macro="" textlink="">
      <xdr:nvSpPr>
        <xdr:cNvPr id="1379" name="Rectangle 3702"/>
        <xdr:cNvSpPr>
          <a:spLocks noChangeArrowheads="1"/>
        </xdr:cNvSpPr>
      </xdr:nvSpPr>
      <xdr:spPr bwMode="auto">
        <a:xfrm>
          <a:off x="9163050" y="649700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234</xdr:row>
      <xdr:rowOff>0</xdr:rowOff>
    </xdr:from>
    <xdr:to>
      <xdr:col>27</xdr:col>
      <xdr:colOff>200025</xdr:colOff>
      <xdr:row>235</xdr:row>
      <xdr:rowOff>9525</xdr:rowOff>
    </xdr:to>
    <xdr:sp macro="" textlink="">
      <xdr:nvSpPr>
        <xdr:cNvPr id="1380" name="Rectangle 3703"/>
        <xdr:cNvSpPr>
          <a:spLocks noChangeArrowheads="1"/>
        </xdr:cNvSpPr>
      </xdr:nvSpPr>
      <xdr:spPr bwMode="auto">
        <a:xfrm>
          <a:off x="9163050" y="649700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234</xdr:row>
      <xdr:rowOff>0</xdr:rowOff>
    </xdr:from>
    <xdr:to>
      <xdr:col>27</xdr:col>
      <xdr:colOff>200025</xdr:colOff>
      <xdr:row>235</xdr:row>
      <xdr:rowOff>9525</xdr:rowOff>
    </xdr:to>
    <xdr:sp macro="" textlink="">
      <xdr:nvSpPr>
        <xdr:cNvPr id="1381" name="Rectangle 3704"/>
        <xdr:cNvSpPr>
          <a:spLocks noChangeArrowheads="1"/>
        </xdr:cNvSpPr>
      </xdr:nvSpPr>
      <xdr:spPr bwMode="auto">
        <a:xfrm>
          <a:off x="9163050" y="649700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26</xdr:col>
      <xdr:colOff>190500</xdr:colOff>
      <xdr:row>234</xdr:row>
      <xdr:rowOff>0</xdr:rowOff>
    </xdr:from>
    <xdr:to>
      <xdr:col>27</xdr:col>
      <xdr:colOff>200025</xdr:colOff>
      <xdr:row>235</xdr:row>
      <xdr:rowOff>9525</xdr:rowOff>
    </xdr:to>
    <xdr:sp macro="" textlink="">
      <xdr:nvSpPr>
        <xdr:cNvPr id="1382" name="Rectangle 3705"/>
        <xdr:cNvSpPr>
          <a:spLocks noChangeArrowheads="1"/>
        </xdr:cNvSpPr>
      </xdr:nvSpPr>
      <xdr:spPr bwMode="auto">
        <a:xfrm>
          <a:off x="9163050" y="649700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234</xdr:row>
      <xdr:rowOff>0</xdr:rowOff>
    </xdr:from>
    <xdr:to>
      <xdr:col>27</xdr:col>
      <xdr:colOff>200025</xdr:colOff>
      <xdr:row>235</xdr:row>
      <xdr:rowOff>9525</xdr:rowOff>
    </xdr:to>
    <xdr:sp macro="" textlink="">
      <xdr:nvSpPr>
        <xdr:cNvPr id="1383" name="Rectangle 3706"/>
        <xdr:cNvSpPr>
          <a:spLocks noChangeArrowheads="1"/>
        </xdr:cNvSpPr>
      </xdr:nvSpPr>
      <xdr:spPr bwMode="auto">
        <a:xfrm>
          <a:off x="9163050" y="649700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234</xdr:row>
      <xdr:rowOff>0</xdr:rowOff>
    </xdr:from>
    <xdr:to>
      <xdr:col>27</xdr:col>
      <xdr:colOff>200025</xdr:colOff>
      <xdr:row>235</xdr:row>
      <xdr:rowOff>9525</xdr:rowOff>
    </xdr:to>
    <xdr:sp macro="" textlink="">
      <xdr:nvSpPr>
        <xdr:cNvPr id="1384" name="Rectangle 3707"/>
        <xdr:cNvSpPr>
          <a:spLocks noChangeArrowheads="1"/>
        </xdr:cNvSpPr>
      </xdr:nvSpPr>
      <xdr:spPr bwMode="auto">
        <a:xfrm>
          <a:off x="9163050" y="649700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234</xdr:row>
      <xdr:rowOff>0</xdr:rowOff>
    </xdr:from>
    <xdr:to>
      <xdr:col>27</xdr:col>
      <xdr:colOff>200025</xdr:colOff>
      <xdr:row>235</xdr:row>
      <xdr:rowOff>9525</xdr:rowOff>
    </xdr:to>
    <xdr:sp macro="" textlink="">
      <xdr:nvSpPr>
        <xdr:cNvPr id="1385" name="Rectangle 3708"/>
        <xdr:cNvSpPr>
          <a:spLocks noChangeArrowheads="1"/>
        </xdr:cNvSpPr>
      </xdr:nvSpPr>
      <xdr:spPr bwMode="auto">
        <a:xfrm>
          <a:off x="9163050" y="649700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234</xdr:row>
      <xdr:rowOff>0</xdr:rowOff>
    </xdr:from>
    <xdr:to>
      <xdr:col>27</xdr:col>
      <xdr:colOff>200025</xdr:colOff>
      <xdr:row>235</xdr:row>
      <xdr:rowOff>9525</xdr:rowOff>
    </xdr:to>
    <xdr:sp macro="" textlink="">
      <xdr:nvSpPr>
        <xdr:cNvPr id="1386" name="Rectangle 3709"/>
        <xdr:cNvSpPr>
          <a:spLocks noChangeArrowheads="1"/>
        </xdr:cNvSpPr>
      </xdr:nvSpPr>
      <xdr:spPr bwMode="auto">
        <a:xfrm>
          <a:off x="9163050" y="649700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180975</xdr:colOff>
      <xdr:row>234</xdr:row>
      <xdr:rowOff>0</xdr:rowOff>
    </xdr:from>
    <xdr:to>
      <xdr:col>27</xdr:col>
      <xdr:colOff>190500</xdr:colOff>
      <xdr:row>235</xdr:row>
      <xdr:rowOff>9525</xdr:rowOff>
    </xdr:to>
    <xdr:sp macro="" textlink="">
      <xdr:nvSpPr>
        <xdr:cNvPr id="1387" name="Rectangle 3710"/>
        <xdr:cNvSpPr>
          <a:spLocks noChangeArrowheads="1"/>
        </xdr:cNvSpPr>
      </xdr:nvSpPr>
      <xdr:spPr bwMode="auto">
        <a:xfrm>
          <a:off x="9153525" y="649700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234</xdr:row>
      <xdr:rowOff>0</xdr:rowOff>
    </xdr:from>
    <xdr:to>
      <xdr:col>27</xdr:col>
      <xdr:colOff>200025</xdr:colOff>
      <xdr:row>235</xdr:row>
      <xdr:rowOff>9525</xdr:rowOff>
    </xdr:to>
    <xdr:sp macro="" textlink="">
      <xdr:nvSpPr>
        <xdr:cNvPr id="1388" name="Rectangle 3711"/>
        <xdr:cNvSpPr>
          <a:spLocks noChangeArrowheads="1"/>
        </xdr:cNvSpPr>
      </xdr:nvSpPr>
      <xdr:spPr bwMode="auto">
        <a:xfrm>
          <a:off x="9163050" y="649700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234</xdr:row>
      <xdr:rowOff>11285</xdr:rowOff>
    </xdr:from>
    <xdr:to>
      <xdr:col>27</xdr:col>
      <xdr:colOff>200025</xdr:colOff>
      <xdr:row>235</xdr:row>
      <xdr:rowOff>24153</xdr:rowOff>
    </xdr:to>
    <xdr:sp macro="" textlink="">
      <xdr:nvSpPr>
        <xdr:cNvPr id="1389" name="Rectangle 3712"/>
        <xdr:cNvSpPr>
          <a:spLocks noChangeArrowheads="1"/>
        </xdr:cNvSpPr>
      </xdr:nvSpPr>
      <xdr:spPr bwMode="auto">
        <a:xfrm>
          <a:off x="9163050" y="64981310"/>
          <a:ext cx="457200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28</xdr:col>
      <xdr:colOff>190500</xdr:colOff>
      <xdr:row>21</xdr:row>
      <xdr:rowOff>0</xdr:rowOff>
    </xdr:from>
    <xdr:to>
      <xdr:col>29</xdr:col>
      <xdr:colOff>200025</xdr:colOff>
      <xdr:row>22</xdr:row>
      <xdr:rowOff>9525</xdr:rowOff>
    </xdr:to>
    <xdr:sp macro="" textlink="">
      <xdr:nvSpPr>
        <xdr:cNvPr id="1390" name="Rectangle 4049"/>
        <xdr:cNvSpPr>
          <a:spLocks noChangeArrowheads="1"/>
        </xdr:cNvSpPr>
      </xdr:nvSpPr>
      <xdr:spPr bwMode="auto">
        <a:xfrm>
          <a:off x="9991725" y="60293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21</xdr:row>
      <xdr:rowOff>0</xdr:rowOff>
    </xdr:from>
    <xdr:to>
      <xdr:col>29</xdr:col>
      <xdr:colOff>200025</xdr:colOff>
      <xdr:row>22</xdr:row>
      <xdr:rowOff>9525</xdr:rowOff>
    </xdr:to>
    <xdr:sp macro="" textlink="">
      <xdr:nvSpPr>
        <xdr:cNvPr id="1391" name="Rectangle 4050"/>
        <xdr:cNvSpPr>
          <a:spLocks noChangeArrowheads="1"/>
        </xdr:cNvSpPr>
      </xdr:nvSpPr>
      <xdr:spPr bwMode="auto">
        <a:xfrm>
          <a:off x="9991725" y="60293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21</xdr:row>
      <xdr:rowOff>0</xdr:rowOff>
    </xdr:from>
    <xdr:to>
      <xdr:col>29</xdr:col>
      <xdr:colOff>200025</xdr:colOff>
      <xdr:row>22</xdr:row>
      <xdr:rowOff>9525</xdr:rowOff>
    </xdr:to>
    <xdr:sp macro="" textlink="">
      <xdr:nvSpPr>
        <xdr:cNvPr id="1392" name="Rectangle 4051"/>
        <xdr:cNvSpPr>
          <a:spLocks noChangeArrowheads="1"/>
        </xdr:cNvSpPr>
      </xdr:nvSpPr>
      <xdr:spPr bwMode="auto">
        <a:xfrm>
          <a:off x="9991725" y="60293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C</a:t>
          </a:r>
        </a:p>
      </xdr:txBody>
    </xdr:sp>
    <xdr:clientData/>
  </xdr:twoCellAnchor>
  <xdr:twoCellAnchor>
    <xdr:from>
      <xdr:col>28</xdr:col>
      <xdr:colOff>190500</xdr:colOff>
      <xdr:row>57</xdr:row>
      <xdr:rowOff>0</xdr:rowOff>
    </xdr:from>
    <xdr:to>
      <xdr:col>29</xdr:col>
      <xdr:colOff>200025</xdr:colOff>
      <xdr:row>58</xdr:row>
      <xdr:rowOff>9525</xdr:rowOff>
    </xdr:to>
    <xdr:sp macro="" textlink="">
      <xdr:nvSpPr>
        <xdr:cNvPr id="1393" name="Rectangle 4052"/>
        <xdr:cNvSpPr>
          <a:spLocks noChangeArrowheads="1"/>
        </xdr:cNvSpPr>
      </xdr:nvSpPr>
      <xdr:spPr bwMode="auto">
        <a:xfrm>
          <a:off x="9991725" y="160020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57</xdr:row>
      <xdr:rowOff>0</xdr:rowOff>
    </xdr:from>
    <xdr:to>
      <xdr:col>29</xdr:col>
      <xdr:colOff>200025</xdr:colOff>
      <xdr:row>58</xdr:row>
      <xdr:rowOff>9525</xdr:rowOff>
    </xdr:to>
    <xdr:sp macro="" textlink="">
      <xdr:nvSpPr>
        <xdr:cNvPr id="1394" name="Rectangle 4053"/>
        <xdr:cNvSpPr>
          <a:spLocks noChangeArrowheads="1"/>
        </xdr:cNvSpPr>
      </xdr:nvSpPr>
      <xdr:spPr bwMode="auto">
        <a:xfrm>
          <a:off x="9991725" y="160020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57</xdr:row>
      <xdr:rowOff>0</xdr:rowOff>
    </xdr:from>
    <xdr:to>
      <xdr:col>29</xdr:col>
      <xdr:colOff>200025</xdr:colOff>
      <xdr:row>58</xdr:row>
      <xdr:rowOff>9525</xdr:rowOff>
    </xdr:to>
    <xdr:sp macro="" textlink="">
      <xdr:nvSpPr>
        <xdr:cNvPr id="1395" name="Rectangle 4054"/>
        <xdr:cNvSpPr>
          <a:spLocks noChangeArrowheads="1"/>
        </xdr:cNvSpPr>
      </xdr:nvSpPr>
      <xdr:spPr bwMode="auto">
        <a:xfrm>
          <a:off x="9991725" y="160020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57</xdr:row>
      <xdr:rowOff>0</xdr:rowOff>
    </xdr:from>
    <xdr:to>
      <xdr:col>29</xdr:col>
      <xdr:colOff>200025</xdr:colOff>
      <xdr:row>58</xdr:row>
      <xdr:rowOff>9525</xdr:rowOff>
    </xdr:to>
    <xdr:sp macro="" textlink="">
      <xdr:nvSpPr>
        <xdr:cNvPr id="1396" name="Rectangle 4055"/>
        <xdr:cNvSpPr>
          <a:spLocks noChangeArrowheads="1"/>
        </xdr:cNvSpPr>
      </xdr:nvSpPr>
      <xdr:spPr bwMode="auto">
        <a:xfrm>
          <a:off x="9991725" y="160020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57</xdr:row>
      <xdr:rowOff>0</xdr:rowOff>
    </xdr:from>
    <xdr:to>
      <xdr:col>29</xdr:col>
      <xdr:colOff>200025</xdr:colOff>
      <xdr:row>58</xdr:row>
      <xdr:rowOff>9525</xdr:rowOff>
    </xdr:to>
    <xdr:sp macro="" textlink="">
      <xdr:nvSpPr>
        <xdr:cNvPr id="1397" name="Rectangle 4056"/>
        <xdr:cNvSpPr>
          <a:spLocks noChangeArrowheads="1"/>
        </xdr:cNvSpPr>
      </xdr:nvSpPr>
      <xdr:spPr bwMode="auto">
        <a:xfrm>
          <a:off x="9991725" y="160020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57</xdr:row>
      <xdr:rowOff>0</xdr:rowOff>
    </xdr:from>
    <xdr:to>
      <xdr:col>29</xdr:col>
      <xdr:colOff>200025</xdr:colOff>
      <xdr:row>58</xdr:row>
      <xdr:rowOff>9525</xdr:rowOff>
    </xdr:to>
    <xdr:sp macro="" textlink="">
      <xdr:nvSpPr>
        <xdr:cNvPr id="1398" name="Rectangle 4057"/>
        <xdr:cNvSpPr>
          <a:spLocks noChangeArrowheads="1"/>
        </xdr:cNvSpPr>
      </xdr:nvSpPr>
      <xdr:spPr bwMode="auto">
        <a:xfrm>
          <a:off x="9991725" y="160020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57</xdr:row>
      <xdr:rowOff>0</xdr:rowOff>
    </xdr:from>
    <xdr:to>
      <xdr:col>29</xdr:col>
      <xdr:colOff>200025</xdr:colOff>
      <xdr:row>58</xdr:row>
      <xdr:rowOff>9525</xdr:rowOff>
    </xdr:to>
    <xdr:sp macro="" textlink="">
      <xdr:nvSpPr>
        <xdr:cNvPr id="1399" name="Rectangle 4058"/>
        <xdr:cNvSpPr>
          <a:spLocks noChangeArrowheads="1"/>
        </xdr:cNvSpPr>
      </xdr:nvSpPr>
      <xdr:spPr bwMode="auto">
        <a:xfrm>
          <a:off x="9991725" y="160020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57</xdr:row>
      <xdr:rowOff>0</xdr:rowOff>
    </xdr:from>
    <xdr:to>
      <xdr:col>29</xdr:col>
      <xdr:colOff>200025</xdr:colOff>
      <xdr:row>58</xdr:row>
      <xdr:rowOff>9525</xdr:rowOff>
    </xdr:to>
    <xdr:sp macro="" textlink="">
      <xdr:nvSpPr>
        <xdr:cNvPr id="1400" name="Rectangle 4059"/>
        <xdr:cNvSpPr>
          <a:spLocks noChangeArrowheads="1"/>
        </xdr:cNvSpPr>
      </xdr:nvSpPr>
      <xdr:spPr bwMode="auto">
        <a:xfrm>
          <a:off x="9991725" y="160020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57</xdr:row>
      <xdr:rowOff>0</xdr:rowOff>
    </xdr:from>
    <xdr:to>
      <xdr:col>29</xdr:col>
      <xdr:colOff>200025</xdr:colOff>
      <xdr:row>58</xdr:row>
      <xdr:rowOff>9525</xdr:rowOff>
    </xdr:to>
    <xdr:sp macro="" textlink="">
      <xdr:nvSpPr>
        <xdr:cNvPr id="1401" name="Rectangle 4060"/>
        <xdr:cNvSpPr>
          <a:spLocks noChangeArrowheads="1"/>
        </xdr:cNvSpPr>
      </xdr:nvSpPr>
      <xdr:spPr bwMode="auto">
        <a:xfrm>
          <a:off x="9991725" y="160020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57</xdr:row>
      <xdr:rowOff>0</xdr:rowOff>
    </xdr:from>
    <xdr:to>
      <xdr:col>29</xdr:col>
      <xdr:colOff>200025</xdr:colOff>
      <xdr:row>58</xdr:row>
      <xdr:rowOff>9525</xdr:rowOff>
    </xdr:to>
    <xdr:sp macro="" textlink="">
      <xdr:nvSpPr>
        <xdr:cNvPr id="1402" name="Rectangle 4061"/>
        <xdr:cNvSpPr>
          <a:spLocks noChangeArrowheads="1"/>
        </xdr:cNvSpPr>
      </xdr:nvSpPr>
      <xdr:spPr bwMode="auto">
        <a:xfrm>
          <a:off x="9991725" y="160020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180975</xdr:colOff>
      <xdr:row>57</xdr:row>
      <xdr:rowOff>0</xdr:rowOff>
    </xdr:from>
    <xdr:to>
      <xdr:col>29</xdr:col>
      <xdr:colOff>190500</xdr:colOff>
      <xdr:row>58</xdr:row>
      <xdr:rowOff>9525</xdr:rowOff>
    </xdr:to>
    <xdr:sp macro="" textlink="">
      <xdr:nvSpPr>
        <xdr:cNvPr id="1403" name="Rectangle 4062"/>
        <xdr:cNvSpPr>
          <a:spLocks noChangeArrowheads="1"/>
        </xdr:cNvSpPr>
      </xdr:nvSpPr>
      <xdr:spPr bwMode="auto">
        <a:xfrm>
          <a:off x="9982200" y="160020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57</xdr:row>
      <xdr:rowOff>0</xdr:rowOff>
    </xdr:from>
    <xdr:to>
      <xdr:col>29</xdr:col>
      <xdr:colOff>200025</xdr:colOff>
      <xdr:row>58</xdr:row>
      <xdr:rowOff>9525</xdr:rowOff>
    </xdr:to>
    <xdr:sp macro="" textlink="">
      <xdr:nvSpPr>
        <xdr:cNvPr id="1404" name="Rectangle 4063"/>
        <xdr:cNvSpPr>
          <a:spLocks noChangeArrowheads="1"/>
        </xdr:cNvSpPr>
      </xdr:nvSpPr>
      <xdr:spPr bwMode="auto">
        <a:xfrm>
          <a:off x="9991725" y="160020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56</xdr:row>
      <xdr:rowOff>332476</xdr:rowOff>
    </xdr:from>
    <xdr:to>
      <xdr:col>29</xdr:col>
      <xdr:colOff>200025</xdr:colOff>
      <xdr:row>58</xdr:row>
      <xdr:rowOff>539</xdr:rowOff>
    </xdr:to>
    <xdr:sp macro="" textlink="">
      <xdr:nvSpPr>
        <xdr:cNvPr id="1405" name="Rectangle 4064"/>
        <xdr:cNvSpPr>
          <a:spLocks noChangeArrowheads="1"/>
        </xdr:cNvSpPr>
      </xdr:nvSpPr>
      <xdr:spPr bwMode="auto">
        <a:xfrm>
          <a:off x="9991725" y="15991576"/>
          <a:ext cx="504825" cy="28718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1406" name="Rectangle 4065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1407" name="Rectangle 4066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1408" name="Rectangle 4067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1409" name="Rectangle 4068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1410" name="Rectangle 4069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1411" name="Rectangle 4070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1412" name="Rectangle 4071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1413" name="Rectangle 4072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1414" name="Rectangle 4073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1415" name="Rectangle 4074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1416" name="Rectangle 4075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1417" name="Rectangle 4076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1418" name="Rectangle 4077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1419" name="Rectangle 4078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180975</xdr:colOff>
      <xdr:row>92</xdr:row>
      <xdr:rowOff>0</xdr:rowOff>
    </xdr:from>
    <xdr:to>
      <xdr:col>29</xdr:col>
      <xdr:colOff>190500</xdr:colOff>
      <xdr:row>93</xdr:row>
      <xdr:rowOff>9525</xdr:rowOff>
    </xdr:to>
    <xdr:sp macro="" textlink="">
      <xdr:nvSpPr>
        <xdr:cNvPr id="1420" name="Rectangle 4079"/>
        <xdr:cNvSpPr>
          <a:spLocks noChangeArrowheads="1"/>
        </xdr:cNvSpPr>
      </xdr:nvSpPr>
      <xdr:spPr bwMode="auto">
        <a:xfrm>
          <a:off x="9982200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92</xdr:row>
      <xdr:rowOff>0</xdr:rowOff>
    </xdr:from>
    <xdr:to>
      <xdr:col>29</xdr:col>
      <xdr:colOff>200025</xdr:colOff>
      <xdr:row>93</xdr:row>
      <xdr:rowOff>9525</xdr:rowOff>
    </xdr:to>
    <xdr:sp macro="" textlink="">
      <xdr:nvSpPr>
        <xdr:cNvPr id="1421" name="Rectangle 4080"/>
        <xdr:cNvSpPr>
          <a:spLocks noChangeArrowheads="1"/>
        </xdr:cNvSpPr>
      </xdr:nvSpPr>
      <xdr:spPr bwMode="auto">
        <a:xfrm>
          <a:off x="9991725" y="254984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91</xdr:row>
      <xdr:rowOff>323490</xdr:rowOff>
    </xdr:from>
    <xdr:to>
      <xdr:col>29</xdr:col>
      <xdr:colOff>200025</xdr:colOff>
      <xdr:row>92</xdr:row>
      <xdr:rowOff>270115</xdr:rowOff>
    </xdr:to>
    <xdr:sp macro="" textlink="">
      <xdr:nvSpPr>
        <xdr:cNvPr id="1422" name="Rectangle 4081"/>
        <xdr:cNvSpPr>
          <a:spLocks noChangeArrowheads="1"/>
        </xdr:cNvSpPr>
      </xdr:nvSpPr>
      <xdr:spPr bwMode="auto">
        <a:xfrm>
          <a:off x="9991725" y="25479015"/>
          <a:ext cx="504825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1423" name="Rectangle 4082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1424" name="Rectangle 4083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1425" name="Rectangle 4084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1426" name="Rectangle 4085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1427" name="Rectangle 4086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1428" name="Rectangle 4087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1429" name="Rectangle 4088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1430" name="Rectangle 4089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1431" name="Rectangle 4090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1432" name="Rectangle 4091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1433" name="Rectangle 4092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1434" name="Rectangle 4093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1435" name="Rectangle 4094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1436" name="Rectangle 4095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180975</xdr:colOff>
      <xdr:row>128</xdr:row>
      <xdr:rowOff>0</xdr:rowOff>
    </xdr:from>
    <xdr:to>
      <xdr:col>29</xdr:col>
      <xdr:colOff>190500</xdr:colOff>
      <xdr:row>129</xdr:row>
      <xdr:rowOff>9525</xdr:rowOff>
    </xdr:to>
    <xdr:sp macro="" textlink="">
      <xdr:nvSpPr>
        <xdr:cNvPr id="1437" name="Rectangle 4096"/>
        <xdr:cNvSpPr>
          <a:spLocks noChangeArrowheads="1"/>
        </xdr:cNvSpPr>
      </xdr:nvSpPr>
      <xdr:spPr bwMode="auto">
        <a:xfrm>
          <a:off x="9982200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128</xdr:row>
      <xdr:rowOff>0</xdr:rowOff>
    </xdr:from>
    <xdr:to>
      <xdr:col>29</xdr:col>
      <xdr:colOff>200025</xdr:colOff>
      <xdr:row>129</xdr:row>
      <xdr:rowOff>9525</xdr:rowOff>
    </xdr:to>
    <xdr:sp macro="" textlink="">
      <xdr:nvSpPr>
        <xdr:cNvPr id="1438" name="Rectangle 4097"/>
        <xdr:cNvSpPr>
          <a:spLocks noChangeArrowheads="1"/>
        </xdr:cNvSpPr>
      </xdr:nvSpPr>
      <xdr:spPr bwMode="auto">
        <a:xfrm>
          <a:off x="9991725" y="3531870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128</xdr:row>
      <xdr:rowOff>4728</xdr:rowOff>
    </xdr:from>
    <xdr:to>
      <xdr:col>29</xdr:col>
      <xdr:colOff>200025</xdr:colOff>
      <xdr:row>129</xdr:row>
      <xdr:rowOff>11509</xdr:rowOff>
    </xdr:to>
    <xdr:sp macro="" textlink="">
      <xdr:nvSpPr>
        <xdr:cNvPr id="1439" name="Rectangle 4098"/>
        <xdr:cNvSpPr>
          <a:spLocks noChangeArrowheads="1"/>
        </xdr:cNvSpPr>
      </xdr:nvSpPr>
      <xdr:spPr bwMode="auto">
        <a:xfrm>
          <a:off x="9991725" y="35323428"/>
          <a:ext cx="504825" cy="28300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1440" name="Rectangle 4099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1441" name="Rectangle 4100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1442" name="Rectangle 4101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1443" name="Rectangle 4102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1444" name="Rectangle 4103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1445" name="Rectangle 4104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1446" name="Rectangle 4105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1447" name="Rectangle 4106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1448" name="Rectangle 4107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1449" name="Rectangle 4108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1450" name="Rectangle 4109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1451" name="Rectangle 4110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1452" name="Rectangle 4111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1453" name="Rectangle 4112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180975</xdr:colOff>
      <xdr:row>164</xdr:row>
      <xdr:rowOff>0</xdr:rowOff>
    </xdr:from>
    <xdr:to>
      <xdr:col>29</xdr:col>
      <xdr:colOff>190500</xdr:colOff>
      <xdr:row>165</xdr:row>
      <xdr:rowOff>9525</xdr:rowOff>
    </xdr:to>
    <xdr:sp macro="" textlink="">
      <xdr:nvSpPr>
        <xdr:cNvPr id="1454" name="Rectangle 4113"/>
        <xdr:cNvSpPr>
          <a:spLocks noChangeArrowheads="1"/>
        </xdr:cNvSpPr>
      </xdr:nvSpPr>
      <xdr:spPr bwMode="auto">
        <a:xfrm>
          <a:off x="9982200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164</xdr:row>
      <xdr:rowOff>0</xdr:rowOff>
    </xdr:from>
    <xdr:to>
      <xdr:col>29</xdr:col>
      <xdr:colOff>200025</xdr:colOff>
      <xdr:row>165</xdr:row>
      <xdr:rowOff>9525</xdr:rowOff>
    </xdr:to>
    <xdr:sp macro="" textlink="">
      <xdr:nvSpPr>
        <xdr:cNvPr id="1455" name="Rectangle 4114"/>
        <xdr:cNvSpPr>
          <a:spLocks noChangeArrowheads="1"/>
        </xdr:cNvSpPr>
      </xdr:nvSpPr>
      <xdr:spPr bwMode="auto">
        <a:xfrm>
          <a:off x="9991725" y="4529137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163</xdr:row>
      <xdr:rowOff>296533</xdr:rowOff>
    </xdr:from>
    <xdr:to>
      <xdr:col>29</xdr:col>
      <xdr:colOff>200025</xdr:colOff>
      <xdr:row>165</xdr:row>
      <xdr:rowOff>9525</xdr:rowOff>
    </xdr:to>
    <xdr:sp macro="" textlink="">
      <xdr:nvSpPr>
        <xdr:cNvPr id="1456" name="Rectangle 4115"/>
        <xdr:cNvSpPr>
          <a:spLocks noChangeArrowheads="1"/>
        </xdr:cNvSpPr>
      </xdr:nvSpPr>
      <xdr:spPr bwMode="auto">
        <a:xfrm>
          <a:off x="9991725" y="45245008"/>
          <a:ext cx="504825" cy="33211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28</xdr:col>
      <xdr:colOff>190500</xdr:colOff>
      <xdr:row>211</xdr:row>
      <xdr:rowOff>0</xdr:rowOff>
    </xdr:from>
    <xdr:to>
      <xdr:col>29</xdr:col>
      <xdr:colOff>200025</xdr:colOff>
      <xdr:row>211</xdr:row>
      <xdr:rowOff>0</xdr:rowOff>
    </xdr:to>
    <xdr:sp macro="" textlink="">
      <xdr:nvSpPr>
        <xdr:cNvPr id="1457" name="Rectangle 4116"/>
        <xdr:cNvSpPr>
          <a:spLocks noChangeArrowheads="1"/>
        </xdr:cNvSpPr>
      </xdr:nvSpPr>
      <xdr:spPr bwMode="auto">
        <a:xfrm>
          <a:off x="9991725" y="58102500"/>
          <a:ext cx="504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211</xdr:row>
      <xdr:rowOff>0</xdr:rowOff>
    </xdr:from>
    <xdr:to>
      <xdr:col>29</xdr:col>
      <xdr:colOff>200025</xdr:colOff>
      <xdr:row>211</xdr:row>
      <xdr:rowOff>0</xdr:rowOff>
    </xdr:to>
    <xdr:sp macro="" textlink="">
      <xdr:nvSpPr>
        <xdr:cNvPr id="1458" name="Rectangle 4117"/>
        <xdr:cNvSpPr>
          <a:spLocks noChangeArrowheads="1"/>
        </xdr:cNvSpPr>
      </xdr:nvSpPr>
      <xdr:spPr bwMode="auto">
        <a:xfrm>
          <a:off x="9991725" y="58102500"/>
          <a:ext cx="504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211</xdr:row>
      <xdr:rowOff>0</xdr:rowOff>
    </xdr:from>
    <xdr:to>
      <xdr:col>29</xdr:col>
      <xdr:colOff>200025</xdr:colOff>
      <xdr:row>211</xdr:row>
      <xdr:rowOff>0</xdr:rowOff>
    </xdr:to>
    <xdr:sp macro="" textlink="">
      <xdr:nvSpPr>
        <xdr:cNvPr id="1459" name="Rectangle 4118"/>
        <xdr:cNvSpPr>
          <a:spLocks noChangeArrowheads="1"/>
        </xdr:cNvSpPr>
      </xdr:nvSpPr>
      <xdr:spPr bwMode="auto">
        <a:xfrm>
          <a:off x="9991725" y="58102500"/>
          <a:ext cx="504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211</xdr:row>
      <xdr:rowOff>0</xdr:rowOff>
    </xdr:from>
    <xdr:to>
      <xdr:col>29</xdr:col>
      <xdr:colOff>200025</xdr:colOff>
      <xdr:row>211</xdr:row>
      <xdr:rowOff>0</xdr:rowOff>
    </xdr:to>
    <xdr:sp macro="" textlink="">
      <xdr:nvSpPr>
        <xdr:cNvPr id="1460" name="Rectangle 4119"/>
        <xdr:cNvSpPr>
          <a:spLocks noChangeArrowheads="1"/>
        </xdr:cNvSpPr>
      </xdr:nvSpPr>
      <xdr:spPr bwMode="auto">
        <a:xfrm>
          <a:off x="9991725" y="58102500"/>
          <a:ext cx="504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211</xdr:row>
      <xdr:rowOff>0</xdr:rowOff>
    </xdr:from>
    <xdr:to>
      <xdr:col>29</xdr:col>
      <xdr:colOff>200025</xdr:colOff>
      <xdr:row>211</xdr:row>
      <xdr:rowOff>0</xdr:rowOff>
    </xdr:to>
    <xdr:sp macro="" textlink="">
      <xdr:nvSpPr>
        <xdr:cNvPr id="1461" name="Rectangle 4120"/>
        <xdr:cNvSpPr>
          <a:spLocks noChangeArrowheads="1"/>
        </xdr:cNvSpPr>
      </xdr:nvSpPr>
      <xdr:spPr bwMode="auto">
        <a:xfrm>
          <a:off x="9991725" y="58102500"/>
          <a:ext cx="504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</a:p>
      </xdr:txBody>
    </xdr:sp>
    <xdr:clientData/>
  </xdr:twoCellAnchor>
  <xdr:twoCellAnchor>
    <xdr:from>
      <xdr:col>28</xdr:col>
      <xdr:colOff>190500</xdr:colOff>
      <xdr:row>234</xdr:row>
      <xdr:rowOff>0</xdr:rowOff>
    </xdr:from>
    <xdr:to>
      <xdr:col>29</xdr:col>
      <xdr:colOff>200025</xdr:colOff>
      <xdr:row>235</xdr:row>
      <xdr:rowOff>9525</xdr:rowOff>
    </xdr:to>
    <xdr:sp macro="" textlink="">
      <xdr:nvSpPr>
        <xdr:cNvPr id="1462" name="Rectangle 4121"/>
        <xdr:cNvSpPr>
          <a:spLocks noChangeArrowheads="1"/>
        </xdr:cNvSpPr>
      </xdr:nvSpPr>
      <xdr:spPr bwMode="auto">
        <a:xfrm>
          <a:off x="9991725" y="649700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234</xdr:row>
      <xdr:rowOff>0</xdr:rowOff>
    </xdr:from>
    <xdr:to>
      <xdr:col>29</xdr:col>
      <xdr:colOff>200025</xdr:colOff>
      <xdr:row>235</xdr:row>
      <xdr:rowOff>9525</xdr:rowOff>
    </xdr:to>
    <xdr:sp macro="" textlink="">
      <xdr:nvSpPr>
        <xdr:cNvPr id="1463" name="Rectangle 4122"/>
        <xdr:cNvSpPr>
          <a:spLocks noChangeArrowheads="1"/>
        </xdr:cNvSpPr>
      </xdr:nvSpPr>
      <xdr:spPr bwMode="auto">
        <a:xfrm>
          <a:off x="9991725" y="649700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234</xdr:row>
      <xdr:rowOff>0</xdr:rowOff>
    </xdr:from>
    <xdr:to>
      <xdr:col>29</xdr:col>
      <xdr:colOff>200025</xdr:colOff>
      <xdr:row>235</xdr:row>
      <xdr:rowOff>9525</xdr:rowOff>
    </xdr:to>
    <xdr:sp macro="" textlink="">
      <xdr:nvSpPr>
        <xdr:cNvPr id="1464" name="Rectangle 4123"/>
        <xdr:cNvSpPr>
          <a:spLocks noChangeArrowheads="1"/>
        </xdr:cNvSpPr>
      </xdr:nvSpPr>
      <xdr:spPr bwMode="auto">
        <a:xfrm>
          <a:off x="9991725" y="649700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234</xdr:row>
      <xdr:rowOff>0</xdr:rowOff>
    </xdr:from>
    <xdr:to>
      <xdr:col>29</xdr:col>
      <xdr:colOff>200025</xdr:colOff>
      <xdr:row>235</xdr:row>
      <xdr:rowOff>9525</xdr:rowOff>
    </xdr:to>
    <xdr:sp macro="" textlink="">
      <xdr:nvSpPr>
        <xdr:cNvPr id="1465" name="Rectangle 4124"/>
        <xdr:cNvSpPr>
          <a:spLocks noChangeArrowheads="1"/>
        </xdr:cNvSpPr>
      </xdr:nvSpPr>
      <xdr:spPr bwMode="auto">
        <a:xfrm>
          <a:off x="9991725" y="649700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234</xdr:row>
      <xdr:rowOff>0</xdr:rowOff>
    </xdr:from>
    <xdr:to>
      <xdr:col>29</xdr:col>
      <xdr:colOff>200025</xdr:colOff>
      <xdr:row>235</xdr:row>
      <xdr:rowOff>9525</xdr:rowOff>
    </xdr:to>
    <xdr:sp macro="" textlink="">
      <xdr:nvSpPr>
        <xdr:cNvPr id="1466" name="Rectangle 4125"/>
        <xdr:cNvSpPr>
          <a:spLocks noChangeArrowheads="1"/>
        </xdr:cNvSpPr>
      </xdr:nvSpPr>
      <xdr:spPr bwMode="auto">
        <a:xfrm>
          <a:off x="9991725" y="649700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233</xdr:row>
      <xdr:rowOff>712961</xdr:rowOff>
    </xdr:from>
    <xdr:to>
      <xdr:col>29</xdr:col>
      <xdr:colOff>200025</xdr:colOff>
      <xdr:row>235</xdr:row>
      <xdr:rowOff>11454</xdr:rowOff>
    </xdr:to>
    <xdr:sp macro="" textlink="">
      <xdr:nvSpPr>
        <xdr:cNvPr id="1467" name="Rectangle 4126"/>
        <xdr:cNvSpPr>
          <a:spLocks noChangeArrowheads="1"/>
        </xdr:cNvSpPr>
      </xdr:nvSpPr>
      <xdr:spPr bwMode="auto">
        <a:xfrm>
          <a:off x="9991725" y="64968611"/>
          <a:ext cx="504825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30</xdr:col>
      <xdr:colOff>190500</xdr:colOff>
      <xdr:row>21</xdr:row>
      <xdr:rowOff>0</xdr:rowOff>
    </xdr:from>
    <xdr:to>
      <xdr:col>31</xdr:col>
      <xdr:colOff>200025</xdr:colOff>
      <xdr:row>22</xdr:row>
      <xdr:rowOff>9525</xdr:rowOff>
    </xdr:to>
    <xdr:sp macro="" textlink="">
      <xdr:nvSpPr>
        <xdr:cNvPr id="1468" name="Rectangle 4555"/>
        <xdr:cNvSpPr>
          <a:spLocks noChangeArrowheads="1"/>
        </xdr:cNvSpPr>
      </xdr:nvSpPr>
      <xdr:spPr bwMode="auto">
        <a:xfrm>
          <a:off x="10868025" y="60293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21</xdr:row>
      <xdr:rowOff>0</xdr:rowOff>
    </xdr:from>
    <xdr:to>
      <xdr:col>31</xdr:col>
      <xdr:colOff>200025</xdr:colOff>
      <xdr:row>22</xdr:row>
      <xdr:rowOff>9525</xdr:rowOff>
    </xdr:to>
    <xdr:sp macro="" textlink="">
      <xdr:nvSpPr>
        <xdr:cNvPr id="1469" name="Rectangle 4556"/>
        <xdr:cNvSpPr>
          <a:spLocks noChangeArrowheads="1"/>
        </xdr:cNvSpPr>
      </xdr:nvSpPr>
      <xdr:spPr bwMode="auto">
        <a:xfrm>
          <a:off x="10868025" y="60293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21</xdr:row>
      <xdr:rowOff>0</xdr:rowOff>
    </xdr:from>
    <xdr:to>
      <xdr:col>31</xdr:col>
      <xdr:colOff>200025</xdr:colOff>
      <xdr:row>22</xdr:row>
      <xdr:rowOff>9525</xdr:rowOff>
    </xdr:to>
    <xdr:sp macro="" textlink="">
      <xdr:nvSpPr>
        <xdr:cNvPr id="1470" name="Rectangle 4557"/>
        <xdr:cNvSpPr>
          <a:spLocks noChangeArrowheads="1"/>
        </xdr:cNvSpPr>
      </xdr:nvSpPr>
      <xdr:spPr bwMode="auto">
        <a:xfrm>
          <a:off x="10868025" y="60293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21</xdr:row>
      <xdr:rowOff>0</xdr:rowOff>
    </xdr:from>
    <xdr:to>
      <xdr:col>31</xdr:col>
      <xdr:colOff>200025</xdr:colOff>
      <xdr:row>22</xdr:row>
      <xdr:rowOff>9525</xdr:rowOff>
    </xdr:to>
    <xdr:sp macro="" textlink="">
      <xdr:nvSpPr>
        <xdr:cNvPr id="1471" name="Rectangle 4558"/>
        <xdr:cNvSpPr>
          <a:spLocks noChangeArrowheads="1"/>
        </xdr:cNvSpPr>
      </xdr:nvSpPr>
      <xdr:spPr bwMode="auto">
        <a:xfrm>
          <a:off x="10868025" y="60293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21</xdr:row>
      <xdr:rowOff>0</xdr:rowOff>
    </xdr:from>
    <xdr:to>
      <xdr:col>31</xdr:col>
      <xdr:colOff>200025</xdr:colOff>
      <xdr:row>22</xdr:row>
      <xdr:rowOff>9525</xdr:rowOff>
    </xdr:to>
    <xdr:sp macro="" textlink="">
      <xdr:nvSpPr>
        <xdr:cNvPr id="1472" name="Rectangle 4559"/>
        <xdr:cNvSpPr>
          <a:spLocks noChangeArrowheads="1"/>
        </xdr:cNvSpPr>
      </xdr:nvSpPr>
      <xdr:spPr bwMode="auto">
        <a:xfrm>
          <a:off x="10868025" y="60293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57</xdr:row>
      <xdr:rowOff>0</xdr:rowOff>
    </xdr:from>
    <xdr:to>
      <xdr:col>31</xdr:col>
      <xdr:colOff>200025</xdr:colOff>
      <xdr:row>58</xdr:row>
      <xdr:rowOff>9525</xdr:rowOff>
    </xdr:to>
    <xdr:sp macro="" textlink="">
      <xdr:nvSpPr>
        <xdr:cNvPr id="1473" name="Rectangle 4560"/>
        <xdr:cNvSpPr>
          <a:spLocks noChangeArrowheads="1"/>
        </xdr:cNvSpPr>
      </xdr:nvSpPr>
      <xdr:spPr bwMode="auto">
        <a:xfrm>
          <a:off x="10868025" y="160020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57</xdr:row>
      <xdr:rowOff>0</xdr:rowOff>
    </xdr:from>
    <xdr:to>
      <xdr:col>31</xdr:col>
      <xdr:colOff>200025</xdr:colOff>
      <xdr:row>58</xdr:row>
      <xdr:rowOff>9525</xdr:rowOff>
    </xdr:to>
    <xdr:sp macro="" textlink="">
      <xdr:nvSpPr>
        <xdr:cNvPr id="1474" name="Rectangle 4561"/>
        <xdr:cNvSpPr>
          <a:spLocks noChangeArrowheads="1"/>
        </xdr:cNvSpPr>
      </xdr:nvSpPr>
      <xdr:spPr bwMode="auto">
        <a:xfrm>
          <a:off x="10868025" y="160020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180975</xdr:colOff>
      <xdr:row>57</xdr:row>
      <xdr:rowOff>0</xdr:rowOff>
    </xdr:from>
    <xdr:to>
      <xdr:col>31</xdr:col>
      <xdr:colOff>190500</xdr:colOff>
      <xdr:row>58</xdr:row>
      <xdr:rowOff>9525</xdr:rowOff>
    </xdr:to>
    <xdr:sp macro="" textlink="">
      <xdr:nvSpPr>
        <xdr:cNvPr id="1475" name="Rectangle 4562"/>
        <xdr:cNvSpPr>
          <a:spLocks noChangeArrowheads="1"/>
        </xdr:cNvSpPr>
      </xdr:nvSpPr>
      <xdr:spPr bwMode="auto">
        <a:xfrm>
          <a:off x="10858500" y="160020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57</xdr:row>
      <xdr:rowOff>0</xdr:rowOff>
    </xdr:from>
    <xdr:to>
      <xdr:col>31</xdr:col>
      <xdr:colOff>200025</xdr:colOff>
      <xdr:row>58</xdr:row>
      <xdr:rowOff>9525</xdr:rowOff>
    </xdr:to>
    <xdr:sp macro="" textlink="">
      <xdr:nvSpPr>
        <xdr:cNvPr id="1476" name="Rectangle 4563"/>
        <xdr:cNvSpPr>
          <a:spLocks noChangeArrowheads="1"/>
        </xdr:cNvSpPr>
      </xdr:nvSpPr>
      <xdr:spPr bwMode="auto">
        <a:xfrm>
          <a:off x="10868025" y="160020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56</xdr:row>
      <xdr:rowOff>332476</xdr:rowOff>
    </xdr:from>
    <xdr:to>
      <xdr:col>31</xdr:col>
      <xdr:colOff>200025</xdr:colOff>
      <xdr:row>58</xdr:row>
      <xdr:rowOff>539</xdr:rowOff>
    </xdr:to>
    <xdr:sp macro="" textlink="">
      <xdr:nvSpPr>
        <xdr:cNvPr id="1477" name="Rectangle 4564"/>
        <xdr:cNvSpPr>
          <a:spLocks noChangeArrowheads="1"/>
        </xdr:cNvSpPr>
      </xdr:nvSpPr>
      <xdr:spPr bwMode="auto">
        <a:xfrm>
          <a:off x="10868025" y="15991576"/>
          <a:ext cx="428625" cy="28718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78" name="Rectangle 4565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79" name="Rectangle 4566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80" name="Rectangle 4567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81" name="Rectangle 4568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82" name="Rectangle 4569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83" name="Rectangle 4570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84" name="Rectangle 4571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85" name="Rectangle 4572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86" name="Rectangle 4573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87" name="Rectangle 4574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88" name="Rectangle 4575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89" name="Rectangle 4576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90" name="Rectangle 4577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91" name="Rectangle 4578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92" name="Rectangle 4579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93" name="Rectangle 4580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94" name="Rectangle 4581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95" name="Rectangle 4582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180975</xdr:colOff>
      <xdr:row>92</xdr:row>
      <xdr:rowOff>0</xdr:rowOff>
    </xdr:from>
    <xdr:to>
      <xdr:col>31</xdr:col>
      <xdr:colOff>190500</xdr:colOff>
      <xdr:row>93</xdr:row>
      <xdr:rowOff>9525</xdr:rowOff>
    </xdr:to>
    <xdr:sp macro="" textlink="">
      <xdr:nvSpPr>
        <xdr:cNvPr id="1496" name="Rectangle 4583"/>
        <xdr:cNvSpPr>
          <a:spLocks noChangeArrowheads="1"/>
        </xdr:cNvSpPr>
      </xdr:nvSpPr>
      <xdr:spPr bwMode="auto">
        <a:xfrm>
          <a:off x="10858500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92</xdr:row>
      <xdr:rowOff>0</xdr:rowOff>
    </xdr:from>
    <xdr:to>
      <xdr:col>31</xdr:col>
      <xdr:colOff>200025</xdr:colOff>
      <xdr:row>93</xdr:row>
      <xdr:rowOff>9525</xdr:rowOff>
    </xdr:to>
    <xdr:sp macro="" textlink="">
      <xdr:nvSpPr>
        <xdr:cNvPr id="1497" name="Rectangle 4584"/>
        <xdr:cNvSpPr>
          <a:spLocks noChangeArrowheads="1"/>
        </xdr:cNvSpPr>
      </xdr:nvSpPr>
      <xdr:spPr bwMode="auto">
        <a:xfrm>
          <a:off x="10868025" y="254984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91</xdr:row>
      <xdr:rowOff>323490</xdr:rowOff>
    </xdr:from>
    <xdr:to>
      <xdr:col>31</xdr:col>
      <xdr:colOff>200025</xdr:colOff>
      <xdr:row>92</xdr:row>
      <xdr:rowOff>270115</xdr:rowOff>
    </xdr:to>
    <xdr:sp macro="" textlink="">
      <xdr:nvSpPr>
        <xdr:cNvPr id="1498" name="Rectangle 4585"/>
        <xdr:cNvSpPr>
          <a:spLocks noChangeArrowheads="1"/>
        </xdr:cNvSpPr>
      </xdr:nvSpPr>
      <xdr:spPr bwMode="auto">
        <a:xfrm>
          <a:off x="10868025" y="25479015"/>
          <a:ext cx="428625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30</xdr:col>
      <xdr:colOff>190500</xdr:colOff>
      <xdr:row>128</xdr:row>
      <xdr:rowOff>0</xdr:rowOff>
    </xdr:from>
    <xdr:to>
      <xdr:col>31</xdr:col>
      <xdr:colOff>200025</xdr:colOff>
      <xdr:row>129</xdr:row>
      <xdr:rowOff>9525</xdr:rowOff>
    </xdr:to>
    <xdr:sp macro="" textlink="">
      <xdr:nvSpPr>
        <xdr:cNvPr id="1499" name="Rectangle 4586"/>
        <xdr:cNvSpPr>
          <a:spLocks noChangeArrowheads="1"/>
        </xdr:cNvSpPr>
      </xdr:nvSpPr>
      <xdr:spPr bwMode="auto">
        <a:xfrm>
          <a:off x="10868025" y="353187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128</xdr:row>
      <xdr:rowOff>0</xdr:rowOff>
    </xdr:from>
    <xdr:to>
      <xdr:col>31</xdr:col>
      <xdr:colOff>200025</xdr:colOff>
      <xdr:row>129</xdr:row>
      <xdr:rowOff>9525</xdr:rowOff>
    </xdr:to>
    <xdr:sp macro="" textlink="">
      <xdr:nvSpPr>
        <xdr:cNvPr id="1500" name="Rectangle 4587"/>
        <xdr:cNvSpPr>
          <a:spLocks noChangeArrowheads="1"/>
        </xdr:cNvSpPr>
      </xdr:nvSpPr>
      <xdr:spPr bwMode="auto">
        <a:xfrm>
          <a:off x="10868025" y="353187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128</xdr:row>
      <xdr:rowOff>0</xdr:rowOff>
    </xdr:from>
    <xdr:to>
      <xdr:col>31</xdr:col>
      <xdr:colOff>200025</xdr:colOff>
      <xdr:row>129</xdr:row>
      <xdr:rowOff>9525</xdr:rowOff>
    </xdr:to>
    <xdr:sp macro="" textlink="">
      <xdr:nvSpPr>
        <xdr:cNvPr id="1501" name="Rectangle 4588"/>
        <xdr:cNvSpPr>
          <a:spLocks noChangeArrowheads="1"/>
        </xdr:cNvSpPr>
      </xdr:nvSpPr>
      <xdr:spPr bwMode="auto">
        <a:xfrm>
          <a:off x="10868025" y="353187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128</xdr:row>
      <xdr:rowOff>0</xdr:rowOff>
    </xdr:from>
    <xdr:to>
      <xdr:col>31</xdr:col>
      <xdr:colOff>200025</xdr:colOff>
      <xdr:row>129</xdr:row>
      <xdr:rowOff>9525</xdr:rowOff>
    </xdr:to>
    <xdr:sp macro="" textlink="">
      <xdr:nvSpPr>
        <xdr:cNvPr id="1502" name="Rectangle 4589"/>
        <xdr:cNvSpPr>
          <a:spLocks noChangeArrowheads="1"/>
        </xdr:cNvSpPr>
      </xdr:nvSpPr>
      <xdr:spPr bwMode="auto">
        <a:xfrm>
          <a:off x="10868025" y="353187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128</xdr:row>
      <xdr:rowOff>0</xdr:rowOff>
    </xdr:from>
    <xdr:to>
      <xdr:col>31</xdr:col>
      <xdr:colOff>200025</xdr:colOff>
      <xdr:row>129</xdr:row>
      <xdr:rowOff>9525</xdr:rowOff>
    </xdr:to>
    <xdr:sp macro="" textlink="">
      <xdr:nvSpPr>
        <xdr:cNvPr id="1503" name="Rectangle 4590"/>
        <xdr:cNvSpPr>
          <a:spLocks noChangeArrowheads="1"/>
        </xdr:cNvSpPr>
      </xdr:nvSpPr>
      <xdr:spPr bwMode="auto">
        <a:xfrm>
          <a:off x="10868025" y="353187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128</xdr:row>
      <xdr:rowOff>0</xdr:rowOff>
    </xdr:from>
    <xdr:to>
      <xdr:col>31</xdr:col>
      <xdr:colOff>200025</xdr:colOff>
      <xdr:row>129</xdr:row>
      <xdr:rowOff>9525</xdr:rowOff>
    </xdr:to>
    <xdr:sp macro="" textlink="">
      <xdr:nvSpPr>
        <xdr:cNvPr id="1504" name="Rectangle 4591"/>
        <xdr:cNvSpPr>
          <a:spLocks noChangeArrowheads="1"/>
        </xdr:cNvSpPr>
      </xdr:nvSpPr>
      <xdr:spPr bwMode="auto">
        <a:xfrm>
          <a:off x="10868025" y="353187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180975</xdr:colOff>
      <xdr:row>128</xdr:row>
      <xdr:rowOff>0</xdr:rowOff>
    </xdr:from>
    <xdr:to>
      <xdr:col>31</xdr:col>
      <xdr:colOff>190500</xdr:colOff>
      <xdr:row>129</xdr:row>
      <xdr:rowOff>9525</xdr:rowOff>
    </xdr:to>
    <xdr:sp macro="" textlink="">
      <xdr:nvSpPr>
        <xdr:cNvPr id="1505" name="Rectangle 4592"/>
        <xdr:cNvSpPr>
          <a:spLocks noChangeArrowheads="1"/>
        </xdr:cNvSpPr>
      </xdr:nvSpPr>
      <xdr:spPr bwMode="auto">
        <a:xfrm>
          <a:off x="10858500" y="353187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128</xdr:row>
      <xdr:rowOff>0</xdr:rowOff>
    </xdr:from>
    <xdr:to>
      <xdr:col>31</xdr:col>
      <xdr:colOff>200025</xdr:colOff>
      <xdr:row>129</xdr:row>
      <xdr:rowOff>9525</xdr:rowOff>
    </xdr:to>
    <xdr:sp macro="" textlink="">
      <xdr:nvSpPr>
        <xdr:cNvPr id="1506" name="Rectangle 4593"/>
        <xdr:cNvSpPr>
          <a:spLocks noChangeArrowheads="1"/>
        </xdr:cNvSpPr>
      </xdr:nvSpPr>
      <xdr:spPr bwMode="auto">
        <a:xfrm>
          <a:off x="10868025" y="3531870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128</xdr:row>
      <xdr:rowOff>4728</xdr:rowOff>
    </xdr:from>
    <xdr:to>
      <xdr:col>31</xdr:col>
      <xdr:colOff>200025</xdr:colOff>
      <xdr:row>129</xdr:row>
      <xdr:rowOff>11509</xdr:rowOff>
    </xdr:to>
    <xdr:sp macro="" textlink="">
      <xdr:nvSpPr>
        <xdr:cNvPr id="1507" name="Rectangle 4594"/>
        <xdr:cNvSpPr>
          <a:spLocks noChangeArrowheads="1"/>
        </xdr:cNvSpPr>
      </xdr:nvSpPr>
      <xdr:spPr bwMode="auto">
        <a:xfrm>
          <a:off x="10868025" y="35323428"/>
          <a:ext cx="428625" cy="28300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08" name="Rectangle 4595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09" name="Rectangle 4596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10" name="Rectangle 4597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11" name="Rectangle 4598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12" name="Rectangle 4599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13" name="Rectangle 4600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14" name="Rectangle 4601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15" name="Rectangle 4602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16" name="Rectangle 4603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17" name="Rectangle 4604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18" name="Rectangle 4605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19" name="Rectangle 4606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20" name="Rectangle 4607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21" name="Rectangle 4608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22" name="Rectangle 4609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23" name="Rectangle 4610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24" name="Rectangle 4611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25" name="Rectangle 4612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180975</xdr:colOff>
      <xdr:row>164</xdr:row>
      <xdr:rowOff>0</xdr:rowOff>
    </xdr:from>
    <xdr:to>
      <xdr:col>31</xdr:col>
      <xdr:colOff>190500</xdr:colOff>
      <xdr:row>165</xdr:row>
      <xdr:rowOff>9525</xdr:rowOff>
    </xdr:to>
    <xdr:sp macro="" textlink="">
      <xdr:nvSpPr>
        <xdr:cNvPr id="1526" name="Rectangle 4613"/>
        <xdr:cNvSpPr>
          <a:spLocks noChangeArrowheads="1"/>
        </xdr:cNvSpPr>
      </xdr:nvSpPr>
      <xdr:spPr bwMode="auto">
        <a:xfrm>
          <a:off x="10858500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164</xdr:row>
      <xdr:rowOff>0</xdr:rowOff>
    </xdr:from>
    <xdr:to>
      <xdr:col>31</xdr:col>
      <xdr:colOff>200025</xdr:colOff>
      <xdr:row>165</xdr:row>
      <xdr:rowOff>9525</xdr:rowOff>
    </xdr:to>
    <xdr:sp macro="" textlink="">
      <xdr:nvSpPr>
        <xdr:cNvPr id="1527" name="Rectangle 4614"/>
        <xdr:cNvSpPr>
          <a:spLocks noChangeArrowheads="1"/>
        </xdr:cNvSpPr>
      </xdr:nvSpPr>
      <xdr:spPr bwMode="auto">
        <a:xfrm>
          <a:off x="10868025" y="4529137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163</xdr:row>
      <xdr:rowOff>287548</xdr:rowOff>
    </xdr:from>
    <xdr:to>
      <xdr:col>31</xdr:col>
      <xdr:colOff>200025</xdr:colOff>
      <xdr:row>165</xdr:row>
      <xdr:rowOff>9525</xdr:rowOff>
    </xdr:to>
    <xdr:sp macro="" textlink="">
      <xdr:nvSpPr>
        <xdr:cNvPr id="1528" name="Rectangle 4615"/>
        <xdr:cNvSpPr>
          <a:spLocks noChangeArrowheads="1"/>
        </xdr:cNvSpPr>
      </xdr:nvSpPr>
      <xdr:spPr bwMode="auto">
        <a:xfrm>
          <a:off x="10868025" y="45236023"/>
          <a:ext cx="428625" cy="34110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199</xdr:row>
      <xdr:rowOff>0</xdr:rowOff>
    </xdr:from>
    <xdr:to>
      <xdr:col>29</xdr:col>
      <xdr:colOff>200025</xdr:colOff>
      <xdr:row>200</xdr:row>
      <xdr:rowOff>9525</xdr:rowOff>
    </xdr:to>
    <xdr:sp macro="" textlink="">
      <xdr:nvSpPr>
        <xdr:cNvPr id="1529" name="Rectangle 4616"/>
        <xdr:cNvSpPr>
          <a:spLocks noChangeArrowheads="1"/>
        </xdr:cNvSpPr>
      </xdr:nvSpPr>
      <xdr:spPr bwMode="auto">
        <a:xfrm>
          <a:off x="9991725" y="549211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28</xdr:col>
      <xdr:colOff>190500</xdr:colOff>
      <xdr:row>199</xdr:row>
      <xdr:rowOff>0</xdr:rowOff>
    </xdr:from>
    <xdr:to>
      <xdr:col>29</xdr:col>
      <xdr:colOff>200025</xdr:colOff>
      <xdr:row>200</xdr:row>
      <xdr:rowOff>9525</xdr:rowOff>
    </xdr:to>
    <xdr:sp macro="" textlink="">
      <xdr:nvSpPr>
        <xdr:cNvPr id="1530" name="Rectangle 4617"/>
        <xdr:cNvSpPr>
          <a:spLocks noChangeArrowheads="1"/>
        </xdr:cNvSpPr>
      </xdr:nvSpPr>
      <xdr:spPr bwMode="auto">
        <a:xfrm>
          <a:off x="9991725" y="549211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199</xdr:row>
      <xdr:rowOff>0</xdr:rowOff>
    </xdr:from>
    <xdr:to>
      <xdr:col>29</xdr:col>
      <xdr:colOff>200025</xdr:colOff>
      <xdr:row>200</xdr:row>
      <xdr:rowOff>9525</xdr:rowOff>
    </xdr:to>
    <xdr:sp macro="" textlink="">
      <xdr:nvSpPr>
        <xdr:cNvPr id="1531" name="Rectangle 4618"/>
        <xdr:cNvSpPr>
          <a:spLocks noChangeArrowheads="1"/>
        </xdr:cNvSpPr>
      </xdr:nvSpPr>
      <xdr:spPr bwMode="auto">
        <a:xfrm>
          <a:off x="9991725" y="549211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199</xdr:row>
      <xdr:rowOff>0</xdr:rowOff>
    </xdr:from>
    <xdr:to>
      <xdr:col>29</xdr:col>
      <xdr:colOff>200025</xdr:colOff>
      <xdr:row>200</xdr:row>
      <xdr:rowOff>9525</xdr:rowOff>
    </xdr:to>
    <xdr:sp macro="" textlink="">
      <xdr:nvSpPr>
        <xdr:cNvPr id="1532" name="Rectangle 4619"/>
        <xdr:cNvSpPr>
          <a:spLocks noChangeArrowheads="1"/>
        </xdr:cNvSpPr>
      </xdr:nvSpPr>
      <xdr:spPr bwMode="auto">
        <a:xfrm>
          <a:off x="9991725" y="549211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199</xdr:row>
      <xdr:rowOff>0</xdr:rowOff>
    </xdr:from>
    <xdr:to>
      <xdr:col>29</xdr:col>
      <xdr:colOff>200025</xdr:colOff>
      <xdr:row>200</xdr:row>
      <xdr:rowOff>9525</xdr:rowOff>
    </xdr:to>
    <xdr:sp macro="" textlink="">
      <xdr:nvSpPr>
        <xdr:cNvPr id="1533" name="Rectangle 4620"/>
        <xdr:cNvSpPr>
          <a:spLocks noChangeArrowheads="1"/>
        </xdr:cNvSpPr>
      </xdr:nvSpPr>
      <xdr:spPr bwMode="auto">
        <a:xfrm>
          <a:off x="9991725" y="549211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28</xdr:col>
      <xdr:colOff>190500</xdr:colOff>
      <xdr:row>199</xdr:row>
      <xdr:rowOff>0</xdr:rowOff>
    </xdr:from>
    <xdr:to>
      <xdr:col>29</xdr:col>
      <xdr:colOff>200025</xdr:colOff>
      <xdr:row>200</xdr:row>
      <xdr:rowOff>9525</xdr:rowOff>
    </xdr:to>
    <xdr:sp macro="" textlink="">
      <xdr:nvSpPr>
        <xdr:cNvPr id="1534" name="Rectangle 4621"/>
        <xdr:cNvSpPr>
          <a:spLocks noChangeArrowheads="1"/>
        </xdr:cNvSpPr>
      </xdr:nvSpPr>
      <xdr:spPr bwMode="auto">
        <a:xfrm>
          <a:off x="9991725" y="549211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199</xdr:row>
      <xdr:rowOff>0</xdr:rowOff>
    </xdr:from>
    <xdr:to>
      <xdr:col>29</xdr:col>
      <xdr:colOff>200025</xdr:colOff>
      <xdr:row>200</xdr:row>
      <xdr:rowOff>9525</xdr:rowOff>
    </xdr:to>
    <xdr:sp macro="" textlink="">
      <xdr:nvSpPr>
        <xdr:cNvPr id="1535" name="Rectangle 4622"/>
        <xdr:cNvSpPr>
          <a:spLocks noChangeArrowheads="1"/>
        </xdr:cNvSpPr>
      </xdr:nvSpPr>
      <xdr:spPr bwMode="auto">
        <a:xfrm>
          <a:off x="9991725" y="549211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199</xdr:row>
      <xdr:rowOff>0</xdr:rowOff>
    </xdr:from>
    <xdr:to>
      <xdr:col>29</xdr:col>
      <xdr:colOff>200025</xdr:colOff>
      <xdr:row>200</xdr:row>
      <xdr:rowOff>9525</xdr:rowOff>
    </xdr:to>
    <xdr:sp macro="" textlink="">
      <xdr:nvSpPr>
        <xdr:cNvPr id="1536" name="Rectangle 4623"/>
        <xdr:cNvSpPr>
          <a:spLocks noChangeArrowheads="1"/>
        </xdr:cNvSpPr>
      </xdr:nvSpPr>
      <xdr:spPr bwMode="auto">
        <a:xfrm>
          <a:off x="9991725" y="549211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199</xdr:row>
      <xdr:rowOff>0</xdr:rowOff>
    </xdr:from>
    <xdr:to>
      <xdr:col>29</xdr:col>
      <xdr:colOff>200025</xdr:colOff>
      <xdr:row>200</xdr:row>
      <xdr:rowOff>9525</xdr:rowOff>
    </xdr:to>
    <xdr:sp macro="" textlink="">
      <xdr:nvSpPr>
        <xdr:cNvPr id="1537" name="Rectangle 4624"/>
        <xdr:cNvSpPr>
          <a:spLocks noChangeArrowheads="1"/>
        </xdr:cNvSpPr>
      </xdr:nvSpPr>
      <xdr:spPr bwMode="auto">
        <a:xfrm>
          <a:off x="9991725" y="549211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28</xdr:col>
      <xdr:colOff>190500</xdr:colOff>
      <xdr:row>199</xdr:row>
      <xdr:rowOff>0</xdr:rowOff>
    </xdr:from>
    <xdr:to>
      <xdr:col>29</xdr:col>
      <xdr:colOff>200025</xdr:colOff>
      <xdr:row>200</xdr:row>
      <xdr:rowOff>9525</xdr:rowOff>
    </xdr:to>
    <xdr:sp macro="" textlink="">
      <xdr:nvSpPr>
        <xdr:cNvPr id="1538" name="Rectangle 4625"/>
        <xdr:cNvSpPr>
          <a:spLocks noChangeArrowheads="1"/>
        </xdr:cNvSpPr>
      </xdr:nvSpPr>
      <xdr:spPr bwMode="auto">
        <a:xfrm>
          <a:off x="9991725" y="549211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199</xdr:row>
      <xdr:rowOff>0</xdr:rowOff>
    </xdr:from>
    <xdr:to>
      <xdr:col>29</xdr:col>
      <xdr:colOff>200025</xdr:colOff>
      <xdr:row>200</xdr:row>
      <xdr:rowOff>9525</xdr:rowOff>
    </xdr:to>
    <xdr:sp macro="" textlink="">
      <xdr:nvSpPr>
        <xdr:cNvPr id="1539" name="Rectangle 4626"/>
        <xdr:cNvSpPr>
          <a:spLocks noChangeArrowheads="1"/>
        </xdr:cNvSpPr>
      </xdr:nvSpPr>
      <xdr:spPr bwMode="auto">
        <a:xfrm>
          <a:off x="9991725" y="549211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199</xdr:row>
      <xdr:rowOff>0</xdr:rowOff>
    </xdr:from>
    <xdr:to>
      <xdr:col>29</xdr:col>
      <xdr:colOff>200025</xdr:colOff>
      <xdr:row>200</xdr:row>
      <xdr:rowOff>9525</xdr:rowOff>
    </xdr:to>
    <xdr:sp macro="" textlink="">
      <xdr:nvSpPr>
        <xdr:cNvPr id="1540" name="Rectangle 4627"/>
        <xdr:cNvSpPr>
          <a:spLocks noChangeArrowheads="1"/>
        </xdr:cNvSpPr>
      </xdr:nvSpPr>
      <xdr:spPr bwMode="auto">
        <a:xfrm>
          <a:off x="9991725" y="549211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199</xdr:row>
      <xdr:rowOff>0</xdr:rowOff>
    </xdr:from>
    <xdr:to>
      <xdr:col>29</xdr:col>
      <xdr:colOff>200025</xdr:colOff>
      <xdr:row>200</xdr:row>
      <xdr:rowOff>9525</xdr:rowOff>
    </xdr:to>
    <xdr:sp macro="" textlink="">
      <xdr:nvSpPr>
        <xdr:cNvPr id="1541" name="Rectangle 4628"/>
        <xdr:cNvSpPr>
          <a:spLocks noChangeArrowheads="1"/>
        </xdr:cNvSpPr>
      </xdr:nvSpPr>
      <xdr:spPr bwMode="auto">
        <a:xfrm>
          <a:off x="9991725" y="549211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199</xdr:row>
      <xdr:rowOff>0</xdr:rowOff>
    </xdr:from>
    <xdr:to>
      <xdr:col>29</xdr:col>
      <xdr:colOff>200025</xdr:colOff>
      <xdr:row>200</xdr:row>
      <xdr:rowOff>9525</xdr:rowOff>
    </xdr:to>
    <xdr:sp macro="" textlink="">
      <xdr:nvSpPr>
        <xdr:cNvPr id="1542" name="Rectangle 4629"/>
        <xdr:cNvSpPr>
          <a:spLocks noChangeArrowheads="1"/>
        </xdr:cNvSpPr>
      </xdr:nvSpPr>
      <xdr:spPr bwMode="auto">
        <a:xfrm>
          <a:off x="9991725" y="549211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pPr algn="ctr"/>
          <a:r>
            <a:rPr lang="en-US" sz="1200">
              <a:latin typeface="Arial" pitchFamily="34" charset="0"/>
              <a:cs typeface="Arial" pitchFamily="34" charset="0"/>
            </a:rPr>
            <a:t>B</a:t>
          </a:r>
        </a:p>
      </xdr:txBody>
    </xdr:sp>
    <xdr:clientData/>
  </xdr:twoCellAnchor>
  <xdr:twoCellAnchor>
    <xdr:from>
      <xdr:col>30</xdr:col>
      <xdr:colOff>190500</xdr:colOff>
      <xdr:row>199</xdr:row>
      <xdr:rowOff>0</xdr:rowOff>
    </xdr:from>
    <xdr:to>
      <xdr:col>31</xdr:col>
      <xdr:colOff>200025</xdr:colOff>
      <xdr:row>200</xdr:row>
      <xdr:rowOff>9525</xdr:rowOff>
    </xdr:to>
    <xdr:sp macro="" textlink="">
      <xdr:nvSpPr>
        <xdr:cNvPr id="1543" name="Rectangle 4633"/>
        <xdr:cNvSpPr>
          <a:spLocks noChangeArrowheads="1"/>
        </xdr:cNvSpPr>
      </xdr:nvSpPr>
      <xdr:spPr bwMode="auto">
        <a:xfrm>
          <a:off x="10868025" y="549211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30</xdr:col>
      <xdr:colOff>190500</xdr:colOff>
      <xdr:row>199</xdr:row>
      <xdr:rowOff>0</xdr:rowOff>
    </xdr:from>
    <xdr:to>
      <xdr:col>31</xdr:col>
      <xdr:colOff>200025</xdr:colOff>
      <xdr:row>200</xdr:row>
      <xdr:rowOff>9525</xdr:rowOff>
    </xdr:to>
    <xdr:sp macro="" textlink="">
      <xdr:nvSpPr>
        <xdr:cNvPr id="1544" name="Rectangle 4634"/>
        <xdr:cNvSpPr>
          <a:spLocks noChangeArrowheads="1"/>
        </xdr:cNvSpPr>
      </xdr:nvSpPr>
      <xdr:spPr bwMode="auto">
        <a:xfrm>
          <a:off x="10868025" y="549211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199</xdr:row>
      <xdr:rowOff>0</xdr:rowOff>
    </xdr:from>
    <xdr:to>
      <xdr:col>31</xdr:col>
      <xdr:colOff>200025</xdr:colOff>
      <xdr:row>200</xdr:row>
      <xdr:rowOff>9525</xdr:rowOff>
    </xdr:to>
    <xdr:sp macro="" textlink="">
      <xdr:nvSpPr>
        <xdr:cNvPr id="1545" name="Rectangle 4635"/>
        <xdr:cNvSpPr>
          <a:spLocks noChangeArrowheads="1"/>
        </xdr:cNvSpPr>
      </xdr:nvSpPr>
      <xdr:spPr bwMode="auto">
        <a:xfrm>
          <a:off x="10868025" y="549211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199</xdr:row>
      <xdr:rowOff>0</xdr:rowOff>
    </xdr:from>
    <xdr:to>
      <xdr:col>31</xdr:col>
      <xdr:colOff>200025</xdr:colOff>
      <xdr:row>200</xdr:row>
      <xdr:rowOff>9525</xdr:rowOff>
    </xdr:to>
    <xdr:sp macro="" textlink="">
      <xdr:nvSpPr>
        <xdr:cNvPr id="1546" name="Rectangle 4636"/>
        <xdr:cNvSpPr>
          <a:spLocks noChangeArrowheads="1"/>
        </xdr:cNvSpPr>
      </xdr:nvSpPr>
      <xdr:spPr bwMode="auto">
        <a:xfrm>
          <a:off x="10868025" y="549211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199</xdr:row>
      <xdr:rowOff>0</xdr:rowOff>
    </xdr:from>
    <xdr:to>
      <xdr:col>31</xdr:col>
      <xdr:colOff>200025</xdr:colOff>
      <xdr:row>200</xdr:row>
      <xdr:rowOff>9525</xdr:rowOff>
    </xdr:to>
    <xdr:sp macro="" textlink="">
      <xdr:nvSpPr>
        <xdr:cNvPr id="1547" name="Rectangle 4637"/>
        <xdr:cNvSpPr>
          <a:spLocks noChangeArrowheads="1"/>
        </xdr:cNvSpPr>
      </xdr:nvSpPr>
      <xdr:spPr bwMode="auto">
        <a:xfrm>
          <a:off x="10868025" y="549211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30</xdr:col>
      <xdr:colOff>190500</xdr:colOff>
      <xdr:row>199</xdr:row>
      <xdr:rowOff>0</xdr:rowOff>
    </xdr:from>
    <xdr:to>
      <xdr:col>31</xdr:col>
      <xdr:colOff>200025</xdr:colOff>
      <xdr:row>200</xdr:row>
      <xdr:rowOff>9525</xdr:rowOff>
    </xdr:to>
    <xdr:sp macro="" textlink="">
      <xdr:nvSpPr>
        <xdr:cNvPr id="1548" name="Rectangle 4638"/>
        <xdr:cNvSpPr>
          <a:spLocks noChangeArrowheads="1"/>
        </xdr:cNvSpPr>
      </xdr:nvSpPr>
      <xdr:spPr bwMode="auto">
        <a:xfrm>
          <a:off x="10868025" y="549211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199</xdr:row>
      <xdr:rowOff>0</xdr:rowOff>
    </xdr:from>
    <xdr:to>
      <xdr:col>31</xdr:col>
      <xdr:colOff>200025</xdr:colOff>
      <xdr:row>200</xdr:row>
      <xdr:rowOff>9525</xdr:rowOff>
    </xdr:to>
    <xdr:sp macro="" textlink="">
      <xdr:nvSpPr>
        <xdr:cNvPr id="1549" name="Rectangle 4639"/>
        <xdr:cNvSpPr>
          <a:spLocks noChangeArrowheads="1"/>
        </xdr:cNvSpPr>
      </xdr:nvSpPr>
      <xdr:spPr bwMode="auto">
        <a:xfrm>
          <a:off x="10868025" y="549211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199</xdr:row>
      <xdr:rowOff>0</xdr:rowOff>
    </xdr:from>
    <xdr:to>
      <xdr:col>31</xdr:col>
      <xdr:colOff>200025</xdr:colOff>
      <xdr:row>200</xdr:row>
      <xdr:rowOff>9525</xdr:rowOff>
    </xdr:to>
    <xdr:sp macro="" textlink="">
      <xdr:nvSpPr>
        <xdr:cNvPr id="1550" name="Rectangle 4640"/>
        <xdr:cNvSpPr>
          <a:spLocks noChangeArrowheads="1"/>
        </xdr:cNvSpPr>
      </xdr:nvSpPr>
      <xdr:spPr bwMode="auto">
        <a:xfrm>
          <a:off x="10868025" y="549211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199</xdr:row>
      <xdr:rowOff>0</xdr:rowOff>
    </xdr:from>
    <xdr:to>
      <xdr:col>31</xdr:col>
      <xdr:colOff>200025</xdr:colOff>
      <xdr:row>200</xdr:row>
      <xdr:rowOff>9525</xdr:rowOff>
    </xdr:to>
    <xdr:sp macro="" textlink="">
      <xdr:nvSpPr>
        <xdr:cNvPr id="1551" name="Rectangle 4641"/>
        <xdr:cNvSpPr>
          <a:spLocks noChangeArrowheads="1"/>
        </xdr:cNvSpPr>
      </xdr:nvSpPr>
      <xdr:spPr bwMode="auto">
        <a:xfrm>
          <a:off x="10868025" y="549211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30</xdr:col>
      <xdr:colOff>190500</xdr:colOff>
      <xdr:row>199</xdr:row>
      <xdr:rowOff>0</xdr:rowOff>
    </xdr:from>
    <xdr:to>
      <xdr:col>31</xdr:col>
      <xdr:colOff>200025</xdr:colOff>
      <xdr:row>200</xdr:row>
      <xdr:rowOff>9525</xdr:rowOff>
    </xdr:to>
    <xdr:sp macro="" textlink="">
      <xdr:nvSpPr>
        <xdr:cNvPr id="1552" name="Rectangle 4642"/>
        <xdr:cNvSpPr>
          <a:spLocks noChangeArrowheads="1"/>
        </xdr:cNvSpPr>
      </xdr:nvSpPr>
      <xdr:spPr bwMode="auto">
        <a:xfrm>
          <a:off x="10868025" y="549211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199</xdr:row>
      <xdr:rowOff>0</xdr:rowOff>
    </xdr:from>
    <xdr:to>
      <xdr:col>31</xdr:col>
      <xdr:colOff>200025</xdr:colOff>
      <xdr:row>200</xdr:row>
      <xdr:rowOff>9525</xdr:rowOff>
    </xdr:to>
    <xdr:sp macro="" textlink="">
      <xdr:nvSpPr>
        <xdr:cNvPr id="1553" name="Rectangle 4643"/>
        <xdr:cNvSpPr>
          <a:spLocks noChangeArrowheads="1"/>
        </xdr:cNvSpPr>
      </xdr:nvSpPr>
      <xdr:spPr bwMode="auto">
        <a:xfrm>
          <a:off x="10868025" y="549211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199</xdr:row>
      <xdr:rowOff>0</xdr:rowOff>
    </xdr:from>
    <xdr:to>
      <xdr:col>31</xdr:col>
      <xdr:colOff>200025</xdr:colOff>
      <xdr:row>200</xdr:row>
      <xdr:rowOff>9525</xdr:rowOff>
    </xdr:to>
    <xdr:sp macro="" textlink="">
      <xdr:nvSpPr>
        <xdr:cNvPr id="1554" name="Rectangle 4644"/>
        <xdr:cNvSpPr>
          <a:spLocks noChangeArrowheads="1"/>
        </xdr:cNvSpPr>
      </xdr:nvSpPr>
      <xdr:spPr bwMode="auto">
        <a:xfrm>
          <a:off x="10868025" y="549211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199</xdr:row>
      <xdr:rowOff>0</xdr:rowOff>
    </xdr:from>
    <xdr:to>
      <xdr:col>31</xdr:col>
      <xdr:colOff>200025</xdr:colOff>
      <xdr:row>200</xdr:row>
      <xdr:rowOff>9525</xdr:rowOff>
    </xdr:to>
    <xdr:sp macro="" textlink="">
      <xdr:nvSpPr>
        <xdr:cNvPr id="1555" name="Rectangle 4645"/>
        <xdr:cNvSpPr>
          <a:spLocks noChangeArrowheads="1"/>
        </xdr:cNvSpPr>
      </xdr:nvSpPr>
      <xdr:spPr bwMode="auto">
        <a:xfrm>
          <a:off x="10868025" y="549211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199</xdr:row>
      <xdr:rowOff>0</xdr:rowOff>
    </xdr:from>
    <xdr:to>
      <xdr:col>31</xdr:col>
      <xdr:colOff>200025</xdr:colOff>
      <xdr:row>200</xdr:row>
      <xdr:rowOff>9525</xdr:rowOff>
    </xdr:to>
    <xdr:sp macro="" textlink="">
      <xdr:nvSpPr>
        <xdr:cNvPr id="1556" name="Rectangle 4646"/>
        <xdr:cNvSpPr>
          <a:spLocks noChangeArrowheads="1"/>
        </xdr:cNvSpPr>
      </xdr:nvSpPr>
      <xdr:spPr bwMode="auto">
        <a:xfrm>
          <a:off x="10868025" y="549211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pPr algn="ctr">
            <a:buFont typeface="Arial" pitchFamily="34" charset="0"/>
            <a:buChar char="•"/>
          </a:pPr>
          <a:r>
            <a:rPr lang="en-US" sz="1200">
              <a:latin typeface="Arial" pitchFamily="34" charset="0"/>
              <a:cs typeface="Arial" pitchFamily="34" charset="0"/>
            </a:rPr>
            <a:t>B</a:t>
          </a:r>
        </a:p>
      </xdr:txBody>
    </xdr:sp>
    <xdr:clientData/>
  </xdr:twoCellAnchor>
  <xdr:twoCellAnchor>
    <xdr:from>
      <xdr:col>30</xdr:col>
      <xdr:colOff>190500</xdr:colOff>
      <xdr:row>211</xdr:row>
      <xdr:rowOff>0</xdr:rowOff>
    </xdr:from>
    <xdr:to>
      <xdr:col>31</xdr:col>
      <xdr:colOff>200025</xdr:colOff>
      <xdr:row>211</xdr:row>
      <xdr:rowOff>0</xdr:rowOff>
    </xdr:to>
    <xdr:sp macro="" textlink="">
      <xdr:nvSpPr>
        <xdr:cNvPr id="1557" name="Rectangle 4650"/>
        <xdr:cNvSpPr>
          <a:spLocks noChangeArrowheads="1"/>
        </xdr:cNvSpPr>
      </xdr:nvSpPr>
      <xdr:spPr bwMode="auto">
        <a:xfrm>
          <a:off x="10868025" y="58102500"/>
          <a:ext cx="4286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211</xdr:row>
      <xdr:rowOff>0</xdr:rowOff>
    </xdr:from>
    <xdr:to>
      <xdr:col>31</xdr:col>
      <xdr:colOff>200025</xdr:colOff>
      <xdr:row>211</xdr:row>
      <xdr:rowOff>0</xdr:rowOff>
    </xdr:to>
    <xdr:sp macro="" textlink="">
      <xdr:nvSpPr>
        <xdr:cNvPr id="1558" name="Rectangle 4651"/>
        <xdr:cNvSpPr>
          <a:spLocks noChangeArrowheads="1"/>
        </xdr:cNvSpPr>
      </xdr:nvSpPr>
      <xdr:spPr bwMode="auto">
        <a:xfrm>
          <a:off x="10868025" y="58102500"/>
          <a:ext cx="4286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180975</xdr:colOff>
      <xdr:row>211</xdr:row>
      <xdr:rowOff>0</xdr:rowOff>
    </xdr:from>
    <xdr:to>
      <xdr:col>31</xdr:col>
      <xdr:colOff>190500</xdr:colOff>
      <xdr:row>211</xdr:row>
      <xdr:rowOff>0</xdr:rowOff>
    </xdr:to>
    <xdr:sp macro="" textlink="">
      <xdr:nvSpPr>
        <xdr:cNvPr id="1559" name="Rectangle 4652"/>
        <xdr:cNvSpPr>
          <a:spLocks noChangeArrowheads="1"/>
        </xdr:cNvSpPr>
      </xdr:nvSpPr>
      <xdr:spPr bwMode="auto">
        <a:xfrm>
          <a:off x="10858500" y="58102500"/>
          <a:ext cx="4286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211</xdr:row>
      <xdr:rowOff>0</xdr:rowOff>
    </xdr:from>
    <xdr:to>
      <xdr:col>31</xdr:col>
      <xdr:colOff>200025</xdr:colOff>
      <xdr:row>211</xdr:row>
      <xdr:rowOff>0</xdr:rowOff>
    </xdr:to>
    <xdr:sp macro="" textlink="">
      <xdr:nvSpPr>
        <xdr:cNvPr id="1560" name="Rectangle 4653"/>
        <xdr:cNvSpPr>
          <a:spLocks noChangeArrowheads="1"/>
        </xdr:cNvSpPr>
      </xdr:nvSpPr>
      <xdr:spPr bwMode="auto">
        <a:xfrm>
          <a:off x="10868025" y="58102500"/>
          <a:ext cx="4286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211</xdr:row>
      <xdr:rowOff>0</xdr:rowOff>
    </xdr:from>
    <xdr:to>
      <xdr:col>31</xdr:col>
      <xdr:colOff>200025</xdr:colOff>
      <xdr:row>211</xdr:row>
      <xdr:rowOff>0</xdr:rowOff>
    </xdr:to>
    <xdr:sp macro="" textlink="">
      <xdr:nvSpPr>
        <xdr:cNvPr id="1561" name="Rectangle 4654"/>
        <xdr:cNvSpPr>
          <a:spLocks noChangeArrowheads="1"/>
        </xdr:cNvSpPr>
      </xdr:nvSpPr>
      <xdr:spPr bwMode="auto">
        <a:xfrm>
          <a:off x="10868025" y="58102500"/>
          <a:ext cx="4286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234</xdr:row>
      <xdr:rowOff>0</xdr:rowOff>
    </xdr:from>
    <xdr:to>
      <xdr:col>31</xdr:col>
      <xdr:colOff>200025</xdr:colOff>
      <xdr:row>235</xdr:row>
      <xdr:rowOff>9525</xdr:rowOff>
    </xdr:to>
    <xdr:sp macro="" textlink="">
      <xdr:nvSpPr>
        <xdr:cNvPr id="1562" name="Rectangle 4655"/>
        <xdr:cNvSpPr>
          <a:spLocks noChangeArrowheads="1"/>
        </xdr:cNvSpPr>
      </xdr:nvSpPr>
      <xdr:spPr bwMode="auto">
        <a:xfrm>
          <a:off x="10868025" y="649700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234</xdr:row>
      <xdr:rowOff>0</xdr:rowOff>
    </xdr:from>
    <xdr:to>
      <xdr:col>31</xdr:col>
      <xdr:colOff>200025</xdr:colOff>
      <xdr:row>235</xdr:row>
      <xdr:rowOff>9525</xdr:rowOff>
    </xdr:to>
    <xdr:sp macro="" textlink="">
      <xdr:nvSpPr>
        <xdr:cNvPr id="1563" name="Rectangle 4656"/>
        <xdr:cNvSpPr>
          <a:spLocks noChangeArrowheads="1"/>
        </xdr:cNvSpPr>
      </xdr:nvSpPr>
      <xdr:spPr bwMode="auto">
        <a:xfrm>
          <a:off x="10868025" y="649700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234</xdr:row>
      <xdr:rowOff>0</xdr:rowOff>
    </xdr:from>
    <xdr:to>
      <xdr:col>31</xdr:col>
      <xdr:colOff>200025</xdr:colOff>
      <xdr:row>235</xdr:row>
      <xdr:rowOff>9525</xdr:rowOff>
    </xdr:to>
    <xdr:sp macro="" textlink="">
      <xdr:nvSpPr>
        <xdr:cNvPr id="1564" name="Rectangle 4657"/>
        <xdr:cNvSpPr>
          <a:spLocks noChangeArrowheads="1"/>
        </xdr:cNvSpPr>
      </xdr:nvSpPr>
      <xdr:spPr bwMode="auto">
        <a:xfrm>
          <a:off x="10868025" y="649700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234</xdr:row>
      <xdr:rowOff>0</xdr:rowOff>
    </xdr:from>
    <xdr:to>
      <xdr:col>31</xdr:col>
      <xdr:colOff>200025</xdr:colOff>
      <xdr:row>235</xdr:row>
      <xdr:rowOff>9525</xdr:rowOff>
    </xdr:to>
    <xdr:sp macro="" textlink="">
      <xdr:nvSpPr>
        <xdr:cNvPr id="1565" name="Rectangle 4658"/>
        <xdr:cNvSpPr>
          <a:spLocks noChangeArrowheads="1"/>
        </xdr:cNvSpPr>
      </xdr:nvSpPr>
      <xdr:spPr bwMode="auto">
        <a:xfrm>
          <a:off x="10868025" y="649700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234</xdr:row>
      <xdr:rowOff>0</xdr:rowOff>
    </xdr:from>
    <xdr:to>
      <xdr:col>31</xdr:col>
      <xdr:colOff>200025</xdr:colOff>
      <xdr:row>235</xdr:row>
      <xdr:rowOff>9525</xdr:rowOff>
    </xdr:to>
    <xdr:sp macro="" textlink="">
      <xdr:nvSpPr>
        <xdr:cNvPr id="1566" name="Rectangle 4659"/>
        <xdr:cNvSpPr>
          <a:spLocks noChangeArrowheads="1"/>
        </xdr:cNvSpPr>
      </xdr:nvSpPr>
      <xdr:spPr bwMode="auto">
        <a:xfrm>
          <a:off x="10868025" y="649700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234</xdr:row>
      <xdr:rowOff>0</xdr:rowOff>
    </xdr:from>
    <xdr:to>
      <xdr:col>31</xdr:col>
      <xdr:colOff>200025</xdr:colOff>
      <xdr:row>235</xdr:row>
      <xdr:rowOff>9525</xdr:rowOff>
    </xdr:to>
    <xdr:sp macro="" textlink="">
      <xdr:nvSpPr>
        <xdr:cNvPr id="1567" name="Rectangle 4660"/>
        <xdr:cNvSpPr>
          <a:spLocks noChangeArrowheads="1"/>
        </xdr:cNvSpPr>
      </xdr:nvSpPr>
      <xdr:spPr bwMode="auto">
        <a:xfrm>
          <a:off x="10868025" y="649700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234</xdr:row>
      <xdr:rowOff>0</xdr:rowOff>
    </xdr:from>
    <xdr:to>
      <xdr:col>31</xdr:col>
      <xdr:colOff>200025</xdr:colOff>
      <xdr:row>235</xdr:row>
      <xdr:rowOff>9525</xdr:rowOff>
    </xdr:to>
    <xdr:sp macro="" textlink="">
      <xdr:nvSpPr>
        <xdr:cNvPr id="1568" name="Rectangle 4661"/>
        <xdr:cNvSpPr>
          <a:spLocks noChangeArrowheads="1"/>
        </xdr:cNvSpPr>
      </xdr:nvSpPr>
      <xdr:spPr bwMode="auto">
        <a:xfrm>
          <a:off x="10868025" y="649700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234</xdr:row>
      <xdr:rowOff>0</xdr:rowOff>
    </xdr:from>
    <xdr:to>
      <xdr:col>31</xdr:col>
      <xdr:colOff>200025</xdr:colOff>
      <xdr:row>235</xdr:row>
      <xdr:rowOff>9525</xdr:rowOff>
    </xdr:to>
    <xdr:sp macro="" textlink="">
      <xdr:nvSpPr>
        <xdr:cNvPr id="1569" name="Rectangle 4662"/>
        <xdr:cNvSpPr>
          <a:spLocks noChangeArrowheads="1"/>
        </xdr:cNvSpPr>
      </xdr:nvSpPr>
      <xdr:spPr bwMode="auto">
        <a:xfrm>
          <a:off x="10868025" y="649700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234</xdr:row>
      <xdr:rowOff>0</xdr:rowOff>
    </xdr:from>
    <xdr:to>
      <xdr:col>31</xdr:col>
      <xdr:colOff>200025</xdr:colOff>
      <xdr:row>235</xdr:row>
      <xdr:rowOff>9525</xdr:rowOff>
    </xdr:to>
    <xdr:sp macro="" textlink="">
      <xdr:nvSpPr>
        <xdr:cNvPr id="1570" name="Rectangle 4663"/>
        <xdr:cNvSpPr>
          <a:spLocks noChangeArrowheads="1"/>
        </xdr:cNvSpPr>
      </xdr:nvSpPr>
      <xdr:spPr bwMode="auto">
        <a:xfrm>
          <a:off x="10868025" y="649700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180975</xdr:colOff>
      <xdr:row>234</xdr:row>
      <xdr:rowOff>8111</xdr:rowOff>
    </xdr:from>
    <xdr:to>
      <xdr:col>31</xdr:col>
      <xdr:colOff>190500</xdr:colOff>
      <xdr:row>235</xdr:row>
      <xdr:rowOff>20979</xdr:rowOff>
    </xdr:to>
    <xdr:sp macro="" textlink="">
      <xdr:nvSpPr>
        <xdr:cNvPr id="1571" name="Rectangle 4664"/>
        <xdr:cNvSpPr>
          <a:spLocks noChangeArrowheads="1"/>
        </xdr:cNvSpPr>
      </xdr:nvSpPr>
      <xdr:spPr bwMode="auto">
        <a:xfrm>
          <a:off x="10858500" y="64978136"/>
          <a:ext cx="428625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32</xdr:col>
      <xdr:colOff>190500</xdr:colOff>
      <xdr:row>21</xdr:row>
      <xdr:rowOff>0</xdr:rowOff>
    </xdr:from>
    <xdr:to>
      <xdr:col>33</xdr:col>
      <xdr:colOff>200025</xdr:colOff>
      <xdr:row>22</xdr:row>
      <xdr:rowOff>9525</xdr:rowOff>
    </xdr:to>
    <xdr:sp macro="" textlink="">
      <xdr:nvSpPr>
        <xdr:cNvPr id="1572" name="Rectangle 5223"/>
        <xdr:cNvSpPr>
          <a:spLocks noChangeArrowheads="1"/>
        </xdr:cNvSpPr>
      </xdr:nvSpPr>
      <xdr:spPr bwMode="auto">
        <a:xfrm>
          <a:off x="11649075" y="60293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21</xdr:row>
      <xdr:rowOff>0</xdr:rowOff>
    </xdr:from>
    <xdr:to>
      <xdr:col>33</xdr:col>
      <xdr:colOff>200025</xdr:colOff>
      <xdr:row>22</xdr:row>
      <xdr:rowOff>9525</xdr:rowOff>
    </xdr:to>
    <xdr:sp macro="" textlink="">
      <xdr:nvSpPr>
        <xdr:cNvPr id="1573" name="Rectangle 5224"/>
        <xdr:cNvSpPr>
          <a:spLocks noChangeArrowheads="1"/>
        </xdr:cNvSpPr>
      </xdr:nvSpPr>
      <xdr:spPr bwMode="auto">
        <a:xfrm>
          <a:off x="11649075" y="60293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21</xdr:row>
      <xdr:rowOff>0</xdr:rowOff>
    </xdr:from>
    <xdr:to>
      <xdr:col>33</xdr:col>
      <xdr:colOff>200025</xdr:colOff>
      <xdr:row>22</xdr:row>
      <xdr:rowOff>9525</xdr:rowOff>
    </xdr:to>
    <xdr:sp macro="" textlink="">
      <xdr:nvSpPr>
        <xdr:cNvPr id="1574" name="Rectangle 5225"/>
        <xdr:cNvSpPr>
          <a:spLocks noChangeArrowheads="1"/>
        </xdr:cNvSpPr>
      </xdr:nvSpPr>
      <xdr:spPr bwMode="auto">
        <a:xfrm>
          <a:off x="11649075" y="60293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21</xdr:row>
      <xdr:rowOff>0</xdr:rowOff>
    </xdr:from>
    <xdr:to>
      <xdr:col>33</xdr:col>
      <xdr:colOff>200025</xdr:colOff>
      <xdr:row>22</xdr:row>
      <xdr:rowOff>9525</xdr:rowOff>
    </xdr:to>
    <xdr:sp macro="" textlink="">
      <xdr:nvSpPr>
        <xdr:cNvPr id="1575" name="Rectangle 5226"/>
        <xdr:cNvSpPr>
          <a:spLocks noChangeArrowheads="1"/>
        </xdr:cNvSpPr>
      </xdr:nvSpPr>
      <xdr:spPr bwMode="auto">
        <a:xfrm>
          <a:off x="11649075" y="60293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21</xdr:row>
      <xdr:rowOff>0</xdr:rowOff>
    </xdr:from>
    <xdr:to>
      <xdr:col>33</xdr:col>
      <xdr:colOff>200025</xdr:colOff>
      <xdr:row>22</xdr:row>
      <xdr:rowOff>9525</xdr:rowOff>
    </xdr:to>
    <xdr:sp macro="" textlink="">
      <xdr:nvSpPr>
        <xdr:cNvPr id="1576" name="Rectangle 5227"/>
        <xdr:cNvSpPr>
          <a:spLocks noChangeArrowheads="1"/>
        </xdr:cNvSpPr>
      </xdr:nvSpPr>
      <xdr:spPr bwMode="auto">
        <a:xfrm>
          <a:off x="11649075" y="60293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21</xdr:row>
      <xdr:rowOff>0</xdr:rowOff>
    </xdr:from>
    <xdr:to>
      <xdr:col>33</xdr:col>
      <xdr:colOff>200025</xdr:colOff>
      <xdr:row>22</xdr:row>
      <xdr:rowOff>9525</xdr:rowOff>
    </xdr:to>
    <xdr:sp macro="" textlink="">
      <xdr:nvSpPr>
        <xdr:cNvPr id="1577" name="Rectangle 5228"/>
        <xdr:cNvSpPr>
          <a:spLocks noChangeArrowheads="1"/>
        </xdr:cNvSpPr>
      </xdr:nvSpPr>
      <xdr:spPr bwMode="auto">
        <a:xfrm>
          <a:off x="11649075" y="60293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US" sz="1100">
              <a:latin typeface="Arial" pitchFamily="34" charset="0"/>
              <a:cs typeface="Arial" pitchFamily="34" charset="0"/>
            </a:rPr>
            <a:t> </a:t>
          </a:r>
          <a:r>
            <a:rPr lang="en-US" sz="1100" b="0">
              <a:latin typeface="Arial" pitchFamily="34" charset="0"/>
              <a:cs typeface="Arial" pitchFamily="34" charset="0"/>
            </a:rPr>
            <a:t> C</a:t>
          </a:r>
        </a:p>
      </xdr:txBody>
    </xdr:sp>
    <xdr:clientData/>
  </xdr:twoCellAnchor>
  <xdr:twoCellAnchor>
    <xdr:from>
      <xdr:col>32</xdr:col>
      <xdr:colOff>190500</xdr:colOff>
      <xdr:row>57</xdr:row>
      <xdr:rowOff>0</xdr:rowOff>
    </xdr:from>
    <xdr:to>
      <xdr:col>33</xdr:col>
      <xdr:colOff>200025</xdr:colOff>
      <xdr:row>58</xdr:row>
      <xdr:rowOff>9525</xdr:rowOff>
    </xdr:to>
    <xdr:sp macro="" textlink="">
      <xdr:nvSpPr>
        <xdr:cNvPr id="1578" name="Rectangle 5230"/>
        <xdr:cNvSpPr>
          <a:spLocks noChangeArrowheads="1"/>
        </xdr:cNvSpPr>
      </xdr:nvSpPr>
      <xdr:spPr bwMode="auto">
        <a:xfrm>
          <a:off x="11649075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57</xdr:row>
      <xdr:rowOff>0</xdr:rowOff>
    </xdr:from>
    <xdr:to>
      <xdr:col>33</xdr:col>
      <xdr:colOff>200025</xdr:colOff>
      <xdr:row>58</xdr:row>
      <xdr:rowOff>9525</xdr:rowOff>
    </xdr:to>
    <xdr:sp macro="" textlink="">
      <xdr:nvSpPr>
        <xdr:cNvPr id="1579" name="Rectangle 5231"/>
        <xdr:cNvSpPr>
          <a:spLocks noChangeArrowheads="1"/>
        </xdr:cNvSpPr>
      </xdr:nvSpPr>
      <xdr:spPr bwMode="auto">
        <a:xfrm>
          <a:off x="11649075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57</xdr:row>
      <xdr:rowOff>0</xdr:rowOff>
    </xdr:from>
    <xdr:to>
      <xdr:col>33</xdr:col>
      <xdr:colOff>200025</xdr:colOff>
      <xdr:row>58</xdr:row>
      <xdr:rowOff>9525</xdr:rowOff>
    </xdr:to>
    <xdr:sp macro="" textlink="">
      <xdr:nvSpPr>
        <xdr:cNvPr id="1580" name="Rectangle 5232"/>
        <xdr:cNvSpPr>
          <a:spLocks noChangeArrowheads="1"/>
        </xdr:cNvSpPr>
      </xdr:nvSpPr>
      <xdr:spPr bwMode="auto">
        <a:xfrm>
          <a:off x="11649075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57</xdr:row>
      <xdr:rowOff>0</xdr:rowOff>
    </xdr:from>
    <xdr:to>
      <xdr:col>33</xdr:col>
      <xdr:colOff>200025</xdr:colOff>
      <xdr:row>58</xdr:row>
      <xdr:rowOff>9525</xdr:rowOff>
    </xdr:to>
    <xdr:sp macro="" textlink="">
      <xdr:nvSpPr>
        <xdr:cNvPr id="1581" name="Rectangle 5233"/>
        <xdr:cNvSpPr>
          <a:spLocks noChangeArrowheads="1"/>
        </xdr:cNvSpPr>
      </xdr:nvSpPr>
      <xdr:spPr bwMode="auto">
        <a:xfrm>
          <a:off x="11649075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57</xdr:row>
      <xdr:rowOff>0</xdr:rowOff>
    </xdr:from>
    <xdr:to>
      <xdr:col>33</xdr:col>
      <xdr:colOff>200025</xdr:colOff>
      <xdr:row>58</xdr:row>
      <xdr:rowOff>9525</xdr:rowOff>
    </xdr:to>
    <xdr:sp macro="" textlink="">
      <xdr:nvSpPr>
        <xdr:cNvPr id="1582" name="Rectangle 5234"/>
        <xdr:cNvSpPr>
          <a:spLocks noChangeArrowheads="1"/>
        </xdr:cNvSpPr>
      </xdr:nvSpPr>
      <xdr:spPr bwMode="auto">
        <a:xfrm>
          <a:off x="11649075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57</xdr:row>
      <xdr:rowOff>0</xdr:rowOff>
    </xdr:from>
    <xdr:to>
      <xdr:col>33</xdr:col>
      <xdr:colOff>200025</xdr:colOff>
      <xdr:row>58</xdr:row>
      <xdr:rowOff>9525</xdr:rowOff>
    </xdr:to>
    <xdr:sp macro="" textlink="">
      <xdr:nvSpPr>
        <xdr:cNvPr id="1583" name="Rectangle 5235"/>
        <xdr:cNvSpPr>
          <a:spLocks noChangeArrowheads="1"/>
        </xdr:cNvSpPr>
      </xdr:nvSpPr>
      <xdr:spPr bwMode="auto">
        <a:xfrm>
          <a:off x="11649075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180975</xdr:colOff>
      <xdr:row>57</xdr:row>
      <xdr:rowOff>0</xdr:rowOff>
    </xdr:from>
    <xdr:to>
      <xdr:col>33</xdr:col>
      <xdr:colOff>190500</xdr:colOff>
      <xdr:row>58</xdr:row>
      <xdr:rowOff>9525</xdr:rowOff>
    </xdr:to>
    <xdr:sp macro="" textlink="">
      <xdr:nvSpPr>
        <xdr:cNvPr id="1584" name="Rectangle 5236"/>
        <xdr:cNvSpPr>
          <a:spLocks noChangeArrowheads="1"/>
        </xdr:cNvSpPr>
      </xdr:nvSpPr>
      <xdr:spPr bwMode="auto">
        <a:xfrm>
          <a:off x="11639550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57</xdr:row>
      <xdr:rowOff>0</xdr:rowOff>
    </xdr:from>
    <xdr:to>
      <xdr:col>33</xdr:col>
      <xdr:colOff>200025</xdr:colOff>
      <xdr:row>58</xdr:row>
      <xdr:rowOff>9525</xdr:rowOff>
    </xdr:to>
    <xdr:sp macro="" textlink="">
      <xdr:nvSpPr>
        <xdr:cNvPr id="1585" name="Rectangle 5237"/>
        <xdr:cNvSpPr>
          <a:spLocks noChangeArrowheads="1"/>
        </xdr:cNvSpPr>
      </xdr:nvSpPr>
      <xdr:spPr bwMode="auto">
        <a:xfrm>
          <a:off x="11649075" y="160020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56</xdr:row>
      <xdr:rowOff>332476</xdr:rowOff>
    </xdr:from>
    <xdr:to>
      <xdr:col>33</xdr:col>
      <xdr:colOff>200025</xdr:colOff>
      <xdr:row>58</xdr:row>
      <xdr:rowOff>539</xdr:rowOff>
    </xdr:to>
    <xdr:sp macro="" textlink="">
      <xdr:nvSpPr>
        <xdr:cNvPr id="1586" name="Rectangle 5238"/>
        <xdr:cNvSpPr>
          <a:spLocks noChangeArrowheads="1"/>
        </xdr:cNvSpPr>
      </xdr:nvSpPr>
      <xdr:spPr bwMode="auto">
        <a:xfrm>
          <a:off x="11649075" y="15991576"/>
          <a:ext cx="438150" cy="28718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587" name="Rectangle 5239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588" name="Rectangle 5240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589" name="Rectangle 5241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590" name="Rectangle 5242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591" name="Rectangle 5243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592" name="Rectangle 5244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593" name="Rectangle 5245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594" name="Rectangle 5246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595" name="Rectangle 5247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596" name="Rectangle 5248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597" name="Rectangle 5249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598" name="Rectangle 5250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599" name="Rectangle 5251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600" name="Rectangle 5252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601" name="Rectangle 5253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602" name="Rectangle 5254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603" name="Rectangle 5255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604" name="Rectangle 5256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605" name="Rectangle 5257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606" name="Rectangle 5258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607" name="Rectangle 5259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608" name="Rectangle 5260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180975</xdr:colOff>
      <xdr:row>92</xdr:row>
      <xdr:rowOff>0</xdr:rowOff>
    </xdr:from>
    <xdr:to>
      <xdr:col>33</xdr:col>
      <xdr:colOff>190500</xdr:colOff>
      <xdr:row>93</xdr:row>
      <xdr:rowOff>9525</xdr:rowOff>
    </xdr:to>
    <xdr:sp macro="" textlink="">
      <xdr:nvSpPr>
        <xdr:cNvPr id="1609" name="Rectangle 5261"/>
        <xdr:cNvSpPr>
          <a:spLocks noChangeArrowheads="1"/>
        </xdr:cNvSpPr>
      </xdr:nvSpPr>
      <xdr:spPr bwMode="auto">
        <a:xfrm>
          <a:off x="11639550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92</xdr:row>
      <xdr:rowOff>0</xdr:rowOff>
    </xdr:from>
    <xdr:to>
      <xdr:col>33</xdr:col>
      <xdr:colOff>200025</xdr:colOff>
      <xdr:row>93</xdr:row>
      <xdr:rowOff>9525</xdr:rowOff>
    </xdr:to>
    <xdr:sp macro="" textlink="">
      <xdr:nvSpPr>
        <xdr:cNvPr id="1610" name="Rectangle 5262"/>
        <xdr:cNvSpPr>
          <a:spLocks noChangeArrowheads="1"/>
        </xdr:cNvSpPr>
      </xdr:nvSpPr>
      <xdr:spPr bwMode="auto">
        <a:xfrm>
          <a:off x="11649075" y="254984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91</xdr:row>
      <xdr:rowOff>323490</xdr:rowOff>
    </xdr:from>
    <xdr:to>
      <xdr:col>33</xdr:col>
      <xdr:colOff>200025</xdr:colOff>
      <xdr:row>92</xdr:row>
      <xdr:rowOff>270115</xdr:rowOff>
    </xdr:to>
    <xdr:sp macro="" textlink="">
      <xdr:nvSpPr>
        <xdr:cNvPr id="1611" name="Rectangle 5263"/>
        <xdr:cNvSpPr>
          <a:spLocks noChangeArrowheads="1"/>
        </xdr:cNvSpPr>
      </xdr:nvSpPr>
      <xdr:spPr bwMode="auto">
        <a:xfrm>
          <a:off x="11649075" y="25479015"/>
          <a:ext cx="438150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32</xdr:col>
      <xdr:colOff>190500</xdr:colOff>
      <xdr:row>128</xdr:row>
      <xdr:rowOff>0</xdr:rowOff>
    </xdr:from>
    <xdr:to>
      <xdr:col>33</xdr:col>
      <xdr:colOff>200025</xdr:colOff>
      <xdr:row>129</xdr:row>
      <xdr:rowOff>9525</xdr:rowOff>
    </xdr:to>
    <xdr:sp macro="" textlink="">
      <xdr:nvSpPr>
        <xdr:cNvPr id="1612" name="Rectangle 5264"/>
        <xdr:cNvSpPr>
          <a:spLocks noChangeArrowheads="1"/>
        </xdr:cNvSpPr>
      </xdr:nvSpPr>
      <xdr:spPr bwMode="auto">
        <a:xfrm>
          <a:off x="1164907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128</xdr:row>
      <xdr:rowOff>0</xdr:rowOff>
    </xdr:from>
    <xdr:to>
      <xdr:col>33</xdr:col>
      <xdr:colOff>200025</xdr:colOff>
      <xdr:row>129</xdr:row>
      <xdr:rowOff>9525</xdr:rowOff>
    </xdr:to>
    <xdr:sp macro="" textlink="">
      <xdr:nvSpPr>
        <xdr:cNvPr id="1613" name="Rectangle 5265"/>
        <xdr:cNvSpPr>
          <a:spLocks noChangeArrowheads="1"/>
        </xdr:cNvSpPr>
      </xdr:nvSpPr>
      <xdr:spPr bwMode="auto">
        <a:xfrm>
          <a:off x="1164907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128</xdr:row>
      <xdr:rowOff>0</xdr:rowOff>
    </xdr:from>
    <xdr:to>
      <xdr:col>33</xdr:col>
      <xdr:colOff>200025</xdr:colOff>
      <xdr:row>129</xdr:row>
      <xdr:rowOff>9525</xdr:rowOff>
    </xdr:to>
    <xdr:sp macro="" textlink="">
      <xdr:nvSpPr>
        <xdr:cNvPr id="1614" name="Rectangle 5266"/>
        <xdr:cNvSpPr>
          <a:spLocks noChangeArrowheads="1"/>
        </xdr:cNvSpPr>
      </xdr:nvSpPr>
      <xdr:spPr bwMode="auto">
        <a:xfrm>
          <a:off x="1164907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128</xdr:row>
      <xdr:rowOff>0</xdr:rowOff>
    </xdr:from>
    <xdr:to>
      <xdr:col>33</xdr:col>
      <xdr:colOff>200025</xdr:colOff>
      <xdr:row>129</xdr:row>
      <xdr:rowOff>9525</xdr:rowOff>
    </xdr:to>
    <xdr:sp macro="" textlink="">
      <xdr:nvSpPr>
        <xdr:cNvPr id="1615" name="Rectangle 5267"/>
        <xdr:cNvSpPr>
          <a:spLocks noChangeArrowheads="1"/>
        </xdr:cNvSpPr>
      </xdr:nvSpPr>
      <xdr:spPr bwMode="auto">
        <a:xfrm>
          <a:off x="1164907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128</xdr:row>
      <xdr:rowOff>0</xdr:rowOff>
    </xdr:from>
    <xdr:to>
      <xdr:col>33</xdr:col>
      <xdr:colOff>200025</xdr:colOff>
      <xdr:row>129</xdr:row>
      <xdr:rowOff>9525</xdr:rowOff>
    </xdr:to>
    <xdr:sp macro="" textlink="">
      <xdr:nvSpPr>
        <xdr:cNvPr id="1616" name="Rectangle 5268"/>
        <xdr:cNvSpPr>
          <a:spLocks noChangeArrowheads="1"/>
        </xdr:cNvSpPr>
      </xdr:nvSpPr>
      <xdr:spPr bwMode="auto">
        <a:xfrm>
          <a:off x="1164907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128</xdr:row>
      <xdr:rowOff>0</xdr:rowOff>
    </xdr:from>
    <xdr:to>
      <xdr:col>33</xdr:col>
      <xdr:colOff>200025</xdr:colOff>
      <xdr:row>129</xdr:row>
      <xdr:rowOff>9525</xdr:rowOff>
    </xdr:to>
    <xdr:sp macro="" textlink="">
      <xdr:nvSpPr>
        <xdr:cNvPr id="1617" name="Rectangle 5269"/>
        <xdr:cNvSpPr>
          <a:spLocks noChangeArrowheads="1"/>
        </xdr:cNvSpPr>
      </xdr:nvSpPr>
      <xdr:spPr bwMode="auto">
        <a:xfrm>
          <a:off x="1164907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128</xdr:row>
      <xdr:rowOff>0</xdr:rowOff>
    </xdr:from>
    <xdr:to>
      <xdr:col>33</xdr:col>
      <xdr:colOff>200025</xdr:colOff>
      <xdr:row>129</xdr:row>
      <xdr:rowOff>9525</xdr:rowOff>
    </xdr:to>
    <xdr:sp macro="" textlink="">
      <xdr:nvSpPr>
        <xdr:cNvPr id="1618" name="Rectangle 5270"/>
        <xdr:cNvSpPr>
          <a:spLocks noChangeArrowheads="1"/>
        </xdr:cNvSpPr>
      </xdr:nvSpPr>
      <xdr:spPr bwMode="auto">
        <a:xfrm>
          <a:off x="1164907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128</xdr:row>
      <xdr:rowOff>0</xdr:rowOff>
    </xdr:from>
    <xdr:to>
      <xdr:col>33</xdr:col>
      <xdr:colOff>200025</xdr:colOff>
      <xdr:row>129</xdr:row>
      <xdr:rowOff>9525</xdr:rowOff>
    </xdr:to>
    <xdr:sp macro="" textlink="">
      <xdr:nvSpPr>
        <xdr:cNvPr id="1619" name="Rectangle 5271"/>
        <xdr:cNvSpPr>
          <a:spLocks noChangeArrowheads="1"/>
        </xdr:cNvSpPr>
      </xdr:nvSpPr>
      <xdr:spPr bwMode="auto">
        <a:xfrm>
          <a:off x="1164907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128</xdr:row>
      <xdr:rowOff>0</xdr:rowOff>
    </xdr:from>
    <xdr:to>
      <xdr:col>33</xdr:col>
      <xdr:colOff>200025</xdr:colOff>
      <xdr:row>129</xdr:row>
      <xdr:rowOff>9525</xdr:rowOff>
    </xdr:to>
    <xdr:sp macro="" textlink="">
      <xdr:nvSpPr>
        <xdr:cNvPr id="1620" name="Rectangle 5272"/>
        <xdr:cNvSpPr>
          <a:spLocks noChangeArrowheads="1"/>
        </xdr:cNvSpPr>
      </xdr:nvSpPr>
      <xdr:spPr bwMode="auto">
        <a:xfrm>
          <a:off x="1164907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128</xdr:row>
      <xdr:rowOff>0</xdr:rowOff>
    </xdr:from>
    <xdr:to>
      <xdr:col>33</xdr:col>
      <xdr:colOff>200025</xdr:colOff>
      <xdr:row>129</xdr:row>
      <xdr:rowOff>9525</xdr:rowOff>
    </xdr:to>
    <xdr:sp macro="" textlink="">
      <xdr:nvSpPr>
        <xdr:cNvPr id="1621" name="Rectangle 5273"/>
        <xdr:cNvSpPr>
          <a:spLocks noChangeArrowheads="1"/>
        </xdr:cNvSpPr>
      </xdr:nvSpPr>
      <xdr:spPr bwMode="auto">
        <a:xfrm>
          <a:off x="1164907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180975</xdr:colOff>
      <xdr:row>128</xdr:row>
      <xdr:rowOff>0</xdr:rowOff>
    </xdr:from>
    <xdr:to>
      <xdr:col>33</xdr:col>
      <xdr:colOff>190500</xdr:colOff>
      <xdr:row>129</xdr:row>
      <xdr:rowOff>9525</xdr:rowOff>
    </xdr:to>
    <xdr:sp macro="" textlink="">
      <xdr:nvSpPr>
        <xdr:cNvPr id="1622" name="Rectangle 5274"/>
        <xdr:cNvSpPr>
          <a:spLocks noChangeArrowheads="1"/>
        </xdr:cNvSpPr>
      </xdr:nvSpPr>
      <xdr:spPr bwMode="auto">
        <a:xfrm>
          <a:off x="11639550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128</xdr:row>
      <xdr:rowOff>0</xdr:rowOff>
    </xdr:from>
    <xdr:to>
      <xdr:col>33</xdr:col>
      <xdr:colOff>200025</xdr:colOff>
      <xdr:row>129</xdr:row>
      <xdr:rowOff>9525</xdr:rowOff>
    </xdr:to>
    <xdr:sp macro="" textlink="">
      <xdr:nvSpPr>
        <xdr:cNvPr id="1623" name="Rectangle 5275"/>
        <xdr:cNvSpPr>
          <a:spLocks noChangeArrowheads="1"/>
        </xdr:cNvSpPr>
      </xdr:nvSpPr>
      <xdr:spPr bwMode="auto">
        <a:xfrm>
          <a:off x="11649075" y="3531870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128</xdr:row>
      <xdr:rowOff>4728</xdr:rowOff>
    </xdr:from>
    <xdr:to>
      <xdr:col>33</xdr:col>
      <xdr:colOff>200025</xdr:colOff>
      <xdr:row>129</xdr:row>
      <xdr:rowOff>11509</xdr:rowOff>
    </xdr:to>
    <xdr:sp macro="" textlink="">
      <xdr:nvSpPr>
        <xdr:cNvPr id="1624" name="Rectangle 5276"/>
        <xdr:cNvSpPr>
          <a:spLocks noChangeArrowheads="1"/>
        </xdr:cNvSpPr>
      </xdr:nvSpPr>
      <xdr:spPr bwMode="auto">
        <a:xfrm>
          <a:off x="11649075" y="35323428"/>
          <a:ext cx="438150" cy="28300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25" name="Rectangle 5277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26" name="Rectangle 5278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27" name="Rectangle 5279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28" name="Rectangle 5280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29" name="Rectangle 5281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30" name="Rectangle 5282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31" name="Rectangle 5283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32" name="Rectangle 5284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33" name="Rectangle 5285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34" name="Rectangle 5286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35" name="Rectangle 5287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36" name="Rectangle 5288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37" name="Rectangle 5289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38" name="Rectangle 5290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39" name="Rectangle 5291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40" name="Rectangle 5292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41" name="Rectangle 5293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42" name="Rectangle 5294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43" name="Rectangle 5295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44" name="Rectangle 5296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45" name="Rectangle 5297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46" name="Rectangle 5298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180975</xdr:colOff>
      <xdr:row>164</xdr:row>
      <xdr:rowOff>0</xdr:rowOff>
    </xdr:from>
    <xdr:to>
      <xdr:col>33</xdr:col>
      <xdr:colOff>190500</xdr:colOff>
      <xdr:row>165</xdr:row>
      <xdr:rowOff>9525</xdr:rowOff>
    </xdr:to>
    <xdr:sp macro="" textlink="">
      <xdr:nvSpPr>
        <xdr:cNvPr id="1647" name="Rectangle 5299"/>
        <xdr:cNvSpPr>
          <a:spLocks noChangeArrowheads="1"/>
        </xdr:cNvSpPr>
      </xdr:nvSpPr>
      <xdr:spPr bwMode="auto">
        <a:xfrm>
          <a:off x="11639550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164</xdr:row>
      <xdr:rowOff>0</xdr:rowOff>
    </xdr:from>
    <xdr:to>
      <xdr:col>33</xdr:col>
      <xdr:colOff>200025</xdr:colOff>
      <xdr:row>165</xdr:row>
      <xdr:rowOff>9525</xdr:rowOff>
    </xdr:to>
    <xdr:sp macro="" textlink="">
      <xdr:nvSpPr>
        <xdr:cNvPr id="1648" name="Rectangle 5300"/>
        <xdr:cNvSpPr>
          <a:spLocks noChangeArrowheads="1"/>
        </xdr:cNvSpPr>
      </xdr:nvSpPr>
      <xdr:spPr bwMode="auto">
        <a:xfrm>
          <a:off x="11649075" y="4529137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163</xdr:row>
      <xdr:rowOff>314505</xdr:rowOff>
    </xdr:from>
    <xdr:to>
      <xdr:col>33</xdr:col>
      <xdr:colOff>200025</xdr:colOff>
      <xdr:row>165</xdr:row>
      <xdr:rowOff>9525</xdr:rowOff>
    </xdr:to>
    <xdr:sp macro="" textlink="">
      <xdr:nvSpPr>
        <xdr:cNvPr id="1649" name="Rectangle 5301"/>
        <xdr:cNvSpPr>
          <a:spLocks noChangeArrowheads="1"/>
        </xdr:cNvSpPr>
      </xdr:nvSpPr>
      <xdr:spPr bwMode="auto">
        <a:xfrm>
          <a:off x="11649075" y="45262980"/>
          <a:ext cx="438150" cy="3141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650" name="Rectangle 5302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651" name="Rectangle 5303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652" name="Rectangle 5304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653" name="Rectangle 5305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654" name="Rectangle 5306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655" name="Rectangle 5307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656" name="Rectangle 5308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657" name="Rectangle 5309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658" name="Rectangle 5310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659" name="Rectangle 5311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660" name="Rectangle 5312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661" name="Rectangle 5313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662" name="Rectangle 5314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663" name="Rectangle 5315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664" name="Rectangle 5316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665" name="Rectangle 5317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666" name="Rectangle 5318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199</xdr:row>
      <xdr:rowOff>0</xdr:rowOff>
    </xdr:from>
    <xdr:to>
      <xdr:col>33</xdr:col>
      <xdr:colOff>200025</xdr:colOff>
      <xdr:row>200</xdr:row>
      <xdr:rowOff>9525</xdr:rowOff>
    </xdr:to>
    <xdr:sp macro="" textlink="">
      <xdr:nvSpPr>
        <xdr:cNvPr id="1667" name="Rectangle 5319"/>
        <xdr:cNvSpPr>
          <a:spLocks noChangeArrowheads="1"/>
        </xdr:cNvSpPr>
      </xdr:nvSpPr>
      <xdr:spPr bwMode="auto">
        <a:xfrm>
          <a:off x="11649075" y="549211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pPr algn="ctr"/>
          <a:r>
            <a:rPr lang="en-US" sz="1200">
              <a:latin typeface="Arial" pitchFamily="34" charset="0"/>
              <a:cs typeface="Arial" pitchFamily="34" charset="0"/>
            </a:rPr>
            <a:t>B</a:t>
          </a:r>
        </a:p>
      </xdr:txBody>
    </xdr:sp>
    <xdr:clientData/>
  </xdr:twoCellAnchor>
  <xdr:twoCellAnchor>
    <xdr:from>
      <xdr:col>32</xdr:col>
      <xdr:colOff>190500</xdr:colOff>
      <xdr:row>211</xdr:row>
      <xdr:rowOff>0</xdr:rowOff>
    </xdr:from>
    <xdr:to>
      <xdr:col>33</xdr:col>
      <xdr:colOff>200025</xdr:colOff>
      <xdr:row>211</xdr:row>
      <xdr:rowOff>0</xdr:rowOff>
    </xdr:to>
    <xdr:sp macro="" textlink="">
      <xdr:nvSpPr>
        <xdr:cNvPr id="1668" name="Rectangle 5323"/>
        <xdr:cNvSpPr>
          <a:spLocks noChangeArrowheads="1"/>
        </xdr:cNvSpPr>
      </xdr:nvSpPr>
      <xdr:spPr bwMode="auto">
        <a:xfrm>
          <a:off x="11649075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211</xdr:row>
      <xdr:rowOff>0</xdr:rowOff>
    </xdr:from>
    <xdr:to>
      <xdr:col>33</xdr:col>
      <xdr:colOff>200025</xdr:colOff>
      <xdr:row>211</xdr:row>
      <xdr:rowOff>0</xdr:rowOff>
    </xdr:to>
    <xdr:sp macro="" textlink="">
      <xdr:nvSpPr>
        <xdr:cNvPr id="1669" name="Rectangle 5324"/>
        <xdr:cNvSpPr>
          <a:spLocks noChangeArrowheads="1"/>
        </xdr:cNvSpPr>
      </xdr:nvSpPr>
      <xdr:spPr bwMode="auto">
        <a:xfrm>
          <a:off x="11649075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211</xdr:row>
      <xdr:rowOff>0</xdr:rowOff>
    </xdr:from>
    <xdr:to>
      <xdr:col>33</xdr:col>
      <xdr:colOff>200025</xdr:colOff>
      <xdr:row>211</xdr:row>
      <xdr:rowOff>0</xdr:rowOff>
    </xdr:to>
    <xdr:sp macro="" textlink="">
      <xdr:nvSpPr>
        <xdr:cNvPr id="1670" name="Rectangle 5325"/>
        <xdr:cNvSpPr>
          <a:spLocks noChangeArrowheads="1"/>
        </xdr:cNvSpPr>
      </xdr:nvSpPr>
      <xdr:spPr bwMode="auto">
        <a:xfrm>
          <a:off x="11649075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211</xdr:row>
      <xdr:rowOff>0</xdr:rowOff>
    </xdr:from>
    <xdr:to>
      <xdr:col>33</xdr:col>
      <xdr:colOff>200025</xdr:colOff>
      <xdr:row>211</xdr:row>
      <xdr:rowOff>0</xdr:rowOff>
    </xdr:to>
    <xdr:sp macro="" textlink="">
      <xdr:nvSpPr>
        <xdr:cNvPr id="1671" name="Rectangle 5326"/>
        <xdr:cNvSpPr>
          <a:spLocks noChangeArrowheads="1"/>
        </xdr:cNvSpPr>
      </xdr:nvSpPr>
      <xdr:spPr bwMode="auto">
        <a:xfrm>
          <a:off x="11649075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211</xdr:row>
      <xdr:rowOff>0</xdr:rowOff>
    </xdr:from>
    <xdr:to>
      <xdr:col>33</xdr:col>
      <xdr:colOff>200025</xdr:colOff>
      <xdr:row>211</xdr:row>
      <xdr:rowOff>0</xdr:rowOff>
    </xdr:to>
    <xdr:sp macro="" textlink="">
      <xdr:nvSpPr>
        <xdr:cNvPr id="1672" name="Rectangle 5327"/>
        <xdr:cNvSpPr>
          <a:spLocks noChangeArrowheads="1"/>
        </xdr:cNvSpPr>
      </xdr:nvSpPr>
      <xdr:spPr bwMode="auto">
        <a:xfrm>
          <a:off x="11649075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211</xdr:row>
      <xdr:rowOff>0</xdr:rowOff>
    </xdr:from>
    <xdr:to>
      <xdr:col>33</xdr:col>
      <xdr:colOff>200025</xdr:colOff>
      <xdr:row>211</xdr:row>
      <xdr:rowOff>0</xdr:rowOff>
    </xdr:to>
    <xdr:sp macro="" textlink="">
      <xdr:nvSpPr>
        <xdr:cNvPr id="1673" name="Rectangle 5328"/>
        <xdr:cNvSpPr>
          <a:spLocks noChangeArrowheads="1"/>
        </xdr:cNvSpPr>
      </xdr:nvSpPr>
      <xdr:spPr bwMode="auto">
        <a:xfrm>
          <a:off x="11649075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180975</xdr:colOff>
      <xdr:row>211</xdr:row>
      <xdr:rowOff>0</xdr:rowOff>
    </xdr:from>
    <xdr:to>
      <xdr:col>33</xdr:col>
      <xdr:colOff>190500</xdr:colOff>
      <xdr:row>211</xdr:row>
      <xdr:rowOff>0</xdr:rowOff>
    </xdr:to>
    <xdr:sp macro="" textlink="">
      <xdr:nvSpPr>
        <xdr:cNvPr id="1674" name="Rectangle 5329"/>
        <xdr:cNvSpPr>
          <a:spLocks noChangeArrowheads="1"/>
        </xdr:cNvSpPr>
      </xdr:nvSpPr>
      <xdr:spPr bwMode="auto">
        <a:xfrm>
          <a:off x="11639550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211</xdr:row>
      <xdr:rowOff>0</xdr:rowOff>
    </xdr:from>
    <xdr:to>
      <xdr:col>33</xdr:col>
      <xdr:colOff>200025</xdr:colOff>
      <xdr:row>211</xdr:row>
      <xdr:rowOff>0</xdr:rowOff>
    </xdr:to>
    <xdr:sp macro="" textlink="">
      <xdr:nvSpPr>
        <xdr:cNvPr id="1675" name="Rectangle 5330"/>
        <xdr:cNvSpPr>
          <a:spLocks noChangeArrowheads="1"/>
        </xdr:cNvSpPr>
      </xdr:nvSpPr>
      <xdr:spPr bwMode="auto">
        <a:xfrm>
          <a:off x="11649075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211</xdr:row>
      <xdr:rowOff>0</xdr:rowOff>
    </xdr:from>
    <xdr:to>
      <xdr:col>33</xdr:col>
      <xdr:colOff>200025</xdr:colOff>
      <xdr:row>211</xdr:row>
      <xdr:rowOff>0</xdr:rowOff>
    </xdr:to>
    <xdr:sp macro="" textlink="">
      <xdr:nvSpPr>
        <xdr:cNvPr id="1676" name="Rectangle 5331"/>
        <xdr:cNvSpPr>
          <a:spLocks noChangeArrowheads="1"/>
        </xdr:cNvSpPr>
      </xdr:nvSpPr>
      <xdr:spPr bwMode="auto">
        <a:xfrm>
          <a:off x="11649075" y="58102500"/>
          <a:ext cx="438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234</xdr:row>
      <xdr:rowOff>0</xdr:rowOff>
    </xdr:from>
    <xdr:to>
      <xdr:col>33</xdr:col>
      <xdr:colOff>200025</xdr:colOff>
      <xdr:row>235</xdr:row>
      <xdr:rowOff>9525</xdr:rowOff>
    </xdr:to>
    <xdr:sp macro="" textlink="">
      <xdr:nvSpPr>
        <xdr:cNvPr id="1677" name="Rectangle 5332"/>
        <xdr:cNvSpPr>
          <a:spLocks noChangeArrowheads="1"/>
        </xdr:cNvSpPr>
      </xdr:nvSpPr>
      <xdr:spPr bwMode="auto">
        <a:xfrm>
          <a:off x="1164907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234</xdr:row>
      <xdr:rowOff>0</xdr:rowOff>
    </xdr:from>
    <xdr:to>
      <xdr:col>33</xdr:col>
      <xdr:colOff>200025</xdr:colOff>
      <xdr:row>235</xdr:row>
      <xdr:rowOff>9525</xdr:rowOff>
    </xdr:to>
    <xdr:sp macro="" textlink="">
      <xdr:nvSpPr>
        <xdr:cNvPr id="1678" name="Rectangle 5333"/>
        <xdr:cNvSpPr>
          <a:spLocks noChangeArrowheads="1"/>
        </xdr:cNvSpPr>
      </xdr:nvSpPr>
      <xdr:spPr bwMode="auto">
        <a:xfrm>
          <a:off x="1164907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234</xdr:row>
      <xdr:rowOff>0</xdr:rowOff>
    </xdr:from>
    <xdr:to>
      <xdr:col>33</xdr:col>
      <xdr:colOff>200025</xdr:colOff>
      <xdr:row>235</xdr:row>
      <xdr:rowOff>9525</xdr:rowOff>
    </xdr:to>
    <xdr:sp macro="" textlink="">
      <xdr:nvSpPr>
        <xdr:cNvPr id="1679" name="Rectangle 5334"/>
        <xdr:cNvSpPr>
          <a:spLocks noChangeArrowheads="1"/>
        </xdr:cNvSpPr>
      </xdr:nvSpPr>
      <xdr:spPr bwMode="auto">
        <a:xfrm>
          <a:off x="1164907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234</xdr:row>
      <xdr:rowOff>0</xdr:rowOff>
    </xdr:from>
    <xdr:to>
      <xdr:col>33</xdr:col>
      <xdr:colOff>200025</xdr:colOff>
      <xdr:row>235</xdr:row>
      <xdr:rowOff>9525</xdr:rowOff>
    </xdr:to>
    <xdr:sp macro="" textlink="">
      <xdr:nvSpPr>
        <xdr:cNvPr id="1680" name="Rectangle 5335"/>
        <xdr:cNvSpPr>
          <a:spLocks noChangeArrowheads="1"/>
        </xdr:cNvSpPr>
      </xdr:nvSpPr>
      <xdr:spPr bwMode="auto">
        <a:xfrm>
          <a:off x="1164907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234</xdr:row>
      <xdr:rowOff>0</xdr:rowOff>
    </xdr:from>
    <xdr:to>
      <xdr:col>33</xdr:col>
      <xdr:colOff>200025</xdr:colOff>
      <xdr:row>235</xdr:row>
      <xdr:rowOff>9525</xdr:rowOff>
    </xdr:to>
    <xdr:sp macro="" textlink="">
      <xdr:nvSpPr>
        <xdr:cNvPr id="1681" name="Rectangle 5336"/>
        <xdr:cNvSpPr>
          <a:spLocks noChangeArrowheads="1"/>
        </xdr:cNvSpPr>
      </xdr:nvSpPr>
      <xdr:spPr bwMode="auto">
        <a:xfrm>
          <a:off x="1164907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234</xdr:row>
      <xdr:rowOff>0</xdr:rowOff>
    </xdr:from>
    <xdr:to>
      <xdr:col>33</xdr:col>
      <xdr:colOff>200025</xdr:colOff>
      <xdr:row>235</xdr:row>
      <xdr:rowOff>9525</xdr:rowOff>
    </xdr:to>
    <xdr:sp macro="" textlink="">
      <xdr:nvSpPr>
        <xdr:cNvPr id="1682" name="Rectangle 5337"/>
        <xdr:cNvSpPr>
          <a:spLocks noChangeArrowheads="1"/>
        </xdr:cNvSpPr>
      </xdr:nvSpPr>
      <xdr:spPr bwMode="auto">
        <a:xfrm>
          <a:off x="1164907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234</xdr:row>
      <xdr:rowOff>0</xdr:rowOff>
    </xdr:from>
    <xdr:to>
      <xdr:col>33</xdr:col>
      <xdr:colOff>200025</xdr:colOff>
      <xdr:row>235</xdr:row>
      <xdr:rowOff>9525</xdr:rowOff>
    </xdr:to>
    <xdr:sp macro="" textlink="">
      <xdr:nvSpPr>
        <xdr:cNvPr id="1683" name="Rectangle 5338"/>
        <xdr:cNvSpPr>
          <a:spLocks noChangeArrowheads="1"/>
        </xdr:cNvSpPr>
      </xdr:nvSpPr>
      <xdr:spPr bwMode="auto">
        <a:xfrm>
          <a:off x="1164907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234</xdr:row>
      <xdr:rowOff>0</xdr:rowOff>
    </xdr:from>
    <xdr:to>
      <xdr:col>33</xdr:col>
      <xdr:colOff>200025</xdr:colOff>
      <xdr:row>235</xdr:row>
      <xdr:rowOff>9525</xdr:rowOff>
    </xdr:to>
    <xdr:sp macro="" textlink="">
      <xdr:nvSpPr>
        <xdr:cNvPr id="1684" name="Rectangle 5339"/>
        <xdr:cNvSpPr>
          <a:spLocks noChangeArrowheads="1"/>
        </xdr:cNvSpPr>
      </xdr:nvSpPr>
      <xdr:spPr bwMode="auto">
        <a:xfrm>
          <a:off x="1164907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234</xdr:row>
      <xdr:rowOff>0</xdr:rowOff>
    </xdr:from>
    <xdr:to>
      <xdr:col>33</xdr:col>
      <xdr:colOff>200025</xdr:colOff>
      <xdr:row>235</xdr:row>
      <xdr:rowOff>9525</xdr:rowOff>
    </xdr:to>
    <xdr:sp macro="" textlink="">
      <xdr:nvSpPr>
        <xdr:cNvPr id="1685" name="Rectangle 5340"/>
        <xdr:cNvSpPr>
          <a:spLocks noChangeArrowheads="1"/>
        </xdr:cNvSpPr>
      </xdr:nvSpPr>
      <xdr:spPr bwMode="auto">
        <a:xfrm>
          <a:off x="1164907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234</xdr:row>
      <xdr:rowOff>0</xdr:rowOff>
    </xdr:from>
    <xdr:to>
      <xdr:col>33</xdr:col>
      <xdr:colOff>200025</xdr:colOff>
      <xdr:row>235</xdr:row>
      <xdr:rowOff>9525</xdr:rowOff>
    </xdr:to>
    <xdr:sp macro="" textlink="">
      <xdr:nvSpPr>
        <xdr:cNvPr id="1686" name="Rectangle 5341"/>
        <xdr:cNvSpPr>
          <a:spLocks noChangeArrowheads="1"/>
        </xdr:cNvSpPr>
      </xdr:nvSpPr>
      <xdr:spPr bwMode="auto">
        <a:xfrm>
          <a:off x="1164907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234</xdr:row>
      <xdr:rowOff>0</xdr:rowOff>
    </xdr:from>
    <xdr:to>
      <xdr:col>33</xdr:col>
      <xdr:colOff>200025</xdr:colOff>
      <xdr:row>235</xdr:row>
      <xdr:rowOff>9525</xdr:rowOff>
    </xdr:to>
    <xdr:sp macro="" textlink="">
      <xdr:nvSpPr>
        <xdr:cNvPr id="1687" name="Rectangle 5342"/>
        <xdr:cNvSpPr>
          <a:spLocks noChangeArrowheads="1"/>
        </xdr:cNvSpPr>
      </xdr:nvSpPr>
      <xdr:spPr bwMode="auto">
        <a:xfrm>
          <a:off x="1164907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234</xdr:row>
      <xdr:rowOff>0</xdr:rowOff>
    </xdr:from>
    <xdr:to>
      <xdr:col>33</xdr:col>
      <xdr:colOff>200025</xdr:colOff>
      <xdr:row>235</xdr:row>
      <xdr:rowOff>9525</xdr:rowOff>
    </xdr:to>
    <xdr:sp macro="" textlink="">
      <xdr:nvSpPr>
        <xdr:cNvPr id="1688" name="Rectangle 5343"/>
        <xdr:cNvSpPr>
          <a:spLocks noChangeArrowheads="1"/>
        </xdr:cNvSpPr>
      </xdr:nvSpPr>
      <xdr:spPr bwMode="auto">
        <a:xfrm>
          <a:off x="1164907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234</xdr:row>
      <xdr:rowOff>0</xdr:rowOff>
    </xdr:from>
    <xdr:to>
      <xdr:col>33</xdr:col>
      <xdr:colOff>200025</xdr:colOff>
      <xdr:row>235</xdr:row>
      <xdr:rowOff>9525</xdr:rowOff>
    </xdr:to>
    <xdr:sp macro="" textlink="">
      <xdr:nvSpPr>
        <xdr:cNvPr id="1689" name="Rectangle 5344"/>
        <xdr:cNvSpPr>
          <a:spLocks noChangeArrowheads="1"/>
        </xdr:cNvSpPr>
      </xdr:nvSpPr>
      <xdr:spPr bwMode="auto">
        <a:xfrm>
          <a:off x="11649075" y="649700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233</xdr:row>
      <xdr:rowOff>711374</xdr:rowOff>
    </xdr:from>
    <xdr:to>
      <xdr:col>33</xdr:col>
      <xdr:colOff>200025</xdr:colOff>
      <xdr:row>235</xdr:row>
      <xdr:rowOff>9867</xdr:rowOff>
    </xdr:to>
    <xdr:sp macro="" textlink="">
      <xdr:nvSpPr>
        <xdr:cNvPr id="1690" name="Rectangle 5345"/>
        <xdr:cNvSpPr>
          <a:spLocks noChangeArrowheads="1"/>
        </xdr:cNvSpPr>
      </xdr:nvSpPr>
      <xdr:spPr bwMode="auto">
        <a:xfrm>
          <a:off x="11649075" y="64967024"/>
          <a:ext cx="438150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0</xdr:col>
      <xdr:colOff>57150</xdr:colOff>
      <xdr:row>0</xdr:row>
      <xdr:rowOff>85725</xdr:rowOff>
    </xdr:from>
    <xdr:to>
      <xdr:col>3</xdr:col>
      <xdr:colOff>114300</xdr:colOff>
      <xdr:row>3</xdr:row>
      <xdr:rowOff>114300</xdr:rowOff>
    </xdr:to>
    <xdr:pic>
      <xdr:nvPicPr>
        <xdr:cNvPr id="1691" name="Picture 565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b="10052"/>
        <a:stretch>
          <a:fillRect/>
        </a:stretch>
      </xdr:blipFill>
      <xdr:spPr bwMode="auto">
        <a:xfrm>
          <a:off x="57150" y="85725"/>
          <a:ext cx="628650" cy="600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66675</xdr:colOff>
      <xdr:row>36</xdr:row>
      <xdr:rowOff>76200</xdr:rowOff>
    </xdr:from>
    <xdr:to>
      <xdr:col>3</xdr:col>
      <xdr:colOff>123825</xdr:colOff>
      <xdr:row>39</xdr:row>
      <xdr:rowOff>104775</xdr:rowOff>
    </xdr:to>
    <xdr:pic>
      <xdr:nvPicPr>
        <xdr:cNvPr id="1692" name="Picture 566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b="10052"/>
        <a:stretch>
          <a:fillRect/>
        </a:stretch>
      </xdr:blipFill>
      <xdr:spPr bwMode="auto">
        <a:xfrm>
          <a:off x="66675" y="10239375"/>
          <a:ext cx="62865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76200</xdr:colOff>
      <xdr:row>71</xdr:row>
      <xdr:rowOff>111125</xdr:rowOff>
    </xdr:from>
    <xdr:to>
      <xdr:col>3</xdr:col>
      <xdr:colOff>95250</xdr:colOff>
      <xdr:row>73</xdr:row>
      <xdr:rowOff>127000</xdr:rowOff>
    </xdr:to>
    <xdr:pic>
      <xdr:nvPicPr>
        <xdr:cNvPr id="1693" name="Picture 5661" descr="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b="10052"/>
        <a:stretch>
          <a:fillRect/>
        </a:stretch>
      </xdr:blipFill>
      <xdr:spPr bwMode="auto">
        <a:xfrm>
          <a:off x="76200" y="19942175"/>
          <a:ext cx="590550" cy="368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85725</xdr:colOff>
      <xdr:row>107</xdr:row>
      <xdr:rowOff>76200</xdr:rowOff>
    </xdr:from>
    <xdr:to>
      <xdr:col>3</xdr:col>
      <xdr:colOff>123825</xdr:colOff>
      <xdr:row>110</xdr:row>
      <xdr:rowOff>104775</xdr:rowOff>
    </xdr:to>
    <xdr:pic>
      <xdr:nvPicPr>
        <xdr:cNvPr id="1694" name="Picture 566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b="10052"/>
        <a:stretch>
          <a:fillRect/>
        </a:stretch>
      </xdr:blipFill>
      <xdr:spPr bwMode="auto">
        <a:xfrm>
          <a:off x="85725" y="29556075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85725</xdr:colOff>
      <xdr:row>143</xdr:row>
      <xdr:rowOff>95250</xdr:rowOff>
    </xdr:from>
    <xdr:to>
      <xdr:col>3</xdr:col>
      <xdr:colOff>104775</xdr:colOff>
      <xdr:row>146</xdr:row>
      <xdr:rowOff>123825</xdr:rowOff>
    </xdr:to>
    <xdr:pic>
      <xdr:nvPicPr>
        <xdr:cNvPr id="1695" name="Picture 566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b="10052"/>
        <a:stretch>
          <a:fillRect/>
        </a:stretch>
      </xdr:blipFill>
      <xdr:spPr bwMode="auto">
        <a:xfrm>
          <a:off x="85725" y="39547800"/>
          <a:ext cx="59055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85725</xdr:colOff>
      <xdr:row>178</xdr:row>
      <xdr:rowOff>95250</xdr:rowOff>
    </xdr:from>
    <xdr:to>
      <xdr:col>3</xdr:col>
      <xdr:colOff>104775</xdr:colOff>
      <xdr:row>181</xdr:row>
      <xdr:rowOff>123825</xdr:rowOff>
    </xdr:to>
    <xdr:pic>
      <xdr:nvPicPr>
        <xdr:cNvPr id="1696" name="Picture 566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b="10052"/>
        <a:stretch>
          <a:fillRect/>
        </a:stretch>
      </xdr:blipFill>
      <xdr:spPr bwMode="auto">
        <a:xfrm>
          <a:off x="85725" y="49177575"/>
          <a:ext cx="59055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85725</xdr:colOff>
      <xdr:row>213</xdr:row>
      <xdr:rowOff>95250</xdr:rowOff>
    </xdr:from>
    <xdr:to>
      <xdr:col>3</xdr:col>
      <xdr:colOff>104775</xdr:colOff>
      <xdr:row>216</xdr:row>
      <xdr:rowOff>123825</xdr:rowOff>
    </xdr:to>
    <xdr:pic>
      <xdr:nvPicPr>
        <xdr:cNvPr id="1697" name="Picture 566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b="10052"/>
        <a:stretch>
          <a:fillRect/>
        </a:stretch>
      </xdr:blipFill>
      <xdr:spPr bwMode="auto">
        <a:xfrm>
          <a:off x="85725" y="58854975"/>
          <a:ext cx="59055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10</xdr:col>
      <xdr:colOff>190500</xdr:colOff>
      <xdr:row>199</xdr:row>
      <xdr:rowOff>0</xdr:rowOff>
    </xdr:from>
    <xdr:to>
      <xdr:col>11</xdr:col>
      <xdr:colOff>200025</xdr:colOff>
      <xdr:row>200</xdr:row>
      <xdr:rowOff>9525</xdr:rowOff>
    </xdr:to>
    <xdr:sp macro="" textlink="">
      <xdr:nvSpPr>
        <xdr:cNvPr id="1698" name="Rectangle 6118"/>
        <xdr:cNvSpPr>
          <a:spLocks noChangeArrowheads="1"/>
        </xdr:cNvSpPr>
      </xdr:nvSpPr>
      <xdr:spPr bwMode="auto">
        <a:xfrm>
          <a:off x="2209800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12</xdr:col>
      <xdr:colOff>190500</xdr:colOff>
      <xdr:row>199</xdr:row>
      <xdr:rowOff>0</xdr:rowOff>
    </xdr:from>
    <xdr:to>
      <xdr:col>13</xdr:col>
      <xdr:colOff>200025</xdr:colOff>
      <xdr:row>200</xdr:row>
      <xdr:rowOff>9525</xdr:rowOff>
    </xdr:to>
    <xdr:sp macro="" textlink="">
      <xdr:nvSpPr>
        <xdr:cNvPr id="1699" name="Rectangle 6119"/>
        <xdr:cNvSpPr>
          <a:spLocks noChangeArrowheads="1"/>
        </xdr:cNvSpPr>
      </xdr:nvSpPr>
      <xdr:spPr bwMode="auto">
        <a:xfrm>
          <a:off x="305752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14</xdr:col>
      <xdr:colOff>190500</xdr:colOff>
      <xdr:row>199</xdr:row>
      <xdr:rowOff>0</xdr:rowOff>
    </xdr:from>
    <xdr:to>
      <xdr:col>15</xdr:col>
      <xdr:colOff>200025</xdr:colOff>
      <xdr:row>200</xdr:row>
      <xdr:rowOff>9525</xdr:rowOff>
    </xdr:to>
    <xdr:sp macro="" textlink="">
      <xdr:nvSpPr>
        <xdr:cNvPr id="1700" name="Rectangle 6120"/>
        <xdr:cNvSpPr>
          <a:spLocks noChangeArrowheads="1"/>
        </xdr:cNvSpPr>
      </xdr:nvSpPr>
      <xdr:spPr bwMode="auto">
        <a:xfrm>
          <a:off x="3933825" y="549211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199</xdr:row>
      <xdr:rowOff>0</xdr:rowOff>
    </xdr:from>
    <xdr:to>
      <xdr:col>17</xdr:col>
      <xdr:colOff>200025</xdr:colOff>
      <xdr:row>200</xdr:row>
      <xdr:rowOff>9525</xdr:rowOff>
    </xdr:to>
    <xdr:sp macro="" textlink="">
      <xdr:nvSpPr>
        <xdr:cNvPr id="1701" name="Rectangle 6121"/>
        <xdr:cNvSpPr>
          <a:spLocks noChangeArrowheads="1"/>
        </xdr:cNvSpPr>
      </xdr:nvSpPr>
      <xdr:spPr bwMode="auto">
        <a:xfrm>
          <a:off x="494347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199</xdr:row>
      <xdr:rowOff>0</xdr:rowOff>
    </xdr:from>
    <xdr:to>
      <xdr:col>11</xdr:col>
      <xdr:colOff>200025</xdr:colOff>
      <xdr:row>200</xdr:row>
      <xdr:rowOff>9525</xdr:rowOff>
    </xdr:to>
    <xdr:sp macro="" textlink="">
      <xdr:nvSpPr>
        <xdr:cNvPr id="1702" name="Rectangle 6122"/>
        <xdr:cNvSpPr>
          <a:spLocks noChangeArrowheads="1"/>
        </xdr:cNvSpPr>
      </xdr:nvSpPr>
      <xdr:spPr bwMode="auto">
        <a:xfrm>
          <a:off x="2209800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199</xdr:row>
      <xdr:rowOff>0</xdr:rowOff>
    </xdr:from>
    <xdr:to>
      <xdr:col>13</xdr:col>
      <xdr:colOff>200025</xdr:colOff>
      <xdr:row>200</xdr:row>
      <xdr:rowOff>9525</xdr:rowOff>
    </xdr:to>
    <xdr:sp macro="" textlink="">
      <xdr:nvSpPr>
        <xdr:cNvPr id="1703" name="Rectangle 6123"/>
        <xdr:cNvSpPr>
          <a:spLocks noChangeArrowheads="1"/>
        </xdr:cNvSpPr>
      </xdr:nvSpPr>
      <xdr:spPr bwMode="auto">
        <a:xfrm>
          <a:off x="305752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199</xdr:row>
      <xdr:rowOff>0</xdr:rowOff>
    </xdr:from>
    <xdr:to>
      <xdr:col>15</xdr:col>
      <xdr:colOff>200025</xdr:colOff>
      <xdr:row>200</xdr:row>
      <xdr:rowOff>9525</xdr:rowOff>
    </xdr:to>
    <xdr:sp macro="" textlink="">
      <xdr:nvSpPr>
        <xdr:cNvPr id="1704" name="Rectangle 6124"/>
        <xdr:cNvSpPr>
          <a:spLocks noChangeArrowheads="1"/>
        </xdr:cNvSpPr>
      </xdr:nvSpPr>
      <xdr:spPr bwMode="auto">
        <a:xfrm>
          <a:off x="3933825" y="549211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199</xdr:row>
      <xdr:rowOff>0</xdr:rowOff>
    </xdr:from>
    <xdr:to>
      <xdr:col>17</xdr:col>
      <xdr:colOff>200025</xdr:colOff>
      <xdr:row>200</xdr:row>
      <xdr:rowOff>9525</xdr:rowOff>
    </xdr:to>
    <xdr:sp macro="" textlink="">
      <xdr:nvSpPr>
        <xdr:cNvPr id="1705" name="Rectangle 6125"/>
        <xdr:cNvSpPr>
          <a:spLocks noChangeArrowheads="1"/>
        </xdr:cNvSpPr>
      </xdr:nvSpPr>
      <xdr:spPr bwMode="auto">
        <a:xfrm>
          <a:off x="494347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199</xdr:row>
      <xdr:rowOff>0</xdr:rowOff>
    </xdr:from>
    <xdr:to>
      <xdr:col>11</xdr:col>
      <xdr:colOff>200025</xdr:colOff>
      <xdr:row>200</xdr:row>
      <xdr:rowOff>9525</xdr:rowOff>
    </xdr:to>
    <xdr:sp macro="" textlink="">
      <xdr:nvSpPr>
        <xdr:cNvPr id="1706" name="Rectangle 6126"/>
        <xdr:cNvSpPr>
          <a:spLocks noChangeArrowheads="1"/>
        </xdr:cNvSpPr>
      </xdr:nvSpPr>
      <xdr:spPr bwMode="auto">
        <a:xfrm>
          <a:off x="2209800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12</xdr:col>
      <xdr:colOff>190500</xdr:colOff>
      <xdr:row>199</xdr:row>
      <xdr:rowOff>0</xdr:rowOff>
    </xdr:from>
    <xdr:to>
      <xdr:col>13</xdr:col>
      <xdr:colOff>200025</xdr:colOff>
      <xdr:row>200</xdr:row>
      <xdr:rowOff>9525</xdr:rowOff>
    </xdr:to>
    <xdr:sp macro="" textlink="">
      <xdr:nvSpPr>
        <xdr:cNvPr id="1707" name="Rectangle 6127"/>
        <xdr:cNvSpPr>
          <a:spLocks noChangeArrowheads="1"/>
        </xdr:cNvSpPr>
      </xdr:nvSpPr>
      <xdr:spPr bwMode="auto">
        <a:xfrm>
          <a:off x="305752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B</a:t>
          </a: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190500</xdr:colOff>
      <xdr:row>199</xdr:row>
      <xdr:rowOff>0</xdr:rowOff>
    </xdr:from>
    <xdr:to>
      <xdr:col>15</xdr:col>
      <xdr:colOff>200025</xdr:colOff>
      <xdr:row>200</xdr:row>
      <xdr:rowOff>9525</xdr:rowOff>
    </xdr:to>
    <xdr:sp macro="" textlink="">
      <xdr:nvSpPr>
        <xdr:cNvPr id="1708" name="Rectangle 6128"/>
        <xdr:cNvSpPr>
          <a:spLocks noChangeArrowheads="1"/>
        </xdr:cNvSpPr>
      </xdr:nvSpPr>
      <xdr:spPr bwMode="auto">
        <a:xfrm>
          <a:off x="3933825" y="549211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199</xdr:row>
      <xdr:rowOff>0</xdr:rowOff>
    </xdr:from>
    <xdr:to>
      <xdr:col>17</xdr:col>
      <xdr:colOff>200025</xdr:colOff>
      <xdr:row>200</xdr:row>
      <xdr:rowOff>9525</xdr:rowOff>
    </xdr:to>
    <xdr:sp macro="" textlink="">
      <xdr:nvSpPr>
        <xdr:cNvPr id="1709" name="Rectangle 6129"/>
        <xdr:cNvSpPr>
          <a:spLocks noChangeArrowheads="1"/>
        </xdr:cNvSpPr>
      </xdr:nvSpPr>
      <xdr:spPr bwMode="auto">
        <a:xfrm>
          <a:off x="494347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199</xdr:row>
      <xdr:rowOff>0</xdr:rowOff>
    </xdr:from>
    <xdr:to>
      <xdr:col>11</xdr:col>
      <xdr:colOff>200025</xdr:colOff>
      <xdr:row>200</xdr:row>
      <xdr:rowOff>9525</xdr:rowOff>
    </xdr:to>
    <xdr:sp macro="" textlink="">
      <xdr:nvSpPr>
        <xdr:cNvPr id="1710" name="Rectangle 6130"/>
        <xdr:cNvSpPr>
          <a:spLocks noChangeArrowheads="1"/>
        </xdr:cNvSpPr>
      </xdr:nvSpPr>
      <xdr:spPr bwMode="auto">
        <a:xfrm>
          <a:off x="2209800" y="549211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pPr algn="ctr"/>
          <a:r>
            <a:rPr lang="en-US" sz="1200">
              <a:latin typeface="Arial" pitchFamily="34" charset="0"/>
              <a:cs typeface="Arial" pitchFamily="34" charset="0"/>
            </a:rPr>
            <a:t>B</a:t>
          </a:r>
        </a:p>
      </xdr:txBody>
    </xdr:sp>
    <xdr:clientData/>
  </xdr:twoCellAnchor>
  <xdr:twoCellAnchor>
    <xdr:from>
      <xdr:col>14</xdr:col>
      <xdr:colOff>190500</xdr:colOff>
      <xdr:row>199</xdr:row>
      <xdr:rowOff>0</xdr:rowOff>
    </xdr:from>
    <xdr:to>
      <xdr:col>15</xdr:col>
      <xdr:colOff>200025</xdr:colOff>
      <xdr:row>200</xdr:row>
      <xdr:rowOff>9525</xdr:rowOff>
    </xdr:to>
    <xdr:sp macro="" textlink="">
      <xdr:nvSpPr>
        <xdr:cNvPr id="1711" name="Rectangle 6132"/>
        <xdr:cNvSpPr>
          <a:spLocks noChangeArrowheads="1"/>
        </xdr:cNvSpPr>
      </xdr:nvSpPr>
      <xdr:spPr bwMode="auto">
        <a:xfrm>
          <a:off x="3933825" y="549211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pPr algn="ctr"/>
          <a:r>
            <a:rPr lang="en-US" sz="1200">
              <a:latin typeface="Arial" pitchFamily="34" charset="0"/>
              <a:cs typeface="Arial" pitchFamily="34" charset="0"/>
            </a:rPr>
            <a:t>B</a:t>
          </a:r>
        </a:p>
      </xdr:txBody>
    </xdr:sp>
    <xdr:clientData/>
  </xdr:twoCellAnchor>
  <xdr:twoCellAnchor>
    <xdr:from>
      <xdr:col>16</xdr:col>
      <xdr:colOff>190500</xdr:colOff>
      <xdr:row>199</xdr:row>
      <xdr:rowOff>0</xdr:rowOff>
    </xdr:from>
    <xdr:to>
      <xdr:col>17</xdr:col>
      <xdr:colOff>200025</xdr:colOff>
      <xdr:row>200</xdr:row>
      <xdr:rowOff>9525</xdr:rowOff>
    </xdr:to>
    <xdr:sp macro="" textlink="">
      <xdr:nvSpPr>
        <xdr:cNvPr id="1712" name="Rectangle 6133"/>
        <xdr:cNvSpPr>
          <a:spLocks noChangeArrowheads="1"/>
        </xdr:cNvSpPr>
      </xdr:nvSpPr>
      <xdr:spPr bwMode="auto">
        <a:xfrm>
          <a:off x="494347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199</xdr:row>
      <xdr:rowOff>0</xdr:rowOff>
    </xdr:from>
    <xdr:to>
      <xdr:col>17</xdr:col>
      <xdr:colOff>200025</xdr:colOff>
      <xdr:row>200</xdr:row>
      <xdr:rowOff>9525</xdr:rowOff>
    </xdr:to>
    <xdr:sp macro="" textlink="">
      <xdr:nvSpPr>
        <xdr:cNvPr id="1713" name="Rectangle 6137"/>
        <xdr:cNvSpPr>
          <a:spLocks noChangeArrowheads="1"/>
        </xdr:cNvSpPr>
      </xdr:nvSpPr>
      <xdr:spPr bwMode="auto">
        <a:xfrm>
          <a:off x="4943475" y="549211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pPr algn="ctr"/>
          <a:r>
            <a:rPr lang="en-US">
              <a:latin typeface="Arial" pitchFamily="34" charset="0"/>
              <a:cs typeface="Arial" pitchFamily="34" charset="0"/>
            </a:rPr>
            <a:t>B</a:t>
          </a:r>
        </a:p>
      </xdr:txBody>
    </xdr:sp>
    <xdr:clientData/>
  </xdr:twoCellAnchor>
  <xdr:twoCellAnchor>
    <xdr:from>
      <xdr:col>10</xdr:col>
      <xdr:colOff>190500</xdr:colOff>
      <xdr:row>267</xdr:row>
      <xdr:rowOff>0</xdr:rowOff>
    </xdr:from>
    <xdr:to>
      <xdr:col>11</xdr:col>
      <xdr:colOff>200025</xdr:colOff>
      <xdr:row>268</xdr:row>
      <xdr:rowOff>9525</xdr:rowOff>
    </xdr:to>
    <xdr:sp macro="" textlink="">
      <xdr:nvSpPr>
        <xdr:cNvPr id="1714" name="Rectangle 810"/>
        <xdr:cNvSpPr>
          <a:spLocks noChangeArrowheads="1"/>
        </xdr:cNvSpPr>
      </xdr:nvSpPr>
      <xdr:spPr bwMode="auto">
        <a:xfrm>
          <a:off x="2209800" y="745807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12</xdr:col>
      <xdr:colOff>190500</xdr:colOff>
      <xdr:row>267</xdr:row>
      <xdr:rowOff>0</xdr:rowOff>
    </xdr:from>
    <xdr:to>
      <xdr:col>13</xdr:col>
      <xdr:colOff>200025</xdr:colOff>
      <xdr:row>268</xdr:row>
      <xdr:rowOff>9525</xdr:rowOff>
    </xdr:to>
    <xdr:sp macro="" textlink="">
      <xdr:nvSpPr>
        <xdr:cNvPr id="1715" name="Rectangle 811"/>
        <xdr:cNvSpPr>
          <a:spLocks noChangeArrowheads="1"/>
        </xdr:cNvSpPr>
      </xdr:nvSpPr>
      <xdr:spPr bwMode="auto">
        <a:xfrm>
          <a:off x="3057525" y="745807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14</xdr:col>
      <xdr:colOff>190500</xdr:colOff>
      <xdr:row>267</xdr:row>
      <xdr:rowOff>0</xdr:rowOff>
    </xdr:from>
    <xdr:to>
      <xdr:col>15</xdr:col>
      <xdr:colOff>200025</xdr:colOff>
      <xdr:row>268</xdr:row>
      <xdr:rowOff>9525</xdr:rowOff>
    </xdr:to>
    <xdr:sp macro="" textlink="">
      <xdr:nvSpPr>
        <xdr:cNvPr id="1716" name="Rectangle 812"/>
        <xdr:cNvSpPr>
          <a:spLocks noChangeArrowheads="1"/>
        </xdr:cNvSpPr>
      </xdr:nvSpPr>
      <xdr:spPr bwMode="auto">
        <a:xfrm>
          <a:off x="3933825" y="745807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267</xdr:row>
      <xdr:rowOff>0</xdr:rowOff>
    </xdr:from>
    <xdr:to>
      <xdr:col>17</xdr:col>
      <xdr:colOff>200025</xdr:colOff>
      <xdr:row>268</xdr:row>
      <xdr:rowOff>9525</xdr:rowOff>
    </xdr:to>
    <xdr:sp macro="" textlink="">
      <xdr:nvSpPr>
        <xdr:cNvPr id="1717" name="Rectangle 813"/>
        <xdr:cNvSpPr>
          <a:spLocks noChangeArrowheads="1"/>
        </xdr:cNvSpPr>
      </xdr:nvSpPr>
      <xdr:spPr bwMode="auto">
        <a:xfrm>
          <a:off x="4943475" y="745807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190500</xdr:colOff>
      <xdr:row>267</xdr:row>
      <xdr:rowOff>0</xdr:rowOff>
    </xdr:from>
    <xdr:to>
      <xdr:col>19</xdr:col>
      <xdr:colOff>200025</xdr:colOff>
      <xdr:row>268</xdr:row>
      <xdr:rowOff>9525</xdr:rowOff>
    </xdr:to>
    <xdr:sp macro="" textlink="">
      <xdr:nvSpPr>
        <xdr:cNvPr id="1718" name="Rectangle 814"/>
        <xdr:cNvSpPr>
          <a:spLocks noChangeArrowheads="1"/>
        </xdr:cNvSpPr>
      </xdr:nvSpPr>
      <xdr:spPr bwMode="auto">
        <a:xfrm>
          <a:off x="583882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20</xdr:col>
      <xdr:colOff>190500</xdr:colOff>
      <xdr:row>267</xdr:row>
      <xdr:rowOff>0</xdr:rowOff>
    </xdr:from>
    <xdr:to>
      <xdr:col>21</xdr:col>
      <xdr:colOff>200025</xdr:colOff>
      <xdr:row>268</xdr:row>
      <xdr:rowOff>9525</xdr:rowOff>
    </xdr:to>
    <xdr:sp macro="" textlink="">
      <xdr:nvSpPr>
        <xdr:cNvPr id="1719" name="Rectangle 815"/>
        <xdr:cNvSpPr>
          <a:spLocks noChangeArrowheads="1"/>
        </xdr:cNvSpPr>
      </xdr:nvSpPr>
      <xdr:spPr bwMode="auto">
        <a:xfrm>
          <a:off x="6648450" y="745807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22</xdr:col>
      <xdr:colOff>190500</xdr:colOff>
      <xdr:row>267</xdr:row>
      <xdr:rowOff>0</xdr:rowOff>
    </xdr:from>
    <xdr:to>
      <xdr:col>23</xdr:col>
      <xdr:colOff>200025</xdr:colOff>
      <xdr:row>268</xdr:row>
      <xdr:rowOff>9525</xdr:rowOff>
    </xdr:to>
    <xdr:sp macro="" textlink="">
      <xdr:nvSpPr>
        <xdr:cNvPr id="1720" name="Rectangle 816"/>
        <xdr:cNvSpPr>
          <a:spLocks noChangeArrowheads="1"/>
        </xdr:cNvSpPr>
      </xdr:nvSpPr>
      <xdr:spPr bwMode="auto">
        <a:xfrm>
          <a:off x="7505700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24</xdr:col>
      <xdr:colOff>190500</xdr:colOff>
      <xdr:row>267</xdr:row>
      <xdr:rowOff>0</xdr:rowOff>
    </xdr:from>
    <xdr:to>
      <xdr:col>25</xdr:col>
      <xdr:colOff>200025</xdr:colOff>
      <xdr:row>268</xdr:row>
      <xdr:rowOff>9525</xdr:rowOff>
    </xdr:to>
    <xdr:sp macro="" textlink="">
      <xdr:nvSpPr>
        <xdr:cNvPr id="1721" name="Rectangle 817"/>
        <xdr:cNvSpPr>
          <a:spLocks noChangeArrowheads="1"/>
        </xdr:cNvSpPr>
      </xdr:nvSpPr>
      <xdr:spPr bwMode="auto">
        <a:xfrm>
          <a:off x="8315325" y="745807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267</xdr:row>
      <xdr:rowOff>0</xdr:rowOff>
    </xdr:from>
    <xdr:to>
      <xdr:col>27</xdr:col>
      <xdr:colOff>200025</xdr:colOff>
      <xdr:row>268</xdr:row>
      <xdr:rowOff>9525</xdr:rowOff>
    </xdr:to>
    <xdr:sp macro="" textlink="">
      <xdr:nvSpPr>
        <xdr:cNvPr id="1722" name="Rectangle 818"/>
        <xdr:cNvSpPr>
          <a:spLocks noChangeArrowheads="1"/>
        </xdr:cNvSpPr>
      </xdr:nvSpPr>
      <xdr:spPr bwMode="auto">
        <a:xfrm>
          <a:off x="9163050" y="745807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267</xdr:row>
      <xdr:rowOff>0</xdr:rowOff>
    </xdr:from>
    <xdr:to>
      <xdr:col>31</xdr:col>
      <xdr:colOff>200025</xdr:colOff>
      <xdr:row>268</xdr:row>
      <xdr:rowOff>9525</xdr:rowOff>
    </xdr:to>
    <xdr:sp macro="" textlink="">
      <xdr:nvSpPr>
        <xdr:cNvPr id="1723" name="Rectangle 819"/>
        <xdr:cNvSpPr>
          <a:spLocks noChangeArrowheads="1"/>
        </xdr:cNvSpPr>
      </xdr:nvSpPr>
      <xdr:spPr bwMode="auto">
        <a:xfrm>
          <a:off x="10868025" y="745807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267</xdr:row>
      <xdr:rowOff>0</xdr:rowOff>
    </xdr:from>
    <xdr:to>
      <xdr:col>33</xdr:col>
      <xdr:colOff>200025</xdr:colOff>
      <xdr:row>268</xdr:row>
      <xdr:rowOff>9525</xdr:rowOff>
    </xdr:to>
    <xdr:sp macro="" textlink="">
      <xdr:nvSpPr>
        <xdr:cNvPr id="1724" name="Rectangle 820"/>
        <xdr:cNvSpPr>
          <a:spLocks noChangeArrowheads="1"/>
        </xdr:cNvSpPr>
      </xdr:nvSpPr>
      <xdr:spPr bwMode="auto">
        <a:xfrm>
          <a:off x="1164907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267</xdr:row>
      <xdr:rowOff>0</xdr:rowOff>
    </xdr:from>
    <xdr:to>
      <xdr:col>37</xdr:col>
      <xdr:colOff>190500</xdr:colOff>
      <xdr:row>268</xdr:row>
      <xdr:rowOff>9525</xdr:rowOff>
    </xdr:to>
    <xdr:sp macro="" textlink="">
      <xdr:nvSpPr>
        <xdr:cNvPr id="1725" name="Rectangle 821"/>
        <xdr:cNvSpPr>
          <a:spLocks noChangeArrowheads="1"/>
        </xdr:cNvSpPr>
      </xdr:nvSpPr>
      <xdr:spPr bwMode="auto">
        <a:xfrm>
          <a:off x="13201650" y="745807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267</xdr:row>
      <xdr:rowOff>0</xdr:rowOff>
    </xdr:from>
    <xdr:to>
      <xdr:col>37</xdr:col>
      <xdr:colOff>190500</xdr:colOff>
      <xdr:row>268</xdr:row>
      <xdr:rowOff>9525</xdr:rowOff>
    </xdr:to>
    <xdr:sp macro="" textlink="">
      <xdr:nvSpPr>
        <xdr:cNvPr id="1726" name="Rectangle 1156"/>
        <xdr:cNvSpPr>
          <a:spLocks noChangeArrowheads="1"/>
        </xdr:cNvSpPr>
      </xdr:nvSpPr>
      <xdr:spPr bwMode="auto">
        <a:xfrm>
          <a:off x="13201650" y="745807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267</xdr:row>
      <xdr:rowOff>0</xdr:rowOff>
    </xdr:from>
    <xdr:to>
      <xdr:col>29</xdr:col>
      <xdr:colOff>200025</xdr:colOff>
      <xdr:row>268</xdr:row>
      <xdr:rowOff>9525</xdr:rowOff>
    </xdr:to>
    <xdr:sp macro="" textlink="">
      <xdr:nvSpPr>
        <xdr:cNvPr id="1727" name="Rectangle 1209"/>
        <xdr:cNvSpPr>
          <a:spLocks noChangeArrowheads="1"/>
        </xdr:cNvSpPr>
      </xdr:nvSpPr>
      <xdr:spPr bwMode="auto">
        <a:xfrm>
          <a:off x="9991725" y="745807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267</xdr:row>
      <xdr:rowOff>0</xdr:rowOff>
    </xdr:from>
    <xdr:to>
      <xdr:col>11</xdr:col>
      <xdr:colOff>200025</xdr:colOff>
      <xdr:row>268</xdr:row>
      <xdr:rowOff>9525</xdr:rowOff>
    </xdr:to>
    <xdr:sp macro="" textlink="">
      <xdr:nvSpPr>
        <xdr:cNvPr id="1728" name="Rectangle 1330"/>
        <xdr:cNvSpPr>
          <a:spLocks noChangeArrowheads="1"/>
        </xdr:cNvSpPr>
      </xdr:nvSpPr>
      <xdr:spPr bwMode="auto">
        <a:xfrm>
          <a:off x="2209800" y="745807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267</xdr:row>
      <xdr:rowOff>0</xdr:rowOff>
    </xdr:from>
    <xdr:to>
      <xdr:col>13</xdr:col>
      <xdr:colOff>200025</xdr:colOff>
      <xdr:row>268</xdr:row>
      <xdr:rowOff>9525</xdr:rowOff>
    </xdr:to>
    <xdr:sp macro="" textlink="">
      <xdr:nvSpPr>
        <xdr:cNvPr id="1729" name="Rectangle 1331"/>
        <xdr:cNvSpPr>
          <a:spLocks noChangeArrowheads="1"/>
        </xdr:cNvSpPr>
      </xdr:nvSpPr>
      <xdr:spPr bwMode="auto">
        <a:xfrm>
          <a:off x="3057525" y="745807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267</xdr:row>
      <xdr:rowOff>0</xdr:rowOff>
    </xdr:from>
    <xdr:to>
      <xdr:col>15</xdr:col>
      <xdr:colOff>200025</xdr:colOff>
      <xdr:row>268</xdr:row>
      <xdr:rowOff>9525</xdr:rowOff>
    </xdr:to>
    <xdr:sp macro="" textlink="">
      <xdr:nvSpPr>
        <xdr:cNvPr id="1730" name="Rectangle 1332"/>
        <xdr:cNvSpPr>
          <a:spLocks noChangeArrowheads="1"/>
        </xdr:cNvSpPr>
      </xdr:nvSpPr>
      <xdr:spPr bwMode="auto">
        <a:xfrm>
          <a:off x="3933825" y="745807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267</xdr:row>
      <xdr:rowOff>0</xdr:rowOff>
    </xdr:from>
    <xdr:to>
      <xdr:col>17</xdr:col>
      <xdr:colOff>200025</xdr:colOff>
      <xdr:row>268</xdr:row>
      <xdr:rowOff>9525</xdr:rowOff>
    </xdr:to>
    <xdr:sp macro="" textlink="">
      <xdr:nvSpPr>
        <xdr:cNvPr id="1731" name="Rectangle 1333"/>
        <xdr:cNvSpPr>
          <a:spLocks noChangeArrowheads="1"/>
        </xdr:cNvSpPr>
      </xdr:nvSpPr>
      <xdr:spPr bwMode="auto">
        <a:xfrm>
          <a:off x="4943475" y="745807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267</xdr:row>
      <xdr:rowOff>0</xdr:rowOff>
    </xdr:from>
    <xdr:to>
      <xdr:col>19</xdr:col>
      <xdr:colOff>200025</xdr:colOff>
      <xdr:row>268</xdr:row>
      <xdr:rowOff>9525</xdr:rowOff>
    </xdr:to>
    <xdr:sp macro="" textlink="">
      <xdr:nvSpPr>
        <xdr:cNvPr id="1732" name="Rectangle 1334"/>
        <xdr:cNvSpPr>
          <a:spLocks noChangeArrowheads="1"/>
        </xdr:cNvSpPr>
      </xdr:nvSpPr>
      <xdr:spPr bwMode="auto">
        <a:xfrm>
          <a:off x="583882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267</xdr:row>
      <xdr:rowOff>0</xdr:rowOff>
    </xdr:from>
    <xdr:to>
      <xdr:col>21</xdr:col>
      <xdr:colOff>200025</xdr:colOff>
      <xdr:row>268</xdr:row>
      <xdr:rowOff>9525</xdr:rowOff>
    </xdr:to>
    <xdr:sp macro="" textlink="">
      <xdr:nvSpPr>
        <xdr:cNvPr id="1733" name="Rectangle 1335"/>
        <xdr:cNvSpPr>
          <a:spLocks noChangeArrowheads="1"/>
        </xdr:cNvSpPr>
      </xdr:nvSpPr>
      <xdr:spPr bwMode="auto">
        <a:xfrm>
          <a:off x="6648450" y="745807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267</xdr:row>
      <xdr:rowOff>0</xdr:rowOff>
    </xdr:from>
    <xdr:to>
      <xdr:col>23</xdr:col>
      <xdr:colOff>200025</xdr:colOff>
      <xdr:row>268</xdr:row>
      <xdr:rowOff>9525</xdr:rowOff>
    </xdr:to>
    <xdr:sp macro="" textlink="">
      <xdr:nvSpPr>
        <xdr:cNvPr id="1734" name="Rectangle 1336"/>
        <xdr:cNvSpPr>
          <a:spLocks noChangeArrowheads="1"/>
        </xdr:cNvSpPr>
      </xdr:nvSpPr>
      <xdr:spPr bwMode="auto">
        <a:xfrm>
          <a:off x="7505700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267</xdr:row>
      <xdr:rowOff>0</xdr:rowOff>
    </xdr:from>
    <xdr:to>
      <xdr:col>25</xdr:col>
      <xdr:colOff>200025</xdr:colOff>
      <xdr:row>268</xdr:row>
      <xdr:rowOff>9525</xdr:rowOff>
    </xdr:to>
    <xdr:sp macro="" textlink="">
      <xdr:nvSpPr>
        <xdr:cNvPr id="1735" name="Rectangle 1337"/>
        <xdr:cNvSpPr>
          <a:spLocks noChangeArrowheads="1"/>
        </xdr:cNvSpPr>
      </xdr:nvSpPr>
      <xdr:spPr bwMode="auto">
        <a:xfrm>
          <a:off x="8315325" y="745807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267</xdr:row>
      <xdr:rowOff>0</xdr:rowOff>
    </xdr:from>
    <xdr:to>
      <xdr:col>27</xdr:col>
      <xdr:colOff>200025</xdr:colOff>
      <xdr:row>268</xdr:row>
      <xdr:rowOff>9525</xdr:rowOff>
    </xdr:to>
    <xdr:sp macro="" textlink="">
      <xdr:nvSpPr>
        <xdr:cNvPr id="1736" name="Rectangle 1338"/>
        <xdr:cNvSpPr>
          <a:spLocks noChangeArrowheads="1"/>
        </xdr:cNvSpPr>
      </xdr:nvSpPr>
      <xdr:spPr bwMode="auto">
        <a:xfrm>
          <a:off x="9163050" y="745807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267</xdr:row>
      <xdr:rowOff>0</xdr:rowOff>
    </xdr:from>
    <xdr:to>
      <xdr:col>31</xdr:col>
      <xdr:colOff>200025</xdr:colOff>
      <xdr:row>268</xdr:row>
      <xdr:rowOff>9525</xdr:rowOff>
    </xdr:to>
    <xdr:sp macro="" textlink="">
      <xdr:nvSpPr>
        <xdr:cNvPr id="1737" name="Rectangle 1339"/>
        <xdr:cNvSpPr>
          <a:spLocks noChangeArrowheads="1"/>
        </xdr:cNvSpPr>
      </xdr:nvSpPr>
      <xdr:spPr bwMode="auto">
        <a:xfrm>
          <a:off x="10868025" y="745807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267</xdr:row>
      <xdr:rowOff>0</xdr:rowOff>
    </xdr:from>
    <xdr:to>
      <xdr:col>33</xdr:col>
      <xdr:colOff>200025</xdr:colOff>
      <xdr:row>268</xdr:row>
      <xdr:rowOff>9525</xdr:rowOff>
    </xdr:to>
    <xdr:sp macro="" textlink="">
      <xdr:nvSpPr>
        <xdr:cNvPr id="1738" name="Rectangle 1340"/>
        <xdr:cNvSpPr>
          <a:spLocks noChangeArrowheads="1"/>
        </xdr:cNvSpPr>
      </xdr:nvSpPr>
      <xdr:spPr bwMode="auto">
        <a:xfrm>
          <a:off x="1164907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267</xdr:row>
      <xdr:rowOff>0</xdr:rowOff>
    </xdr:from>
    <xdr:to>
      <xdr:col>29</xdr:col>
      <xdr:colOff>200025</xdr:colOff>
      <xdr:row>268</xdr:row>
      <xdr:rowOff>9525</xdr:rowOff>
    </xdr:to>
    <xdr:sp macro="" textlink="">
      <xdr:nvSpPr>
        <xdr:cNvPr id="1739" name="Rectangle 1341"/>
        <xdr:cNvSpPr>
          <a:spLocks noChangeArrowheads="1"/>
        </xdr:cNvSpPr>
      </xdr:nvSpPr>
      <xdr:spPr bwMode="auto">
        <a:xfrm>
          <a:off x="9991725" y="745807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267</xdr:row>
      <xdr:rowOff>0</xdr:rowOff>
    </xdr:from>
    <xdr:to>
      <xdr:col>37</xdr:col>
      <xdr:colOff>190500</xdr:colOff>
      <xdr:row>268</xdr:row>
      <xdr:rowOff>9525</xdr:rowOff>
    </xdr:to>
    <xdr:sp macro="" textlink="">
      <xdr:nvSpPr>
        <xdr:cNvPr id="1740" name="Rectangle 1664"/>
        <xdr:cNvSpPr>
          <a:spLocks noChangeArrowheads="1"/>
        </xdr:cNvSpPr>
      </xdr:nvSpPr>
      <xdr:spPr bwMode="auto">
        <a:xfrm>
          <a:off x="13201650" y="745807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267</xdr:row>
      <xdr:rowOff>0</xdr:rowOff>
    </xdr:from>
    <xdr:to>
      <xdr:col>11</xdr:col>
      <xdr:colOff>200025</xdr:colOff>
      <xdr:row>268</xdr:row>
      <xdr:rowOff>9525</xdr:rowOff>
    </xdr:to>
    <xdr:sp macro="" textlink="">
      <xdr:nvSpPr>
        <xdr:cNvPr id="1741" name="Rectangle 1971"/>
        <xdr:cNvSpPr>
          <a:spLocks noChangeArrowheads="1"/>
        </xdr:cNvSpPr>
      </xdr:nvSpPr>
      <xdr:spPr bwMode="auto">
        <a:xfrm>
          <a:off x="2209800" y="745807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12</xdr:col>
      <xdr:colOff>190500</xdr:colOff>
      <xdr:row>267</xdr:row>
      <xdr:rowOff>0</xdr:rowOff>
    </xdr:from>
    <xdr:to>
      <xdr:col>13</xdr:col>
      <xdr:colOff>200025</xdr:colOff>
      <xdr:row>268</xdr:row>
      <xdr:rowOff>9525</xdr:rowOff>
    </xdr:to>
    <xdr:sp macro="" textlink="">
      <xdr:nvSpPr>
        <xdr:cNvPr id="1742" name="Rectangle 1972"/>
        <xdr:cNvSpPr>
          <a:spLocks noChangeArrowheads="1"/>
        </xdr:cNvSpPr>
      </xdr:nvSpPr>
      <xdr:spPr bwMode="auto">
        <a:xfrm>
          <a:off x="3057525" y="745807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14</xdr:col>
      <xdr:colOff>190500</xdr:colOff>
      <xdr:row>267</xdr:row>
      <xdr:rowOff>0</xdr:rowOff>
    </xdr:from>
    <xdr:to>
      <xdr:col>15</xdr:col>
      <xdr:colOff>200025</xdr:colOff>
      <xdr:row>268</xdr:row>
      <xdr:rowOff>9525</xdr:rowOff>
    </xdr:to>
    <xdr:sp macro="" textlink="">
      <xdr:nvSpPr>
        <xdr:cNvPr id="1743" name="Rectangle 1973"/>
        <xdr:cNvSpPr>
          <a:spLocks noChangeArrowheads="1"/>
        </xdr:cNvSpPr>
      </xdr:nvSpPr>
      <xdr:spPr bwMode="auto">
        <a:xfrm>
          <a:off x="3933825" y="745807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267</xdr:row>
      <xdr:rowOff>0</xdr:rowOff>
    </xdr:from>
    <xdr:to>
      <xdr:col>17</xdr:col>
      <xdr:colOff>200025</xdr:colOff>
      <xdr:row>268</xdr:row>
      <xdr:rowOff>9525</xdr:rowOff>
    </xdr:to>
    <xdr:sp macro="" textlink="">
      <xdr:nvSpPr>
        <xdr:cNvPr id="1744" name="Rectangle 1974"/>
        <xdr:cNvSpPr>
          <a:spLocks noChangeArrowheads="1"/>
        </xdr:cNvSpPr>
      </xdr:nvSpPr>
      <xdr:spPr bwMode="auto">
        <a:xfrm>
          <a:off x="4943475" y="745807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267</xdr:row>
      <xdr:rowOff>0</xdr:rowOff>
    </xdr:from>
    <xdr:to>
      <xdr:col>21</xdr:col>
      <xdr:colOff>200025</xdr:colOff>
      <xdr:row>268</xdr:row>
      <xdr:rowOff>9525</xdr:rowOff>
    </xdr:to>
    <xdr:sp macro="" textlink="">
      <xdr:nvSpPr>
        <xdr:cNvPr id="1745" name="Rectangle 1975"/>
        <xdr:cNvSpPr>
          <a:spLocks noChangeArrowheads="1"/>
        </xdr:cNvSpPr>
      </xdr:nvSpPr>
      <xdr:spPr bwMode="auto">
        <a:xfrm>
          <a:off x="6648450" y="745807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267</xdr:row>
      <xdr:rowOff>0</xdr:rowOff>
    </xdr:from>
    <xdr:to>
      <xdr:col>23</xdr:col>
      <xdr:colOff>200025</xdr:colOff>
      <xdr:row>268</xdr:row>
      <xdr:rowOff>9525</xdr:rowOff>
    </xdr:to>
    <xdr:sp macro="" textlink="">
      <xdr:nvSpPr>
        <xdr:cNvPr id="1746" name="Rectangle 1976"/>
        <xdr:cNvSpPr>
          <a:spLocks noChangeArrowheads="1"/>
        </xdr:cNvSpPr>
      </xdr:nvSpPr>
      <xdr:spPr bwMode="auto">
        <a:xfrm>
          <a:off x="7505700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267</xdr:row>
      <xdr:rowOff>0</xdr:rowOff>
    </xdr:from>
    <xdr:to>
      <xdr:col>25</xdr:col>
      <xdr:colOff>200025</xdr:colOff>
      <xdr:row>268</xdr:row>
      <xdr:rowOff>9525</xdr:rowOff>
    </xdr:to>
    <xdr:sp macro="" textlink="">
      <xdr:nvSpPr>
        <xdr:cNvPr id="1747" name="Rectangle 1977"/>
        <xdr:cNvSpPr>
          <a:spLocks noChangeArrowheads="1"/>
        </xdr:cNvSpPr>
      </xdr:nvSpPr>
      <xdr:spPr bwMode="auto">
        <a:xfrm>
          <a:off x="8315325" y="745807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267</xdr:row>
      <xdr:rowOff>0</xdr:rowOff>
    </xdr:from>
    <xdr:to>
      <xdr:col>27</xdr:col>
      <xdr:colOff>200025</xdr:colOff>
      <xdr:row>268</xdr:row>
      <xdr:rowOff>9525</xdr:rowOff>
    </xdr:to>
    <xdr:sp macro="" textlink="">
      <xdr:nvSpPr>
        <xdr:cNvPr id="1748" name="Rectangle 1978"/>
        <xdr:cNvSpPr>
          <a:spLocks noChangeArrowheads="1"/>
        </xdr:cNvSpPr>
      </xdr:nvSpPr>
      <xdr:spPr bwMode="auto">
        <a:xfrm>
          <a:off x="9163050" y="745807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267</xdr:row>
      <xdr:rowOff>0</xdr:rowOff>
    </xdr:from>
    <xdr:to>
      <xdr:col>31</xdr:col>
      <xdr:colOff>200025</xdr:colOff>
      <xdr:row>268</xdr:row>
      <xdr:rowOff>9525</xdr:rowOff>
    </xdr:to>
    <xdr:sp macro="" textlink="">
      <xdr:nvSpPr>
        <xdr:cNvPr id="1749" name="Rectangle 1979"/>
        <xdr:cNvSpPr>
          <a:spLocks noChangeArrowheads="1"/>
        </xdr:cNvSpPr>
      </xdr:nvSpPr>
      <xdr:spPr bwMode="auto">
        <a:xfrm>
          <a:off x="10868025" y="745807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267</xdr:row>
      <xdr:rowOff>0</xdr:rowOff>
    </xdr:from>
    <xdr:to>
      <xdr:col>33</xdr:col>
      <xdr:colOff>200025</xdr:colOff>
      <xdr:row>268</xdr:row>
      <xdr:rowOff>9525</xdr:rowOff>
    </xdr:to>
    <xdr:sp macro="" textlink="">
      <xdr:nvSpPr>
        <xdr:cNvPr id="1750" name="Rectangle 1980"/>
        <xdr:cNvSpPr>
          <a:spLocks noChangeArrowheads="1"/>
        </xdr:cNvSpPr>
      </xdr:nvSpPr>
      <xdr:spPr bwMode="auto">
        <a:xfrm>
          <a:off x="1164907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267</xdr:row>
      <xdr:rowOff>0</xdr:rowOff>
    </xdr:from>
    <xdr:to>
      <xdr:col>37</xdr:col>
      <xdr:colOff>190500</xdr:colOff>
      <xdr:row>268</xdr:row>
      <xdr:rowOff>9525</xdr:rowOff>
    </xdr:to>
    <xdr:sp macro="" textlink="">
      <xdr:nvSpPr>
        <xdr:cNvPr id="1751" name="Rectangle 1981"/>
        <xdr:cNvSpPr>
          <a:spLocks noChangeArrowheads="1"/>
        </xdr:cNvSpPr>
      </xdr:nvSpPr>
      <xdr:spPr bwMode="auto">
        <a:xfrm>
          <a:off x="13201650" y="745807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267</xdr:row>
      <xdr:rowOff>0</xdr:rowOff>
    </xdr:from>
    <xdr:to>
      <xdr:col>29</xdr:col>
      <xdr:colOff>200025</xdr:colOff>
      <xdr:row>268</xdr:row>
      <xdr:rowOff>9525</xdr:rowOff>
    </xdr:to>
    <xdr:sp macro="" textlink="">
      <xdr:nvSpPr>
        <xdr:cNvPr id="1752" name="Rectangle 1982"/>
        <xdr:cNvSpPr>
          <a:spLocks noChangeArrowheads="1"/>
        </xdr:cNvSpPr>
      </xdr:nvSpPr>
      <xdr:spPr bwMode="auto">
        <a:xfrm>
          <a:off x="9991725" y="745807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180975</xdr:colOff>
      <xdr:row>267</xdr:row>
      <xdr:rowOff>0</xdr:rowOff>
    </xdr:from>
    <xdr:to>
      <xdr:col>19</xdr:col>
      <xdr:colOff>190500</xdr:colOff>
      <xdr:row>268</xdr:row>
      <xdr:rowOff>9525</xdr:rowOff>
    </xdr:to>
    <xdr:sp macro="" textlink="">
      <xdr:nvSpPr>
        <xdr:cNvPr id="1753" name="Rectangle 1983"/>
        <xdr:cNvSpPr>
          <a:spLocks noChangeArrowheads="1"/>
        </xdr:cNvSpPr>
      </xdr:nvSpPr>
      <xdr:spPr bwMode="auto">
        <a:xfrm>
          <a:off x="5829300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267</xdr:row>
      <xdr:rowOff>0</xdr:rowOff>
    </xdr:from>
    <xdr:to>
      <xdr:col>11</xdr:col>
      <xdr:colOff>200025</xdr:colOff>
      <xdr:row>268</xdr:row>
      <xdr:rowOff>9525</xdr:rowOff>
    </xdr:to>
    <xdr:sp macro="" textlink="">
      <xdr:nvSpPr>
        <xdr:cNvPr id="1754" name="Rectangle 1984"/>
        <xdr:cNvSpPr>
          <a:spLocks noChangeArrowheads="1"/>
        </xdr:cNvSpPr>
      </xdr:nvSpPr>
      <xdr:spPr bwMode="auto">
        <a:xfrm>
          <a:off x="2209800" y="745807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267</xdr:row>
      <xdr:rowOff>0</xdr:rowOff>
    </xdr:from>
    <xdr:to>
      <xdr:col>13</xdr:col>
      <xdr:colOff>200025</xdr:colOff>
      <xdr:row>268</xdr:row>
      <xdr:rowOff>9525</xdr:rowOff>
    </xdr:to>
    <xdr:sp macro="" textlink="">
      <xdr:nvSpPr>
        <xdr:cNvPr id="1755" name="Rectangle 1985"/>
        <xdr:cNvSpPr>
          <a:spLocks noChangeArrowheads="1"/>
        </xdr:cNvSpPr>
      </xdr:nvSpPr>
      <xdr:spPr bwMode="auto">
        <a:xfrm>
          <a:off x="3057525" y="745807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267</xdr:row>
      <xdr:rowOff>0</xdr:rowOff>
    </xdr:from>
    <xdr:to>
      <xdr:col>15</xdr:col>
      <xdr:colOff>200025</xdr:colOff>
      <xdr:row>268</xdr:row>
      <xdr:rowOff>9525</xdr:rowOff>
    </xdr:to>
    <xdr:sp macro="" textlink="">
      <xdr:nvSpPr>
        <xdr:cNvPr id="1756" name="Rectangle 1986"/>
        <xdr:cNvSpPr>
          <a:spLocks noChangeArrowheads="1"/>
        </xdr:cNvSpPr>
      </xdr:nvSpPr>
      <xdr:spPr bwMode="auto">
        <a:xfrm>
          <a:off x="3933825" y="745807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267</xdr:row>
      <xdr:rowOff>0</xdr:rowOff>
    </xdr:from>
    <xdr:to>
      <xdr:col>17</xdr:col>
      <xdr:colOff>200025</xdr:colOff>
      <xdr:row>268</xdr:row>
      <xdr:rowOff>9525</xdr:rowOff>
    </xdr:to>
    <xdr:sp macro="" textlink="">
      <xdr:nvSpPr>
        <xdr:cNvPr id="1757" name="Rectangle 1987"/>
        <xdr:cNvSpPr>
          <a:spLocks noChangeArrowheads="1"/>
        </xdr:cNvSpPr>
      </xdr:nvSpPr>
      <xdr:spPr bwMode="auto">
        <a:xfrm>
          <a:off x="4943475" y="745807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267</xdr:row>
      <xdr:rowOff>0</xdr:rowOff>
    </xdr:from>
    <xdr:to>
      <xdr:col>19</xdr:col>
      <xdr:colOff>200025</xdr:colOff>
      <xdr:row>268</xdr:row>
      <xdr:rowOff>9525</xdr:rowOff>
    </xdr:to>
    <xdr:sp macro="" textlink="">
      <xdr:nvSpPr>
        <xdr:cNvPr id="1758" name="Rectangle 1988"/>
        <xdr:cNvSpPr>
          <a:spLocks noChangeArrowheads="1"/>
        </xdr:cNvSpPr>
      </xdr:nvSpPr>
      <xdr:spPr bwMode="auto">
        <a:xfrm>
          <a:off x="583882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267</xdr:row>
      <xdr:rowOff>0</xdr:rowOff>
    </xdr:from>
    <xdr:to>
      <xdr:col>21</xdr:col>
      <xdr:colOff>200025</xdr:colOff>
      <xdr:row>268</xdr:row>
      <xdr:rowOff>9525</xdr:rowOff>
    </xdr:to>
    <xdr:sp macro="" textlink="">
      <xdr:nvSpPr>
        <xdr:cNvPr id="1759" name="Rectangle 1989"/>
        <xdr:cNvSpPr>
          <a:spLocks noChangeArrowheads="1"/>
        </xdr:cNvSpPr>
      </xdr:nvSpPr>
      <xdr:spPr bwMode="auto">
        <a:xfrm>
          <a:off x="6648450" y="745807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267</xdr:row>
      <xdr:rowOff>0</xdr:rowOff>
    </xdr:from>
    <xdr:to>
      <xdr:col>23</xdr:col>
      <xdr:colOff>200025</xdr:colOff>
      <xdr:row>268</xdr:row>
      <xdr:rowOff>9525</xdr:rowOff>
    </xdr:to>
    <xdr:sp macro="" textlink="">
      <xdr:nvSpPr>
        <xdr:cNvPr id="1760" name="Rectangle 1990"/>
        <xdr:cNvSpPr>
          <a:spLocks noChangeArrowheads="1"/>
        </xdr:cNvSpPr>
      </xdr:nvSpPr>
      <xdr:spPr bwMode="auto">
        <a:xfrm>
          <a:off x="7505700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267</xdr:row>
      <xdr:rowOff>0</xdr:rowOff>
    </xdr:from>
    <xdr:to>
      <xdr:col>25</xdr:col>
      <xdr:colOff>200025</xdr:colOff>
      <xdr:row>268</xdr:row>
      <xdr:rowOff>9525</xdr:rowOff>
    </xdr:to>
    <xdr:sp macro="" textlink="">
      <xdr:nvSpPr>
        <xdr:cNvPr id="1761" name="Rectangle 1991"/>
        <xdr:cNvSpPr>
          <a:spLocks noChangeArrowheads="1"/>
        </xdr:cNvSpPr>
      </xdr:nvSpPr>
      <xdr:spPr bwMode="auto">
        <a:xfrm>
          <a:off x="8315325" y="745807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267</xdr:row>
      <xdr:rowOff>0</xdr:rowOff>
    </xdr:from>
    <xdr:to>
      <xdr:col>27</xdr:col>
      <xdr:colOff>200025</xdr:colOff>
      <xdr:row>268</xdr:row>
      <xdr:rowOff>9525</xdr:rowOff>
    </xdr:to>
    <xdr:sp macro="" textlink="">
      <xdr:nvSpPr>
        <xdr:cNvPr id="1762" name="Rectangle 1992"/>
        <xdr:cNvSpPr>
          <a:spLocks noChangeArrowheads="1"/>
        </xdr:cNvSpPr>
      </xdr:nvSpPr>
      <xdr:spPr bwMode="auto">
        <a:xfrm>
          <a:off x="9163050" y="745807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267</xdr:row>
      <xdr:rowOff>0</xdr:rowOff>
    </xdr:from>
    <xdr:to>
      <xdr:col>31</xdr:col>
      <xdr:colOff>200025</xdr:colOff>
      <xdr:row>268</xdr:row>
      <xdr:rowOff>9525</xdr:rowOff>
    </xdr:to>
    <xdr:sp macro="" textlink="">
      <xdr:nvSpPr>
        <xdr:cNvPr id="1763" name="Rectangle 1993"/>
        <xdr:cNvSpPr>
          <a:spLocks noChangeArrowheads="1"/>
        </xdr:cNvSpPr>
      </xdr:nvSpPr>
      <xdr:spPr bwMode="auto">
        <a:xfrm>
          <a:off x="10868025" y="745807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267</xdr:row>
      <xdr:rowOff>0</xdr:rowOff>
    </xdr:from>
    <xdr:to>
      <xdr:col>33</xdr:col>
      <xdr:colOff>200025</xdr:colOff>
      <xdr:row>268</xdr:row>
      <xdr:rowOff>9525</xdr:rowOff>
    </xdr:to>
    <xdr:sp macro="" textlink="">
      <xdr:nvSpPr>
        <xdr:cNvPr id="1764" name="Rectangle 1994"/>
        <xdr:cNvSpPr>
          <a:spLocks noChangeArrowheads="1"/>
        </xdr:cNvSpPr>
      </xdr:nvSpPr>
      <xdr:spPr bwMode="auto">
        <a:xfrm>
          <a:off x="1164907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267</xdr:row>
      <xdr:rowOff>0</xdr:rowOff>
    </xdr:from>
    <xdr:to>
      <xdr:col>29</xdr:col>
      <xdr:colOff>200025</xdr:colOff>
      <xdr:row>268</xdr:row>
      <xdr:rowOff>9525</xdr:rowOff>
    </xdr:to>
    <xdr:sp macro="" textlink="">
      <xdr:nvSpPr>
        <xdr:cNvPr id="1765" name="Rectangle 1995"/>
        <xdr:cNvSpPr>
          <a:spLocks noChangeArrowheads="1"/>
        </xdr:cNvSpPr>
      </xdr:nvSpPr>
      <xdr:spPr bwMode="auto">
        <a:xfrm>
          <a:off x="9991725" y="745807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267</xdr:row>
      <xdr:rowOff>0</xdr:rowOff>
    </xdr:from>
    <xdr:to>
      <xdr:col>37</xdr:col>
      <xdr:colOff>190500</xdr:colOff>
      <xdr:row>268</xdr:row>
      <xdr:rowOff>9525</xdr:rowOff>
    </xdr:to>
    <xdr:sp macro="" textlink="">
      <xdr:nvSpPr>
        <xdr:cNvPr id="1766" name="Rectangle 1996"/>
        <xdr:cNvSpPr>
          <a:spLocks noChangeArrowheads="1"/>
        </xdr:cNvSpPr>
      </xdr:nvSpPr>
      <xdr:spPr bwMode="auto">
        <a:xfrm>
          <a:off x="13201650" y="745807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266</xdr:row>
      <xdr:rowOff>520869</xdr:rowOff>
    </xdr:from>
    <xdr:to>
      <xdr:col>11</xdr:col>
      <xdr:colOff>200025</xdr:colOff>
      <xdr:row>268</xdr:row>
      <xdr:rowOff>9525</xdr:rowOff>
    </xdr:to>
    <xdr:sp macro="" textlink="">
      <xdr:nvSpPr>
        <xdr:cNvPr id="1767" name="Rectangle 1997"/>
        <xdr:cNvSpPr>
          <a:spLocks noChangeArrowheads="1"/>
        </xdr:cNvSpPr>
      </xdr:nvSpPr>
      <xdr:spPr bwMode="auto">
        <a:xfrm>
          <a:off x="2209800" y="74568219"/>
          <a:ext cx="476250" cy="2982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C</a:t>
          </a:r>
        </a:p>
      </xdr:txBody>
    </xdr:sp>
    <xdr:clientData/>
  </xdr:twoCellAnchor>
  <xdr:twoCellAnchor>
    <xdr:from>
      <xdr:col>12</xdr:col>
      <xdr:colOff>190500</xdr:colOff>
      <xdr:row>267</xdr:row>
      <xdr:rowOff>8898</xdr:rowOff>
    </xdr:from>
    <xdr:to>
      <xdr:col>13</xdr:col>
      <xdr:colOff>200025</xdr:colOff>
      <xdr:row>268</xdr:row>
      <xdr:rowOff>38100</xdr:rowOff>
    </xdr:to>
    <xdr:sp macro="" textlink="">
      <xdr:nvSpPr>
        <xdr:cNvPr id="1768" name="Rectangle 1998"/>
        <xdr:cNvSpPr>
          <a:spLocks noChangeArrowheads="1"/>
        </xdr:cNvSpPr>
      </xdr:nvSpPr>
      <xdr:spPr bwMode="auto">
        <a:xfrm>
          <a:off x="3057525" y="74589648"/>
          <a:ext cx="523875" cy="30542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14</xdr:col>
      <xdr:colOff>190500</xdr:colOff>
      <xdr:row>266</xdr:row>
      <xdr:rowOff>530394</xdr:rowOff>
    </xdr:from>
    <xdr:to>
      <xdr:col>15</xdr:col>
      <xdr:colOff>200025</xdr:colOff>
      <xdr:row>268</xdr:row>
      <xdr:rowOff>38101</xdr:rowOff>
    </xdr:to>
    <xdr:sp macro="" textlink="">
      <xdr:nvSpPr>
        <xdr:cNvPr id="1769" name="Rectangle 1999"/>
        <xdr:cNvSpPr>
          <a:spLocks noChangeArrowheads="1"/>
        </xdr:cNvSpPr>
      </xdr:nvSpPr>
      <xdr:spPr bwMode="auto">
        <a:xfrm>
          <a:off x="3933825" y="74577744"/>
          <a:ext cx="581025" cy="31733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267</xdr:row>
      <xdr:rowOff>0</xdr:rowOff>
    </xdr:from>
    <xdr:to>
      <xdr:col>17</xdr:col>
      <xdr:colOff>200025</xdr:colOff>
      <xdr:row>268</xdr:row>
      <xdr:rowOff>9525</xdr:rowOff>
    </xdr:to>
    <xdr:sp macro="" textlink="">
      <xdr:nvSpPr>
        <xdr:cNvPr id="1770" name="Rectangle 2000"/>
        <xdr:cNvSpPr>
          <a:spLocks noChangeArrowheads="1"/>
        </xdr:cNvSpPr>
      </xdr:nvSpPr>
      <xdr:spPr bwMode="auto">
        <a:xfrm>
          <a:off x="4943475" y="745807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267</xdr:row>
      <xdr:rowOff>6518</xdr:rowOff>
    </xdr:from>
    <xdr:to>
      <xdr:col>19</xdr:col>
      <xdr:colOff>200025</xdr:colOff>
      <xdr:row>268</xdr:row>
      <xdr:rowOff>0</xdr:rowOff>
    </xdr:to>
    <xdr:sp macro="" textlink="">
      <xdr:nvSpPr>
        <xdr:cNvPr id="1771" name="Rectangle 2001"/>
        <xdr:cNvSpPr>
          <a:spLocks noChangeArrowheads="1"/>
        </xdr:cNvSpPr>
      </xdr:nvSpPr>
      <xdr:spPr bwMode="auto">
        <a:xfrm>
          <a:off x="5838825" y="74587268"/>
          <a:ext cx="438150" cy="2697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266</xdr:row>
      <xdr:rowOff>520869</xdr:rowOff>
    </xdr:from>
    <xdr:to>
      <xdr:col>17</xdr:col>
      <xdr:colOff>200025</xdr:colOff>
      <xdr:row>268</xdr:row>
      <xdr:rowOff>9526</xdr:rowOff>
    </xdr:to>
    <xdr:sp macro="" textlink="">
      <xdr:nvSpPr>
        <xdr:cNvPr id="1772" name="Rectangle 2002"/>
        <xdr:cNvSpPr>
          <a:spLocks noChangeArrowheads="1"/>
        </xdr:cNvSpPr>
      </xdr:nvSpPr>
      <xdr:spPr bwMode="auto">
        <a:xfrm>
          <a:off x="4943475" y="74568219"/>
          <a:ext cx="523875" cy="2982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20</xdr:col>
      <xdr:colOff>180975</xdr:colOff>
      <xdr:row>267</xdr:row>
      <xdr:rowOff>0</xdr:rowOff>
    </xdr:from>
    <xdr:to>
      <xdr:col>21</xdr:col>
      <xdr:colOff>190500</xdr:colOff>
      <xdr:row>268</xdr:row>
      <xdr:rowOff>9525</xdr:rowOff>
    </xdr:to>
    <xdr:sp macro="" textlink="">
      <xdr:nvSpPr>
        <xdr:cNvPr id="1773" name="Rectangle 2003"/>
        <xdr:cNvSpPr>
          <a:spLocks noChangeArrowheads="1"/>
        </xdr:cNvSpPr>
      </xdr:nvSpPr>
      <xdr:spPr bwMode="auto">
        <a:xfrm>
          <a:off x="6638925" y="745807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267</xdr:row>
      <xdr:rowOff>0</xdr:rowOff>
    </xdr:from>
    <xdr:to>
      <xdr:col>21</xdr:col>
      <xdr:colOff>200025</xdr:colOff>
      <xdr:row>268</xdr:row>
      <xdr:rowOff>9525</xdr:rowOff>
    </xdr:to>
    <xdr:sp macro="" textlink="">
      <xdr:nvSpPr>
        <xdr:cNvPr id="1774" name="Rectangle 2004"/>
        <xdr:cNvSpPr>
          <a:spLocks noChangeArrowheads="1"/>
        </xdr:cNvSpPr>
      </xdr:nvSpPr>
      <xdr:spPr bwMode="auto">
        <a:xfrm>
          <a:off x="6648450" y="745807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267</xdr:row>
      <xdr:rowOff>11284</xdr:rowOff>
    </xdr:from>
    <xdr:to>
      <xdr:col>21</xdr:col>
      <xdr:colOff>200025</xdr:colOff>
      <xdr:row>268</xdr:row>
      <xdr:rowOff>24152</xdr:rowOff>
    </xdr:to>
    <xdr:sp macro="" textlink="">
      <xdr:nvSpPr>
        <xdr:cNvPr id="1775" name="Rectangle 2005"/>
        <xdr:cNvSpPr>
          <a:spLocks noChangeArrowheads="1"/>
        </xdr:cNvSpPr>
      </xdr:nvSpPr>
      <xdr:spPr bwMode="auto">
        <a:xfrm>
          <a:off x="6648450" y="74592034"/>
          <a:ext cx="485775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267</xdr:row>
      <xdr:rowOff>0</xdr:rowOff>
    </xdr:from>
    <xdr:to>
      <xdr:col>23</xdr:col>
      <xdr:colOff>200025</xdr:colOff>
      <xdr:row>268</xdr:row>
      <xdr:rowOff>9525</xdr:rowOff>
    </xdr:to>
    <xdr:sp macro="" textlink="">
      <xdr:nvSpPr>
        <xdr:cNvPr id="1776" name="Rectangle 2006"/>
        <xdr:cNvSpPr>
          <a:spLocks noChangeArrowheads="1"/>
        </xdr:cNvSpPr>
      </xdr:nvSpPr>
      <xdr:spPr bwMode="auto">
        <a:xfrm>
          <a:off x="7505700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267</xdr:row>
      <xdr:rowOff>0</xdr:rowOff>
    </xdr:from>
    <xdr:to>
      <xdr:col>23</xdr:col>
      <xdr:colOff>200025</xdr:colOff>
      <xdr:row>268</xdr:row>
      <xdr:rowOff>9525</xdr:rowOff>
    </xdr:to>
    <xdr:sp macro="" textlink="">
      <xdr:nvSpPr>
        <xdr:cNvPr id="1777" name="Rectangle 2007"/>
        <xdr:cNvSpPr>
          <a:spLocks noChangeArrowheads="1"/>
        </xdr:cNvSpPr>
      </xdr:nvSpPr>
      <xdr:spPr bwMode="auto">
        <a:xfrm>
          <a:off x="7505700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180975</xdr:colOff>
      <xdr:row>267</xdr:row>
      <xdr:rowOff>0</xdr:rowOff>
    </xdr:from>
    <xdr:to>
      <xdr:col>23</xdr:col>
      <xdr:colOff>190500</xdr:colOff>
      <xdr:row>268</xdr:row>
      <xdr:rowOff>9525</xdr:rowOff>
    </xdr:to>
    <xdr:sp macro="" textlink="">
      <xdr:nvSpPr>
        <xdr:cNvPr id="1778" name="Rectangle 2008"/>
        <xdr:cNvSpPr>
          <a:spLocks noChangeArrowheads="1"/>
        </xdr:cNvSpPr>
      </xdr:nvSpPr>
      <xdr:spPr bwMode="auto">
        <a:xfrm>
          <a:off x="749617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267</xdr:row>
      <xdr:rowOff>0</xdr:rowOff>
    </xdr:from>
    <xdr:to>
      <xdr:col>23</xdr:col>
      <xdr:colOff>200025</xdr:colOff>
      <xdr:row>268</xdr:row>
      <xdr:rowOff>9525</xdr:rowOff>
    </xdr:to>
    <xdr:sp macro="" textlink="">
      <xdr:nvSpPr>
        <xdr:cNvPr id="1779" name="Rectangle 2009"/>
        <xdr:cNvSpPr>
          <a:spLocks noChangeArrowheads="1"/>
        </xdr:cNvSpPr>
      </xdr:nvSpPr>
      <xdr:spPr bwMode="auto">
        <a:xfrm>
          <a:off x="7505700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266</xdr:row>
      <xdr:rowOff>531985</xdr:rowOff>
    </xdr:from>
    <xdr:to>
      <xdr:col>23</xdr:col>
      <xdr:colOff>200025</xdr:colOff>
      <xdr:row>268</xdr:row>
      <xdr:rowOff>11453</xdr:rowOff>
    </xdr:to>
    <xdr:sp macro="" textlink="">
      <xdr:nvSpPr>
        <xdr:cNvPr id="1780" name="Rectangle 2010"/>
        <xdr:cNvSpPr>
          <a:spLocks noChangeArrowheads="1"/>
        </xdr:cNvSpPr>
      </xdr:nvSpPr>
      <xdr:spPr bwMode="auto">
        <a:xfrm>
          <a:off x="7505700" y="74579335"/>
          <a:ext cx="438150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267</xdr:row>
      <xdr:rowOff>0</xdr:rowOff>
    </xdr:from>
    <xdr:to>
      <xdr:col>37</xdr:col>
      <xdr:colOff>190500</xdr:colOff>
      <xdr:row>268</xdr:row>
      <xdr:rowOff>9525</xdr:rowOff>
    </xdr:to>
    <xdr:sp macro="" textlink="">
      <xdr:nvSpPr>
        <xdr:cNvPr id="1781" name="Rectangle 2011"/>
        <xdr:cNvSpPr>
          <a:spLocks noChangeArrowheads="1"/>
        </xdr:cNvSpPr>
      </xdr:nvSpPr>
      <xdr:spPr bwMode="auto">
        <a:xfrm>
          <a:off x="13201650" y="745807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267</xdr:row>
      <xdr:rowOff>1763</xdr:rowOff>
    </xdr:from>
    <xdr:to>
      <xdr:col>37</xdr:col>
      <xdr:colOff>190500</xdr:colOff>
      <xdr:row>268</xdr:row>
      <xdr:rowOff>14631</xdr:rowOff>
    </xdr:to>
    <xdr:sp macro="" textlink="">
      <xdr:nvSpPr>
        <xdr:cNvPr id="1782" name="Rectangle 2012"/>
        <xdr:cNvSpPr>
          <a:spLocks noChangeArrowheads="1"/>
        </xdr:cNvSpPr>
      </xdr:nvSpPr>
      <xdr:spPr bwMode="auto">
        <a:xfrm>
          <a:off x="13201650" y="74582513"/>
          <a:ext cx="523875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267</xdr:row>
      <xdr:rowOff>0</xdr:rowOff>
    </xdr:from>
    <xdr:to>
      <xdr:col>25</xdr:col>
      <xdr:colOff>200025</xdr:colOff>
      <xdr:row>268</xdr:row>
      <xdr:rowOff>9525</xdr:rowOff>
    </xdr:to>
    <xdr:sp macro="" textlink="">
      <xdr:nvSpPr>
        <xdr:cNvPr id="1783" name="Rectangle 3352"/>
        <xdr:cNvSpPr>
          <a:spLocks noChangeArrowheads="1"/>
        </xdr:cNvSpPr>
      </xdr:nvSpPr>
      <xdr:spPr bwMode="auto">
        <a:xfrm>
          <a:off x="8315325" y="745807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24</xdr:col>
      <xdr:colOff>190500</xdr:colOff>
      <xdr:row>267</xdr:row>
      <xdr:rowOff>0</xdr:rowOff>
    </xdr:from>
    <xdr:to>
      <xdr:col>25</xdr:col>
      <xdr:colOff>200025</xdr:colOff>
      <xdr:row>268</xdr:row>
      <xdr:rowOff>9525</xdr:rowOff>
    </xdr:to>
    <xdr:sp macro="" textlink="">
      <xdr:nvSpPr>
        <xdr:cNvPr id="1784" name="Rectangle 3353"/>
        <xdr:cNvSpPr>
          <a:spLocks noChangeArrowheads="1"/>
        </xdr:cNvSpPr>
      </xdr:nvSpPr>
      <xdr:spPr bwMode="auto">
        <a:xfrm>
          <a:off x="8315325" y="745807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267</xdr:row>
      <xdr:rowOff>0</xdr:rowOff>
    </xdr:from>
    <xdr:to>
      <xdr:col>25</xdr:col>
      <xdr:colOff>200025</xdr:colOff>
      <xdr:row>268</xdr:row>
      <xdr:rowOff>9525</xdr:rowOff>
    </xdr:to>
    <xdr:sp macro="" textlink="">
      <xdr:nvSpPr>
        <xdr:cNvPr id="1785" name="Rectangle 3354"/>
        <xdr:cNvSpPr>
          <a:spLocks noChangeArrowheads="1"/>
        </xdr:cNvSpPr>
      </xdr:nvSpPr>
      <xdr:spPr bwMode="auto">
        <a:xfrm>
          <a:off x="8315325" y="745807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267</xdr:row>
      <xdr:rowOff>0</xdr:rowOff>
    </xdr:from>
    <xdr:to>
      <xdr:col>25</xdr:col>
      <xdr:colOff>200025</xdr:colOff>
      <xdr:row>268</xdr:row>
      <xdr:rowOff>9525</xdr:rowOff>
    </xdr:to>
    <xdr:sp macro="" textlink="">
      <xdr:nvSpPr>
        <xdr:cNvPr id="1786" name="Rectangle 3355"/>
        <xdr:cNvSpPr>
          <a:spLocks noChangeArrowheads="1"/>
        </xdr:cNvSpPr>
      </xdr:nvSpPr>
      <xdr:spPr bwMode="auto">
        <a:xfrm>
          <a:off x="8315325" y="745807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267</xdr:row>
      <xdr:rowOff>0</xdr:rowOff>
    </xdr:from>
    <xdr:to>
      <xdr:col>25</xdr:col>
      <xdr:colOff>200025</xdr:colOff>
      <xdr:row>268</xdr:row>
      <xdr:rowOff>9525</xdr:rowOff>
    </xdr:to>
    <xdr:sp macro="" textlink="">
      <xdr:nvSpPr>
        <xdr:cNvPr id="1787" name="Rectangle 3356"/>
        <xdr:cNvSpPr>
          <a:spLocks noChangeArrowheads="1"/>
        </xdr:cNvSpPr>
      </xdr:nvSpPr>
      <xdr:spPr bwMode="auto">
        <a:xfrm>
          <a:off x="8315325" y="745807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267</xdr:row>
      <xdr:rowOff>0</xdr:rowOff>
    </xdr:from>
    <xdr:to>
      <xdr:col>25</xdr:col>
      <xdr:colOff>200025</xdr:colOff>
      <xdr:row>268</xdr:row>
      <xdr:rowOff>9525</xdr:rowOff>
    </xdr:to>
    <xdr:sp macro="" textlink="">
      <xdr:nvSpPr>
        <xdr:cNvPr id="1788" name="Rectangle 3357"/>
        <xdr:cNvSpPr>
          <a:spLocks noChangeArrowheads="1"/>
        </xdr:cNvSpPr>
      </xdr:nvSpPr>
      <xdr:spPr bwMode="auto">
        <a:xfrm>
          <a:off x="8315325" y="745807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180975</xdr:colOff>
      <xdr:row>267</xdr:row>
      <xdr:rowOff>0</xdr:rowOff>
    </xdr:from>
    <xdr:to>
      <xdr:col>25</xdr:col>
      <xdr:colOff>190500</xdr:colOff>
      <xdr:row>268</xdr:row>
      <xdr:rowOff>9525</xdr:rowOff>
    </xdr:to>
    <xdr:sp macro="" textlink="">
      <xdr:nvSpPr>
        <xdr:cNvPr id="1789" name="Rectangle 3358"/>
        <xdr:cNvSpPr>
          <a:spLocks noChangeArrowheads="1"/>
        </xdr:cNvSpPr>
      </xdr:nvSpPr>
      <xdr:spPr bwMode="auto">
        <a:xfrm>
          <a:off x="8305800" y="745807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267</xdr:row>
      <xdr:rowOff>0</xdr:rowOff>
    </xdr:from>
    <xdr:to>
      <xdr:col>25</xdr:col>
      <xdr:colOff>200025</xdr:colOff>
      <xdr:row>268</xdr:row>
      <xdr:rowOff>9525</xdr:rowOff>
    </xdr:to>
    <xdr:sp macro="" textlink="">
      <xdr:nvSpPr>
        <xdr:cNvPr id="1790" name="Rectangle 3359"/>
        <xdr:cNvSpPr>
          <a:spLocks noChangeArrowheads="1"/>
        </xdr:cNvSpPr>
      </xdr:nvSpPr>
      <xdr:spPr bwMode="auto">
        <a:xfrm>
          <a:off x="8315325" y="745807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267</xdr:row>
      <xdr:rowOff>3348</xdr:rowOff>
    </xdr:from>
    <xdr:to>
      <xdr:col>25</xdr:col>
      <xdr:colOff>200025</xdr:colOff>
      <xdr:row>268</xdr:row>
      <xdr:rowOff>1</xdr:rowOff>
    </xdr:to>
    <xdr:sp macro="" textlink="">
      <xdr:nvSpPr>
        <xdr:cNvPr id="1791" name="Rectangle 3360"/>
        <xdr:cNvSpPr>
          <a:spLocks noChangeArrowheads="1"/>
        </xdr:cNvSpPr>
      </xdr:nvSpPr>
      <xdr:spPr bwMode="auto">
        <a:xfrm>
          <a:off x="8315325" y="74584098"/>
          <a:ext cx="476250" cy="27287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267</xdr:row>
      <xdr:rowOff>0</xdr:rowOff>
    </xdr:from>
    <xdr:to>
      <xdr:col>27</xdr:col>
      <xdr:colOff>200025</xdr:colOff>
      <xdr:row>268</xdr:row>
      <xdr:rowOff>9525</xdr:rowOff>
    </xdr:to>
    <xdr:sp macro="" textlink="">
      <xdr:nvSpPr>
        <xdr:cNvPr id="1792" name="Rectangle 3700"/>
        <xdr:cNvSpPr>
          <a:spLocks noChangeArrowheads="1"/>
        </xdr:cNvSpPr>
      </xdr:nvSpPr>
      <xdr:spPr bwMode="auto">
        <a:xfrm>
          <a:off x="9163050" y="745807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267</xdr:row>
      <xdr:rowOff>0</xdr:rowOff>
    </xdr:from>
    <xdr:to>
      <xdr:col>27</xdr:col>
      <xdr:colOff>200025</xdr:colOff>
      <xdr:row>268</xdr:row>
      <xdr:rowOff>9525</xdr:rowOff>
    </xdr:to>
    <xdr:sp macro="" textlink="">
      <xdr:nvSpPr>
        <xdr:cNvPr id="1793" name="Rectangle 3701"/>
        <xdr:cNvSpPr>
          <a:spLocks noChangeArrowheads="1"/>
        </xdr:cNvSpPr>
      </xdr:nvSpPr>
      <xdr:spPr bwMode="auto">
        <a:xfrm>
          <a:off x="9163050" y="745807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267</xdr:row>
      <xdr:rowOff>0</xdr:rowOff>
    </xdr:from>
    <xdr:to>
      <xdr:col>27</xdr:col>
      <xdr:colOff>200025</xdr:colOff>
      <xdr:row>268</xdr:row>
      <xdr:rowOff>9525</xdr:rowOff>
    </xdr:to>
    <xdr:sp macro="" textlink="">
      <xdr:nvSpPr>
        <xdr:cNvPr id="1794" name="Rectangle 3702"/>
        <xdr:cNvSpPr>
          <a:spLocks noChangeArrowheads="1"/>
        </xdr:cNvSpPr>
      </xdr:nvSpPr>
      <xdr:spPr bwMode="auto">
        <a:xfrm>
          <a:off x="9163050" y="745807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267</xdr:row>
      <xdr:rowOff>0</xdr:rowOff>
    </xdr:from>
    <xdr:to>
      <xdr:col>27</xdr:col>
      <xdr:colOff>200025</xdr:colOff>
      <xdr:row>268</xdr:row>
      <xdr:rowOff>9525</xdr:rowOff>
    </xdr:to>
    <xdr:sp macro="" textlink="">
      <xdr:nvSpPr>
        <xdr:cNvPr id="1795" name="Rectangle 3703"/>
        <xdr:cNvSpPr>
          <a:spLocks noChangeArrowheads="1"/>
        </xdr:cNvSpPr>
      </xdr:nvSpPr>
      <xdr:spPr bwMode="auto">
        <a:xfrm>
          <a:off x="9163050" y="745807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267</xdr:row>
      <xdr:rowOff>0</xdr:rowOff>
    </xdr:from>
    <xdr:to>
      <xdr:col>27</xdr:col>
      <xdr:colOff>200025</xdr:colOff>
      <xdr:row>268</xdr:row>
      <xdr:rowOff>9525</xdr:rowOff>
    </xdr:to>
    <xdr:sp macro="" textlink="">
      <xdr:nvSpPr>
        <xdr:cNvPr id="1796" name="Rectangle 3704"/>
        <xdr:cNvSpPr>
          <a:spLocks noChangeArrowheads="1"/>
        </xdr:cNvSpPr>
      </xdr:nvSpPr>
      <xdr:spPr bwMode="auto">
        <a:xfrm>
          <a:off x="9163050" y="745807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26</xdr:col>
      <xdr:colOff>190500</xdr:colOff>
      <xdr:row>267</xdr:row>
      <xdr:rowOff>0</xdr:rowOff>
    </xdr:from>
    <xdr:to>
      <xdr:col>27</xdr:col>
      <xdr:colOff>200025</xdr:colOff>
      <xdr:row>268</xdr:row>
      <xdr:rowOff>9525</xdr:rowOff>
    </xdr:to>
    <xdr:sp macro="" textlink="">
      <xdr:nvSpPr>
        <xdr:cNvPr id="1797" name="Rectangle 3705"/>
        <xdr:cNvSpPr>
          <a:spLocks noChangeArrowheads="1"/>
        </xdr:cNvSpPr>
      </xdr:nvSpPr>
      <xdr:spPr bwMode="auto">
        <a:xfrm>
          <a:off x="9163050" y="745807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267</xdr:row>
      <xdr:rowOff>0</xdr:rowOff>
    </xdr:from>
    <xdr:to>
      <xdr:col>27</xdr:col>
      <xdr:colOff>200025</xdr:colOff>
      <xdr:row>268</xdr:row>
      <xdr:rowOff>9525</xdr:rowOff>
    </xdr:to>
    <xdr:sp macro="" textlink="">
      <xdr:nvSpPr>
        <xdr:cNvPr id="1798" name="Rectangle 3706"/>
        <xdr:cNvSpPr>
          <a:spLocks noChangeArrowheads="1"/>
        </xdr:cNvSpPr>
      </xdr:nvSpPr>
      <xdr:spPr bwMode="auto">
        <a:xfrm>
          <a:off x="9163050" y="745807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267</xdr:row>
      <xdr:rowOff>0</xdr:rowOff>
    </xdr:from>
    <xdr:to>
      <xdr:col>27</xdr:col>
      <xdr:colOff>200025</xdr:colOff>
      <xdr:row>268</xdr:row>
      <xdr:rowOff>9525</xdr:rowOff>
    </xdr:to>
    <xdr:sp macro="" textlink="">
      <xdr:nvSpPr>
        <xdr:cNvPr id="1799" name="Rectangle 3707"/>
        <xdr:cNvSpPr>
          <a:spLocks noChangeArrowheads="1"/>
        </xdr:cNvSpPr>
      </xdr:nvSpPr>
      <xdr:spPr bwMode="auto">
        <a:xfrm>
          <a:off x="9163050" y="745807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267</xdr:row>
      <xdr:rowOff>0</xdr:rowOff>
    </xdr:from>
    <xdr:to>
      <xdr:col>27</xdr:col>
      <xdr:colOff>200025</xdr:colOff>
      <xdr:row>268</xdr:row>
      <xdr:rowOff>9525</xdr:rowOff>
    </xdr:to>
    <xdr:sp macro="" textlink="">
      <xdr:nvSpPr>
        <xdr:cNvPr id="1800" name="Rectangle 3708"/>
        <xdr:cNvSpPr>
          <a:spLocks noChangeArrowheads="1"/>
        </xdr:cNvSpPr>
      </xdr:nvSpPr>
      <xdr:spPr bwMode="auto">
        <a:xfrm>
          <a:off x="9163050" y="745807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267</xdr:row>
      <xdr:rowOff>0</xdr:rowOff>
    </xdr:from>
    <xdr:to>
      <xdr:col>27</xdr:col>
      <xdr:colOff>200025</xdr:colOff>
      <xdr:row>268</xdr:row>
      <xdr:rowOff>9525</xdr:rowOff>
    </xdr:to>
    <xdr:sp macro="" textlink="">
      <xdr:nvSpPr>
        <xdr:cNvPr id="1801" name="Rectangle 3709"/>
        <xdr:cNvSpPr>
          <a:spLocks noChangeArrowheads="1"/>
        </xdr:cNvSpPr>
      </xdr:nvSpPr>
      <xdr:spPr bwMode="auto">
        <a:xfrm>
          <a:off x="9163050" y="745807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180975</xdr:colOff>
      <xdr:row>267</xdr:row>
      <xdr:rowOff>0</xdr:rowOff>
    </xdr:from>
    <xdr:to>
      <xdr:col>27</xdr:col>
      <xdr:colOff>190500</xdr:colOff>
      <xdr:row>268</xdr:row>
      <xdr:rowOff>9525</xdr:rowOff>
    </xdr:to>
    <xdr:sp macro="" textlink="">
      <xdr:nvSpPr>
        <xdr:cNvPr id="1802" name="Rectangle 3710"/>
        <xdr:cNvSpPr>
          <a:spLocks noChangeArrowheads="1"/>
        </xdr:cNvSpPr>
      </xdr:nvSpPr>
      <xdr:spPr bwMode="auto">
        <a:xfrm>
          <a:off x="9153525" y="745807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267</xdr:row>
      <xdr:rowOff>0</xdr:rowOff>
    </xdr:from>
    <xdr:to>
      <xdr:col>27</xdr:col>
      <xdr:colOff>200025</xdr:colOff>
      <xdr:row>268</xdr:row>
      <xdr:rowOff>9525</xdr:rowOff>
    </xdr:to>
    <xdr:sp macro="" textlink="">
      <xdr:nvSpPr>
        <xdr:cNvPr id="1803" name="Rectangle 3711"/>
        <xdr:cNvSpPr>
          <a:spLocks noChangeArrowheads="1"/>
        </xdr:cNvSpPr>
      </xdr:nvSpPr>
      <xdr:spPr bwMode="auto">
        <a:xfrm>
          <a:off x="9163050" y="745807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267</xdr:row>
      <xdr:rowOff>11285</xdr:rowOff>
    </xdr:from>
    <xdr:to>
      <xdr:col>27</xdr:col>
      <xdr:colOff>200025</xdr:colOff>
      <xdr:row>268</xdr:row>
      <xdr:rowOff>24153</xdr:rowOff>
    </xdr:to>
    <xdr:sp macro="" textlink="">
      <xdr:nvSpPr>
        <xdr:cNvPr id="1804" name="Rectangle 3712"/>
        <xdr:cNvSpPr>
          <a:spLocks noChangeArrowheads="1"/>
        </xdr:cNvSpPr>
      </xdr:nvSpPr>
      <xdr:spPr bwMode="auto">
        <a:xfrm>
          <a:off x="9163050" y="74592035"/>
          <a:ext cx="457200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267</xdr:row>
      <xdr:rowOff>0</xdr:rowOff>
    </xdr:from>
    <xdr:to>
      <xdr:col>29</xdr:col>
      <xdr:colOff>200025</xdr:colOff>
      <xdr:row>268</xdr:row>
      <xdr:rowOff>9525</xdr:rowOff>
    </xdr:to>
    <xdr:sp macro="" textlink="">
      <xdr:nvSpPr>
        <xdr:cNvPr id="1805" name="Rectangle 4121"/>
        <xdr:cNvSpPr>
          <a:spLocks noChangeArrowheads="1"/>
        </xdr:cNvSpPr>
      </xdr:nvSpPr>
      <xdr:spPr bwMode="auto">
        <a:xfrm>
          <a:off x="9991725" y="745807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267</xdr:row>
      <xdr:rowOff>0</xdr:rowOff>
    </xdr:from>
    <xdr:to>
      <xdr:col>29</xdr:col>
      <xdr:colOff>200025</xdr:colOff>
      <xdr:row>268</xdr:row>
      <xdr:rowOff>9525</xdr:rowOff>
    </xdr:to>
    <xdr:sp macro="" textlink="">
      <xdr:nvSpPr>
        <xdr:cNvPr id="1806" name="Rectangle 4122"/>
        <xdr:cNvSpPr>
          <a:spLocks noChangeArrowheads="1"/>
        </xdr:cNvSpPr>
      </xdr:nvSpPr>
      <xdr:spPr bwMode="auto">
        <a:xfrm>
          <a:off x="9991725" y="745807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267</xdr:row>
      <xdr:rowOff>0</xdr:rowOff>
    </xdr:from>
    <xdr:to>
      <xdr:col>29</xdr:col>
      <xdr:colOff>200025</xdr:colOff>
      <xdr:row>268</xdr:row>
      <xdr:rowOff>9525</xdr:rowOff>
    </xdr:to>
    <xdr:sp macro="" textlink="">
      <xdr:nvSpPr>
        <xdr:cNvPr id="1807" name="Rectangle 4123"/>
        <xdr:cNvSpPr>
          <a:spLocks noChangeArrowheads="1"/>
        </xdr:cNvSpPr>
      </xdr:nvSpPr>
      <xdr:spPr bwMode="auto">
        <a:xfrm>
          <a:off x="9991725" y="745807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267</xdr:row>
      <xdr:rowOff>0</xdr:rowOff>
    </xdr:from>
    <xdr:to>
      <xdr:col>29</xdr:col>
      <xdr:colOff>200025</xdr:colOff>
      <xdr:row>268</xdr:row>
      <xdr:rowOff>9525</xdr:rowOff>
    </xdr:to>
    <xdr:sp macro="" textlink="">
      <xdr:nvSpPr>
        <xdr:cNvPr id="1808" name="Rectangle 4124"/>
        <xdr:cNvSpPr>
          <a:spLocks noChangeArrowheads="1"/>
        </xdr:cNvSpPr>
      </xdr:nvSpPr>
      <xdr:spPr bwMode="auto">
        <a:xfrm>
          <a:off x="9991725" y="745807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267</xdr:row>
      <xdr:rowOff>0</xdr:rowOff>
    </xdr:from>
    <xdr:to>
      <xdr:col>29</xdr:col>
      <xdr:colOff>200025</xdr:colOff>
      <xdr:row>268</xdr:row>
      <xdr:rowOff>9525</xdr:rowOff>
    </xdr:to>
    <xdr:sp macro="" textlink="">
      <xdr:nvSpPr>
        <xdr:cNvPr id="1809" name="Rectangle 4125"/>
        <xdr:cNvSpPr>
          <a:spLocks noChangeArrowheads="1"/>
        </xdr:cNvSpPr>
      </xdr:nvSpPr>
      <xdr:spPr bwMode="auto">
        <a:xfrm>
          <a:off x="9991725" y="745807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267</xdr:row>
      <xdr:rowOff>8111</xdr:rowOff>
    </xdr:from>
    <xdr:to>
      <xdr:col>29</xdr:col>
      <xdr:colOff>200025</xdr:colOff>
      <xdr:row>268</xdr:row>
      <xdr:rowOff>20979</xdr:rowOff>
    </xdr:to>
    <xdr:sp macro="" textlink="">
      <xdr:nvSpPr>
        <xdr:cNvPr id="1810" name="Rectangle 4126"/>
        <xdr:cNvSpPr>
          <a:spLocks noChangeArrowheads="1"/>
        </xdr:cNvSpPr>
      </xdr:nvSpPr>
      <xdr:spPr bwMode="auto">
        <a:xfrm>
          <a:off x="9991725" y="74588861"/>
          <a:ext cx="504825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ysClr val="windowText" lastClr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267</xdr:row>
      <xdr:rowOff>0</xdr:rowOff>
    </xdr:from>
    <xdr:to>
      <xdr:col>31</xdr:col>
      <xdr:colOff>200025</xdr:colOff>
      <xdr:row>268</xdr:row>
      <xdr:rowOff>9525</xdr:rowOff>
    </xdr:to>
    <xdr:sp macro="" textlink="">
      <xdr:nvSpPr>
        <xdr:cNvPr id="1811" name="Rectangle 4655"/>
        <xdr:cNvSpPr>
          <a:spLocks noChangeArrowheads="1"/>
        </xdr:cNvSpPr>
      </xdr:nvSpPr>
      <xdr:spPr bwMode="auto">
        <a:xfrm>
          <a:off x="10868025" y="745807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267</xdr:row>
      <xdr:rowOff>0</xdr:rowOff>
    </xdr:from>
    <xdr:to>
      <xdr:col>31</xdr:col>
      <xdr:colOff>200025</xdr:colOff>
      <xdr:row>268</xdr:row>
      <xdr:rowOff>9525</xdr:rowOff>
    </xdr:to>
    <xdr:sp macro="" textlink="">
      <xdr:nvSpPr>
        <xdr:cNvPr id="1812" name="Rectangle 4656"/>
        <xdr:cNvSpPr>
          <a:spLocks noChangeArrowheads="1"/>
        </xdr:cNvSpPr>
      </xdr:nvSpPr>
      <xdr:spPr bwMode="auto">
        <a:xfrm>
          <a:off x="10868025" y="745807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267</xdr:row>
      <xdr:rowOff>0</xdr:rowOff>
    </xdr:from>
    <xdr:to>
      <xdr:col>31</xdr:col>
      <xdr:colOff>200025</xdr:colOff>
      <xdr:row>268</xdr:row>
      <xdr:rowOff>9525</xdr:rowOff>
    </xdr:to>
    <xdr:sp macro="" textlink="">
      <xdr:nvSpPr>
        <xdr:cNvPr id="1813" name="Rectangle 4657"/>
        <xdr:cNvSpPr>
          <a:spLocks noChangeArrowheads="1"/>
        </xdr:cNvSpPr>
      </xdr:nvSpPr>
      <xdr:spPr bwMode="auto">
        <a:xfrm>
          <a:off x="10868025" y="745807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267</xdr:row>
      <xdr:rowOff>0</xdr:rowOff>
    </xdr:from>
    <xdr:to>
      <xdr:col>31</xdr:col>
      <xdr:colOff>200025</xdr:colOff>
      <xdr:row>268</xdr:row>
      <xdr:rowOff>9525</xdr:rowOff>
    </xdr:to>
    <xdr:sp macro="" textlink="">
      <xdr:nvSpPr>
        <xdr:cNvPr id="1814" name="Rectangle 4658"/>
        <xdr:cNvSpPr>
          <a:spLocks noChangeArrowheads="1"/>
        </xdr:cNvSpPr>
      </xdr:nvSpPr>
      <xdr:spPr bwMode="auto">
        <a:xfrm>
          <a:off x="10868025" y="745807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267</xdr:row>
      <xdr:rowOff>0</xdr:rowOff>
    </xdr:from>
    <xdr:to>
      <xdr:col>31</xdr:col>
      <xdr:colOff>200025</xdr:colOff>
      <xdr:row>268</xdr:row>
      <xdr:rowOff>9525</xdr:rowOff>
    </xdr:to>
    <xdr:sp macro="" textlink="">
      <xdr:nvSpPr>
        <xdr:cNvPr id="1815" name="Rectangle 4659"/>
        <xdr:cNvSpPr>
          <a:spLocks noChangeArrowheads="1"/>
        </xdr:cNvSpPr>
      </xdr:nvSpPr>
      <xdr:spPr bwMode="auto">
        <a:xfrm>
          <a:off x="10868025" y="745807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267</xdr:row>
      <xdr:rowOff>0</xdr:rowOff>
    </xdr:from>
    <xdr:to>
      <xdr:col>31</xdr:col>
      <xdr:colOff>200025</xdr:colOff>
      <xdr:row>268</xdr:row>
      <xdr:rowOff>9525</xdr:rowOff>
    </xdr:to>
    <xdr:sp macro="" textlink="">
      <xdr:nvSpPr>
        <xdr:cNvPr id="1816" name="Rectangle 4660"/>
        <xdr:cNvSpPr>
          <a:spLocks noChangeArrowheads="1"/>
        </xdr:cNvSpPr>
      </xdr:nvSpPr>
      <xdr:spPr bwMode="auto">
        <a:xfrm>
          <a:off x="10868025" y="745807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267</xdr:row>
      <xdr:rowOff>0</xdr:rowOff>
    </xdr:from>
    <xdr:to>
      <xdr:col>31</xdr:col>
      <xdr:colOff>200025</xdr:colOff>
      <xdr:row>268</xdr:row>
      <xdr:rowOff>9525</xdr:rowOff>
    </xdr:to>
    <xdr:sp macro="" textlink="">
      <xdr:nvSpPr>
        <xdr:cNvPr id="1817" name="Rectangle 4661"/>
        <xdr:cNvSpPr>
          <a:spLocks noChangeArrowheads="1"/>
        </xdr:cNvSpPr>
      </xdr:nvSpPr>
      <xdr:spPr bwMode="auto">
        <a:xfrm>
          <a:off x="10868025" y="745807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267</xdr:row>
      <xdr:rowOff>0</xdr:rowOff>
    </xdr:from>
    <xdr:to>
      <xdr:col>31</xdr:col>
      <xdr:colOff>200025</xdr:colOff>
      <xdr:row>268</xdr:row>
      <xdr:rowOff>9525</xdr:rowOff>
    </xdr:to>
    <xdr:sp macro="" textlink="">
      <xdr:nvSpPr>
        <xdr:cNvPr id="1818" name="Rectangle 4662"/>
        <xdr:cNvSpPr>
          <a:spLocks noChangeArrowheads="1"/>
        </xdr:cNvSpPr>
      </xdr:nvSpPr>
      <xdr:spPr bwMode="auto">
        <a:xfrm>
          <a:off x="10868025" y="745807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267</xdr:row>
      <xdr:rowOff>0</xdr:rowOff>
    </xdr:from>
    <xdr:to>
      <xdr:col>31</xdr:col>
      <xdr:colOff>200025</xdr:colOff>
      <xdr:row>268</xdr:row>
      <xdr:rowOff>9525</xdr:rowOff>
    </xdr:to>
    <xdr:sp macro="" textlink="">
      <xdr:nvSpPr>
        <xdr:cNvPr id="1819" name="Rectangle 4663"/>
        <xdr:cNvSpPr>
          <a:spLocks noChangeArrowheads="1"/>
        </xdr:cNvSpPr>
      </xdr:nvSpPr>
      <xdr:spPr bwMode="auto">
        <a:xfrm>
          <a:off x="10868025" y="745807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266</xdr:row>
      <xdr:rowOff>531986</xdr:rowOff>
    </xdr:from>
    <xdr:to>
      <xdr:col>31</xdr:col>
      <xdr:colOff>200025</xdr:colOff>
      <xdr:row>268</xdr:row>
      <xdr:rowOff>11454</xdr:rowOff>
    </xdr:to>
    <xdr:sp macro="" textlink="">
      <xdr:nvSpPr>
        <xdr:cNvPr id="1820" name="Rectangle 4664"/>
        <xdr:cNvSpPr>
          <a:spLocks noChangeArrowheads="1"/>
        </xdr:cNvSpPr>
      </xdr:nvSpPr>
      <xdr:spPr bwMode="auto">
        <a:xfrm>
          <a:off x="10868025" y="74579336"/>
          <a:ext cx="428625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267</xdr:row>
      <xdr:rowOff>0</xdr:rowOff>
    </xdr:from>
    <xdr:to>
      <xdr:col>33</xdr:col>
      <xdr:colOff>200025</xdr:colOff>
      <xdr:row>268</xdr:row>
      <xdr:rowOff>9525</xdr:rowOff>
    </xdr:to>
    <xdr:sp macro="" textlink="">
      <xdr:nvSpPr>
        <xdr:cNvPr id="1821" name="Rectangle 5332"/>
        <xdr:cNvSpPr>
          <a:spLocks noChangeArrowheads="1"/>
        </xdr:cNvSpPr>
      </xdr:nvSpPr>
      <xdr:spPr bwMode="auto">
        <a:xfrm>
          <a:off x="1164907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267</xdr:row>
      <xdr:rowOff>0</xdr:rowOff>
    </xdr:from>
    <xdr:to>
      <xdr:col>33</xdr:col>
      <xdr:colOff>200025</xdr:colOff>
      <xdr:row>268</xdr:row>
      <xdr:rowOff>9525</xdr:rowOff>
    </xdr:to>
    <xdr:sp macro="" textlink="">
      <xdr:nvSpPr>
        <xdr:cNvPr id="1822" name="Rectangle 5333"/>
        <xdr:cNvSpPr>
          <a:spLocks noChangeArrowheads="1"/>
        </xdr:cNvSpPr>
      </xdr:nvSpPr>
      <xdr:spPr bwMode="auto">
        <a:xfrm>
          <a:off x="1164907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267</xdr:row>
      <xdr:rowOff>0</xdr:rowOff>
    </xdr:from>
    <xdr:to>
      <xdr:col>33</xdr:col>
      <xdr:colOff>200025</xdr:colOff>
      <xdr:row>268</xdr:row>
      <xdr:rowOff>9525</xdr:rowOff>
    </xdr:to>
    <xdr:sp macro="" textlink="">
      <xdr:nvSpPr>
        <xdr:cNvPr id="1823" name="Rectangle 5334"/>
        <xdr:cNvSpPr>
          <a:spLocks noChangeArrowheads="1"/>
        </xdr:cNvSpPr>
      </xdr:nvSpPr>
      <xdr:spPr bwMode="auto">
        <a:xfrm>
          <a:off x="1164907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267</xdr:row>
      <xdr:rowOff>0</xdr:rowOff>
    </xdr:from>
    <xdr:to>
      <xdr:col>33</xdr:col>
      <xdr:colOff>200025</xdr:colOff>
      <xdr:row>268</xdr:row>
      <xdr:rowOff>9525</xdr:rowOff>
    </xdr:to>
    <xdr:sp macro="" textlink="">
      <xdr:nvSpPr>
        <xdr:cNvPr id="1824" name="Rectangle 5335"/>
        <xdr:cNvSpPr>
          <a:spLocks noChangeArrowheads="1"/>
        </xdr:cNvSpPr>
      </xdr:nvSpPr>
      <xdr:spPr bwMode="auto">
        <a:xfrm>
          <a:off x="1164907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267</xdr:row>
      <xdr:rowOff>0</xdr:rowOff>
    </xdr:from>
    <xdr:to>
      <xdr:col>33</xdr:col>
      <xdr:colOff>200025</xdr:colOff>
      <xdr:row>268</xdr:row>
      <xdr:rowOff>9525</xdr:rowOff>
    </xdr:to>
    <xdr:sp macro="" textlink="">
      <xdr:nvSpPr>
        <xdr:cNvPr id="1825" name="Rectangle 5336"/>
        <xdr:cNvSpPr>
          <a:spLocks noChangeArrowheads="1"/>
        </xdr:cNvSpPr>
      </xdr:nvSpPr>
      <xdr:spPr bwMode="auto">
        <a:xfrm>
          <a:off x="1164907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267</xdr:row>
      <xdr:rowOff>0</xdr:rowOff>
    </xdr:from>
    <xdr:to>
      <xdr:col>33</xdr:col>
      <xdr:colOff>200025</xdr:colOff>
      <xdr:row>268</xdr:row>
      <xdr:rowOff>9525</xdr:rowOff>
    </xdr:to>
    <xdr:sp macro="" textlink="">
      <xdr:nvSpPr>
        <xdr:cNvPr id="1826" name="Rectangle 5337"/>
        <xdr:cNvSpPr>
          <a:spLocks noChangeArrowheads="1"/>
        </xdr:cNvSpPr>
      </xdr:nvSpPr>
      <xdr:spPr bwMode="auto">
        <a:xfrm>
          <a:off x="1164907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267</xdr:row>
      <xdr:rowOff>0</xdr:rowOff>
    </xdr:from>
    <xdr:to>
      <xdr:col>33</xdr:col>
      <xdr:colOff>200025</xdr:colOff>
      <xdr:row>268</xdr:row>
      <xdr:rowOff>9525</xdr:rowOff>
    </xdr:to>
    <xdr:sp macro="" textlink="">
      <xdr:nvSpPr>
        <xdr:cNvPr id="1827" name="Rectangle 5338"/>
        <xdr:cNvSpPr>
          <a:spLocks noChangeArrowheads="1"/>
        </xdr:cNvSpPr>
      </xdr:nvSpPr>
      <xdr:spPr bwMode="auto">
        <a:xfrm>
          <a:off x="1164907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267</xdr:row>
      <xdr:rowOff>0</xdr:rowOff>
    </xdr:from>
    <xdr:to>
      <xdr:col>33</xdr:col>
      <xdr:colOff>200025</xdr:colOff>
      <xdr:row>268</xdr:row>
      <xdr:rowOff>9525</xdr:rowOff>
    </xdr:to>
    <xdr:sp macro="" textlink="">
      <xdr:nvSpPr>
        <xdr:cNvPr id="1828" name="Rectangle 5339"/>
        <xdr:cNvSpPr>
          <a:spLocks noChangeArrowheads="1"/>
        </xdr:cNvSpPr>
      </xdr:nvSpPr>
      <xdr:spPr bwMode="auto">
        <a:xfrm>
          <a:off x="1164907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267</xdr:row>
      <xdr:rowOff>0</xdr:rowOff>
    </xdr:from>
    <xdr:to>
      <xdr:col>33</xdr:col>
      <xdr:colOff>200025</xdr:colOff>
      <xdr:row>268</xdr:row>
      <xdr:rowOff>9525</xdr:rowOff>
    </xdr:to>
    <xdr:sp macro="" textlink="">
      <xdr:nvSpPr>
        <xdr:cNvPr id="1829" name="Rectangle 5340"/>
        <xdr:cNvSpPr>
          <a:spLocks noChangeArrowheads="1"/>
        </xdr:cNvSpPr>
      </xdr:nvSpPr>
      <xdr:spPr bwMode="auto">
        <a:xfrm>
          <a:off x="1164907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267</xdr:row>
      <xdr:rowOff>0</xdr:rowOff>
    </xdr:from>
    <xdr:to>
      <xdr:col>33</xdr:col>
      <xdr:colOff>200025</xdr:colOff>
      <xdr:row>268</xdr:row>
      <xdr:rowOff>9525</xdr:rowOff>
    </xdr:to>
    <xdr:sp macro="" textlink="">
      <xdr:nvSpPr>
        <xdr:cNvPr id="1830" name="Rectangle 5341"/>
        <xdr:cNvSpPr>
          <a:spLocks noChangeArrowheads="1"/>
        </xdr:cNvSpPr>
      </xdr:nvSpPr>
      <xdr:spPr bwMode="auto">
        <a:xfrm>
          <a:off x="1164907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267</xdr:row>
      <xdr:rowOff>0</xdr:rowOff>
    </xdr:from>
    <xdr:to>
      <xdr:col>33</xdr:col>
      <xdr:colOff>200025</xdr:colOff>
      <xdr:row>268</xdr:row>
      <xdr:rowOff>9525</xdr:rowOff>
    </xdr:to>
    <xdr:sp macro="" textlink="">
      <xdr:nvSpPr>
        <xdr:cNvPr id="1831" name="Rectangle 5342"/>
        <xdr:cNvSpPr>
          <a:spLocks noChangeArrowheads="1"/>
        </xdr:cNvSpPr>
      </xdr:nvSpPr>
      <xdr:spPr bwMode="auto">
        <a:xfrm>
          <a:off x="1164907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267</xdr:row>
      <xdr:rowOff>0</xdr:rowOff>
    </xdr:from>
    <xdr:to>
      <xdr:col>33</xdr:col>
      <xdr:colOff>200025</xdr:colOff>
      <xdr:row>268</xdr:row>
      <xdr:rowOff>9525</xdr:rowOff>
    </xdr:to>
    <xdr:sp macro="" textlink="">
      <xdr:nvSpPr>
        <xdr:cNvPr id="1832" name="Rectangle 5343"/>
        <xdr:cNvSpPr>
          <a:spLocks noChangeArrowheads="1"/>
        </xdr:cNvSpPr>
      </xdr:nvSpPr>
      <xdr:spPr bwMode="auto">
        <a:xfrm>
          <a:off x="1164907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267</xdr:row>
      <xdr:rowOff>0</xdr:rowOff>
    </xdr:from>
    <xdr:to>
      <xdr:col>33</xdr:col>
      <xdr:colOff>200025</xdr:colOff>
      <xdr:row>268</xdr:row>
      <xdr:rowOff>9525</xdr:rowOff>
    </xdr:to>
    <xdr:sp macro="" textlink="">
      <xdr:nvSpPr>
        <xdr:cNvPr id="1833" name="Rectangle 5344"/>
        <xdr:cNvSpPr>
          <a:spLocks noChangeArrowheads="1"/>
        </xdr:cNvSpPr>
      </xdr:nvSpPr>
      <xdr:spPr bwMode="auto">
        <a:xfrm>
          <a:off x="11649075" y="745807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266</xdr:row>
      <xdr:rowOff>530399</xdr:rowOff>
    </xdr:from>
    <xdr:to>
      <xdr:col>33</xdr:col>
      <xdr:colOff>200025</xdr:colOff>
      <xdr:row>268</xdr:row>
      <xdr:rowOff>9867</xdr:rowOff>
    </xdr:to>
    <xdr:sp macro="" textlink="">
      <xdr:nvSpPr>
        <xdr:cNvPr id="1834" name="Rectangle 5345"/>
        <xdr:cNvSpPr>
          <a:spLocks noChangeArrowheads="1"/>
        </xdr:cNvSpPr>
      </xdr:nvSpPr>
      <xdr:spPr bwMode="auto">
        <a:xfrm>
          <a:off x="11649075" y="74577749"/>
          <a:ext cx="438150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0</xdr:col>
      <xdr:colOff>85725</xdr:colOff>
      <xdr:row>246</xdr:row>
      <xdr:rowOff>95250</xdr:rowOff>
    </xdr:from>
    <xdr:to>
      <xdr:col>3</xdr:col>
      <xdr:colOff>104775</xdr:colOff>
      <xdr:row>249</xdr:row>
      <xdr:rowOff>123825</xdr:rowOff>
    </xdr:to>
    <xdr:pic>
      <xdr:nvPicPr>
        <xdr:cNvPr id="1835" name="Picture 566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b="10052"/>
        <a:stretch>
          <a:fillRect/>
        </a:stretch>
      </xdr:blipFill>
      <xdr:spPr bwMode="auto">
        <a:xfrm>
          <a:off x="85725" y="68646675"/>
          <a:ext cx="59055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36</xdr:col>
      <xdr:colOff>190500</xdr:colOff>
      <xdr:row>163</xdr:row>
      <xdr:rowOff>323490</xdr:rowOff>
    </xdr:from>
    <xdr:to>
      <xdr:col>37</xdr:col>
      <xdr:colOff>190500</xdr:colOff>
      <xdr:row>164</xdr:row>
      <xdr:rowOff>270115</xdr:rowOff>
    </xdr:to>
    <xdr:sp macro="" textlink="">
      <xdr:nvSpPr>
        <xdr:cNvPr id="1836" name="Rectangle 1794"/>
        <xdr:cNvSpPr>
          <a:spLocks noChangeArrowheads="1"/>
        </xdr:cNvSpPr>
      </xdr:nvSpPr>
      <xdr:spPr bwMode="auto">
        <a:xfrm>
          <a:off x="13201650" y="45271965"/>
          <a:ext cx="523875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301</xdr:row>
      <xdr:rowOff>0</xdr:rowOff>
    </xdr:from>
    <xdr:to>
      <xdr:col>11</xdr:col>
      <xdr:colOff>200025</xdr:colOff>
      <xdr:row>302</xdr:row>
      <xdr:rowOff>9525</xdr:rowOff>
    </xdr:to>
    <xdr:sp macro="" textlink="">
      <xdr:nvSpPr>
        <xdr:cNvPr id="1837" name="Rectangle 810"/>
        <xdr:cNvSpPr>
          <a:spLocks noChangeArrowheads="1"/>
        </xdr:cNvSpPr>
      </xdr:nvSpPr>
      <xdr:spPr bwMode="auto">
        <a:xfrm>
          <a:off x="2209800" y="839819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12</xdr:col>
      <xdr:colOff>190500</xdr:colOff>
      <xdr:row>301</xdr:row>
      <xdr:rowOff>0</xdr:rowOff>
    </xdr:from>
    <xdr:to>
      <xdr:col>13</xdr:col>
      <xdr:colOff>200025</xdr:colOff>
      <xdr:row>302</xdr:row>
      <xdr:rowOff>9525</xdr:rowOff>
    </xdr:to>
    <xdr:sp macro="" textlink="">
      <xdr:nvSpPr>
        <xdr:cNvPr id="1838" name="Rectangle 811"/>
        <xdr:cNvSpPr>
          <a:spLocks noChangeArrowheads="1"/>
        </xdr:cNvSpPr>
      </xdr:nvSpPr>
      <xdr:spPr bwMode="auto">
        <a:xfrm>
          <a:off x="3057525" y="839819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14</xdr:col>
      <xdr:colOff>190500</xdr:colOff>
      <xdr:row>301</xdr:row>
      <xdr:rowOff>0</xdr:rowOff>
    </xdr:from>
    <xdr:to>
      <xdr:col>15</xdr:col>
      <xdr:colOff>200025</xdr:colOff>
      <xdr:row>302</xdr:row>
      <xdr:rowOff>9525</xdr:rowOff>
    </xdr:to>
    <xdr:sp macro="" textlink="">
      <xdr:nvSpPr>
        <xdr:cNvPr id="1839" name="Rectangle 812"/>
        <xdr:cNvSpPr>
          <a:spLocks noChangeArrowheads="1"/>
        </xdr:cNvSpPr>
      </xdr:nvSpPr>
      <xdr:spPr bwMode="auto">
        <a:xfrm>
          <a:off x="3933825" y="8398192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301</xdr:row>
      <xdr:rowOff>0</xdr:rowOff>
    </xdr:from>
    <xdr:to>
      <xdr:col>17</xdr:col>
      <xdr:colOff>200025</xdr:colOff>
      <xdr:row>302</xdr:row>
      <xdr:rowOff>9525</xdr:rowOff>
    </xdr:to>
    <xdr:sp macro="" textlink="">
      <xdr:nvSpPr>
        <xdr:cNvPr id="1840" name="Rectangle 813"/>
        <xdr:cNvSpPr>
          <a:spLocks noChangeArrowheads="1"/>
        </xdr:cNvSpPr>
      </xdr:nvSpPr>
      <xdr:spPr bwMode="auto">
        <a:xfrm>
          <a:off x="4943475" y="839819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190500</xdr:colOff>
      <xdr:row>301</xdr:row>
      <xdr:rowOff>0</xdr:rowOff>
    </xdr:from>
    <xdr:to>
      <xdr:col>19</xdr:col>
      <xdr:colOff>200025</xdr:colOff>
      <xdr:row>302</xdr:row>
      <xdr:rowOff>9525</xdr:rowOff>
    </xdr:to>
    <xdr:sp macro="" textlink="">
      <xdr:nvSpPr>
        <xdr:cNvPr id="1841" name="Rectangle 814"/>
        <xdr:cNvSpPr>
          <a:spLocks noChangeArrowheads="1"/>
        </xdr:cNvSpPr>
      </xdr:nvSpPr>
      <xdr:spPr bwMode="auto">
        <a:xfrm>
          <a:off x="583882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20</xdr:col>
      <xdr:colOff>190500</xdr:colOff>
      <xdr:row>301</xdr:row>
      <xdr:rowOff>0</xdr:rowOff>
    </xdr:from>
    <xdr:to>
      <xdr:col>21</xdr:col>
      <xdr:colOff>200025</xdr:colOff>
      <xdr:row>302</xdr:row>
      <xdr:rowOff>9525</xdr:rowOff>
    </xdr:to>
    <xdr:sp macro="" textlink="">
      <xdr:nvSpPr>
        <xdr:cNvPr id="1842" name="Rectangle 815"/>
        <xdr:cNvSpPr>
          <a:spLocks noChangeArrowheads="1"/>
        </xdr:cNvSpPr>
      </xdr:nvSpPr>
      <xdr:spPr bwMode="auto">
        <a:xfrm>
          <a:off x="6648450" y="839819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22</xdr:col>
      <xdr:colOff>190500</xdr:colOff>
      <xdr:row>301</xdr:row>
      <xdr:rowOff>0</xdr:rowOff>
    </xdr:from>
    <xdr:to>
      <xdr:col>23</xdr:col>
      <xdr:colOff>200025</xdr:colOff>
      <xdr:row>302</xdr:row>
      <xdr:rowOff>9525</xdr:rowOff>
    </xdr:to>
    <xdr:sp macro="" textlink="">
      <xdr:nvSpPr>
        <xdr:cNvPr id="1843" name="Rectangle 816"/>
        <xdr:cNvSpPr>
          <a:spLocks noChangeArrowheads="1"/>
        </xdr:cNvSpPr>
      </xdr:nvSpPr>
      <xdr:spPr bwMode="auto">
        <a:xfrm>
          <a:off x="7505700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24</xdr:col>
      <xdr:colOff>190500</xdr:colOff>
      <xdr:row>301</xdr:row>
      <xdr:rowOff>0</xdr:rowOff>
    </xdr:from>
    <xdr:to>
      <xdr:col>25</xdr:col>
      <xdr:colOff>200025</xdr:colOff>
      <xdr:row>302</xdr:row>
      <xdr:rowOff>9525</xdr:rowOff>
    </xdr:to>
    <xdr:sp macro="" textlink="">
      <xdr:nvSpPr>
        <xdr:cNvPr id="1844" name="Rectangle 817"/>
        <xdr:cNvSpPr>
          <a:spLocks noChangeArrowheads="1"/>
        </xdr:cNvSpPr>
      </xdr:nvSpPr>
      <xdr:spPr bwMode="auto">
        <a:xfrm>
          <a:off x="8315325" y="839819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301</xdr:row>
      <xdr:rowOff>0</xdr:rowOff>
    </xdr:from>
    <xdr:to>
      <xdr:col>27</xdr:col>
      <xdr:colOff>200025</xdr:colOff>
      <xdr:row>302</xdr:row>
      <xdr:rowOff>9525</xdr:rowOff>
    </xdr:to>
    <xdr:sp macro="" textlink="">
      <xdr:nvSpPr>
        <xdr:cNvPr id="1845" name="Rectangle 818"/>
        <xdr:cNvSpPr>
          <a:spLocks noChangeArrowheads="1"/>
        </xdr:cNvSpPr>
      </xdr:nvSpPr>
      <xdr:spPr bwMode="auto">
        <a:xfrm>
          <a:off x="9163050" y="839819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301</xdr:row>
      <xdr:rowOff>0</xdr:rowOff>
    </xdr:from>
    <xdr:to>
      <xdr:col>31</xdr:col>
      <xdr:colOff>200025</xdr:colOff>
      <xdr:row>302</xdr:row>
      <xdr:rowOff>9525</xdr:rowOff>
    </xdr:to>
    <xdr:sp macro="" textlink="">
      <xdr:nvSpPr>
        <xdr:cNvPr id="1846" name="Rectangle 819"/>
        <xdr:cNvSpPr>
          <a:spLocks noChangeArrowheads="1"/>
        </xdr:cNvSpPr>
      </xdr:nvSpPr>
      <xdr:spPr bwMode="auto">
        <a:xfrm>
          <a:off x="10868025" y="839819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301</xdr:row>
      <xdr:rowOff>0</xdr:rowOff>
    </xdr:from>
    <xdr:to>
      <xdr:col>33</xdr:col>
      <xdr:colOff>200025</xdr:colOff>
      <xdr:row>302</xdr:row>
      <xdr:rowOff>9525</xdr:rowOff>
    </xdr:to>
    <xdr:sp macro="" textlink="">
      <xdr:nvSpPr>
        <xdr:cNvPr id="1847" name="Rectangle 820"/>
        <xdr:cNvSpPr>
          <a:spLocks noChangeArrowheads="1"/>
        </xdr:cNvSpPr>
      </xdr:nvSpPr>
      <xdr:spPr bwMode="auto">
        <a:xfrm>
          <a:off x="1164907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301</xdr:row>
      <xdr:rowOff>0</xdr:rowOff>
    </xdr:from>
    <xdr:to>
      <xdr:col>37</xdr:col>
      <xdr:colOff>190500</xdr:colOff>
      <xdr:row>302</xdr:row>
      <xdr:rowOff>9525</xdr:rowOff>
    </xdr:to>
    <xdr:sp macro="" textlink="">
      <xdr:nvSpPr>
        <xdr:cNvPr id="1848" name="Rectangle 821"/>
        <xdr:cNvSpPr>
          <a:spLocks noChangeArrowheads="1"/>
        </xdr:cNvSpPr>
      </xdr:nvSpPr>
      <xdr:spPr bwMode="auto">
        <a:xfrm>
          <a:off x="13201650" y="839819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301</xdr:row>
      <xdr:rowOff>0</xdr:rowOff>
    </xdr:from>
    <xdr:to>
      <xdr:col>37</xdr:col>
      <xdr:colOff>190500</xdr:colOff>
      <xdr:row>302</xdr:row>
      <xdr:rowOff>9525</xdr:rowOff>
    </xdr:to>
    <xdr:sp macro="" textlink="">
      <xdr:nvSpPr>
        <xdr:cNvPr id="1849" name="Rectangle 1156"/>
        <xdr:cNvSpPr>
          <a:spLocks noChangeArrowheads="1"/>
        </xdr:cNvSpPr>
      </xdr:nvSpPr>
      <xdr:spPr bwMode="auto">
        <a:xfrm>
          <a:off x="13201650" y="839819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301</xdr:row>
      <xdr:rowOff>0</xdr:rowOff>
    </xdr:from>
    <xdr:to>
      <xdr:col>29</xdr:col>
      <xdr:colOff>200025</xdr:colOff>
      <xdr:row>302</xdr:row>
      <xdr:rowOff>9525</xdr:rowOff>
    </xdr:to>
    <xdr:sp macro="" textlink="">
      <xdr:nvSpPr>
        <xdr:cNvPr id="1850" name="Rectangle 1209"/>
        <xdr:cNvSpPr>
          <a:spLocks noChangeArrowheads="1"/>
        </xdr:cNvSpPr>
      </xdr:nvSpPr>
      <xdr:spPr bwMode="auto">
        <a:xfrm>
          <a:off x="9991725" y="839819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301</xdr:row>
      <xdr:rowOff>0</xdr:rowOff>
    </xdr:from>
    <xdr:to>
      <xdr:col>11</xdr:col>
      <xdr:colOff>200025</xdr:colOff>
      <xdr:row>302</xdr:row>
      <xdr:rowOff>9525</xdr:rowOff>
    </xdr:to>
    <xdr:sp macro="" textlink="">
      <xdr:nvSpPr>
        <xdr:cNvPr id="1851" name="Rectangle 1330"/>
        <xdr:cNvSpPr>
          <a:spLocks noChangeArrowheads="1"/>
        </xdr:cNvSpPr>
      </xdr:nvSpPr>
      <xdr:spPr bwMode="auto">
        <a:xfrm>
          <a:off x="2209800" y="839819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301</xdr:row>
      <xdr:rowOff>0</xdr:rowOff>
    </xdr:from>
    <xdr:to>
      <xdr:col>13</xdr:col>
      <xdr:colOff>200025</xdr:colOff>
      <xdr:row>302</xdr:row>
      <xdr:rowOff>9525</xdr:rowOff>
    </xdr:to>
    <xdr:sp macro="" textlink="">
      <xdr:nvSpPr>
        <xdr:cNvPr id="1852" name="Rectangle 1331"/>
        <xdr:cNvSpPr>
          <a:spLocks noChangeArrowheads="1"/>
        </xdr:cNvSpPr>
      </xdr:nvSpPr>
      <xdr:spPr bwMode="auto">
        <a:xfrm>
          <a:off x="3057525" y="839819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301</xdr:row>
      <xdr:rowOff>0</xdr:rowOff>
    </xdr:from>
    <xdr:to>
      <xdr:col>15</xdr:col>
      <xdr:colOff>200025</xdr:colOff>
      <xdr:row>302</xdr:row>
      <xdr:rowOff>9525</xdr:rowOff>
    </xdr:to>
    <xdr:sp macro="" textlink="">
      <xdr:nvSpPr>
        <xdr:cNvPr id="1853" name="Rectangle 1332"/>
        <xdr:cNvSpPr>
          <a:spLocks noChangeArrowheads="1"/>
        </xdr:cNvSpPr>
      </xdr:nvSpPr>
      <xdr:spPr bwMode="auto">
        <a:xfrm>
          <a:off x="3933825" y="8398192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301</xdr:row>
      <xdr:rowOff>0</xdr:rowOff>
    </xdr:from>
    <xdr:to>
      <xdr:col>17</xdr:col>
      <xdr:colOff>200025</xdr:colOff>
      <xdr:row>302</xdr:row>
      <xdr:rowOff>9525</xdr:rowOff>
    </xdr:to>
    <xdr:sp macro="" textlink="">
      <xdr:nvSpPr>
        <xdr:cNvPr id="1854" name="Rectangle 1333"/>
        <xdr:cNvSpPr>
          <a:spLocks noChangeArrowheads="1"/>
        </xdr:cNvSpPr>
      </xdr:nvSpPr>
      <xdr:spPr bwMode="auto">
        <a:xfrm>
          <a:off x="4943475" y="839819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301</xdr:row>
      <xdr:rowOff>0</xdr:rowOff>
    </xdr:from>
    <xdr:to>
      <xdr:col>19</xdr:col>
      <xdr:colOff>200025</xdr:colOff>
      <xdr:row>302</xdr:row>
      <xdr:rowOff>9525</xdr:rowOff>
    </xdr:to>
    <xdr:sp macro="" textlink="">
      <xdr:nvSpPr>
        <xdr:cNvPr id="1855" name="Rectangle 1334"/>
        <xdr:cNvSpPr>
          <a:spLocks noChangeArrowheads="1"/>
        </xdr:cNvSpPr>
      </xdr:nvSpPr>
      <xdr:spPr bwMode="auto">
        <a:xfrm>
          <a:off x="583882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301</xdr:row>
      <xdr:rowOff>0</xdr:rowOff>
    </xdr:from>
    <xdr:to>
      <xdr:col>21</xdr:col>
      <xdr:colOff>200025</xdr:colOff>
      <xdr:row>302</xdr:row>
      <xdr:rowOff>9525</xdr:rowOff>
    </xdr:to>
    <xdr:sp macro="" textlink="">
      <xdr:nvSpPr>
        <xdr:cNvPr id="1856" name="Rectangle 1335"/>
        <xdr:cNvSpPr>
          <a:spLocks noChangeArrowheads="1"/>
        </xdr:cNvSpPr>
      </xdr:nvSpPr>
      <xdr:spPr bwMode="auto">
        <a:xfrm>
          <a:off x="6648450" y="839819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301</xdr:row>
      <xdr:rowOff>0</xdr:rowOff>
    </xdr:from>
    <xdr:to>
      <xdr:col>23</xdr:col>
      <xdr:colOff>200025</xdr:colOff>
      <xdr:row>302</xdr:row>
      <xdr:rowOff>9525</xdr:rowOff>
    </xdr:to>
    <xdr:sp macro="" textlink="">
      <xdr:nvSpPr>
        <xdr:cNvPr id="1857" name="Rectangle 1336"/>
        <xdr:cNvSpPr>
          <a:spLocks noChangeArrowheads="1"/>
        </xdr:cNvSpPr>
      </xdr:nvSpPr>
      <xdr:spPr bwMode="auto">
        <a:xfrm>
          <a:off x="7505700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301</xdr:row>
      <xdr:rowOff>0</xdr:rowOff>
    </xdr:from>
    <xdr:to>
      <xdr:col>25</xdr:col>
      <xdr:colOff>200025</xdr:colOff>
      <xdr:row>302</xdr:row>
      <xdr:rowOff>9525</xdr:rowOff>
    </xdr:to>
    <xdr:sp macro="" textlink="">
      <xdr:nvSpPr>
        <xdr:cNvPr id="1858" name="Rectangle 1337"/>
        <xdr:cNvSpPr>
          <a:spLocks noChangeArrowheads="1"/>
        </xdr:cNvSpPr>
      </xdr:nvSpPr>
      <xdr:spPr bwMode="auto">
        <a:xfrm>
          <a:off x="8315325" y="839819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301</xdr:row>
      <xdr:rowOff>0</xdr:rowOff>
    </xdr:from>
    <xdr:to>
      <xdr:col>27</xdr:col>
      <xdr:colOff>200025</xdr:colOff>
      <xdr:row>302</xdr:row>
      <xdr:rowOff>9525</xdr:rowOff>
    </xdr:to>
    <xdr:sp macro="" textlink="">
      <xdr:nvSpPr>
        <xdr:cNvPr id="1859" name="Rectangle 1338"/>
        <xdr:cNvSpPr>
          <a:spLocks noChangeArrowheads="1"/>
        </xdr:cNvSpPr>
      </xdr:nvSpPr>
      <xdr:spPr bwMode="auto">
        <a:xfrm>
          <a:off x="9163050" y="839819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301</xdr:row>
      <xdr:rowOff>0</xdr:rowOff>
    </xdr:from>
    <xdr:to>
      <xdr:col>31</xdr:col>
      <xdr:colOff>200025</xdr:colOff>
      <xdr:row>302</xdr:row>
      <xdr:rowOff>9525</xdr:rowOff>
    </xdr:to>
    <xdr:sp macro="" textlink="">
      <xdr:nvSpPr>
        <xdr:cNvPr id="1860" name="Rectangle 1339"/>
        <xdr:cNvSpPr>
          <a:spLocks noChangeArrowheads="1"/>
        </xdr:cNvSpPr>
      </xdr:nvSpPr>
      <xdr:spPr bwMode="auto">
        <a:xfrm>
          <a:off x="10868025" y="839819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301</xdr:row>
      <xdr:rowOff>0</xdr:rowOff>
    </xdr:from>
    <xdr:to>
      <xdr:col>33</xdr:col>
      <xdr:colOff>200025</xdr:colOff>
      <xdr:row>302</xdr:row>
      <xdr:rowOff>9525</xdr:rowOff>
    </xdr:to>
    <xdr:sp macro="" textlink="">
      <xdr:nvSpPr>
        <xdr:cNvPr id="1861" name="Rectangle 1340"/>
        <xdr:cNvSpPr>
          <a:spLocks noChangeArrowheads="1"/>
        </xdr:cNvSpPr>
      </xdr:nvSpPr>
      <xdr:spPr bwMode="auto">
        <a:xfrm>
          <a:off x="1164907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301</xdr:row>
      <xdr:rowOff>0</xdr:rowOff>
    </xdr:from>
    <xdr:to>
      <xdr:col>29</xdr:col>
      <xdr:colOff>200025</xdr:colOff>
      <xdr:row>302</xdr:row>
      <xdr:rowOff>9525</xdr:rowOff>
    </xdr:to>
    <xdr:sp macro="" textlink="">
      <xdr:nvSpPr>
        <xdr:cNvPr id="1862" name="Rectangle 1341"/>
        <xdr:cNvSpPr>
          <a:spLocks noChangeArrowheads="1"/>
        </xdr:cNvSpPr>
      </xdr:nvSpPr>
      <xdr:spPr bwMode="auto">
        <a:xfrm>
          <a:off x="9991725" y="839819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301</xdr:row>
      <xdr:rowOff>0</xdr:rowOff>
    </xdr:from>
    <xdr:to>
      <xdr:col>37</xdr:col>
      <xdr:colOff>190500</xdr:colOff>
      <xdr:row>302</xdr:row>
      <xdr:rowOff>9525</xdr:rowOff>
    </xdr:to>
    <xdr:sp macro="" textlink="">
      <xdr:nvSpPr>
        <xdr:cNvPr id="1863" name="Rectangle 1664"/>
        <xdr:cNvSpPr>
          <a:spLocks noChangeArrowheads="1"/>
        </xdr:cNvSpPr>
      </xdr:nvSpPr>
      <xdr:spPr bwMode="auto">
        <a:xfrm>
          <a:off x="13201650" y="839819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301</xdr:row>
      <xdr:rowOff>0</xdr:rowOff>
    </xdr:from>
    <xdr:to>
      <xdr:col>11</xdr:col>
      <xdr:colOff>200025</xdr:colOff>
      <xdr:row>302</xdr:row>
      <xdr:rowOff>9525</xdr:rowOff>
    </xdr:to>
    <xdr:sp macro="" textlink="">
      <xdr:nvSpPr>
        <xdr:cNvPr id="1864" name="Rectangle 1971"/>
        <xdr:cNvSpPr>
          <a:spLocks noChangeArrowheads="1"/>
        </xdr:cNvSpPr>
      </xdr:nvSpPr>
      <xdr:spPr bwMode="auto">
        <a:xfrm>
          <a:off x="2209800" y="839819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12</xdr:col>
      <xdr:colOff>190500</xdr:colOff>
      <xdr:row>301</xdr:row>
      <xdr:rowOff>0</xdr:rowOff>
    </xdr:from>
    <xdr:to>
      <xdr:col>13</xdr:col>
      <xdr:colOff>200025</xdr:colOff>
      <xdr:row>302</xdr:row>
      <xdr:rowOff>9525</xdr:rowOff>
    </xdr:to>
    <xdr:sp macro="" textlink="">
      <xdr:nvSpPr>
        <xdr:cNvPr id="1865" name="Rectangle 1972"/>
        <xdr:cNvSpPr>
          <a:spLocks noChangeArrowheads="1"/>
        </xdr:cNvSpPr>
      </xdr:nvSpPr>
      <xdr:spPr bwMode="auto">
        <a:xfrm>
          <a:off x="3057525" y="839819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14</xdr:col>
      <xdr:colOff>190500</xdr:colOff>
      <xdr:row>301</xdr:row>
      <xdr:rowOff>0</xdr:rowOff>
    </xdr:from>
    <xdr:to>
      <xdr:col>15</xdr:col>
      <xdr:colOff>200025</xdr:colOff>
      <xdr:row>302</xdr:row>
      <xdr:rowOff>9525</xdr:rowOff>
    </xdr:to>
    <xdr:sp macro="" textlink="">
      <xdr:nvSpPr>
        <xdr:cNvPr id="1866" name="Rectangle 1973"/>
        <xdr:cNvSpPr>
          <a:spLocks noChangeArrowheads="1"/>
        </xdr:cNvSpPr>
      </xdr:nvSpPr>
      <xdr:spPr bwMode="auto">
        <a:xfrm>
          <a:off x="3933825" y="8398192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301</xdr:row>
      <xdr:rowOff>0</xdr:rowOff>
    </xdr:from>
    <xdr:to>
      <xdr:col>17</xdr:col>
      <xdr:colOff>200025</xdr:colOff>
      <xdr:row>302</xdr:row>
      <xdr:rowOff>9525</xdr:rowOff>
    </xdr:to>
    <xdr:sp macro="" textlink="">
      <xdr:nvSpPr>
        <xdr:cNvPr id="1867" name="Rectangle 1974"/>
        <xdr:cNvSpPr>
          <a:spLocks noChangeArrowheads="1"/>
        </xdr:cNvSpPr>
      </xdr:nvSpPr>
      <xdr:spPr bwMode="auto">
        <a:xfrm>
          <a:off x="4943475" y="839819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301</xdr:row>
      <xdr:rowOff>0</xdr:rowOff>
    </xdr:from>
    <xdr:to>
      <xdr:col>21</xdr:col>
      <xdr:colOff>200025</xdr:colOff>
      <xdr:row>302</xdr:row>
      <xdr:rowOff>9525</xdr:rowOff>
    </xdr:to>
    <xdr:sp macro="" textlink="">
      <xdr:nvSpPr>
        <xdr:cNvPr id="1868" name="Rectangle 1975"/>
        <xdr:cNvSpPr>
          <a:spLocks noChangeArrowheads="1"/>
        </xdr:cNvSpPr>
      </xdr:nvSpPr>
      <xdr:spPr bwMode="auto">
        <a:xfrm>
          <a:off x="6648450" y="839819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301</xdr:row>
      <xdr:rowOff>0</xdr:rowOff>
    </xdr:from>
    <xdr:to>
      <xdr:col>23</xdr:col>
      <xdr:colOff>200025</xdr:colOff>
      <xdr:row>302</xdr:row>
      <xdr:rowOff>9525</xdr:rowOff>
    </xdr:to>
    <xdr:sp macro="" textlink="">
      <xdr:nvSpPr>
        <xdr:cNvPr id="1869" name="Rectangle 1976"/>
        <xdr:cNvSpPr>
          <a:spLocks noChangeArrowheads="1"/>
        </xdr:cNvSpPr>
      </xdr:nvSpPr>
      <xdr:spPr bwMode="auto">
        <a:xfrm>
          <a:off x="7505700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301</xdr:row>
      <xdr:rowOff>0</xdr:rowOff>
    </xdr:from>
    <xdr:to>
      <xdr:col>25</xdr:col>
      <xdr:colOff>200025</xdr:colOff>
      <xdr:row>302</xdr:row>
      <xdr:rowOff>9525</xdr:rowOff>
    </xdr:to>
    <xdr:sp macro="" textlink="">
      <xdr:nvSpPr>
        <xdr:cNvPr id="1870" name="Rectangle 1977"/>
        <xdr:cNvSpPr>
          <a:spLocks noChangeArrowheads="1"/>
        </xdr:cNvSpPr>
      </xdr:nvSpPr>
      <xdr:spPr bwMode="auto">
        <a:xfrm>
          <a:off x="8315325" y="839819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301</xdr:row>
      <xdr:rowOff>0</xdr:rowOff>
    </xdr:from>
    <xdr:to>
      <xdr:col>27</xdr:col>
      <xdr:colOff>200025</xdr:colOff>
      <xdr:row>302</xdr:row>
      <xdr:rowOff>9525</xdr:rowOff>
    </xdr:to>
    <xdr:sp macro="" textlink="">
      <xdr:nvSpPr>
        <xdr:cNvPr id="1871" name="Rectangle 1978"/>
        <xdr:cNvSpPr>
          <a:spLocks noChangeArrowheads="1"/>
        </xdr:cNvSpPr>
      </xdr:nvSpPr>
      <xdr:spPr bwMode="auto">
        <a:xfrm>
          <a:off x="9163050" y="839819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301</xdr:row>
      <xdr:rowOff>0</xdr:rowOff>
    </xdr:from>
    <xdr:to>
      <xdr:col>31</xdr:col>
      <xdr:colOff>200025</xdr:colOff>
      <xdr:row>302</xdr:row>
      <xdr:rowOff>9525</xdr:rowOff>
    </xdr:to>
    <xdr:sp macro="" textlink="">
      <xdr:nvSpPr>
        <xdr:cNvPr id="1872" name="Rectangle 1979"/>
        <xdr:cNvSpPr>
          <a:spLocks noChangeArrowheads="1"/>
        </xdr:cNvSpPr>
      </xdr:nvSpPr>
      <xdr:spPr bwMode="auto">
        <a:xfrm>
          <a:off x="10868025" y="839819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301</xdr:row>
      <xdr:rowOff>0</xdr:rowOff>
    </xdr:from>
    <xdr:to>
      <xdr:col>33</xdr:col>
      <xdr:colOff>200025</xdr:colOff>
      <xdr:row>302</xdr:row>
      <xdr:rowOff>9525</xdr:rowOff>
    </xdr:to>
    <xdr:sp macro="" textlink="">
      <xdr:nvSpPr>
        <xdr:cNvPr id="1873" name="Rectangle 1980"/>
        <xdr:cNvSpPr>
          <a:spLocks noChangeArrowheads="1"/>
        </xdr:cNvSpPr>
      </xdr:nvSpPr>
      <xdr:spPr bwMode="auto">
        <a:xfrm>
          <a:off x="1164907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301</xdr:row>
      <xdr:rowOff>0</xdr:rowOff>
    </xdr:from>
    <xdr:to>
      <xdr:col>37</xdr:col>
      <xdr:colOff>190500</xdr:colOff>
      <xdr:row>302</xdr:row>
      <xdr:rowOff>9525</xdr:rowOff>
    </xdr:to>
    <xdr:sp macro="" textlink="">
      <xdr:nvSpPr>
        <xdr:cNvPr id="1874" name="Rectangle 1981"/>
        <xdr:cNvSpPr>
          <a:spLocks noChangeArrowheads="1"/>
        </xdr:cNvSpPr>
      </xdr:nvSpPr>
      <xdr:spPr bwMode="auto">
        <a:xfrm>
          <a:off x="13201650" y="839819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301</xdr:row>
      <xdr:rowOff>0</xdr:rowOff>
    </xdr:from>
    <xdr:to>
      <xdr:col>29</xdr:col>
      <xdr:colOff>200025</xdr:colOff>
      <xdr:row>302</xdr:row>
      <xdr:rowOff>9525</xdr:rowOff>
    </xdr:to>
    <xdr:sp macro="" textlink="">
      <xdr:nvSpPr>
        <xdr:cNvPr id="1875" name="Rectangle 1982"/>
        <xdr:cNvSpPr>
          <a:spLocks noChangeArrowheads="1"/>
        </xdr:cNvSpPr>
      </xdr:nvSpPr>
      <xdr:spPr bwMode="auto">
        <a:xfrm>
          <a:off x="9991725" y="839819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180975</xdr:colOff>
      <xdr:row>301</xdr:row>
      <xdr:rowOff>0</xdr:rowOff>
    </xdr:from>
    <xdr:to>
      <xdr:col>19</xdr:col>
      <xdr:colOff>190500</xdr:colOff>
      <xdr:row>302</xdr:row>
      <xdr:rowOff>9525</xdr:rowOff>
    </xdr:to>
    <xdr:sp macro="" textlink="">
      <xdr:nvSpPr>
        <xdr:cNvPr id="1876" name="Rectangle 1983"/>
        <xdr:cNvSpPr>
          <a:spLocks noChangeArrowheads="1"/>
        </xdr:cNvSpPr>
      </xdr:nvSpPr>
      <xdr:spPr bwMode="auto">
        <a:xfrm>
          <a:off x="5829300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301</xdr:row>
      <xdr:rowOff>0</xdr:rowOff>
    </xdr:from>
    <xdr:to>
      <xdr:col>11</xdr:col>
      <xdr:colOff>200025</xdr:colOff>
      <xdr:row>302</xdr:row>
      <xdr:rowOff>9525</xdr:rowOff>
    </xdr:to>
    <xdr:sp macro="" textlink="">
      <xdr:nvSpPr>
        <xdr:cNvPr id="1877" name="Rectangle 1984"/>
        <xdr:cNvSpPr>
          <a:spLocks noChangeArrowheads="1"/>
        </xdr:cNvSpPr>
      </xdr:nvSpPr>
      <xdr:spPr bwMode="auto">
        <a:xfrm>
          <a:off x="2209800" y="839819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301</xdr:row>
      <xdr:rowOff>0</xdr:rowOff>
    </xdr:from>
    <xdr:to>
      <xdr:col>13</xdr:col>
      <xdr:colOff>200025</xdr:colOff>
      <xdr:row>302</xdr:row>
      <xdr:rowOff>9525</xdr:rowOff>
    </xdr:to>
    <xdr:sp macro="" textlink="">
      <xdr:nvSpPr>
        <xdr:cNvPr id="1878" name="Rectangle 1985"/>
        <xdr:cNvSpPr>
          <a:spLocks noChangeArrowheads="1"/>
        </xdr:cNvSpPr>
      </xdr:nvSpPr>
      <xdr:spPr bwMode="auto">
        <a:xfrm>
          <a:off x="3057525" y="839819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301</xdr:row>
      <xdr:rowOff>0</xdr:rowOff>
    </xdr:from>
    <xdr:to>
      <xdr:col>15</xdr:col>
      <xdr:colOff>200025</xdr:colOff>
      <xdr:row>302</xdr:row>
      <xdr:rowOff>9525</xdr:rowOff>
    </xdr:to>
    <xdr:sp macro="" textlink="">
      <xdr:nvSpPr>
        <xdr:cNvPr id="1879" name="Rectangle 1986"/>
        <xdr:cNvSpPr>
          <a:spLocks noChangeArrowheads="1"/>
        </xdr:cNvSpPr>
      </xdr:nvSpPr>
      <xdr:spPr bwMode="auto">
        <a:xfrm>
          <a:off x="3933825" y="8398192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301</xdr:row>
      <xdr:rowOff>0</xdr:rowOff>
    </xdr:from>
    <xdr:to>
      <xdr:col>17</xdr:col>
      <xdr:colOff>200025</xdr:colOff>
      <xdr:row>302</xdr:row>
      <xdr:rowOff>9525</xdr:rowOff>
    </xdr:to>
    <xdr:sp macro="" textlink="">
      <xdr:nvSpPr>
        <xdr:cNvPr id="1880" name="Rectangle 1987"/>
        <xdr:cNvSpPr>
          <a:spLocks noChangeArrowheads="1"/>
        </xdr:cNvSpPr>
      </xdr:nvSpPr>
      <xdr:spPr bwMode="auto">
        <a:xfrm>
          <a:off x="4943475" y="839819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301</xdr:row>
      <xdr:rowOff>0</xdr:rowOff>
    </xdr:from>
    <xdr:to>
      <xdr:col>19</xdr:col>
      <xdr:colOff>200025</xdr:colOff>
      <xdr:row>302</xdr:row>
      <xdr:rowOff>9525</xdr:rowOff>
    </xdr:to>
    <xdr:sp macro="" textlink="">
      <xdr:nvSpPr>
        <xdr:cNvPr id="1881" name="Rectangle 1988"/>
        <xdr:cNvSpPr>
          <a:spLocks noChangeArrowheads="1"/>
        </xdr:cNvSpPr>
      </xdr:nvSpPr>
      <xdr:spPr bwMode="auto">
        <a:xfrm>
          <a:off x="583882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301</xdr:row>
      <xdr:rowOff>0</xdr:rowOff>
    </xdr:from>
    <xdr:to>
      <xdr:col>21</xdr:col>
      <xdr:colOff>200025</xdr:colOff>
      <xdr:row>302</xdr:row>
      <xdr:rowOff>9525</xdr:rowOff>
    </xdr:to>
    <xdr:sp macro="" textlink="">
      <xdr:nvSpPr>
        <xdr:cNvPr id="1882" name="Rectangle 1989"/>
        <xdr:cNvSpPr>
          <a:spLocks noChangeArrowheads="1"/>
        </xdr:cNvSpPr>
      </xdr:nvSpPr>
      <xdr:spPr bwMode="auto">
        <a:xfrm>
          <a:off x="6648450" y="839819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301</xdr:row>
      <xdr:rowOff>0</xdr:rowOff>
    </xdr:from>
    <xdr:to>
      <xdr:col>23</xdr:col>
      <xdr:colOff>200025</xdr:colOff>
      <xdr:row>302</xdr:row>
      <xdr:rowOff>9525</xdr:rowOff>
    </xdr:to>
    <xdr:sp macro="" textlink="">
      <xdr:nvSpPr>
        <xdr:cNvPr id="1883" name="Rectangle 1990"/>
        <xdr:cNvSpPr>
          <a:spLocks noChangeArrowheads="1"/>
        </xdr:cNvSpPr>
      </xdr:nvSpPr>
      <xdr:spPr bwMode="auto">
        <a:xfrm>
          <a:off x="7505700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301</xdr:row>
      <xdr:rowOff>0</xdr:rowOff>
    </xdr:from>
    <xdr:to>
      <xdr:col>25</xdr:col>
      <xdr:colOff>200025</xdr:colOff>
      <xdr:row>302</xdr:row>
      <xdr:rowOff>9525</xdr:rowOff>
    </xdr:to>
    <xdr:sp macro="" textlink="">
      <xdr:nvSpPr>
        <xdr:cNvPr id="1884" name="Rectangle 1991"/>
        <xdr:cNvSpPr>
          <a:spLocks noChangeArrowheads="1"/>
        </xdr:cNvSpPr>
      </xdr:nvSpPr>
      <xdr:spPr bwMode="auto">
        <a:xfrm>
          <a:off x="8315325" y="839819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301</xdr:row>
      <xdr:rowOff>0</xdr:rowOff>
    </xdr:from>
    <xdr:to>
      <xdr:col>27</xdr:col>
      <xdr:colOff>200025</xdr:colOff>
      <xdr:row>302</xdr:row>
      <xdr:rowOff>9525</xdr:rowOff>
    </xdr:to>
    <xdr:sp macro="" textlink="">
      <xdr:nvSpPr>
        <xdr:cNvPr id="1885" name="Rectangle 1992"/>
        <xdr:cNvSpPr>
          <a:spLocks noChangeArrowheads="1"/>
        </xdr:cNvSpPr>
      </xdr:nvSpPr>
      <xdr:spPr bwMode="auto">
        <a:xfrm>
          <a:off x="9163050" y="839819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301</xdr:row>
      <xdr:rowOff>0</xdr:rowOff>
    </xdr:from>
    <xdr:to>
      <xdr:col>31</xdr:col>
      <xdr:colOff>200025</xdr:colOff>
      <xdr:row>302</xdr:row>
      <xdr:rowOff>9525</xdr:rowOff>
    </xdr:to>
    <xdr:sp macro="" textlink="">
      <xdr:nvSpPr>
        <xdr:cNvPr id="1886" name="Rectangle 1993"/>
        <xdr:cNvSpPr>
          <a:spLocks noChangeArrowheads="1"/>
        </xdr:cNvSpPr>
      </xdr:nvSpPr>
      <xdr:spPr bwMode="auto">
        <a:xfrm>
          <a:off x="10868025" y="839819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301</xdr:row>
      <xdr:rowOff>0</xdr:rowOff>
    </xdr:from>
    <xdr:to>
      <xdr:col>33</xdr:col>
      <xdr:colOff>200025</xdr:colOff>
      <xdr:row>302</xdr:row>
      <xdr:rowOff>9525</xdr:rowOff>
    </xdr:to>
    <xdr:sp macro="" textlink="">
      <xdr:nvSpPr>
        <xdr:cNvPr id="1887" name="Rectangle 1994"/>
        <xdr:cNvSpPr>
          <a:spLocks noChangeArrowheads="1"/>
        </xdr:cNvSpPr>
      </xdr:nvSpPr>
      <xdr:spPr bwMode="auto">
        <a:xfrm>
          <a:off x="1164907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301</xdr:row>
      <xdr:rowOff>0</xdr:rowOff>
    </xdr:from>
    <xdr:to>
      <xdr:col>29</xdr:col>
      <xdr:colOff>200025</xdr:colOff>
      <xdr:row>302</xdr:row>
      <xdr:rowOff>9525</xdr:rowOff>
    </xdr:to>
    <xdr:sp macro="" textlink="">
      <xdr:nvSpPr>
        <xdr:cNvPr id="1888" name="Rectangle 1995"/>
        <xdr:cNvSpPr>
          <a:spLocks noChangeArrowheads="1"/>
        </xdr:cNvSpPr>
      </xdr:nvSpPr>
      <xdr:spPr bwMode="auto">
        <a:xfrm>
          <a:off x="9991725" y="839819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301</xdr:row>
      <xdr:rowOff>0</xdr:rowOff>
    </xdr:from>
    <xdr:to>
      <xdr:col>37</xdr:col>
      <xdr:colOff>190500</xdr:colOff>
      <xdr:row>302</xdr:row>
      <xdr:rowOff>9525</xdr:rowOff>
    </xdr:to>
    <xdr:sp macro="" textlink="">
      <xdr:nvSpPr>
        <xdr:cNvPr id="1889" name="Rectangle 1996"/>
        <xdr:cNvSpPr>
          <a:spLocks noChangeArrowheads="1"/>
        </xdr:cNvSpPr>
      </xdr:nvSpPr>
      <xdr:spPr bwMode="auto">
        <a:xfrm>
          <a:off x="13201650" y="839819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300</xdr:row>
      <xdr:rowOff>520869</xdr:rowOff>
    </xdr:from>
    <xdr:to>
      <xdr:col>11</xdr:col>
      <xdr:colOff>200025</xdr:colOff>
      <xdr:row>302</xdr:row>
      <xdr:rowOff>9526</xdr:rowOff>
    </xdr:to>
    <xdr:sp macro="" textlink="">
      <xdr:nvSpPr>
        <xdr:cNvPr id="1890" name="Rectangle 1997"/>
        <xdr:cNvSpPr>
          <a:spLocks noChangeArrowheads="1"/>
        </xdr:cNvSpPr>
      </xdr:nvSpPr>
      <xdr:spPr bwMode="auto">
        <a:xfrm>
          <a:off x="2209800" y="83969394"/>
          <a:ext cx="476250" cy="2982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B</a:t>
          </a:r>
        </a:p>
      </xdr:txBody>
    </xdr:sp>
    <xdr:clientData/>
  </xdr:twoCellAnchor>
  <xdr:twoCellAnchor>
    <xdr:from>
      <xdr:col>12</xdr:col>
      <xdr:colOff>190500</xdr:colOff>
      <xdr:row>301</xdr:row>
      <xdr:rowOff>18423</xdr:rowOff>
    </xdr:from>
    <xdr:to>
      <xdr:col>13</xdr:col>
      <xdr:colOff>200025</xdr:colOff>
      <xdr:row>302</xdr:row>
      <xdr:rowOff>95250</xdr:rowOff>
    </xdr:to>
    <xdr:sp macro="" textlink="">
      <xdr:nvSpPr>
        <xdr:cNvPr id="1891" name="Rectangle 1998"/>
        <xdr:cNvSpPr>
          <a:spLocks noChangeArrowheads="1"/>
        </xdr:cNvSpPr>
      </xdr:nvSpPr>
      <xdr:spPr bwMode="auto">
        <a:xfrm>
          <a:off x="3057525" y="84000348"/>
          <a:ext cx="523875" cy="35305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14</xdr:col>
      <xdr:colOff>190500</xdr:colOff>
      <xdr:row>301</xdr:row>
      <xdr:rowOff>16044</xdr:rowOff>
    </xdr:from>
    <xdr:to>
      <xdr:col>15</xdr:col>
      <xdr:colOff>200025</xdr:colOff>
      <xdr:row>302</xdr:row>
      <xdr:rowOff>95251</xdr:rowOff>
    </xdr:to>
    <xdr:sp macro="" textlink="">
      <xdr:nvSpPr>
        <xdr:cNvPr id="1892" name="Rectangle 1999"/>
        <xdr:cNvSpPr>
          <a:spLocks noChangeArrowheads="1"/>
        </xdr:cNvSpPr>
      </xdr:nvSpPr>
      <xdr:spPr bwMode="auto">
        <a:xfrm>
          <a:off x="3933825" y="83997969"/>
          <a:ext cx="581025" cy="35543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301</xdr:row>
      <xdr:rowOff>0</xdr:rowOff>
    </xdr:from>
    <xdr:to>
      <xdr:col>17</xdr:col>
      <xdr:colOff>200025</xdr:colOff>
      <xdr:row>302</xdr:row>
      <xdr:rowOff>9525</xdr:rowOff>
    </xdr:to>
    <xdr:sp macro="" textlink="">
      <xdr:nvSpPr>
        <xdr:cNvPr id="1893" name="Rectangle 2000"/>
        <xdr:cNvSpPr>
          <a:spLocks noChangeArrowheads="1"/>
        </xdr:cNvSpPr>
      </xdr:nvSpPr>
      <xdr:spPr bwMode="auto">
        <a:xfrm>
          <a:off x="4943475" y="839819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301</xdr:row>
      <xdr:rowOff>16043</xdr:rowOff>
    </xdr:from>
    <xdr:to>
      <xdr:col>19</xdr:col>
      <xdr:colOff>200025</xdr:colOff>
      <xdr:row>302</xdr:row>
      <xdr:rowOff>85725</xdr:rowOff>
    </xdr:to>
    <xdr:sp macro="" textlink="">
      <xdr:nvSpPr>
        <xdr:cNvPr id="1894" name="Rectangle 2001"/>
        <xdr:cNvSpPr>
          <a:spLocks noChangeArrowheads="1"/>
        </xdr:cNvSpPr>
      </xdr:nvSpPr>
      <xdr:spPr bwMode="auto">
        <a:xfrm>
          <a:off x="5838825" y="83997968"/>
          <a:ext cx="438150" cy="3459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16</xdr:col>
      <xdr:colOff>190500</xdr:colOff>
      <xdr:row>301</xdr:row>
      <xdr:rowOff>16044</xdr:rowOff>
    </xdr:from>
    <xdr:to>
      <xdr:col>17</xdr:col>
      <xdr:colOff>200025</xdr:colOff>
      <xdr:row>302</xdr:row>
      <xdr:rowOff>104775</xdr:rowOff>
    </xdr:to>
    <xdr:sp macro="" textlink="">
      <xdr:nvSpPr>
        <xdr:cNvPr id="1895" name="Rectangle 2002"/>
        <xdr:cNvSpPr>
          <a:spLocks noChangeArrowheads="1"/>
        </xdr:cNvSpPr>
      </xdr:nvSpPr>
      <xdr:spPr bwMode="auto">
        <a:xfrm>
          <a:off x="4943475" y="83997969"/>
          <a:ext cx="523875" cy="36495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20</xdr:col>
      <xdr:colOff>180975</xdr:colOff>
      <xdr:row>301</xdr:row>
      <xdr:rowOff>0</xdr:rowOff>
    </xdr:from>
    <xdr:to>
      <xdr:col>21</xdr:col>
      <xdr:colOff>190500</xdr:colOff>
      <xdr:row>302</xdr:row>
      <xdr:rowOff>9525</xdr:rowOff>
    </xdr:to>
    <xdr:sp macro="" textlink="">
      <xdr:nvSpPr>
        <xdr:cNvPr id="1896" name="Rectangle 2003"/>
        <xdr:cNvSpPr>
          <a:spLocks noChangeArrowheads="1"/>
        </xdr:cNvSpPr>
      </xdr:nvSpPr>
      <xdr:spPr bwMode="auto">
        <a:xfrm>
          <a:off x="6638925" y="839819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301</xdr:row>
      <xdr:rowOff>0</xdr:rowOff>
    </xdr:from>
    <xdr:to>
      <xdr:col>21</xdr:col>
      <xdr:colOff>200025</xdr:colOff>
      <xdr:row>302</xdr:row>
      <xdr:rowOff>9525</xdr:rowOff>
    </xdr:to>
    <xdr:sp macro="" textlink="">
      <xdr:nvSpPr>
        <xdr:cNvPr id="1897" name="Rectangle 2004"/>
        <xdr:cNvSpPr>
          <a:spLocks noChangeArrowheads="1"/>
        </xdr:cNvSpPr>
      </xdr:nvSpPr>
      <xdr:spPr bwMode="auto">
        <a:xfrm>
          <a:off x="6648450" y="839819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301</xdr:row>
      <xdr:rowOff>11284</xdr:rowOff>
    </xdr:from>
    <xdr:to>
      <xdr:col>21</xdr:col>
      <xdr:colOff>200025</xdr:colOff>
      <xdr:row>302</xdr:row>
      <xdr:rowOff>24152</xdr:rowOff>
    </xdr:to>
    <xdr:sp macro="" textlink="">
      <xdr:nvSpPr>
        <xdr:cNvPr id="1898" name="Rectangle 2005"/>
        <xdr:cNvSpPr>
          <a:spLocks noChangeArrowheads="1"/>
        </xdr:cNvSpPr>
      </xdr:nvSpPr>
      <xdr:spPr bwMode="auto">
        <a:xfrm>
          <a:off x="6648450" y="83993209"/>
          <a:ext cx="485775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22</xdr:col>
      <xdr:colOff>190500</xdr:colOff>
      <xdr:row>301</xdr:row>
      <xdr:rowOff>0</xdr:rowOff>
    </xdr:from>
    <xdr:to>
      <xdr:col>23</xdr:col>
      <xdr:colOff>200025</xdr:colOff>
      <xdr:row>302</xdr:row>
      <xdr:rowOff>9525</xdr:rowOff>
    </xdr:to>
    <xdr:sp macro="" textlink="">
      <xdr:nvSpPr>
        <xdr:cNvPr id="1899" name="Rectangle 2006"/>
        <xdr:cNvSpPr>
          <a:spLocks noChangeArrowheads="1"/>
        </xdr:cNvSpPr>
      </xdr:nvSpPr>
      <xdr:spPr bwMode="auto">
        <a:xfrm>
          <a:off x="7505700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301</xdr:row>
      <xdr:rowOff>0</xdr:rowOff>
    </xdr:from>
    <xdr:to>
      <xdr:col>23</xdr:col>
      <xdr:colOff>200025</xdr:colOff>
      <xdr:row>302</xdr:row>
      <xdr:rowOff>9525</xdr:rowOff>
    </xdr:to>
    <xdr:sp macro="" textlink="">
      <xdr:nvSpPr>
        <xdr:cNvPr id="1900" name="Rectangle 2007"/>
        <xdr:cNvSpPr>
          <a:spLocks noChangeArrowheads="1"/>
        </xdr:cNvSpPr>
      </xdr:nvSpPr>
      <xdr:spPr bwMode="auto">
        <a:xfrm>
          <a:off x="7505700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180975</xdr:colOff>
      <xdr:row>301</xdr:row>
      <xdr:rowOff>0</xdr:rowOff>
    </xdr:from>
    <xdr:to>
      <xdr:col>23</xdr:col>
      <xdr:colOff>190500</xdr:colOff>
      <xdr:row>302</xdr:row>
      <xdr:rowOff>9525</xdr:rowOff>
    </xdr:to>
    <xdr:sp macro="" textlink="">
      <xdr:nvSpPr>
        <xdr:cNvPr id="1901" name="Rectangle 2008"/>
        <xdr:cNvSpPr>
          <a:spLocks noChangeArrowheads="1"/>
        </xdr:cNvSpPr>
      </xdr:nvSpPr>
      <xdr:spPr bwMode="auto">
        <a:xfrm>
          <a:off x="749617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301</xdr:row>
      <xdr:rowOff>0</xdr:rowOff>
    </xdr:from>
    <xdr:to>
      <xdr:col>23</xdr:col>
      <xdr:colOff>200025</xdr:colOff>
      <xdr:row>302</xdr:row>
      <xdr:rowOff>9525</xdr:rowOff>
    </xdr:to>
    <xdr:sp macro="" textlink="">
      <xdr:nvSpPr>
        <xdr:cNvPr id="1902" name="Rectangle 2009"/>
        <xdr:cNvSpPr>
          <a:spLocks noChangeArrowheads="1"/>
        </xdr:cNvSpPr>
      </xdr:nvSpPr>
      <xdr:spPr bwMode="auto">
        <a:xfrm>
          <a:off x="7505700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301</xdr:row>
      <xdr:rowOff>8110</xdr:rowOff>
    </xdr:from>
    <xdr:to>
      <xdr:col>23</xdr:col>
      <xdr:colOff>200025</xdr:colOff>
      <xdr:row>302</xdr:row>
      <xdr:rowOff>20978</xdr:rowOff>
    </xdr:to>
    <xdr:sp macro="" textlink="">
      <xdr:nvSpPr>
        <xdr:cNvPr id="1903" name="Rectangle 2010"/>
        <xdr:cNvSpPr>
          <a:spLocks noChangeArrowheads="1"/>
        </xdr:cNvSpPr>
      </xdr:nvSpPr>
      <xdr:spPr bwMode="auto">
        <a:xfrm>
          <a:off x="7505700" y="83990035"/>
          <a:ext cx="438150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36</xdr:col>
      <xdr:colOff>190500</xdr:colOff>
      <xdr:row>301</xdr:row>
      <xdr:rowOff>0</xdr:rowOff>
    </xdr:from>
    <xdr:to>
      <xdr:col>37</xdr:col>
      <xdr:colOff>190500</xdr:colOff>
      <xdr:row>302</xdr:row>
      <xdr:rowOff>9525</xdr:rowOff>
    </xdr:to>
    <xdr:sp macro="" textlink="">
      <xdr:nvSpPr>
        <xdr:cNvPr id="1904" name="Rectangle 2011"/>
        <xdr:cNvSpPr>
          <a:spLocks noChangeArrowheads="1"/>
        </xdr:cNvSpPr>
      </xdr:nvSpPr>
      <xdr:spPr bwMode="auto">
        <a:xfrm>
          <a:off x="13201650" y="839819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301</xdr:row>
      <xdr:rowOff>1763</xdr:rowOff>
    </xdr:from>
    <xdr:to>
      <xdr:col>37</xdr:col>
      <xdr:colOff>190500</xdr:colOff>
      <xdr:row>302</xdr:row>
      <xdr:rowOff>14631</xdr:rowOff>
    </xdr:to>
    <xdr:sp macro="" textlink="">
      <xdr:nvSpPr>
        <xdr:cNvPr id="1905" name="Rectangle 2012"/>
        <xdr:cNvSpPr>
          <a:spLocks noChangeArrowheads="1"/>
        </xdr:cNvSpPr>
      </xdr:nvSpPr>
      <xdr:spPr bwMode="auto">
        <a:xfrm>
          <a:off x="13201650" y="83983688"/>
          <a:ext cx="523875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301</xdr:row>
      <xdr:rowOff>0</xdr:rowOff>
    </xdr:from>
    <xdr:to>
      <xdr:col>25</xdr:col>
      <xdr:colOff>200025</xdr:colOff>
      <xdr:row>302</xdr:row>
      <xdr:rowOff>9525</xdr:rowOff>
    </xdr:to>
    <xdr:sp macro="" textlink="">
      <xdr:nvSpPr>
        <xdr:cNvPr id="1906" name="Rectangle 3352"/>
        <xdr:cNvSpPr>
          <a:spLocks noChangeArrowheads="1"/>
        </xdr:cNvSpPr>
      </xdr:nvSpPr>
      <xdr:spPr bwMode="auto">
        <a:xfrm>
          <a:off x="8315325" y="839819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24</xdr:col>
      <xdr:colOff>190500</xdr:colOff>
      <xdr:row>301</xdr:row>
      <xdr:rowOff>0</xdr:rowOff>
    </xdr:from>
    <xdr:to>
      <xdr:col>25</xdr:col>
      <xdr:colOff>200025</xdr:colOff>
      <xdr:row>302</xdr:row>
      <xdr:rowOff>9525</xdr:rowOff>
    </xdr:to>
    <xdr:sp macro="" textlink="">
      <xdr:nvSpPr>
        <xdr:cNvPr id="1907" name="Rectangle 3353"/>
        <xdr:cNvSpPr>
          <a:spLocks noChangeArrowheads="1"/>
        </xdr:cNvSpPr>
      </xdr:nvSpPr>
      <xdr:spPr bwMode="auto">
        <a:xfrm>
          <a:off x="8315325" y="839819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301</xdr:row>
      <xdr:rowOff>0</xdr:rowOff>
    </xdr:from>
    <xdr:to>
      <xdr:col>25</xdr:col>
      <xdr:colOff>200025</xdr:colOff>
      <xdr:row>302</xdr:row>
      <xdr:rowOff>9525</xdr:rowOff>
    </xdr:to>
    <xdr:sp macro="" textlink="">
      <xdr:nvSpPr>
        <xdr:cNvPr id="1908" name="Rectangle 3354"/>
        <xdr:cNvSpPr>
          <a:spLocks noChangeArrowheads="1"/>
        </xdr:cNvSpPr>
      </xdr:nvSpPr>
      <xdr:spPr bwMode="auto">
        <a:xfrm>
          <a:off x="8315325" y="839819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301</xdr:row>
      <xdr:rowOff>0</xdr:rowOff>
    </xdr:from>
    <xdr:to>
      <xdr:col>25</xdr:col>
      <xdr:colOff>200025</xdr:colOff>
      <xdr:row>302</xdr:row>
      <xdr:rowOff>9525</xdr:rowOff>
    </xdr:to>
    <xdr:sp macro="" textlink="">
      <xdr:nvSpPr>
        <xdr:cNvPr id="1909" name="Rectangle 3355"/>
        <xdr:cNvSpPr>
          <a:spLocks noChangeArrowheads="1"/>
        </xdr:cNvSpPr>
      </xdr:nvSpPr>
      <xdr:spPr bwMode="auto">
        <a:xfrm>
          <a:off x="8315325" y="839819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301</xdr:row>
      <xdr:rowOff>0</xdr:rowOff>
    </xdr:from>
    <xdr:to>
      <xdr:col>25</xdr:col>
      <xdr:colOff>200025</xdr:colOff>
      <xdr:row>302</xdr:row>
      <xdr:rowOff>9525</xdr:rowOff>
    </xdr:to>
    <xdr:sp macro="" textlink="">
      <xdr:nvSpPr>
        <xdr:cNvPr id="1910" name="Rectangle 3356"/>
        <xdr:cNvSpPr>
          <a:spLocks noChangeArrowheads="1"/>
        </xdr:cNvSpPr>
      </xdr:nvSpPr>
      <xdr:spPr bwMode="auto">
        <a:xfrm>
          <a:off x="8315325" y="839819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301</xdr:row>
      <xdr:rowOff>0</xdr:rowOff>
    </xdr:from>
    <xdr:to>
      <xdr:col>25</xdr:col>
      <xdr:colOff>200025</xdr:colOff>
      <xdr:row>302</xdr:row>
      <xdr:rowOff>9525</xdr:rowOff>
    </xdr:to>
    <xdr:sp macro="" textlink="">
      <xdr:nvSpPr>
        <xdr:cNvPr id="1911" name="Rectangle 3357"/>
        <xdr:cNvSpPr>
          <a:spLocks noChangeArrowheads="1"/>
        </xdr:cNvSpPr>
      </xdr:nvSpPr>
      <xdr:spPr bwMode="auto">
        <a:xfrm>
          <a:off x="8315325" y="839819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180975</xdr:colOff>
      <xdr:row>301</xdr:row>
      <xdr:rowOff>0</xdr:rowOff>
    </xdr:from>
    <xdr:to>
      <xdr:col>25</xdr:col>
      <xdr:colOff>190500</xdr:colOff>
      <xdr:row>302</xdr:row>
      <xdr:rowOff>9525</xdr:rowOff>
    </xdr:to>
    <xdr:sp macro="" textlink="">
      <xdr:nvSpPr>
        <xdr:cNvPr id="1912" name="Rectangle 3358"/>
        <xdr:cNvSpPr>
          <a:spLocks noChangeArrowheads="1"/>
        </xdr:cNvSpPr>
      </xdr:nvSpPr>
      <xdr:spPr bwMode="auto">
        <a:xfrm>
          <a:off x="8305800" y="839819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301</xdr:row>
      <xdr:rowOff>0</xdr:rowOff>
    </xdr:from>
    <xdr:to>
      <xdr:col>25</xdr:col>
      <xdr:colOff>200025</xdr:colOff>
      <xdr:row>302</xdr:row>
      <xdr:rowOff>9525</xdr:rowOff>
    </xdr:to>
    <xdr:sp macro="" textlink="">
      <xdr:nvSpPr>
        <xdr:cNvPr id="1913" name="Rectangle 3359"/>
        <xdr:cNvSpPr>
          <a:spLocks noChangeArrowheads="1"/>
        </xdr:cNvSpPr>
      </xdr:nvSpPr>
      <xdr:spPr bwMode="auto">
        <a:xfrm>
          <a:off x="8315325" y="839819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301</xdr:row>
      <xdr:rowOff>3347</xdr:rowOff>
    </xdr:from>
    <xdr:to>
      <xdr:col>25</xdr:col>
      <xdr:colOff>200025</xdr:colOff>
      <xdr:row>302</xdr:row>
      <xdr:rowOff>66675</xdr:rowOff>
    </xdr:to>
    <xdr:sp macro="" textlink="">
      <xdr:nvSpPr>
        <xdr:cNvPr id="1914" name="Rectangle 3360"/>
        <xdr:cNvSpPr>
          <a:spLocks noChangeArrowheads="1"/>
        </xdr:cNvSpPr>
      </xdr:nvSpPr>
      <xdr:spPr bwMode="auto">
        <a:xfrm>
          <a:off x="8315325" y="83985272"/>
          <a:ext cx="476250" cy="33955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26</xdr:col>
      <xdr:colOff>190500</xdr:colOff>
      <xdr:row>301</xdr:row>
      <xdr:rowOff>0</xdr:rowOff>
    </xdr:from>
    <xdr:to>
      <xdr:col>27</xdr:col>
      <xdr:colOff>200025</xdr:colOff>
      <xdr:row>302</xdr:row>
      <xdr:rowOff>9525</xdr:rowOff>
    </xdr:to>
    <xdr:sp macro="" textlink="">
      <xdr:nvSpPr>
        <xdr:cNvPr id="1915" name="Rectangle 3700"/>
        <xdr:cNvSpPr>
          <a:spLocks noChangeArrowheads="1"/>
        </xdr:cNvSpPr>
      </xdr:nvSpPr>
      <xdr:spPr bwMode="auto">
        <a:xfrm>
          <a:off x="9163050" y="839819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301</xdr:row>
      <xdr:rowOff>0</xdr:rowOff>
    </xdr:from>
    <xdr:to>
      <xdr:col>27</xdr:col>
      <xdr:colOff>200025</xdr:colOff>
      <xdr:row>302</xdr:row>
      <xdr:rowOff>9525</xdr:rowOff>
    </xdr:to>
    <xdr:sp macro="" textlink="">
      <xdr:nvSpPr>
        <xdr:cNvPr id="1916" name="Rectangle 3701"/>
        <xdr:cNvSpPr>
          <a:spLocks noChangeArrowheads="1"/>
        </xdr:cNvSpPr>
      </xdr:nvSpPr>
      <xdr:spPr bwMode="auto">
        <a:xfrm>
          <a:off x="9163050" y="839819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301</xdr:row>
      <xdr:rowOff>0</xdr:rowOff>
    </xdr:from>
    <xdr:to>
      <xdr:col>27</xdr:col>
      <xdr:colOff>200025</xdr:colOff>
      <xdr:row>302</xdr:row>
      <xdr:rowOff>9525</xdr:rowOff>
    </xdr:to>
    <xdr:sp macro="" textlink="">
      <xdr:nvSpPr>
        <xdr:cNvPr id="1917" name="Rectangle 3702"/>
        <xdr:cNvSpPr>
          <a:spLocks noChangeArrowheads="1"/>
        </xdr:cNvSpPr>
      </xdr:nvSpPr>
      <xdr:spPr bwMode="auto">
        <a:xfrm>
          <a:off x="9163050" y="839819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301</xdr:row>
      <xdr:rowOff>0</xdr:rowOff>
    </xdr:from>
    <xdr:to>
      <xdr:col>27</xdr:col>
      <xdr:colOff>200025</xdr:colOff>
      <xdr:row>302</xdr:row>
      <xdr:rowOff>9525</xdr:rowOff>
    </xdr:to>
    <xdr:sp macro="" textlink="">
      <xdr:nvSpPr>
        <xdr:cNvPr id="1918" name="Rectangle 3703"/>
        <xdr:cNvSpPr>
          <a:spLocks noChangeArrowheads="1"/>
        </xdr:cNvSpPr>
      </xdr:nvSpPr>
      <xdr:spPr bwMode="auto">
        <a:xfrm>
          <a:off x="9163050" y="839819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301</xdr:row>
      <xdr:rowOff>0</xdr:rowOff>
    </xdr:from>
    <xdr:to>
      <xdr:col>27</xdr:col>
      <xdr:colOff>200025</xdr:colOff>
      <xdr:row>302</xdr:row>
      <xdr:rowOff>9525</xdr:rowOff>
    </xdr:to>
    <xdr:sp macro="" textlink="">
      <xdr:nvSpPr>
        <xdr:cNvPr id="1919" name="Rectangle 3704"/>
        <xdr:cNvSpPr>
          <a:spLocks noChangeArrowheads="1"/>
        </xdr:cNvSpPr>
      </xdr:nvSpPr>
      <xdr:spPr bwMode="auto">
        <a:xfrm>
          <a:off x="9163050" y="839819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26</xdr:col>
      <xdr:colOff>190500</xdr:colOff>
      <xdr:row>301</xdr:row>
      <xdr:rowOff>0</xdr:rowOff>
    </xdr:from>
    <xdr:to>
      <xdr:col>27</xdr:col>
      <xdr:colOff>200025</xdr:colOff>
      <xdr:row>302</xdr:row>
      <xdr:rowOff>9525</xdr:rowOff>
    </xdr:to>
    <xdr:sp macro="" textlink="">
      <xdr:nvSpPr>
        <xdr:cNvPr id="1920" name="Rectangle 3705"/>
        <xdr:cNvSpPr>
          <a:spLocks noChangeArrowheads="1"/>
        </xdr:cNvSpPr>
      </xdr:nvSpPr>
      <xdr:spPr bwMode="auto">
        <a:xfrm>
          <a:off x="9163050" y="839819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301</xdr:row>
      <xdr:rowOff>0</xdr:rowOff>
    </xdr:from>
    <xdr:to>
      <xdr:col>27</xdr:col>
      <xdr:colOff>200025</xdr:colOff>
      <xdr:row>302</xdr:row>
      <xdr:rowOff>9525</xdr:rowOff>
    </xdr:to>
    <xdr:sp macro="" textlink="">
      <xdr:nvSpPr>
        <xdr:cNvPr id="1921" name="Rectangle 3706"/>
        <xdr:cNvSpPr>
          <a:spLocks noChangeArrowheads="1"/>
        </xdr:cNvSpPr>
      </xdr:nvSpPr>
      <xdr:spPr bwMode="auto">
        <a:xfrm>
          <a:off x="9163050" y="839819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301</xdr:row>
      <xdr:rowOff>0</xdr:rowOff>
    </xdr:from>
    <xdr:to>
      <xdr:col>27</xdr:col>
      <xdr:colOff>200025</xdr:colOff>
      <xdr:row>302</xdr:row>
      <xdr:rowOff>9525</xdr:rowOff>
    </xdr:to>
    <xdr:sp macro="" textlink="">
      <xdr:nvSpPr>
        <xdr:cNvPr id="1922" name="Rectangle 3707"/>
        <xdr:cNvSpPr>
          <a:spLocks noChangeArrowheads="1"/>
        </xdr:cNvSpPr>
      </xdr:nvSpPr>
      <xdr:spPr bwMode="auto">
        <a:xfrm>
          <a:off x="9163050" y="839819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301</xdr:row>
      <xdr:rowOff>0</xdr:rowOff>
    </xdr:from>
    <xdr:to>
      <xdr:col>27</xdr:col>
      <xdr:colOff>200025</xdr:colOff>
      <xdr:row>302</xdr:row>
      <xdr:rowOff>9525</xdr:rowOff>
    </xdr:to>
    <xdr:sp macro="" textlink="">
      <xdr:nvSpPr>
        <xdr:cNvPr id="1923" name="Rectangle 3708"/>
        <xdr:cNvSpPr>
          <a:spLocks noChangeArrowheads="1"/>
        </xdr:cNvSpPr>
      </xdr:nvSpPr>
      <xdr:spPr bwMode="auto">
        <a:xfrm>
          <a:off x="9163050" y="839819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301</xdr:row>
      <xdr:rowOff>0</xdr:rowOff>
    </xdr:from>
    <xdr:to>
      <xdr:col>27</xdr:col>
      <xdr:colOff>200025</xdr:colOff>
      <xdr:row>302</xdr:row>
      <xdr:rowOff>9525</xdr:rowOff>
    </xdr:to>
    <xdr:sp macro="" textlink="">
      <xdr:nvSpPr>
        <xdr:cNvPr id="1924" name="Rectangle 3709"/>
        <xdr:cNvSpPr>
          <a:spLocks noChangeArrowheads="1"/>
        </xdr:cNvSpPr>
      </xdr:nvSpPr>
      <xdr:spPr bwMode="auto">
        <a:xfrm>
          <a:off x="9163050" y="839819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180975</xdr:colOff>
      <xdr:row>301</xdr:row>
      <xdr:rowOff>0</xdr:rowOff>
    </xdr:from>
    <xdr:to>
      <xdr:col>27</xdr:col>
      <xdr:colOff>190500</xdr:colOff>
      <xdr:row>302</xdr:row>
      <xdr:rowOff>9525</xdr:rowOff>
    </xdr:to>
    <xdr:sp macro="" textlink="">
      <xdr:nvSpPr>
        <xdr:cNvPr id="1925" name="Rectangle 3710"/>
        <xdr:cNvSpPr>
          <a:spLocks noChangeArrowheads="1"/>
        </xdr:cNvSpPr>
      </xdr:nvSpPr>
      <xdr:spPr bwMode="auto">
        <a:xfrm>
          <a:off x="9153525" y="839819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301</xdr:row>
      <xdr:rowOff>0</xdr:rowOff>
    </xdr:from>
    <xdr:to>
      <xdr:col>27</xdr:col>
      <xdr:colOff>200025</xdr:colOff>
      <xdr:row>302</xdr:row>
      <xdr:rowOff>9525</xdr:rowOff>
    </xdr:to>
    <xdr:sp macro="" textlink="">
      <xdr:nvSpPr>
        <xdr:cNvPr id="1926" name="Rectangle 3711"/>
        <xdr:cNvSpPr>
          <a:spLocks noChangeArrowheads="1"/>
        </xdr:cNvSpPr>
      </xdr:nvSpPr>
      <xdr:spPr bwMode="auto">
        <a:xfrm>
          <a:off x="9163050" y="839819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301</xdr:row>
      <xdr:rowOff>11285</xdr:rowOff>
    </xdr:from>
    <xdr:to>
      <xdr:col>27</xdr:col>
      <xdr:colOff>200025</xdr:colOff>
      <xdr:row>302</xdr:row>
      <xdr:rowOff>24153</xdr:rowOff>
    </xdr:to>
    <xdr:sp macro="" textlink="">
      <xdr:nvSpPr>
        <xdr:cNvPr id="1927" name="Rectangle 3712"/>
        <xdr:cNvSpPr>
          <a:spLocks noChangeArrowheads="1"/>
        </xdr:cNvSpPr>
      </xdr:nvSpPr>
      <xdr:spPr bwMode="auto">
        <a:xfrm>
          <a:off x="9163050" y="83993210"/>
          <a:ext cx="457200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28</xdr:col>
      <xdr:colOff>190500</xdr:colOff>
      <xdr:row>301</xdr:row>
      <xdr:rowOff>0</xdr:rowOff>
    </xdr:from>
    <xdr:to>
      <xdr:col>29</xdr:col>
      <xdr:colOff>200025</xdr:colOff>
      <xdr:row>302</xdr:row>
      <xdr:rowOff>9525</xdr:rowOff>
    </xdr:to>
    <xdr:sp macro="" textlink="">
      <xdr:nvSpPr>
        <xdr:cNvPr id="1928" name="Rectangle 4121"/>
        <xdr:cNvSpPr>
          <a:spLocks noChangeArrowheads="1"/>
        </xdr:cNvSpPr>
      </xdr:nvSpPr>
      <xdr:spPr bwMode="auto">
        <a:xfrm>
          <a:off x="9991725" y="839819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301</xdr:row>
      <xdr:rowOff>0</xdr:rowOff>
    </xdr:from>
    <xdr:to>
      <xdr:col>29</xdr:col>
      <xdr:colOff>200025</xdr:colOff>
      <xdr:row>302</xdr:row>
      <xdr:rowOff>9525</xdr:rowOff>
    </xdr:to>
    <xdr:sp macro="" textlink="">
      <xdr:nvSpPr>
        <xdr:cNvPr id="1929" name="Rectangle 4122"/>
        <xdr:cNvSpPr>
          <a:spLocks noChangeArrowheads="1"/>
        </xdr:cNvSpPr>
      </xdr:nvSpPr>
      <xdr:spPr bwMode="auto">
        <a:xfrm>
          <a:off x="9991725" y="839819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301</xdr:row>
      <xdr:rowOff>0</xdr:rowOff>
    </xdr:from>
    <xdr:to>
      <xdr:col>29</xdr:col>
      <xdr:colOff>200025</xdr:colOff>
      <xdr:row>302</xdr:row>
      <xdr:rowOff>9525</xdr:rowOff>
    </xdr:to>
    <xdr:sp macro="" textlink="">
      <xdr:nvSpPr>
        <xdr:cNvPr id="1930" name="Rectangle 4123"/>
        <xdr:cNvSpPr>
          <a:spLocks noChangeArrowheads="1"/>
        </xdr:cNvSpPr>
      </xdr:nvSpPr>
      <xdr:spPr bwMode="auto">
        <a:xfrm>
          <a:off x="9991725" y="839819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301</xdr:row>
      <xdr:rowOff>0</xdr:rowOff>
    </xdr:from>
    <xdr:to>
      <xdr:col>29</xdr:col>
      <xdr:colOff>200025</xdr:colOff>
      <xdr:row>302</xdr:row>
      <xdr:rowOff>9525</xdr:rowOff>
    </xdr:to>
    <xdr:sp macro="" textlink="">
      <xdr:nvSpPr>
        <xdr:cNvPr id="1931" name="Rectangle 4124"/>
        <xdr:cNvSpPr>
          <a:spLocks noChangeArrowheads="1"/>
        </xdr:cNvSpPr>
      </xdr:nvSpPr>
      <xdr:spPr bwMode="auto">
        <a:xfrm>
          <a:off x="9991725" y="839819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301</xdr:row>
      <xdr:rowOff>0</xdr:rowOff>
    </xdr:from>
    <xdr:to>
      <xdr:col>29</xdr:col>
      <xdr:colOff>200025</xdr:colOff>
      <xdr:row>302</xdr:row>
      <xdr:rowOff>9525</xdr:rowOff>
    </xdr:to>
    <xdr:sp macro="" textlink="">
      <xdr:nvSpPr>
        <xdr:cNvPr id="1932" name="Rectangle 4125"/>
        <xdr:cNvSpPr>
          <a:spLocks noChangeArrowheads="1"/>
        </xdr:cNvSpPr>
      </xdr:nvSpPr>
      <xdr:spPr bwMode="auto">
        <a:xfrm>
          <a:off x="9991725" y="839819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301</xdr:row>
      <xdr:rowOff>8111</xdr:rowOff>
    </xdr:from>
    <xdr:to>
      <xdr:col>29</xdr:col>
      <xdr:colOff>200025</xdr:colOff>
      <xdr:row>302</xdr:row>
      <xdr:rowOff>20979</xdr:rowOff>
    </xdr:to>
    <xdr:sp macro="" textlink="">
      <xdr:nvSpPr>
        <xdr:cNvPr id="1933" name="Rectangle 4126"/>
        <xdr:cNvSpPr>
          <a:spLocks noChangeArrowheads="1"/>
        </xdr:cNvSpPr>
      </xdr:nvSpPr>
      <xdr:spPr bwMode="auto">
        <a:xfrm>
          <a:off x="9991725" y="83990036"/>
          <a:ext cx="504825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30</xdr:col>
      <xdr:colOff>190500</xdr:colOff>
      <xdr:row>301</xdr:row>
      <xdr:rowOff>0</xdr:rowOff>
    </xdr:from>
    <xdr:to>
      <xdr:col>31</xdr:col>
      <xdr:colOff>200025</xdr:colOff>
      <xdr:row>302</xdr:row>
      <xdr:rowOff>9525</xdr:rowOff>
    </xdr:to>
    <xdr:sp macro="" textlink="">
      <xdr:nvSpPr>
        <xdr:cNvPr id="1934" name="Rectangle 4655"/>
        <xdr:cNvSpPr>
          <a:spLocks noChangeArrowheads="1"/>
        </xdr:cNvSpPr>
      </xdr:nvSpPr>
      <xdr:spPr bwMode="auto">
        <a:xfrm>
          <a:off x="10868025" y="839819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301</xdr:row>
      <xdr:rowOff>0</xdr:rowOff>
    </xdr:from>
    <xdr:to>
      <xdr:col>31</xdr:col>
      <xdr:colOff>200025</xdr:colOff>
      <xdr:row>302</xdr:row>
      <xdr:rowOff>9525</xdr:rowOff>
    </xdr:to>
    <xdr:sp macro="" textlink="">
      <xdr:nvSpPr>
        <xdr:cNvPr id="1935" name="Rectangle 4656"/>
        <xdr:cNvSpPr>
          <a:spLocks noChangeArrowheads="1"/>
        </xdr:cNvSpPr>
      </xdr:nvSpPr>
      <xdr:spPr bwMode="auto">
        <a:xfrm>
          <a:off x="10868025" y="839819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301</xdr:row>
      <xdr:rowOff>0</xdr:rowOff>
    </xdr:from>
    <xdr:to>
      <xdr:col>31</xdr:col>
      <xdr:colOff>200025</xdr:colOff>
      <xdr:row>302</xdr:row>
      <xdr:rowOff>9525</xdr:rowOff>
    </xdr:to>
    <xdr:sp macro="" textlink="">
      <xdr:nvSpPr>
        <xdr:cNvPr id="1936" name="Rectangle 4657"/>
        <xdr:cNvSpPr>
          <a:spLocks noChangeArrowheads="1"/>
        </xdr:cNvSpPr>
      </xdr:nvSpPr>
      <xdr:spPr bwMode="auto">
        <a:xfrm>
          <a:off x="10868025" y="839819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301</xdr:row>
      <xdr:rowOff>0</xdr:rowOff>
    </xdr:from>
    <xdr:to>
      <xdr:col>31</xdr:col>
      <xdr:colOff>200025</xdr:colOff>
      <xdr:row>302</xdr:row>
      <xdr:rowOff>9525</xdr:rowOff>
    </xdr:to>
    <xdr:sp macro="" textlink="">
      <xdr:nvSpPr>
        <xdr:cNvPr id="1937" name="Rectangle 4658"/>
        <xdr:cNvSpPr>
          <a:spLocks noChangeArrowheads="1"/>
        </xdr:cNvSpPr>
      </xdr:nvSpPr>
      <xdr:spPr bwMode="auto">
        <a:xfrm>
          <a:off x="10868025" y="839819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301</xdr:row>
      <xdr:rowOff>0</xdr:rowOff>
    </xdr:from>
    <xdr:to>
      <xdr:col>31</xdr:col>
      <xdr:colOff>200025</xdr:colOff>
      <xdr:row>302</xdr:row>
      <xdr:rowOff>9525</xdr:rowOff>
    </xdr:to>
    <xdr:sp macro="" textlink="">
      <xdr:nvSpPr>
        <xdr:cNvPr id="1938" name="Rectangle 4659"/>
        <xdr:cNvSpPr>
          <a:spLocks noChangeArrowheads="1"/>
        </xdr:cNvSpPr>
      </xdr:nvSpPr>
      <xdr:spPr bwMode="auto">
        <a:xfrm>
          <a:off x="10868025" y="839819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301</xdr:row>
      <xdr:rowOff>0</xdr:rowOff>
    </xdr:from>
    <xdr:to>
      <xdr:col>31</xdr:col>
      <xdr:colOff>200025</xdr:colOff>
      <xdr:row>302</xdr:row>
      <xdr:rowOff>9525</xdr:rowOff>
    </xdr:to>
    <xdr:sp macro="" textlink="">
      <xdr:nvSpPr>
        <xdr:cNvPr id="1939" name="Rectangle 4660"/>
        <xdr:cNvSpPr>
          <a:spLocks noChangeArrowheads="1"/>
        </xdr:cNvSpPr>
      </xdr:nvSpPr>
      <xdr:spPr bwMode="auto">
        <a:xfrm>
          <a:off x="10868025" y="839819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301</xdr:row>
      <xdr:rowOff>0</xdr:rowOff>
    </xdr:from>
    <xdr:to>
      <xdr:col>31</xdr:col>
      <xdr:colOff>200025</xdr:colOff>
      <xdr:row>302</xdr:row>
      <xdr:rowOff>9525</xdr:rowOff>
    </xdr:to>
    <xdr:sp macro="" textlink="">
      <xdr:nvSpPr>
        <xdr:cNvPr id="1940" name="Rectangle 4661"/>
        <xdr:cNvSpPr>
          <a:spLocks noChangeArrowheads="1"/>
        </xdr:cNvSpPr>
      </xdr:nvSpPr>
      <xdr:spPr bwMode="auto">
        <a:xfrm>
          <a:off x="10868025" y="839819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301</xdr:row>
      <xdr:rowOff>0</xdr:rowOff>
    </xdr:from>
    <xdr:to>
      <xdr:col>31</xdr:col>
      <xdr:colOff>200025</xdr:colOff>
      <xdr:row>302</xdr:row>
      <xdr:rowOff>9525</xdr:rowOff>
    </xdr:to>
    <xdr:sp macro="" textlink="">
      <xdr:nvSpPr>
        <xdr:cNvPr id="1941" name="Rectangle 4662"/>
        <xdr:cNvSpPr>
          <a:spLocks noChangeArrowheads="1"/>
        </xdr:cNvSpPr>
      </xdr:nvSpPr>
      <xdr:spPr bwMode="auto">
        <a:xfrm>
          <a:off x="10868025" y="839819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301</xdr:row>
      <xdr:rowOff>0</xdr:rowOff>
    </xdr:from>
    <xdr:to>
      <xdr:col>31</xdr:col>
      <xdr:colOff>200025</xdr:colOff>
      <xdr:row>302</xdr:row>
      <xdr:rowOff>9525</xdr:rowOff>
    </xdr:to>
    <xdr:sp macro="" textlink="">
      <xdr:nvSpPr>
        <xdr:cNvPr id="1942" name="Rectangle 4663"/>
        <xdr:cNvSpPr>
          <a:spLocks noChangeArrowheads="1"/>
        </xdr:cNvSpPr>
      </xdr:nvSpPr>
      <xdr:spPr bwMode="auto">
        <a:xfrm>
          <a:off x="10868025" y="839819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171061</xdr:colOff>
      <xdr:row>301</xdr:row>
      <xdr:rowOff>17830</xdr:rowOff>
    </xdr:from>
    <xdr:to>
      <xdr:col>31</xdr:col>
      <xdr:colOff>180586</xdr:colOff>
      <xdr:row>302</xdr:row>
      <xdr:rowOff>30698</xdr:rowOff>
    </xdr:to>
    <xdr:sp macro="" textlink="">
      <xdr:nvSpPr>
        <xdr:cNvPr id="1943" name="Rectangle 4664"/>
        <xdr:cNvSpPr>
          <a:spLocks noChangeArrowheads="1"/>
        </xdr:cNvSpPr>
      </xdr:nvSpPr>
      <xdr:spPr bwMode="auto">
        <a:xfrm>
          <a:off x="10848586" y="83999755"/>
          <a:ext cx="428625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32</xdr:col>
      <xdr:colOff>190500</xdr:colOff>
      <xdr:row>301</xdr:row>
      <xdr:rowOff>0</xdr:rowOff>
    </xdr:from>
    <xdr:to>
      <xdr:col>33</xdr:col>
      <xdr:colOff>200025</xdr:colOff>
      <xdr:row>302</xdr:row>
      <xdr:rowOff>9525</xdr:rowOff>
    </xdr:to>
    <xdr:sp macro="" textlink="">
      <xdr:nvSpPr>
        <xdr:cNvPr id="1944" name="Rectangle 5332"/>
        <xdr:cNvSpPr>
          <a:spLocks noChangeArrowheads="1"/>
        </xdr:cNvSpPr>
      </xdr:nvSpPr>
      <xdr:spPr bwMode="auto">
        <a:xfrm>
          <a:off x="1164907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301</xdr:row>
      <xdr:rowOff>0</xdr:rowOff>
    </xdr:from>
    <xdr:to>
      <xdr:col>33</xdr:col>
      <xdr:colOff>200025</xdr:colOff>
      <xdr:row>302</xdr:row>
      <xdr:rowOff>9525</xdr:rowOff>
    </xdr:to>
    <xdr:sp macro="" textlink="">
      <xdr:nvSpPr>
        <xdr:cNvPr id="1945" name="Rectangle 5333"/>
        <xdr:cNvSpPr>
          <a:spLocks noChangeArrowheads="1"/>
        </xdr:cNvSpPr>
      </xdr:nvSpPr>
      <xdr:spPr bwMode="auto">
        <a:xfrm>
          <a:off x="1164907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301</xdr:row>
      <xdr:rowOff>0</xdr:rowOff>
    </xdr:from>
    <xdr:to>
      <xdr:col>33</xdr:col>
      <xdr:colOff>200025</xdr:colOff>
      <xdr:row>302</xdr:row>
      <xdr:rowOff>9525</xdr:rowOff>
    </xdr:to>
    <xdr:sp macro="" textlink="">
      <xdr:nvSpPr>
        <xdr:cNvPr id="1946" name="Rectangle 5334"/>
        <xdr:cNvSpPr>
          <a:spLocks noChangeArrowheads="1"/>
        </xdr:cNvSpPr>
      </xdr:nvSpPr>
      <xdr:spPr bwMode="auto">
        <a:xfrm>
          <a:off x="1164907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301</xdr:row>
      <xdr:rowOff>0</xdr:rowOff>
    </xdr:from>
    <xdr:to>
      <xdr:col>33</xdr:col>
      <xdr:colOff>200025</xdr:colOff>
      <xdr:row>302</xdr:row>
      <xdr:rowOff>9525</xdr:rowOff>
    </xdr:to>
    <xdr:sp macro="" textlink="">
      <xdr:nvSpPr>
        <xdr:cNvPr id="1947" name="Rectangle 5335"/>
        <xdr:cNvSpPr>
          <a:spLocks noChangeArrowheads="1"/>
        </xdr:cNvSpPr>
      </xdr:nvSpPr>
      <xdr:spPr bwMode="auto">
        <a:xfrm>
          <a:off x="1164907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301</xdr:row>
      <xdr:rowOff>0</xdr:rowOff>
    </xdr:from>
    <xdr:to>
      <xdr:col>33</xdr:col>
      <xdr:colOff>200025</xdr:colOff>
      <xdr:row>302</xdr:row>
      <xdr:rowOff>9525</xdr:rowOff>
    </xdr:to>
    <xdr:sp macro="" textlink="">
      <xdr:nvSpPr>
        <xdr:cNvPr id="1948" name="Rectangle 5336"/>
        <xdr:cNvSpPr>
          <a:spLocks noChangeArrowheads="1"/>
        </xdr:cNvSpPr>
      </xdr:nvSpPr>
      <xdr:spPr bwMode="auto">
        <a:xfrm>
          <a:off x="1164907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301</xdr:row>
      <xdr:rowOff>0</xdr:rowOff>
    </xdr:from>
    <xdr:to>
      <xdr:col>33</xdr:col>
      <xdr:colOff>200025</xdr:colOff>
      <xdr:row>302</xdr:row>
      <xdr:rowOff>9525</xdr:rowOff>
    </xdr:to>
    <xdr:sp macro="" textlink="">
      <xdr:nvSpPr>
        <xdr:cNvPr id="1949" name="Rectangle 5337"/>
        <xdr:cNvSpPr>
          <a:spLocks noChangeArrowheads="1"/>
        </xdr:cNvSpPr>
      </xdr:nvSpPr>
      <xdr:spPr bwMode="auto">
        <a:xfrm>
          <a:off x="1164907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301</xdr:row>
      <xdr:rowOff>0</xdr:rowOff>
    </xdr:from>
    <xdr:to>
      <xdr:col>33</xdr:col>
      <xdr:colOff>200025</xdr:colOff>
      <xdr:row>302</xdr:row>
      <xdr:rowOff>9525</xdr:rowOff>
    </xdr:to>
    <xdr:sp macro="" textlink="">
      <xdr:nvSpPr>
        <xdr:cNvPr id="1950" name="Rectangle 5338"/>
        <xdr:cNvSpPr>
          <a:spLocks noChangeArrowheads="1"/>
        </xdr:cNvSpPr>
      </xdr:nvSpPr>
      <xdr:spPr bwMode="auto">
        <a:xfrm>
          <a:off x="1164907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301</xdr:row>
      <xdr:rowOff>0</xdr:rowOff>
    </xdr:from>
    <xdr:to>
      <xdr:col>33</xdr:col>
      <xdr:colOff>200025</xdr:colOff>
      <xdr:row>302</xdr:row>
      <xdr:rowOff>9525</xdr:rowOff>
    </xdr:to>
    <xdr:sp macro="" textlink="">
      <xdr:nvSpPr>
        <xdr:cNvPr id="1951" name="Rectangle 5339"/>
        <xdr:cNvSpPr>
          <a:spLocks noChangeArrowheads="1"/>
        </xdr:cNvSpPr>
      </xdr:nvSpPr>
      <xdr:spPr bwMode="auto">
        <a:xfrm>
          <a:off x="1164907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301</xdr:row>
      <xdr:rowOff>0</xdr:rowOff>
    </xdr:from>
    <xdr:to>
      <xdr:col>33</xdr:col>
      <xdr:colOff>200025</xdr:colOff>
      <xdr:row>302</xdr:row>
      <xdr:rowOff>9525</xdr:rowOff>
    </xdr:to>
    <xdr:sp macro="" textlink="">
      <xdr:nvSpPr>
        <xdr:cNvPr id="1952" name="Rectangle 5340"/>
        <xdr:cNvSpPr>
          <a:spLocks noChangeArrowheads="1"/>
        </xdr:cNvSpPr>
      </xdr:nvSpPr>
      <xdr:spPr bwMode="auto">
        <a:xfrm>
          <a:off x="1164907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301</xdr:row>
      <xdr:rowOff>0</xdr:rowOff>
    </xdr:from>
    <xdr:to>
      <xdr:col>33</xdr:col>
      <xdr:colOff>200025</xdr:colOff>
      <xdr:row>302</xdr:row>
      <xdr:rowOff>9525</xdr:rowOff>
    </xdr:to>
    <xdr:sp macro="" textlink="">
      <xdr:nvSpPr>
        <xdr:cNvPr id="1953" name="Rectangle 5341"/>
        <xdr:cNvSpPr>
          <a:spLocks noChangeArrowheads="1"/>
        </xdr:cNvSpPr>
      </xdr:nvSpPr>
      <xdr:spPr bwMode="auto">
        <a:xfrm>
          <a:off x="1164907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301</xdr:row>
      <xdr:rowOff>0</xdr:rowOff>
    </xdr:from>
    <xdr:to>
      <xdr:col>33</xdr:col>
      <xdr:colOff>200025</xdr:colOff>
      <xdr:row>302</xdr:row>
      <xdr:rowOff>9525</xdr:rowOff>
    </xdr:to>
    <xdr:sp macro="" textlink="">
      <xdr:nvSpPr>
        <xdr:cNvPr id="1954" name="Rectangle 5342"/>
        <xdr:cNvSpPr>
          <a:spLocks noChangeArrowheads="1"/>
        </xdr:cNvSpPr>
      </xdr:nvSpPr>
      <xdr:spPr bwMode="auto">
        <a:xfrm>
          <a:off x="1164907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301</xdr:row>
      <xdr:rowOff>0</xdr:rowOff>
    </xdr:from>
    <xdr:to>
      <xdr:col>33</xdr:col>
      <xdr:colOff>200025</xdr:colOff>
      <xdr:row>302</xdr:row>
      <xdr:rowOff>9525</xdr:rowOff>
    </xdr:to>
    <xdr:sp macro="" textlink="">
      <xdr:nvSpPr>
        <xdr:cNvPr id="1955" name="Rectangle 5343"/>
        <xdr:cNvSpPr>
          <a:spLocks noChangeArrowheads="1"/>
        </xdr:cNvSpPr>
      </xdr:nvSpPr>
      <xdr:spPr bwMode="auto">
        <a:xfrm>
          <a:off x="1164907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301</xdr:row>
      <xdr:rowOff>0</xdr:rowOff>
    </xdr:from>
    <xdr:to>
      <xdr:col>33</xdr:col>
      <xdr:colOff>200025</xdr:colOff>
      <xdr:row>302</xdr:row>
      <xdr:rowOff>9525</xdr:rowOff>
    </xdr:to>
    <xdr:sp macro="" textlink="">
      <xdr:nvSpPr>
        <xdr:cNvPr id="1956" name="Rectangle 5344"/>
        <xdr:cNvSpPr>
          <a:spLocks noChangeArrowheads="1"/>
        </xdr:cNvSpPr>
      </xdr:nvSpPr>
      <xdr:spPr bwMode="auto">
        <a:xfrm>
          <a:off x="11649075" y="839819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300</xdr:row>
      <xdr:rowOff>530399</xdr:rowOff>
    </xdr:from>
    <xdr:to>
      <xdr:col>33</xdr:col>
      <xdr:colOff>200025</xdr:colOff>
      <xdr:row>302</xdr:row>
      <xdr:rowOff>9867</xdr:rowOff>
    </xdr:to>
    <xdr:sp macro="" textlink="">
      <xdr:nvSpPr>
        <xdr:cNvPr id="1957" name="Rectangle 5345"/>
        <xdr:cNvSpPr>
          <a:spLocks noChangeArrowheads="1"/>
        </xdr:cNvSpPr>
      </xdr:nvSpPr>
      <xdr:spPr bwMode="auto">
        <a:xfrm>
          <a:off x="11649075" y="83978924"/>
          <a:ext cx="438150" cy="28909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0</xdr:col>
      <xdr:colOff>85725</xdr:colOff>
      <xdr:row>280</xdr:row>
      <xdr:rowOff>95250</xdr:rowOff>
    </xdr:from>
    <xdr:to>
      <xdr:col>3</xdr:col>
      <xdr:colOff>104775</xdr:colOff>
      <xdr:row>283</xdr:row>
      <xdr:rowOff>123825</xdr:rowOff>
    </xdr:to>
    <xdr:pic>
      <xdr:nvPicPr>
        <xdr:cNvPr id="1958" name="Picture 566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b="10052"/>
        <a:stretch>
          <a:fillRect/>
        </a:stretch>
      </xdr:blipFill>
      <xdr:spPr bwMode="auto">
        <a:xfrm>
          <a:off x="85725" y="78047850"/>
          <a:ext cx="59055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26</xdr:col>
      <xdr:colOff>190500</xdr:colOff>
      <xdr:row>91</xdr:row>
      <xdr:rowOff>323490</xdr:rowOff>
    </xdr:from>
    <xdr:to>
      <xdr:col>27</xdr:col>
      <xdr:colOff>200025</xdr:colOff>
      <xdr:row>92</xdr:row>
      <xdr:rowOff>270115</xdr:rowOff>
    </xdr:to>
    <xdr:sp macro="" textlink="">
      <xdr:nvSpPr>
        <xdr:cNvPr id="1959" name="Rectangle 3315"/>
        <xdr:cNvSpPr>
          <a:spLocks noChangeArrowheads="1"/>
        </xdr:cNvSpPr>
      </xdr:nvSpPr>
      <xdr:spPr bwMode="auto">
        <a:xfrm>
          <a:off x="9163050" y="25479015"/>
          <a:ext cx="457200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28</xdr:col>
      <xdr:colOff>190500</xdr:colOff>
      <xdr:row>91</xdr:row>
      <xdr:rowOff>323490</xdr:rowOff>
    </xdr:from>
    <xdr:to>
      <xdr:col>29</xdr:col>
      <xdr:colOff>200025</xdr:colOff>
      <xdr:row>92</xdr:row>
      <xdr:rowOff>270115</xdr:rowOff>
    </xdr:to>
    <xdr:sp macro="" textlink="">
      <xdr:nvSpPr>
        <xdr:cNvPr id="1960" name="Rectangle 3653"/>
        <xdr:cNvSpPr>
          <a:spLocks noChangeArrowheads="1"/>
        </xdr:cNvSpPr>
      </xdr:nvSpPr>
      <xdr:spPr bwMode="auto">
        <a:xfrm>
          <a:off x="9991725" y="25479015"/>
          <a:ext cx="504825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28</xdr:col>
      <xdr:colOff>190500</xdr:colOff>
      <xdr:row>91</xdr:row>
      <xdr:rowOff>323490</xdr:rowOff>
    </xdr:from>
    <xdr:to>
      <xdr:col>29</xdr:col>
      <xdr:colOff>200025</xdr:colOff>
      <xdr:row>92</xdr:row>
      <xdr:rowOff>270115</xdr:rowOff>
    </xdr:to>
    <xdr:sp macro="" textlink="">
      <xdr:nvSpPr>
        <xdr:cNvPr id="1961" name="Rectangle 3315"/>
        <xdr:cNvSpPr>
          <a:spLocks noChangeArrowheads="1"/>
        </xdr:cNvSpPr>
      </xdr:nvSpPr>
      <xdr:spPr bwMode="auto">
        <a:xfrm>
          <a:off x="9991725" y="25479015"/>
          <a:ext cx="504825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30</xdr:col>
      <xdr:colOff>190500</xdr:colOff>
      <xdr:row>91</xdr:row>
      <xdr:rowOff>323490</xdr:rowOff>
    </xdr:from>
    <xdr:to>
      <xdr:col>31</xdr:col>
      <xdr:colOff>200025</xdr:colOff>
      <xdr:row>92</xdr:row>
      <xdr:rowOff>270115</xdr:rowOff>
    </xdr:to>
    <xdr:sp macro="" textlink="">
      <xdr:nvSpPr>
        <xdr:cNvPr id="1962" name="Rectangle 3653"/>
        <xdr:cNvSpPr>
          <a:spLocks noChangeArrowheads="1"/>
        </xdr:cNvSpPr>
      </xdr:nvSpPr>
      <xdr:spPr bwMode="auto">
        <a:xfrm>
          <a:off x="10868025" y="25479015"/>
          <a:ext cx="428625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30</xdr:col>
      <xdr:colOff>190500</xdr:colOff>
      <xdr:row>91</xdr:row>
      <xdr:rowOff>323490</xdr:rowOff>
    </xdr:from>
    <xdr:to>
      <xdr:col>31</xdr:col>
      <xdr:colOff>200025</xdr:colOff>
      <xdr:row>92</xdr:row>
      <xdr:rowOff>270115</xdr:rowOff>
    </xdr:to>
    <xdr:sp macro="" textlink="">
      <xdr:nvSpPr>
        <xdr:cNvPr id="1963" name="Rectangle 3315"/>
        <xdr:cNvSpPr>
          <a:spLocks noChangeArrowheads="1"/>
        </xdr:cNvSpPr>
      </xdr:nvSpPr>
      <xdr:spPr bwMode="auto">
        <a:xfrm>
          <a:off x="10868025" y="25479015"/>
          <a:ext cx="428625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32</xdr:col>
      <xdr:colOff>190500</xdr:colOff>
      <xdr:row>91</xdr:row>
      <xdr:rowOff>323490</xdr:rowOff>
    </xdr:from>
    <xdr:to>
      <xdr:col>33</xdr:col>
      <xdr:colOff>200025</xdr:colOff>
      <xdr:row>92</xdr:row>
      <xdr:rowOff>270115</xdr:rowOff>
    </xdr:to>
    <xdr:sp macro="" textlink="">
      <xdr:nvSpPr>
        <xdr:cNvPr id="1964" name="Rectangle 3653"/>
        <xdr:cNvSpPr>
          <a:spLocks noChangeArrowheads="1"/>
        </xdr:cNvSpPr>
      </xdr:nvSpPr>
      <xdr:spPr bwMode="auto">
        <a:xfrm>
          <a:off x="11649075" y="25479015"/>
          <a:ext cx="438150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32</xdr:col>
      <xdr:colOff>190500</xdr:colOff>
      <xdr:row>91</xdr:row>
      <xdr:rowOff>323490</xdr:rowOff>
    </xdr:from>
    <xdr:to>
      <xdr:col>33</xdr:col>
      <xdr:colOff>200025</xdr:colOff>
      <xdr:row>92</xdr:row>
      <xdr:rowOff>270115</xdr:rowOff>
    </xdr:to>
    <xdr:sp macro="" textlink="">
      <xdr:nvSpPr>
        <xdr:cNvPr id="1965" name="Rectangle 3315"/>
        <xdr:cNvSpPr>
          <a:spLocks noChangeArrowheads="1"/>
        </xdr:cNvSpPr>
      </xdr:nvSpPr>
      <xdr:spPr bwMode="auto">
        <a:xfrm>
          <a:off x="11649075" y="25479015"/>
          <a:ext cx="438150" cy="289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10</xdr:col>
      <xdr:colOff>190500</xdr:colOff>
      <xdr:row>336</xdr:row>
      <xdr:rowOff>0</xdr:rowOff>
    </xdr:from>
    <xdr:to>
      <xdr:col>11</xdr:col>
      <xdr:colOff>200025</xdr:colOff>
      <xdr:row>337</xdr:row>
      <xdr:rowOff>9525</xdr:rowOff>
    </xdr:to>
    <xdr:sp macro="" textlink="">
      <xdr:nvSpPr>
        <xdr:cNvPr id="1966" name="Rectangle 1965"/>
        <xdr:cNvSpPr>
          <a:spLocks noChangeArrowheads="1"/>
        </xdr:cNvSpPr>
      </xdr:nvSpPr>
      <xdr:spPr bwMode="auto">
        <a:xfrm>
          <a:off x="2209800" y="935831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12</xdr:col>
      <xdr:colOff>190500</xdr:colOff>
      <xdr:row>336</xdr:row>
      <xdr:rowOff>0</xdr:rowOff>
    </xdr:from>
    <xdr:to>
      <xdr:col>13</xdr:col>
      <xdr:colOff>200025</xdr:colOff>
      <xdr:row>337</xdr:row>
      <xdr:rowOff>9525</xdr:rowOff>
    </xdr:to>
    <xdr:sp macro="" textlink="">
      <xdr:nvSpPr>
        <xdr:cNvPr id="1967" name="Rectangle 1966"/>
        <xdr:cNvSpPr>
          <a:spLocks noChangeArrowheads="1"/>
        </xdr:cNvSpPr>
      </xdr:nvSpPr>
      <xdr:spPr bwMode="auto">
        <a:xfrm>
          <a:off x="3057525" y="935831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14</xdr:col>
      <xdr:colOff>190500</xdr:colOff>
      <xdr:row>336</xdr:row>
      <xdr:rowOff>0</xdr:rowOff>
    </xdr:from>
    <xdr:to>
      <xdr:col>15</xdr:col>
      <xdr:colOff>200025</xdr:colOff>
      <xdr:row>337</xdr:row>
      <xdr:rowOff>9525</xdr:rowOff>
    </xdr:to>
    <xdr:sp macro="" textlink="">
      <xdr:nvSpPr>
        <xdr:cNvPr id="1968" name="Rectangle 1967"/>
        <xdr:cNvSpPr>
          <a:spLocks noChangeArrowheads="1"/>
        </xdr:cNvSpPr>
      </xdr:nvSpPr>
      <xdr:spPr bwMode="auto">
        <a:xfrm>
          <a:off x="3933825" y="9358312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336</xdr:row>
      <xdr:rowOff>0</xdr:rowOff>
    </xdr:from>
    <xdr:to>
      <xdr:col>17</xdr:col>
      <xdr:colOff>200025</xdr:colOff>
      <xdr:row>337</xdr:row>
      <xdr:rowOff>9525</xdr:rowOff>
    </xdr:to>
    <xdr:sp macro="" textlink="">
      <xdr:nvSpPr>
        <xdr:cNvPr id="1969" name="Rectangle 1968"/>
        <xdr:cNvSpPr>
          <a:spLocks noChangeArrowheads="1"/>
        </xdr:cNvSpPr>
      </xdr:nvSpPr>
      <xdr:spPr bwMode="auto">
        <a:xfrm>
          <a:off x="4943475" y="935831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336</xdr:row>
      <xdr:rowOff>0</xdr:rowOff>
    </xdr:from>
    <xdr:to>
      <xdr:col>21</xdr:col>
      <xdr:colOff>200025</xdr:colOff>
      <xdr:row>337</xdr:row>
      <xdr:rowOff>9525</xdr:rowOff>
    </xdr:to>
    <xdr:sp macro="" textlink="">
      <xdr:nvSpPr>
        <xdr:cNvPr id="1970" name="Rectangle 1969"/>
        <xdr:cNvSpPr>
          <a:spLocks noChangeArrowheads="1"/>
        </xdr:cNvSpPr>
      </xdr:nvSpPr>
      <xdr:spPr bwMode="auto">
        <a:xfrm>
          <a:off x="6648450" y="935831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336</xdr:row>
      <xdr:rowOff>0</xdr:rowOff>
    </xdr:from>
    <xdr:to>
      <xdr:col>23</xdr:col>
      <xdr:colOff>200025</xdr:colOff>
      <xdr:row>337</xdr:row>
      <xdr:rowOff>9525</xdr:rowOff>
    </xdr:to>
    <xdr:sp macro="" textlink="">
      <xdr:nvSpPr>
        <xdr:cNvPr id="1971" name="Rectangle 1970"/>
        <xdr:cNvSpPr>
          <a:spLocks noChangeArrowheads="1"/>
        </xdr:cNvSpPr>
      </xdr:nvSpPr>
      <xdr:spPr bwMode="auto">
        <a:xfrm>
          <a:off x="7505700" y="935831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336</xdr:row>
      <xdr:rowOff>0</xdr:rowOff>
    </xdr:from>
    <xdr:to>
      <xdr:col>25</xdr:col>
      <xdr:colOff>200025</xdr:colOff>
      <xdr:row>337</xdr:row>
      <xdr:rowOff>9525</xdr:rowOff>
    </xdr:to>
    <xdr:sp macro="" textlink="">
      <xdr:nvSpPr>
        <xdr:cNvPr id="1972" name="Rectangle 1971"/>
        <xdr:cNvSpPr>
          <a:spLocks noChangeArrowheads="1"/>
        </xdr:cNvSpPr>
      </xdr:nvSpPr>
      <xdr:spPr bwMode="auto">
        <a:xfrm>
          <a:off x="8315325" y="935831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336</xdr:row>
      <xdr:rowOff>0</xdr:rowOff>
    </xdr:from>
    <xdr:to>
      <xdr:col>27</xdr:col>
      <xdr:colOff>200025</xdr:colOff>
      <xdr:row>337</xdr:row>
      <xdr:rowOff>9525</xdr:rowOff>
    </xdr:to>
    <xdr:sp macro="" textlink="">
      <xdr:nvSpPr>
        <xdr:cNvPr id="1973" name="Rectangle 1972"/>
        <xdr:cNvSpPr>
          <a:spLocks noChangeArrowheads="1"/>
        </xdr:cNvSpPr>
      </xdr:nvSpPr>
      <xdr:spPr bwMode="auto">
        <a:xfrm>
          <a:off x="9163050" y="935831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336</xdr:row>
      <xdr:rowOff>0</xdr:rowOff>
    </xdr:from>
    <xdr:to>
      <xdr:col>31</xdr:col>
      <xdr:colOff>200025</xdr:colOff>
      <xdr:row>337</xdr:row>
      <xdr:rowOff>9525</xdr:rowOff>
    </xdr:to>
    <xdr:sp macro="" textlink="">
      <xdr:nvSpPr>
        <xdr:cNvPr id="1974" name="Rectangle 1973"/>
        <xdr:cNvSpPr>
          <a:spLocks noChangeArrowheads="1"/>
        </xdr:cNvSpPr>
      </xdr:nvSpPr>
      <xdr:spPr bwMode="auto">
        <a:xfrm>
          <a:off x="10868025" y="935831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336</xdr:row>
      <xdr:rowOff>0</xdr:rowOff>
    </xdr:from>
    <xdr:to>
      <xdr:col>33</xdr:col>
      <xdr:colOff>200025</xdr:colOff>
      <xdr:row>337</xdr:row>
      <xdr:rowOff>9525</xdr:rowOff>
    </xdr:to>
    <xdr:sp macro="" textlink="">
      <xdr:nvSpPr>
        <xdr:cNvPr id="1975" name="Rectangle 1974"/>
        <xdr:cNvSpPr>
          <a:spLocks noChangeArrowheads="1"/>
        </xdr:cNvSpPr>
      </xdr:nvSpPr>
      <xdr:spPr bwMode="auto">
        <a:xfrm>
          <a:off x="11649075" y="935831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336</xdr:row>
      <xdr:rowOff>0</xdr:rowOff>
    </xdr:from>
    <xdr:to>
      <xdr:col>37</xdr:col>
      <xdr:colOff>190500</xdr:colOff>
      <xdr:row>337</xdr:row>
      <xdr:rowOff>9525</xdr:rowOff>
    </xdr:to>
    <xdr:sp macro="" textlink="">
      <xdr:nvSpPr>
        <xdr:cNvPr id="1976" name="Rectangle 1975"/>
        <xdr:cNvSpPr>
          <a:spLocks noChangeArrowheads="1"/>
        </xdr:cNvSpPr>
      </xdr:nvSpPr>
      <xdr:spPr bwMode="auto">
        <a:xfrm>
          <a:off x="13201650" y="935831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336</xdr:row>
      <xdr:rowOff>0</xdr:rowOff>
    </xdr:from>
    <xdr:to>
      <xdr:col>29</xdr:col>
      <xdr:colOff>200025</xdr:colOff>
      <xdr:row>337</xdr:row>
      <xdr:rowOff>9525</xdr:rowOff>
    </xdr:to>
    <xdr:sp macro="" textlink="">
      <xdr:nvSpPr>
        <xdr:cNvPr id="1977" name="Rectangle 1149"/>
        <xdr:cNvSpPr>
          <a:spLocks noChangeArrowheads="1"/>
        </xdr:cNvSpPr>
      </xdr:nvSpPr>
      <xdr:spPr bwMode="auto">
        <a:xfrm>
          <a:off x="9991725" y="935831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180975</xdr:colOff>
      <xdr:row>336</xdr:row>
      <xdr:rowOff>0</xdr:rowOff>
    </xdr:from>
    <xdr:to>
      <xdr:col>19</xdr:col>
      <xdr:colOff>190500</xdr:colOff>
      <xdr:row>337</xdr:row>
      <xdr:rowOff>9525</xdr:rowOff>
    </xdr:to>
    <xdr:sp macro="" textlink="">
      <xdr:nvSpPr>
        <xdr:cNvPr id="1978" name="Rectangle 1242"/>
        <xdr:cNvSpPr>
          <a:spLocks noChangeArrowheads="1"/>
        </xdr:cNvSpPr>
      </xdr:nvSpPr>
      <xdr:spPr bwMode="auto">
        <a:xfrm>
          <a:off x="5829300" y="935831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336</xdr:row>
      <xdr:rowOff>0</xdr:rowOff>
    </xdr:from>
    <xdr:to>
      <xdr:col>11</xdr:col>
      <xdr:colOff>200025</xdr:colOff>
      <xdr:row>337</xdr:row>
      <xdr:rowOff>9525</xdr:rowOff>
    </xdr:to>
    <xdr:sp macro="" textlink="">
      <xdr:nvSpPr>
        <xdr:cNvPr id="1979" name="Rectangle 1243"/>
        <xdr:cNvSpPr>
          <a:spLocks noChangeArrowheads="1"/>
        </xdr:cNvSpPr>
      </xdr:nvSpPr>
      <xdr:spPr bwMode="auto">
        <a:xfrm>
          <a:off x="2209800" y="935831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336</xdr:row>
      <xdr:rowOff>0</xdr:rowOff>
    </xdr:from>
    <xdr:to>
      <xdr:col>13</xdr:col>
      <xdr:colOff>200025</xdr:colOff>
      <xdr:row>337</xdr:row>
      <xdr:rowOff>9525</xdr:rowOff>
    </xdr:to>
    <xdr:sp macro="" textlink="">
      <xdr:nvSpPr>
        <xdr:cNvPr id="1980" name="Rectangle 1244"/>
        <xdr:cNvSpPr>
          <a:spLocks noChangeArrowheads="1"/>
        </xdr:cNvSpPr>
      </xdr:nvSpPr>
      <xdr:spPr bwMode="auto">
        <a:xfrm>
          <a:off x="3057525" y="935831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336</xdr:row>
      <xdr:rowOff>0</xdr:rowOff>
    </xdr:from>
    <xdr:to>
      <xdr:col>15</xdr:col>
      <xdr:colOff>200025</xdr:colOff>
      <xdr:row>337</xdr:row>
      <xdr:rowOff>9525</xdr:rowOff>
    </xdr:to>
    <xdr:sp macro="" textlink="">
      <xdr:nvSpPr>
        <xdr:cNvPr id="1981" name="Rectangle 1245"/>
        <xdr:cNvSpPr>
          <a:spLocks noChangeArrowheads="1"/>
        </xdr:cNvSpPr>
      </xdr:nvSpPr>
      <xdr:spPr bwMode="auto">
        <a:xfrm>
          <a:off x="3933825" y="9358312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336</xdr:row>
      <xdr:rowOff>0</xdr:rowOff>
    </xdr:from>
    <xdr:to>
      <xdr:col>17</xdr:col>
      <xdr:colOff>200025</xdr:colOff>
      <xdr:row>337</xdr:row>
      <xdr:rowOff>9525</xdr:rowOff>
    </xdr:to>
    <xdr:sp macro="" textlink="">
      <xdr:nvSpPr>
        <xdr:cNvPr id="1982" name="Rectangle 1246"/>
        <xdr:cNvSpPr>
          <a:spLocks noChangeArrowheads="1"/>
        </xdr:cNvSpPr>
      </xdr:nvSpPr>
      <xdr:spPr bwMode="auto">
        <a:xfrm>
          <a:off x="4943475" y="935831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336</xdr:row>
      <xdr:rowOff>0</xdr:rowOff>
    </xdr:from>
    <xdr:to>
      <xdr:col>19</xdr:col>
      <xdr:colOff>200025</xdr:colOff>
      <xdr:row>337</xdr:row>
      <xdr:rowOff>9525</xdr:rowOff>
    </xdr:to>
    <xdr:sp macro="" textlink="">
      <xdr:nvSpPr>
        <xdr:cNvPr id="1983" name="Rectangle 1247"/>
        <xdr:cNvSpPr>
          <a:spLocks noChangeArrowheads="1"/>
        </xdr:cNvSpPr>
      </xdr:nvSpPr>
      <xdr:spPr bwMode="auto">
        <a:xfrm>
          <a:off x="5838825" y="935831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336</xdr:row>
      <xdr:rowOff>0</xdr:rowOff>
    </xdr:from>
    <xdr:to>
      <xdr:col>21</xdr:col>
      <xdr:colOff>200025</xdr:colOff>
      <xdr:row>337</xdr:row>
      <xdr:rowOff>9525</xdr:rowOff>
    </xdr:to>
    <xdr:sp macro="" textlink="">
      <xdr:nvSpPr>
        <xdr:cNvPr id="1984" name="Rectangle 1248"/>
        <xdr:cNvSpPr>
          <a:spLocks noChangeArrowheads="1"/>
        </xdr:cNvSpPr>
      </xdr:nvSpPr>
      <xdr:spPr bwMode="auto">
        <a:xfrm>
          <a:off x="6648450" y="935831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336</xdr:row>
      <xdr:rowOff>0</xdr:rowOff>
    </xdr:from>
    <xdr:to>
      <xdr:col>23</xdr:col>
      <xdr:colOff>200025</xdr:colOff>
      <xdr:row>337</xdr:row>
      <xdr:rowOff>9525</xdr:rowOff>
    </xdr:to>
    <xdr:sp macro="" textlink="">
      <xdr:nvSpPr>
        <xdr:cNvPr id="1985" name="Rectangle 1249"/>
        <xdr:cNvSpPr>
          <a:spLocks noChangeArrowheads="1"/>
        </xdr:cNvSpPr>
      </xdr:nvSpPr>
      <xdr:spPr bwMode="auto">
        <a:xfrm>
          <a:off x="7505700" y="935831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336</xdr:row>
      <xdr:rowOff>0</xdr:rowOff>
    </xdr:from>
    <xdr:to>
      <xdr:col>25</xdr:col>
      <xdr:colOff>200025</xdr:colOff>
      <xdr:row>337</xdr:row>
      <xdr:rowOff>9525</xdr:rowOff>
    </xdr:to>
    <xdr:sp macro="" textlink="">
      <xdr:nvSpPr>
        <xdr:cNvPr id="1986" name="Rectangle 1250"/>
        <xdr:cNvSpPr>
          <a:spLocks noChangeArrowheads="1"/>
        </xdr:cNvSpPr>
      </xdr:nvSpPr>
      <xdr:spPr bwMode="auto">
        <a:xfrm>
          <a:off x="8315325" y="935831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336</xdr:row>
      <xdr:rowOff>0</xdr:rowOff>
    </xdr:from>
    <xdr:to>
      <xdr:col>27</xdr:col>
      <xdr:colOff>200025</xdr:colOff>
      <xdr:row>337</xdr:row>
      <xdr:rowOff>9525</xdr:rowOff>
    </xdr:to>
    <xdr:sp macro="" textlink="">
      <xdr:nvSpPr>
        <xdr:cNvPr id="1987" name="Rectangle 1251"/>
        <xdr:cNvSpPr>
          <a:spLocks noChangeArrowheads="1"/>
        </xdr:cNvSpPr>
      </xdr:nvSpPr>
      <xdr:spPr bwMode="auto">
        <a:xfrm>
          <a:off x="9163050" y="935831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336</xdr:row>
      <xdr:rowOff>0</xdr:rowOff>
    </xdr:from>
    <xdr:to>
      <xdr:col>31</xdr:col>
      <xdr:colOff>200025</xdr:colOff>
      <xdr:row>337</xdr:row>
      <xdr:rowOff>9525</xdr:rowOff>
    </xdr:to>
    <xdr:sp macro="" textlink="">
      <xdr:nvSpPr>
        <xdr:cNvPr id="1988" name="Rectangle 1252"/>
        <xdr:cNvSpPr>
          <a:spLocks noChangeArrowheads="1"/>
        </xdr:cNvSpPr>
      </xdr:nvSpPr>
      <xdr:spPr bwMode="auto">
        <a:xfrm>
          <a:off x="10868025" y="935831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336</xdr:row>
      <xdr:rowOff>0</xdr:rowOff>
    </xdr:from>
    <xdr:to>
      <xdr:col>33</xdr:col>
      <xdr:colOff>200025</xdr:colOff>
      <xdr:row>337</xdr:row>
      <xdr:rowOff>9525</xdr:rowOff>
    </xdr:to>
    <xdr:sp macro="" textlink="">
      <xdr:nvSpPr>
        <xdr:cNvPr id="1989" name="Rectangle 1253"/>
        <xdr:cNvSpPr>
          <a:spLocks noChangeArrowheads="1"/>
        </xdr:cNvSpPr>
      </xdr:nvSpPr>
      <xdr:spPr bwMode="auto">
        <a:xfrm>
          <a:off x="11649075" y="935831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336</xdr:row>
      <xdr:rowOff>0</xdr:rowOff>
    </xdr:from>
    <xdr:to>
      <xdr:col>29</xdr:col>
      <xdr:colOff>200025</xdr:colOff>
      <xdr:row>337</xdr:row>
      <xdr:rowOff>9525</xdr:rowOff>
    </xdr:to>
    <xdr:sp macro="" textlink="">
      <xdr:nvSpPr>
        <xdr:cNvPr id="1990" name="Rectangle 1254"/>
        <xdr:cNvSpPr>
          <a:spLocks noChangeArrowheads="1"/>
        </xdr:cNvSpPr>
      </xdr:nvSpPr>
      <xdr:spPr bwMode="auto">
        <a:xfrm>
          <a:off x="9991725" y="935831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336</xdr:row>
      <xdr:rowOff>0</xdr:rowOff>
    </xdr:from>
    <xdr:to>
      <xdr:col>37</xdr:col>
      <xdr:colOff>190500</xdr:colOff>
      <xdr:row>337</xdr:row>
      <xdr:rowOff>9525</xdr:rowOff>
    </xdr:to>
    <xdr:sp macro="" textlink="">
      <xdr:nvSpPr>
        <xdr:cNvPr id="1991" name="Rectangle 1657"/>
        <xdr:cNvSpPr>
          <a:spLocks noChangeArrowheads="1"/>
        </xdr:cNvSpPr>
      </xdr:nvSpPr>
      <xdr:spPr bwMode="auto">
        <a:xfrm>
          <a:off x="13201650" y="935831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336</xdr:row>
      <xdr:rowOff>0</xdr:rowOff>
    </xdr:from>
    <xdr:to>
      <xdr:col>11</xdr:col>
      <xdr:colOff>200025</xdr:colOff>
      <xdr:row>337</xdr:row>
      <xdr:rowOff>9525</xdr:rowOff>
    </xdr:to>
    <xdr:sp macro="" textlink="">
      <xdr:nvSpPr>
        <xdr:cNvPr id="1992" name="Rectangle 1695"/>
        <xdr:cNvSpPr>
          <a:spLocks noChangeArrowheads="1"/>
        </xdr:cNvSpPr>
      </xdr:nvSpPr>
      <xdr:spPr bwMode="auto">
        <a:xfrm>
          <a:off x="2209800" y="935831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B</a:t>
          </a:r>
        </a:p>
      </xdr:txBody>
    </xdr:sp>
    <xdr:clientData/>
  </xdr:twoCellAnchor>
  <xdr:twoCellAnchor>
    <xdr:from>
      <xdr:col>12</xdr:col>
      <xdr:colOff>190500</xdr:colOff>
      <xdr:row>336</xdr:row>
      <xdr:rowOff>0</xdr:rowOff>
    </xdr:from>
    <xdr:to>
      <xdr:col>13</xdr:col>
      <xdr:colOff>200025</xdr:colOff>
      <xdr:row>337</xdr:row>
      <xdr:rowOff>9525</xdr:rowOff>
    </xdr:to>
    <xdr:sp macro="" textlink="">
      <xdr:nvSpPr>
        <xdr:cNvPr id="1993" name="Rectangle 1696"/>
        <xdr:cNvSpPr>
          <a:spLocks noChangeArrowheads="1"/>
        </xdr:cNvSpPr>
      </xdr:nvSpPr>
      <xdr:spPr bwMode="auto">
        <a:xfrm>
          <a:off x="3057525" y="935831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14</xdr:col>
      <xdr:colOff>190500</xdr:colOff>
      <xdr:row>336</xdr:row>
      <xdr:rowOff>0</xdr:rowOff>
    </xdr:from>
    <xdr:to>
      <xdr:col>15</xdr:col>
      <xdr:colOff>200025</xdr:colOff>
      <xdr:row>337</xdr:row>
      <xdr:rowOff>9525</xdr:rowOff>
    </xdr:to>
    <xdr:sp macro="" textlink="">
      <xdr:nvSpPr>
        <xdr:cNvPr id="1994" name="Rectangle 1697"/>
        <xdr:cNvSpPr>
          <a:spLocks noChangeArrowheads="1"/>
        </xdr:cNvSpPr>
      </xdr:nvSpPr>
      <xdr:spPr bwMode="auto">
        <a:xfrm>
          <a:off x="3933825" y="93583125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16</xdr:col>
      <xdr:colOff>190500</xdr:colOff>
      <xdr:row>336</xdr:row>
      <xdr:rowOff>0</xdr:rowOff>
    </xdr:from>
    <xdr:to>
      <xdr:col>17</xdr:col>
      <xdr:colOff>200025</xdr:colOff>
      <xdr:row>337</xdr:row>
      <xdr:rowOff>9525</xdr:rowOff>
    </xdr:to>
    <xdr:sp macro="" textlink="">
      <xdr:nvSpPr>
        <xdr:cNvPr id="1995" name="Rectangle 1698"/>
        <xdr:cNvSpPr>
          <a:spLocks noChangeArrowheads="1"/>
        </xdr:cNvSpPr>
      </xdr:nvSpPr>
      <xdr:spPr bwMode="auto">
        <a:xfrm>
          <a:off x="4943475" y="935831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336</xdr:row>
      <xdr:rowOff>0</xdr:rowOff>
    </xdr:from>
    <xdr:to>
      <xdr:col>19</xdr:col>
      <xdr:colOff>200025</xdr:colOff>
      <xdr:row>337</xdr:row>
      <xdr:rowOff>9525</xdr:rowOff>
    </xdr:to>
    <xdr:sp macro="" textlink="">
      <xdr:nvSpPr>
        <xdr:cNvPr id="1996" name="Rectangle 1699"/>
        <xdr:cNvSpPr>
          <a:spLocks noChangeArrowheads="1"/>
        </xdr:cNvSpPr>
      </xdr:nvSpPr>
      <xdr:spPr bwMode="auto">
        <a:xfrm>
          <a:off x="5838825" y="935831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16</xdr:col>
      <xdr:colOff>190500</xdr:colOff>
      <xdr:row>336</xdr:row>
      <xdr:rowOff>0</xdr:rowOff>
    </xdr:from>
    <xdr:to>
      <xdr:col>17</xdr:col>
      <xdr:colOff>200025</xdr:colOff>
      <xdr:row>337</xdr:row>
      <xdr:rowOff>9525</xdr:rowOff>
    </xdr:to>
    <xdr:sp macro="" textlink="">
      <xdr:nvSpPr>
        <xdr:cNvPr id="1997" name="Rectangle 1700"/>
        <xdr:cNvSpPr>
          <a:spLocks noChangeArrowheads="1"/>
        </xdr:cNvSpPr>
      </xdr:nvSpPr>
      <xdr:spPr bwMode="auto">
        <a:xfrm>
          <a:off x="4943475" y="935831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  <a:p>
          <a:pPr algn="ctr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20</xdr:col>
      <xdr:colOff>180975</xdr:colOff>
      <xdr:row>336</xdr:row>
      <xdr:rowOff>0</xdr:rowOff>
    </xdr:from>
    <xdr:to>
      <xdr:col>21</xdr:col>
      <xdr:colOff>190500</xdr:colOff>
      <xdr:row>337</xdr:row>
      <xdr:rowOff>9525</xdr:rowOff>
    </xdr:to>
    <xdr:sp macro="" textlink="">
      <xdr:nvSpPr>
        <xdr:cNvPr id="1998" name="Rectangle 1701"/>
        <xdr:cNvSpPr>
          <a:spLocks noChangeArrowheads="1"/>
        </xdr:cNvSpPr>
      </xdr:nvSpPr>
      <xdr:spPr bwMode="auto">
        <a:xfrm>
          <a:off x="6638925" y="935831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336</xdr:row>
      <xdr:rowOff>0</xdr:rowOff>
    </xdr:from>
    <xdr:to>
      <xdr:col>21</xdr:col>
      <xdr:colOff>200025</xdr:colOff>
      <xdr:row>337</xdr:row>
      <xdr:rowOff>9525</xdr:rowOff>
    </xdr:to>
    <xdr:sp macro="" textlink="">
      <xdr:nvSpPr>
        <xdr:cNvPr id="1999" name="Rectangle 1702"/>
        <xdr:cNvSpPr>
          <a:spLocks noChangeArrowheads="1"/>
        </xdr:cNvSpPr>
      </xdr:nvSpPr>
      <xdr:spPr bwMode="auto">
        <a:xfrm>
          <a:off x="6648450" y="935831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336</xdr:row>
      <xdr:rowOff>0</xdr:rowOff>
    </xdr:from>
    <xdr:to>
      <xdr:col>21</xdr:col>
      <xdr:colOff>200025</xdr:colOff>
      <xdr:row>337</xdr:row>
      <xdr:rowOff>9525</xdr:rowOff>
    </xdr:to>
    <xdr:sp macro="" textlink="">
      <xdr:nvSpPr>
        <xdr:cNvPr id="2000" name="Rectangle 1703"/>
        <xdr:cNvSpPr>
          <a:spLocks noChangeArrowheads="1"/>
        </xdr:cNvSpPr>
      </xdr:nvSpPr>
      <xdr:spPr bwMode="auto">
        <a:xfrm>
          <a:off x="6648450" y="93583125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336</xdr:row>
      <xdr:rowOff>0</xdr:rowOff>
    </xdr:from>
    <xdr:to>
      <xdr:col>23</xdr:col>
      <xdr:colOff>200025</xdr:colOff>
      <xdr:row>337</xdr:row>
      <xdr:rowOff>9525</xdr:rowOff>
    </xdr:to>
    <xdr:sp macro="" textlink="">
      <xdr:nvSpPr>
        <xdr:cNvPr id="2001" name="Rectangle 1704"/>
        <xdr:cNvSpPr>
          <a:spLocks noChangeArrowheads="1"/>
        </xdr:cNvSpPr>
      </xdr:nvSpPr>
      <xdr:spPr bwMode="auto">
        <a:xfrm>
          <a:off x="7505700" y="935831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336</xdr:row>
      <xdr:rowOff>0</xdr:rowOff>
    </xdr:from>
    <xdr:to>
      <xdr:col>23</xdr:col>
      <xdr:colOff>200025</xdr:colOff>
      <xdr:row>337</xdr:row>
      <xdr:rowOff>9525</xdr:rowOff>
    </xdr:to>
    <xdr:sp macro="" textlink="">
      <xdr:nvSpPr>
        <xdr:cNvPr id="2002" name="Rectangle 1705"/>
        <xdr:cNvSpPr>
          <a:spLocks noChangeArrowheads="1"/>
        </xdr:cNvSpPr>
      </xdr:nvSpPr>
      <xdr:spPr bwMode="auto">
        <a:xfrm>
          <a:off x="7505700" y="935831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180975</xdr:colOff>
      <xdr:row>336</xdr:row>
      <xdr:rowOff>0</xdr:rowOff>
    </xdr:from>
    <xdr:to>
      <xdr:col>23</xdr:col>
      <xdr:colOff>190500</xdr:colOff>
      <xdr:row>337</xdr:row>
      <xdr:rowOff>9525</xdr:rowOff>
    </xdr:to>
    <xdr:sp macro="" textlink="">
      <xdr:nvSpPr>
        <xdr:cNvPr id="2003" name="Rectangle 1706"/>
        <xdr:cNvSpPr>
          <a:spLocks noChangeArrowheads="1"/>
        </xdr:cNvSpPr>
      </xdr:nvSpPr>
      <xdr:spPr bwMode="auto">
        <a:xfrm>
          <a:off x="7496175" y="935831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336</xdr:row>
      <xdr:rowOff>0</xdr:rowOff>
    </xdr:from>
    <xdr:to>
      <xdr:col>23</xdr:col>
      <xdr:colOff>200025</xdr:colOff>
      <xdr:row>337</xdr:row>
      <xdr:rowOff>9525</xdr:rowOff>
    </xdr:to>
    <xdr:sp macro="" textlink="">
      <xdr:nvSpPr>
        <xdr:cNvPr id="2004" name="Rectangle 1707"/>
        <xdr:cNvSpPr>
          <a:spLocks noChangeArrowheads="1"/>
        </xdr:cNvSpPr>
      </xdr:nvSpPr>
      <xdr:spPr bwMode="auto">
        <a:xfrm>
          <a:off x="7505700" y="935831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336</xdr:row>
      <xdr:rowOff>0</xdr:rowOff>
    </xdr:from>
    <xdr:to>
      <xdr:col>23</xdr:col>
      <xdr:colOff>200025</xdr:colOff>
      <xdr:row>337</xdr:row>
      <xdr:rowOff>9525</xdr:rowOff>
    </xdr:to>
    <xdr:sp macro="" textlink="">
      <xdr:nvSpPr>
        <xdr:cNvPr id="2005" name="Rectangle 1708"/>
        <xdr:cNvSpPr>
          <a:spLocks noChangeArrowheads="1"/>
        </xdr:cNvSpPr>
      </xdr:nvSpPr>
      <xdr:spPr bwMode="auto">
        <a:xfrm>
          <a:off x="7505700" y="935831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pPr rtl="0"/>
          <a:r>
            <a:rPr lang="en-US" sz="1200" b="0" i="0">
              <a:latin typeface="Arial" pitchFamily="34" charset="0"/>
              <a:ea typeface="+mn-ea"/>
              <a:cs typeface="Arial" pitchFamily="34" charset="0"/>
            </a:rPr>
            <a:t>B</a:t>
          </a:r>
          <a:endParaRPr lang="en-US" sz="1200" b="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190500</xdr:colOff>
      <xdr:row>336</xdr:row>
      <xdr:rowOff>0</xdr:rowOff>
    </xdr:from>
    <xdr:to>
      <xdr:col>37</xdr:col>
      <xdr:colOff>190500</xdr:colOff>
      <xdr:row>337</xdr:row>
      <xdr:rowOff>9525</xdr:rowOff>
    </xdr:to>
    <xdr:sp macro="" textlink="">
      <xdr:nvSpPr>
        <xdr:cNvPr id="2006" name="Rectangle 1709"/>
        <xdr:cNvSpPr>
          <a:spLocks noChangeArrowheads="1"/>
        </xdr:cNvSpPr>
      </xdr:nvSpPr>
      <xdr:spPr bwMode="auto">
        <a:xfrm>
          <a:off x="13201650" y="935831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336</xdr:row>
      <xdr:rowOff>0</xdr:rowOff>
    </xdr:from>
    <xdr:to>
      <xdr:col>37</xdr:col>
      <xdr:colOff>190500</xdr:colOff>
      <xdr:row>337</xdr:row>
      <xdr:rowOff>9525</xdr:rowOff>
    </xdr:to>
    <xdr:sp macro="" textlink="">
      <xdr:nvSpPr>
        <xdr:cNvPr id="2007" name="Rectangle 1710"/>
        <xdr:cNvSpPr>
          <a:spLocks noChangeArrowheads="1"/>
        </xdr:cNvSpPr>
      </xdr:nvSpPr>
      <xdr:spPr bwMode="auto">
        <a:xfrm>
          <a:off x="13201650" y="93583125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24</xdr:col>
      <xdr:colOff>190500</xdr:colOff>
      <xdr:row>336</xdr:row>
      <xdr:rowOff>0</xdr:rowOff>
    </xdr:from>
    <xdr:to>
      <xdr:col>25</xdr:col>
      <xdr:colOff>200025</xdr:colOff>
      <xdr:row>337</xdr:row>
      <xdr:rowOff>9525</xdr:rowOff>
    </xdr:to>
    <xdr:sp macro="" textlink="">
      <xdr:nvSpPr>
        <xdr:cNvPr id="2008" name="Rectangle 3291"/>
        <xdr:cNvSpPr>
          <a:spLocks noChangeArrowheads="1"/>
        </xdr:cNvSpPr>
      </xdr:nvSpPr>
      <xdr:spPr bwMode="auto">
        <a:xfrm>
          <a:off x="8315325" y="935831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336</xdr:row>
      <xdr:rowOff>0</xdr:rowOff>
    </xdr:from>
    <xdr:to>
      <xdr:col>25</xdr:col>
      <xdr:colOff>200025</xdr:colOff>
      <xdr:row>337</xdr:row>
      <xdr:rowOff>9525</xdr:rowOff>
    </xdr:to>
    <xdr:sp macro="" textlink="">
      <xdr:nvSpPr>
        <xdr:cNvPr id="2009" name="Rectangle 3292"/>
        <xdr:cNvSpPr>
          <a:spLocks noChangeArrowheads="1"/>
        </xdr:cNvSpPr>
      </xdr:nvSpPr>
      <xdr:spPr bwMode="auto">
        <a:xfrm>
          <a:off x="8315325" y="935831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336</xdr:row>
      <xdr:rowOff>0</xdr:rowOff>
    </xdr:from>
    <xdr:to>
      <xdr:col>25</xdr:col>
      <xdr:colOff>200025</xdr:colOff>
      <xdr:row>337</xdr:row>
      <xdr:rowOff>9525</xdr:rowOff>
    </xdr:to>
    <xdr:sp macro="" textlink="">
      <xdr:nvSpPr>
        <xdr:cNvPr id="2010" name="Rectangle 3293"/>
        <xdr:cNvSpPr>
          <a:spLocks noChangeArrowheads="1"/>
        </xdr:cNvSpPr>
      </xdr:nvSpPr>
      <xdr:spPr bwMode="auto">
        <a:xfrm>
          <a:off x="8315325" y="935831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336</xdr:row>
      <xdr:rowOff>0</xdr:rowOff>
    </xdr:from>
    <xdr:to>
      <xdr:col>25</xdr:col>
      <xdr:colOff>200025</xdr:colOff>
      <xdr:row>337</xdr:row>
      <xdr:rowOff>9525</xdr:rowOff>
    </xdr:to>
    <xdr:sp macro="" textlink="">
      <xdr:nvSpPr>
        <xdr:cNvPr id="2011" name="Rectangle 3294"/>
        <xdr:cNvSpPr>
          <a:spLocks noChangeArrowheads="1"/>
        </xdr:cNvSpPr>
      </xdr:nvSpPr>
      <xdr:spPr bwMode="auto">
        <a:xfrm>
          <a:off x="8315325" y="935831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180975</xdr:colOff>
      <xdr:row>336</xdr:row>
      <xdr:rowOff>0</xdr:rowOff>
    </xdr:from>
    <xdr:to>
      <xdr:col>25</xdr:col>
      <xdr:colOff>190500</xdr:colOff>
      <xdr:row>337</xdr:row>
      <xdr:rowOff>9525</xdr:rowOff>
    </xdr:to>
    <xdr:sp macro="" textlink="">
      <xdr:nvSpPr>
        <xdr:cNvPr id="2012" name="Rectangle 3295"/>
        <xdr:cNvSpPr>
          <a:spLocks noChangeArrowheads="1"/>
        </xdr:cNvSpPr>
      </xdr:nvSpPr>
      <xdr:spPr bwMode="auto">
        <a:xfrm>
          <a:off x="8305800" y="935831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336</xdr:row>
      <xdr:rowOff>0</xdr:rowOff>
    </xdr:from>
    <xdr:to>
      <xdr:col>25</xdr:col>
      <xdr:colOff>200025</xdr:colOff>
      <xdr:row>337</xdr:row>
      <xdr:rowOff>9525</xdr:rowOff>
    </xdr:to>
    <xdr:sp macro="" textlink="">
      <xdr:nvSpPr>
        <xdr:cNvPr id="2013" name="Rectangle 3296"/>
        <xdr:cNvSpPr>
          <a:spLocks noChangeArrowheads="1"/>
        </xdr:cNvSpPr>
      </xdr:nvSpPr>
      <xdr:spPr bwMode="auto">
        <a:xfrm>
          <a:off x="8315325" y="935831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336</xdr:row>
      <xdr:rowOff>0</xdr:rowOff>
    </xdr:from>
    <xdr:to>
      <xdr:col>25</xdr:col>
      <xdr:colOff>200025</xdr:colOff>
      <xdr:row>337</xdr:row>
      <xdr:rowOff>9525</xdr:rowOff>
    </xdr:to>
    <xdr:sp macro="" textlink="">
      <xdr:nvSpPr>
        <xdr:cNvPr id="2014" name="Rectangle 3297"/>
        <xdr:cNvSpPr>
          <a:spLocks noChangeArrowheads="1"/>
        </xdr:cNvSpPr>
      </xdr:nvSpPr>
      <xdr:spPr bwMode="auto">
        <a:xfrm>
          <a:off x="8315325" y="93583125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US">
              <a:latin typeface="Arial" pitchFamily="34" charset="0"/>
              <a:cs typeface="Arial" pitchFamily="34" charset="0"/>
            </a:rPr>
            <a:t>    B</a:t>
          </a:r>
        </a:p>
      </xdr:txBody>
    </xdr:sp>
    <xdr:clientData/>
  </xdr:twoCellAnchor>
  <xdr:twoCellAnchor>
    <xdr:from>
      <xdr:col>26</xdr:col>
      <xdr:colOff>190500</xdr:colOff>
      <xdr:row>336</xdr:row>
      <xdr:rowOff>0</xdr:rowOff>
    </xdr:from>
    <xdr:to>
      <xdr:col>27</xdr:col>
      <xdr:colOff>200025</xdr:colOff>
      <xdr:row>337</xdr:row>
      <xdr:rowOff>9525</xdr:rowOff>
    </xdr:to>
    <xdr:sp macro="" textlink="">
      <xdr:nvSpPr>
        <xdr:cNvPr id="2015" name="Rectangle 3619"/>
        <xdr:cNvSpPr>
          <a:spLocks noChangeArrowheads="1"/>
        </xdr:cNvSpPr>
      </xdr:nvSpPr>
      <xdr:spPr bwMode="auto">
        <a:xfrm>
          <a:off x="9163050" y="935831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336</xdr:row>
      <xdr:rowOff>0</xdr:rowOff>
    </xdr:from>
    <xdr:to>
      <xdr:col>27</xdr:col>
      <xdr:colOff>200025</xdr:colOff>
      <xdr:row>337</xdr:row>
      <xdr:rowOff>9525</xdr:rowOff>
    </xdr:to>
    <xdr:sp macro="" textlink="">
      <xdr:nvSpPr>
        <xdr:cNvPr id="2016" name="Rectangle 3620"/>
        <xdr:cNvSpPr>
          <a:spLocks noChangeArrowheads="1"/>
        </xdr:cNvSpPr>
      </xdr:nvSpPr>
      <xdr:spPr bwMode="auto">
        <a:xfrm>
          <a:off x="9163050" y="935831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336</xdr:row>
      <xdr:rowOff>0</xdr:rowOff>
    </xdr:from>
    <xdr:to>
      <xdr:col>27</xdr:col>
      <xdr:colOff>200025</xdr:colOff>
      <xdr:row>337</xdr:row>
      <xdr:rowOff>9525</xdr:rowOff>
    </xdr:to>
    <xdr:sp macro="" textlink="">
      <xdr:nvSpPr>
        <xdr:cNvPr id="2017" name="Rectangle 3621"/>
        <xdr:cNvSpPr>
          <a:spLocks noChangeArrowheads="1"/>
        </xdr:cNvSpPr>
      </xdr:nvSpPr>
      <xdr:spPr bwMode="auto">
        <a:xfrm>
          <a:off x="9163050" y="935831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336</xdr:row>
      <xdr:rowOff>0</xdr:rowOff>
    </xdr:from>
    <xdr:to>
      <xdr:col>27</xdr:col>
      <xdr:colOff>200025</xdr:colOff>
      <xdr:row>337</xdr:row>
      <xdr:rowOff>9525</xdr:rowOff>
    </xdr:to>
    <xdr:sp macro="" textlink="">
      <xdr:nvSpPr>
        <xdr:cNvPr id="2018" name="Rectangle 3622"/>
        <xdr:cNvSpPr>
          <a:spLocks noChangeArrowheads="1"/>
        </xdr:cNvSpPr>
      </xdr:nvSpPr>
      <xdr:spPr bwMode="auto">
        <a:xfrm>
          <a:off x="9163050" y="935831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336</xdr:row>
      <xdr:rowOff>0</xdr:rowOff>
    </xdr:from>
    <xdr:to>
      <xdr:col>27</xdr:col>
      <xdr:colOff>200025</xdr:colOff>
      <xdr:row>337</xdr:row>
      <xdr:rowOff>9525</xdr:rowOff>
    </xdr:to>
    <xdr:sp macro="" textlink="">
      <xdr:nvSpPr>
        <xdr:cNvPr id="2019" name="Rectangle 3623"/>
        <xdr:cNvSpPr>
          <a:spLocks noChangeArrowheads="1"/>
        </xdr:cNvSpPr>
      </xdr:nvSpPr>
      <xdr:spPr bwMode="auto">
        <a:xfrm>
          <a:off x="9163050" y="935831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336</xdr:row>
      <xdr:rowOff>0</xdr:rowOff>
    </xdr:from>
    <xdr:to>
      <xdr:col>27</xdr:col>
      <xdr:colOff>200025</xdr:colOff>
      <xdr:row>337</xdr:row>
      <xdr:rowOff>9525</xdr:rowOff>
    </xdr:to>
    <xdr:sp macro="" textlink="">
      <xdr:nvSpPr>
        <xdr:cNvPr id="2020" name="Rectangle 3624"/>
        <xdr:cNvSpPr>
          <a:spLocks noChangeArrowheads="1"/>
        </xdr:cNvSpPr>
      </xdr:nvSpPr>
      <xdr:spPr bwMode="auto">
        <a:xfrm>
          <a:off x="9163050" y="935831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180975</xdr:colOff>
      <xdr:row>336</xdr:row>
      <xdr:rowOff>0</xdr:rowOff>
    </xdr:from>
    <xdr:to>
      <xdr:col>27</xdr:col>
      <xdr:colOff>190500</xdr:colOff>
      <xdr:row>337</xdr:row>
      <xdr:rowOff>9525</xdr:rowOff>
    </xdr:to>
    <xdr:sp macro="" textlink="">
      <xdr:nvSpPr>
        <xdr:cNvPr id="2021" name="Rectangle 3625"/>
        <xdr:cNvSpPr>
          <a:spLocks noChangeArrowheads="1"/>
        </xdr:cNvSpPr>
      </xdr:nvSpPr>
      <xdr:spPr bwMode="auto">
        <a:xfrm>
          <a:off x="9153525" y="935831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336</xdr:row>
      <xdr:rowOff>0</xdr:rowOff>
    </xdr:from>
    <xdr:to>
      <xdr:col>27</xdr:col>
      <xdr:colOff>200025</xdr:colOff>
      <xdr:row>337</xdr:row>
      <xdr:rowOff>9525</xdr:rowOff>
    </xdr:to>
    <xdr:sp macro="" textlink="">
      <xdr:nvSpPr>
        <xdr:cNvPr id="2022" name="Rectangle 3626"/>
        <xdr:cNvSpPr>
          <a:spLocks noChangeArrowheads="1"/>
        </xdr:cNvSpPr>
      </xdr:nvSpPr>
      <xdr:spPr bwMode="auto">
        <a:xfrm>
          <a:off x="9163050" y="935831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336</xdr:row>
      <xdr:rowOff>0</xdr:rowOff>
    </xdr:from>
    <xdr:to>
      <xdr:col>27</xdr:col>
      <xdr:colOff>200025</xdr:colOff>
      <xdr:row>337</xdr:row>
      <xdr:rowOff>9525</xdr:rowOff>
    </xdr:to>
    <xdr:sp macro="" textlink="">
      <xdr:nvSpPr>
        <xdr:cNvPr id="2023" name="Rectangle 3627"/>
        <xdr:cNvSpPr>
          <a:spLocks noChangeArrowheads="1"/>
        </xdr:cNvSpPr>
      </xdr:nvSpPr>
      <xdr:spPr bwMode="auto">
        <a:xfrm>
          <a:off x="9163050" y="93583125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US" sz="120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  B</a:t>
          </a:r>
        </a:p>
      </xdr:txBody>
    </xdr:sp>
    <xdr:clientData/>
  </xdr:twoCellAnchor>
  <xdr:twoCellAnchor>
    <xdr:from>
      <xdr:col>28</xdr:col>
      <xdr:colOff>190500</xdr:colOff>
      <xdr:row>336</xdr:row>
      <xdr:rowOff>0</xdr:rowOff>
    </xdr:from>
    <xdr:to>
      <xdr:col>29</xdr:col>
      <xdr:colOff>200025</xdr:colOff>
      <xdr:row>337</xdr:row>
      <xdr:rowOff>9525</xdr:rowOff>
    </xdr:to>
    <xdr:sp macro="" textlink="">
      <xdr:nvSpPr>
        <xdr:cNvPr id="2024" name="Rectangle 4049"/>
        <xdr:cNvSpPr>
          <a:spLocks noChangeArrowheads="1"/>
        </xdr:cNvSpPr>
      </xdr:nvSpPr>
      <xdr:spPr bwMode="auto">
        <a:xfrm>
          <a:off x="9991725" y="935831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336</xdr:row>
      <xdr:rowOff>0</xdr:rowOff>
    </xdr:from>
    <xdr:to>
      <xdr:col>29</xdr:col>
      <xdr:colOff>200025</xdr:colOff>
      <xdr:row>337</xdr:row>
      <xdr:rowOff>9525</xdr:rowOff>
    </xdr:to>
    <xdr:sp macro="" textlink="">
      <xdr:nvSpPr>
        <xdr:cNvPr id="2025" name="Rectangle 4050"/>
        <xdr:cNvSpPr>
          <a:spLocks noChangeArrowheads="1"/>
        </xdr:cNvSpPr>
      </xdr:nvSpPr>
      <xdr:spPr bwMode="auto">
        <a:xfrm>
          <a:off x="9991725" y="935831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336</xdr:row>
      <xdr:rowOff>0</xdr:rowOff>
    </xdr:from>
    <xdr:to>
      <xdr:col>29</xdr:col>
      <xdr:colOff>200025</xdr:colOff>
      <xdr:row>337</xdr:row>
      <xdr:rowOff>9525</xdr:rowOff>
    </xdr:to>
    <xdr:sp macro="" textlink="">
      <xdr:nvSpPr>
        <xdr:cNvPr id="2026" name="Rectangle 4051"/>
        <xdr:cNvSpPr>
          <a:spLocks noChangeArrowheads="1"/>
        </xdr:cNvSpPr>
      </xdr:nvSpPr>
      <xdr:spPr bwMode="auto">
        <a:xfrm>
          <a:off x="9991725" y="93583125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B</a:t>
          </a:r>
        </a:p>
      </xdr:txBody>
    </xdr:sp>
    <xdr:clientData/>
  </xdr:twoCellAnchor>
  <xdr:twoCellAnchor>
    <xdr:from>
      <xdr:col>30</xdr:col>
      <xdr:colOff>190500</xdr:colOff>
      <xdr:row>336</xdr:row>
      <xdr:rowOff>0</xdr:rowOff>
    </xdr:from>
    <xdr:to>
      <xdr:col>31</xdr:col>
      <xdr:colOff>200025</xdr:colOff>
      <xdr:row>337</xdr:row>
      <xdr:rowOff>9525</xdr:rowOff>
    </xdr:to>
    <xdr:sp macro="" textlink="">
      <xdr:nvSpPr>
        <xdr:cNvPr id="2027" name="Rectangle 4555"/>
        <xdr:cNvSpPr>
          <a:spLocks noChangeArrowheads="1"/>
        </xdr:cNvSpPr>
      </xdr:nvSpPr>
      <xdr:spPr bwMode="auto">
        <a:xfrm>
          <a:off x="10868025" y="935831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336</xdr:row>
      <xdr:rowOff>0</xdr:rowOff>
    </xdr:from>
    <xdr:to>
      <xdr:col>31</xdr:col>
      <xdr:colOff>200025</xdr:colOff>
      <xdr:row>337</xdr:row>
      <xdr:rowOff>9525</xdr:rowOff>
    </xdr:to>
    <xdr:sp macro="" textlink="">
      <xdr:nvSpPr>
        <xdr:cNvPr id="2028" name="Rectangle 4556"/>
        <xdr:cNvSpPr>
          <a:spLocks noChangeArrowheads="1"/>
        </xdr:cNvSpPr>
      </xdr:nvSpPr>
      <xdr:spPr bwMode="auto">
        <a:xfrm>
          <a:off x="10868025" y="935831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336</xdr:row>
      <xdr:rowOff>0</xdr:rowOff>
    </xdr:from>
    <xdr:to>
      <xdr:col>31</xdr:col>
      <xdr:colOff>200025</xdr:colOff>
      <xdr:row>337</xdr:row>
      <xdr:rowOff>9525</xdr:rowOff>
    </xdr:to>
    <xdr:sp macro="" textlink="">
      <xdr:nvSpPr>
        <xdr:cNvPr id="2029" name="Rectangle 4557"/>
        <xdr:cNvSpPr>
          <a:spLocks noChangeArrowheads="1"/>
        </xdr:cNvSpPr>
      </xdr:nvSpPr>
      <xdr:spPr bwMode="auto">
        <a:xfrm>
          <a:off x="10868025" y="935831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336</xdr:row>
      <xdr:rowOff>0</xdr:rowOff>
    </xdr:from>
    <xdr:to>
      <xdr:col>31</xdr:col>
      <xdr:colOff>200025</xdr:colOff>
      <xdr:row>337</xdr:row>
      <xdr:rowOff>9525</xdr:rowOff>
    </xdr:to>
    <xdr:sp macro="" textlink="">
      <xdr:nvSpPr>
        <xdr:cNvPr id="2030" name="Rectangle 4558"/>
        <xdr:cNvSpPr>
          <a:spLocks noChangeArrowheads="1"/>
        </xdr:cNvSpPr>
      </xdr:nvSpPr>
      <xdr:spPr bwMode="auto">
        <a:xfrm>
          <a:off x="10868025" y="935831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336</xdr:row>
      <xdr:rowOff>0</xdr:rowOff>
    </xdr:from>
    <xdr:to>
      <xdr:col>31</xdr:col>
      <xdr:colOff>200025</xdr:colOff>
      <xdr:row>337</xdr:row>
      <xdr:rowOff>9525</xdr:rowOff>
    </xdr:to>
    <xdr:sp macro="" textlink="">
      <xdr:nvSpPr>
        <xdr:cNvPr id="2031" name="Rectangle 4559"/>
        <xdr:cNvSpPr>
          <a:spLocks noChangeArrowheads="1"/>
        </xdr:cNvSpPr>
      </xdr:nvSpPr>
      <xdr:spPr bwMode="auto">
        <a:xfrm>
          <a:off x="10868025" y="93583125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 B</a:t>
          </a:r>
        </a:p>
      </xdr:txBody>
    </xdr:sp>
    <xdr:clientData/>
  </xdr:twoCellAnchor>
  <xdr:twoCellAnchor>
    <xdr:from>
      <xdr:col>32</xdr:col>
      <xdr:colOff>190500</xdr:colOff>
      <xdr:row>336</xdr:row>
      <xdr:rowOff>0</xdr:rowOff>
    </xdr:from>
    <xdr:to>
      <xdr:col>33</xdr:col>
      <xdr:colOff>200025</xdr:colOff>
      <xdr:row>337</xdr:row>
      <xdr:rowOff>9525</xdr:rowOff>
    </xdr:to>
    <xdr:sp macro="" textlink="">
      <xdr:nvSpPr>
        <xdr:cNvPr id="2032" name="Rectangle 5223"/>
        <xdr:cNvSpPr>
          <a:spLocks noChangeArrowheads="1"/>
        </xdr:cNvSpPr>
      </xdr:nvSpPr>
      <xdr:spPr bwMode="auto">
        <a:xfrm>
          <a:off x="11649075" y="935831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336</xdr:row>
      <xdr:rowOff>0</xdr:rowOff>
    </xdr:from>
    <xdr:to>
      <xdr:col>33</xdr:col>
      <xdr:colOff>200025</xdr:colOff>
      <xdr:row>337</xdr:row>
      <xdr:rowOff>9525</xdr:rowOff>
    </xdr:to>
    <xdr:sp macro="" textlink="">
      <xdr:nvSpPr>
        <xdr:cNvPr id="2033" name="Rectangle 5224"/>
        <xdr:cNvSpPr>
          <a:spLocks noChangeArrowheads="1"/>
        </xdr:cNvSpPr>
      </xdr:nvSpPr>
      <xdr:spPr bwMode="auto">
        <a:xfrm>
          <a:off x="11649075" y="935831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336</xdr:row>
      <xdr:rowOff>0</xdr:rowOff>
    </xdr:from>
    <xdr:to>
      <xdr:col>33</xdr:col>
      <xdr:colOff>200025</xdr:colOff>
      <xdr:row>337</xdr:row>
      <xdr:rowOff>9525</xdr:rowOff>
    </xdr:to>
    <xdr:sp macro="" textlink="">
      <xdr:nvSpPr>
        <xdr:cNvPr id="2034" name="Rectangle 5225"/>
        <xdr:cNvSpPr>
          <a:spLocks noChangeArrowheads="1"/>
        </xdr:cNvSpPr>
      </xdr:nvSpPr>
      <xdr:spPr bwMode="auto">
        <a:xfrm>
          <a:off x="11649075" y="935831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336</xdr:row>
      <xdr:rowOff>0</xdr:rowOff>
    </xdr:from>
    <xdr:to>
      <xdr:col>33</xdr:col>
      <xdr:colOff>200025</xdr:colOff>
      <xdr:row>337</xdr:row>
      <xdr:rowOff>9525</xdr:rowOff>
    </xdr:to>
    <xdr:sp macro="" textlink="">
      <xdr:nvSpPr>
        <xdr:cNvPr id="2035" name="Rectangle 5226"/>
        <xdr:cNvSpPr>
          <a:spLocks noChangeArrowheads="1"/>
        </xdr:cNvSpPr>
      </xdr:nvSpPr>
      <xdr:spPr bwMode="auto">
        <a:xfrm>
          <a:off x="11649075" y="935831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336</xdr:row>
      <xdr:rowOff>0</xdr:rowOff>
    </xdr:from>
    <xdr:to>
      <xdr:col>33</xdr:col>
      <xdr:colOff>200025</xdr:colOff>
      <xdr:row>337</xdr:row>
      <xdr:rowOff>9525</xdr:rowOff>
    </xdr:to>
    <xdr:sp macro="" textlink="">
      <xdr:nvSpPr>
        <xdr:cNvPr id="2036" name="Rectangle 5227"/>
        <xdr:cNvSpPr>
          <a:spLocks noChangeArrowheads="1"/>
        </xdr:cNvSpPr>
      </xdr:nvSpPr>
      <xdr:spPr bwMode="auto">
        <a:xfrm>
          <a:off x="11649075" y="935831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336</xdr:row>
      <xdr:rowOff>0</xdr:rowOff>
    </xdr:from>
    <xdr:to>
      <xdr:col>33</xdr:col>
      <xdr:colOff>200025</xdr:colOff>
      <xdr:row>337</xdr:row>
      <xdr:rowOff>9525</xdr:rowOff>
    </xdr:to>
    <xdr:sp macro="" textlink="">
      <xdr:nvSpPr>
        <xdr:cNvPr id="2037" name="Rectangle 5228"/>
        <xdr:cNvSpPr>
          <a:spLocks noChangeArrowheads="1"/>
        </xdr:cNvSpPr>
      </xdr:nvSpPr>
      <xdr:spPr bwMode="auto">
        <a:xfrm>
          <a:off x="11649075" y="93583125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US" sz="1400"/>
            <a:t> B</a:t>
          </a:r>
        </a:p>
      </xdr:txBody>
    </xdr:sp>
    <xdr:clientData/>
  </xdr:twoCellAnchor>
  <xdr:twoCellAnchor>
    <xdr:from>
      <xdr:col>0</xdr:col>
      <xdr:colOff>57150</xdr:colOff>
      <xdr:row>314</xdr:row>
      <xdr:rowOff>85725</xdr:rowOff>
    </xdr:from>
    <xdr:to>
      <xdr:col>3</xdr:col>
      <xdr:colOff>114300</xdr:colOff>
      <xdr:row>317</xdr:row>
      <xdr:rowOff>114300</xdr:rowOff>
    </xdr:to>
    <xdr:pic>
      <xdr:nvPicPr>
        <xdr:cNvPr id="2038" name="Picture 565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b="10052"/>
        <a:stretch>
          <a:fillRect/>
        </a:stretch>
      </xdr:blipFill>
      <xdr:spPr bwMode="auto">
        <a:xfrm>
          <a:off x="57150" y="87439500"/>
          <a:ext cx="628650" cy="600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10</xdr:col>
      <xdr:colOff>190500</xdr:colOff>
      <xdr:row>373</xdr:row>
      <xdr:rowOff>0</xdr:rowOff>
    </xdr:from>
    <xdr:to>
      <xdr:col>11</xdr:col>
      <xdr:colOff>200025</xdr:colOff>
      <xdr:row>374</xdr:row>
      <xdr:rowOff>9525</xdr:rowOff>
    </xdr:to>
    <xdr:sp macro="" textlink="">
      <xdr:nvSpPr>
        <xdr:cNvPr id="2039" name="Rectangle 2038"/>
        <xdr:cNvSpPr>
          <a:spLocks noChangeArrowheads="1"/>
        </xdr:cNvSpPr>
      </xdr:nvSpPr>
      <xdr:spPr bwMode="auto">
        <a:xfrm>
          <a:off x="2209800" y="103803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12</xdr:col>
      <xdr:colOff>190500</xdr:colOff>
      <xdr:row>373</xdr:row>
      <xdr:rowOff>0</xdr:rowOff>
    </xdr:from>
    <xdr:to>
      <xdr:col>13</xdr:col>
      <xdr:colOff>200025</xdr:colOff>
      <xdr:row>374</xdr:row>
      <xdr:rowOff>9525</xdr:rowOff>
    </xdr:to>
    <xdr:sp macro="" textlink="">
      <xdr:nvSpPr>
        <xdr:cNvPr id="2040" name="Rectangle 2039"/>
        <xdr:cNvSpPr>
          <a:spLocks noChangeArrowheads="1"/>
        </xdr:cNvSpPr>
      </xdr:nvSpPr>
      <xdr:spPr bwMode="auto">
        <a:xfrm>
          <a:off x="3057525" y="103803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14</xdr:col>
      <xdr:colOff>190500</xdr:colOff>
      <xdr:row>373</xdr:row>
      <xdr:rowOff>0</xdr:rowOff>
    </xdr:from>
    <xdr:to>
      <xdr:col>15</xdr:col>
      <xdr:colOff>200025</xdr:colOff>
      <xdr:row>374</xdr:row>
      <xdr:rowOff>9525</xdr:rowOff>
    </xdr:to>
    <xdr:sp macro="" textlink="">
      <xdr:nvSpPr>
        <xdr:cNvPr id="2041" name="Rectangle 2040"/>
        <xdr:cNvSpPr>
          <a:spLocks noChangeArrowheads="1"/>
        </xdr:cNvSpPr>
      </xdr:nvSpPr>
      <xdr:spPr bwMode="auto">
        <a:xfrm>
          <a:off x="3933825" y="1038034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373</xdr:row>
      <xdr:rowOff>0</xdr:rowOff>
    </xdr:from>
    <xdr:to>
      <xdr:col>17</xdr:col>
      <xdr:colOff>200025</xdr:colOff>
      <xdr:row>374</xdr:row>
      <xdr:rowOff>9525</xdr:rowOff>
    </xdr:to>
    <xdr:sp macro="" textlink="">
      <xdr:nvSpPr>
        <xdr:cNvPr id="2042" name="Rectangle 2041"/>
        <xdr:cNvSpPr>
          <a:spLocks noChangeArrowheads="1"/>
        </xdr:cNvSpPr>
      </xdr:nvSpPr>
      <xdr:spPr bwMode="auto">
        <a:xfrm>
          <a:off x="4943475" y="103803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373</xdr:row>
      <xdr:rowOff>0</xdr:rowOff>
    </xdr:from>
    <xdr:to>
      <xdr:col>21</xdr:col>
      <xdr:colOff>200025</xdr:colOff>
      <xdr:row>374</xdr:row>
      <xdr:rowOff>9525</xdr:rowOff>
    </xdr:to>
    <xdr:sp macro="" textlink="">
      <xdr:nvSpPr>
        <xdr:cNvPr id="2043" name="Rectangle 2042"/>
        <xdr:cNvSpPr>
          <a:spLocks noChangeArrowheads="1"/>
        </xdr:cNvSpPr>
      </xdr:nvSpPr>
      <xdr:spPr bwMode="auto">
        <a:xfrm>
          <a:off x="6648450" y="1038034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373</xdr:row>
      <xdr:rowOff>0</xdr:rowOff>
    </xdr:from>
    <xdr:to>
      <xdr:col>23</xdr:col>
      <xdr:colOff>200025</xdr:colOff>
      <xdr:row>374</xdr:row>
      <xdr:rowOff>9525</xdr:rowOff>
    </xdr:to>
    <xdr:sp macro="" textlink="">
      <xdr:nvSpPr>
        <xdr:cNvPr id="2044" name="Rectangle 2043"/>
        <xdr:cNvSpPr>
          <a:spLocks noChangeArrowheads="1"/>
        </xdr:cNvSpPr>
      </xdr:nvSpPr>
      <xdr:spPr bwMode="auto">
        <a:xfrm>
          <a:off x="7505700" y="103803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373</xdr:row>
      <xdr:rowOff>0</xdr:rowOff>
    </xdr:from>
    <xdr:to>
      <xdr:col>25</xdr:col>
      <xdr:colOff>200025</xdr:colOff>
      <xdr:row>374</xdr:row>
      <xdr:rowOff>9525</xdr:rowOff>
    </xdr:to>
    <xdr:sp macro="" textlink="">
      <xdr:nvSpPr>
        <xdr:cNvPr id="2045" name="Rectangle 2044"/>
        <xdr:cNvSpPr>
          <a:spLocks noChangeArrowheads="1"/>
        </xdr:cNvSpPr>
      </xdr:nvSpPr>
      <xdr:spPr bwMode="auto">
        <a:xfrm>
          <a:off x="8315325" y="103803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373</xdr:row>
      <xdr:rowOff>0</xdr:rowOff>
    </xdr:from>
    <xdr:to>
      <xdr:col>27</xdr:col>
      <xdr:colOff>200025</xdr:colOff>
      <xdr:row>374</xdr:row>
      <xdr:rowOff>9525</xdr:rowOff>
    </xdr:to>
    <xdr:sp macro="" textlink="">
      <xdr:nvSpPr>
        <xdr:cNvPr id="2046" name="Rectangle 2045"/>
        <xdr:cNvSpPr>
          <a:spLocks noChangeArrowheads="1"/>
        </xdr:cNvSpPr>
      </xdr:nvSpPr>
      <xdr:spPr bwMode="auto">
        <a:xfrm>
          <a:off x="9163050" y="103803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373</xdr:row>
      <xdr:rowOff>0</xdr:rowOff>
    </xdr:from>
    <xdr:to>
      <xdr:col>31</xdr:col>
      <xdr:colOff>200025</xdr:colOff>
      <xdr:row>374</xdr:row>
      <xdr:rowOff>9525</xdr:rowOff>
    </xdr:to>
    <xdr:sp macro="" textlink="">
      <xdr:nvSpPr>
        <xdr:cNvPr id="2047" name="Rectangle 2046"/>
        <xdr:cNvSpPr>
          <a:spLocks noChangeArrowheads="1"/>
        </xdr:cNvSpPr>
      </xdr:nvSpPr>
      <xdr:spPr bwMode="auto">
        <a:xfrm>
          <a:off x="10868025" y="1038034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373</xdr:row>
      <xdr:rowOff>0</xdr:rowOff>
    </xdr:from>
    <xdr:to>
      <xdr:col>33</xdr:col>
      <xdr:colOff>200025</xdr:colOff>
      <xdr:row>374</xdr:row>
      <xdr:rowOff>9525</xdr:rowOff>
    </xdr:to>
    <xdr:sp macro="" textlink="">
      <xdr:nvSpPr>
        <xdr:cNvPr id="2048" name="Rectangle 2047"/>
        <xdr:cNvSpPr>
          <a:spLocks noChangeArrowheads="1"/>
        </xdr:cNvSpPr>
      </xdr:nvSpPr>
      <xdr:spPr bwMode="auto">
        <a:xfrm>
          <a:off x="11649075" y="103803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373</xdr:row>
      <xdr:rowOff>0</xdr:rowOff>
    </xdr:from>
    <xdr:to>
      <xdr:col>37</xdr:col>
      <xdr:colOff>190500</xdr:colOff>
      <xdr:row>374</xdr:row>
      <xdr:rowOff>9525</xdr:rowOff>
    </xdr:to>
    <xdr:sp macro="" textlink="">
      <xdr:nvSpPr>
        <xdr:cNvPr id="2049" name="Rectangle 2048"/>
        <xdr:cNvSpPr>
          <a:spLocks noChangeArrowheads="1"/>
        </xdr:cNvSpPr>
      </xdr:nvSpPr>
      <xdr:spPr bwMode="auto">
        <a:xfrm>
          <a:off x="13201650" y="103803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373</xdr:row>
      <xdr:rowOff>0</xdr:rowOff>
    </xdr:from>
    <xdr:to>
      <xdr:col>29</xdr:col>
      <xdr:colOff>200025</xdr:colOff>
      <xdr:row>374</xdr:row>
      <xdr:rowOff>9525</xdr:rowOff>
    </xdr:to>
    <xdr:sp macro="" textlink="">
      <xdr:nvSpPr>
        <xdr:cNvPr id="2050" name="Rectangle 1149"/>
        <xdr:cNvSpPr>
          <a:spLocks noChangeArrowheads="1"/>
        </xdr:cNvSpPr>
      </xdr:nvSpPr>
      <xdr:spPr bwMode="auto">
        <a:xfrm>
          <a:off x="9991725" y="1038034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180975</xdr:colOff>
      <xdr:row>373</xdr:row>
      <xdr:rowOff>0</xdr:rowOff>
    </xdr:from>
    <xdr:to>
      <xdr:col>19</xdr:col>
      <xdr:colOff>190500</xdr:colOff>
      <xdr:row>374</xdr:row>
      <xdr:rowOff>9525</xdr:rowOff>
    </xdr:to>
    <xdr:sp macro="" textlink="">
      <xdr:nvSpPr>
        <xdr:cNvPr id="2051" name="Rectangle 1242"/>
        <xdr:cNvSpPr>
          <a:spLocks noChangeArrowheads="1"/>
        </xdr:cNvSpPr>
      </xdr:nvSpPr>
      <xdr:spPr bwMode="auto">
        <a:xfrm>
          <a:off x="5829300" y="103803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373</xdr:row>
      <xdr:rowOff>0</xdr:rowOff>
    </xdr:from>
    <xdr:to>
      <xdr:col>11</xdr:col>
      <xdr:colOff>200025</xdr:colOff>
      <xdr:row>374</xdr:row>
      <xdr:rowOff>9525</xdr:rowOff>
    </xdr:to>
    <xdr:sp macro="" textlink="">
      <xdr:nvSpPr>
        <xdr:cNvPr id="2052" name="Rectangle 1243"/>
        <xdr:cNvSpPr>
          <a:spLocks noChangeArrowheads="1"/>
        </xdr:cNvSpPr>
      </xdr:nvSpPr>
      <xdr:spPr bwMode="auto">
        <a:xfrm>
          <a:off x="2209800" y="103803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373</xdr:row>
      <xdr:rowOff>0</xdr:rowOff>
    </xdr:from>
    <xdr:to>
      <xdr:col>13</xdr:col>
      <xdr:colOff>200025</xdr:colOff>
      <xdr:row>374</xdr:row>
      <xdr:rowOff>9525</xdr:rowOff>
    </xdr:to>
    <xdr:sp macro="" textlink="">
      <xdr:nvSpPr>
        <xdr:cNvPr id="2053" name="Rectangle 1244"/>
        <xdr:cNvSpPr>
          <a:spLocks noChangeArrowheads="1"/>
        </xdr:cNvSpPr>
      </xdr:nvSpPr>
      <xdr:spPr bwMode="auto">
        <a:xfrm>
          <a:off x="3057525" y="103803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373</xdr:row>
      <xdr:rowOff>0</xdr:rowOff>
    </xdr:from>
    <xdr:to>
      <xdr:col>15</xdr:col>
      <xdr:colOff>200025</xdr:colOff>
      <xdr:row>374</xdr:row>
      <xdr:rowOff>9525</xdr:rowOff>
    </xdr:to>
    <xdr:sp macro="" textlink="">
      <xdr:nvSpPr>
        <xdr:cNvPr id="2054" name="Rectangle 1245"/>
        <xdr:cNvSpPr>
          <a:spLocks noChangeArrowheads="1"/>
        </xdr:cNvSpPr>
      </xdr:nvSpPr>
      <xdr:spPr bwMode="auto">
        <a:xfrm>
          <a:off x="3933825" y="1038034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373</xdr:row>
      <xdr:rowOff>0</xdr:rowOff>
    </xdr:from>
    <xdr:to>
      <xdr:col>17</xdr:col>
      <xdr:colOff>200025</xdr:colOff>
      <xdr:row>374</xdr:row>
      <xdr:rowOff>9525</xdr:rowOff>
    </xdr:to>
    <xdr:sp macro="" textlink="">
      <xdr:nvSpPr>
        <xdr:cNvPr id="2055" name="Rectangle 1246"/>
        <xdr:cNvSpPr>
          <a:spLocks noChangeArrowheads="1"/>
        </xdr:cNvSpPr>
      </xdr:nvSpPr>
      <xdr:spPr bwMode="auto">
        <a:xfrm>
          <a:off x="4943475" y="103803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373</xdr:row>
      <xdr:rowOff>0</xdr:rowOff>
    </xdr:from>
    <xdr:to>
      <xdr:col>19</xdr:col>
      <xdr:colOff>200025</xdr:colOff>
      <xdr:row>374</xdr:row>
      <xdr:rowOff>9525</xdr:rowOff>
    </xdr:to>
    <xdr:sp macro="" textlink="">
      <xdr:nvSpPr>
        <xdr:cNvPr id="2056" name="Rectangle 1247"/>
        <xdr:cNvSpPr>
          <a:spLocks noChangeArrowheads="1"/>
        </xdr:cNvSpPr>
      </xdr:nvSpPr>
      <xdr:spPr bwMode="auto">
        <a:xfrm>
          <a:off x="5838825" y="103803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373</xdr:row>
      <xdr:rowOff>0</xdr:rowOff>
    </xdr:from>
    <xdr:to>
      <xdr:col>21</xdr:col>
      <xdr:colOff>200025</xdr:colOff>
      <xdr:row>374</xdr:row>
      <xdr:rowOff>9525</xdr:rowOff>
    </xdr:to>
    <xdr:sp macro="" textlink="">
      <xdr:nvSpPr>
        <xdr:cNvPr id="2057" name="Rectangle 1248"/>
        <xdr:cNvSpPr>
          <a:spLocks noChangeArrowheads="1"/>
        </xdr:cNvSpPr>
      </xdr:nvSpPr>
      <xdr:spPr bwMode="auto">
        <a:xfrm>
          <a:off x="6648450" y="1038034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373</xdr:row>
      <xdr:rowOff>0</xdr:rowOff>
    </xdr:from>
    <xdr:to>
      <xdr:col>23</xdr:col>
      <xdr:colOff>200025</xdr:colOff>
      <xdr:row>374</xdr:row>
      <xdr:rowOff>9525</xdr:rowOff>
    </xdr:to>
    <xdr:sp macro="" textlink="">
      <xdr:nvSpPr>
        <xdr:cNvPr id="2058" name="Rectangle 1249"/>
        <xdr:cNvSpPr>
          <a:spLocks noChangeArrowheads="1"/>
        </xdr:cNvSpPr>
      </xdr:nvSpPr>
      <xdr:spPr bwMode="auto">
        <a:xfrm>
          <a:off x="7505700" y="103803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373</xdr:row>
      <xdr:rowOff>0</xdr:rowOff>
    </xdr:from>
    <xdr:to>
      <xdr:col>25</xdr:col>
      <xdr:colOff>200025</xdr:colOff>
      <xdr:row>374</xdr:row>
      <xdr:rowOff>9525</xdr:rowOff>
    </xdr:to>
    <xdr:sp macro="" textlink="">
      <xdr:nvSpPr>
        <xdr:cNvPr id="2059" name="Rectangle 1250"/>
        <xdr:cNvSpPr>
          <a:spLocks noChangeArrowheads="1"/>
        </xdr:cNvSpPr>
      </xdr:nvSpPr>
      <xdr:spPr bwMode="auto">
        <a:xfrm>
          <a:off x="8315325" y="103803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373</xdr:row>
      <xdr:rowOff>0</xdr:rowOff>
    </xdr:from>
    <xdr:to>
      <xdr:col>27</xdr:col>
      <xdr:colOff>200025</xdr:colOff>
      <xdr:row>374</xdr:row>
      <xdr:rowOff>9525</xdr:rowOff>
    </xdr:to>
    <xdr:sp macro="" textlink="">
      <xdr:nvSpPr>
        <xdr:cNvPr id="2060" name="Rectangle 1251"/>
        <xdr:cNvSpPr>
          <a:spLocks noChangeArrowheads="1"/>
        </xdr:cNvSpPr>
      </xdr:nvSpPr>
      <xdr:spPr bwMode="auto">
        <a:xfrm>
          <a:off x="9163050" y="103803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373</xdr:row>
      <xdr:rowOff>0</xdr:rowOff>
    </xdr:from>
    <xdr:to>
      <xdr:col>31</xdr:col>
      <xdr:colOff>200025</xdr:colOff>
      <xdr:row>374</xdr:row>
      <xdr:rowOff>9525</xdr:rowOff>
    </xdr:to>
    <xdr:sp macro="" textlink="">
      <xdr:nvSpPr>
        <xdr:cNvPr id="2061" name="Rectangle 1252"/>
        <xdr:cNvSpPr>
          <a:spLocks noChangeArrowheads="1"/>
        </xdr:cNvSpPr>
      </xdr:nvSpPr>
      <xdr:spPr bwMode="auto">
        <a:xfrm>
          <a:off x="10868025" y="1038034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373</xdr:row>
      <xdr:rowOff>0</xdr:rowOff>
    </xdr:from>
    <xdr:to>
      <xdr:col>33</xdr:col>
      <xdr:colOff>200025</xdr:colOff>
      <xdr:row>374</xdr:row>
      <xdr:rowOff>9525</xdr:rowOff>
    </xdr:to>
    <xdr:sp macro="" textlink="">
      <xdr:nvSpPr>
        <xdr:cNvPr id="2062" name="Rectangle 1253"/>
        <xdr:cNvSpPr>
          <a:spLocks noChangeArrowheads="1"/>
        </xdr:cNvSpPr>
      </xdr:nvSpPr>
      <xdr:spPr bwMode="auto">
        <a:xfrm>
          <a:off x="11649075" y="103803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373</xdr:row>
      <xdr:rowOff>0</xdr:rowOff>
    </xdr:from>
    <xdr:to>
      <xdr:col>29</xdr:col>
      <xdr:colOff>200025</xdr:colOff>
      <xdr:row>374</xdr:row>
      <xdr:rowOff>9525</xdr:rowOff>
    </xdr:to>
    <xdr:sp macro="" textlink="">
      <xdr:nvSpPr>
        <xdr:cNvPr id="2063" name="Rectangle 1254"/>
        <xdr:cNvSpPr>
          <a:spLocks noChangeArrowheads="1"/>
        </xdr:cNvSpPr>
      </xdr:nvSpPr>
      <xdr:spPr bwMode="auto">
        <a:xfrm>
          <a:off x="9991725" y="1038034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373</xdr:row>
      <xdr:rowOff>0</xdr:rowOff>
    </xdr:from>
    <xdr:to>
      <xdr:col>37</xdr:col>
      <xdr:colOff>190500</xdr:colOff>
      <xdr:row>374</xdr:row>
      <xdr:rowOff>9525</xdr:rowOff>
    </xdr:to>
    <xdr:sp macro="" textlink="">
      <xdr:nvSpPr>
        <xdr:cNvPr id="2064" name="Rectangle 1657"/>
        <xdr:cNvSpPr>
          <a:spLocks noChangeArrowheads="1"/>
        </xdr:cNvSpPr>
      </xdr:nvSpPr>
      <xdr:spPr bwMode="auto">
        <a:xfrm>
          <a:off x="13201650" y="103803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373</xdr:row>
      <xdr:rowOff>0</xdr:rowOff>
    </xdr:from>
    <xdr:to>
      <xdr:col>11</xdr:col>
      <xdr:colOff>200025</xdr:colOff>
      <xdr:row>374</xdr:row>
      <xdr:rowOff>9525</xdr:rowOff>
    </xdr:to>
    <xdr:sp macro="" textlink="">
      <xdr:nvSpPr>
        <xdr:cNvPr id="2065" name="Rectangle 1695"/>
        <xdr:cNvSpPr>
          <a:spLocks noChangeArrowheads="1"/>
        </xdr:cNvSpPr>
      </xdr:nvSpPr>
      <xdr:spPr bwMode="auto">
        <a:xfrm>
          <a:off x="2209800" y="103803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C</a:t>
          </a:r>
        </a:p>
      </xdr:txBody>
    </xdr:sp>
    <xdr:clientData/>
  </xdr:twoCellAnchor>
  <xdr:twoCellAnchor>
    <xdr:from>
      <xdr:col>12</xdr:col>
      <xdr:colOff>190500</xdr:colOff>
      <xdr:row>373</xdr:row>
      <xdr:rowOff>0</xdr:rowOff>
    </xdr:from>
    <xdr:to>
      <xdr:col>13</xdr:col>
      <xdr:colOff>200025</xdr:colOff>
      <xdr:row>374</xdr:row>
      <xdr:rowOff>9525</xdr:rowOff>
    </xdr:to>
    <xdr:sp macro="" textlink="">
      <xdr:nvSpPr>
        <xdr:cNvPr id="2066" name="Rectangle 1696"/>
        <xdr:cNvSpPr>
          <a:spLocks noChangeArrowheads="1"/>
        </xdr:cNvSpPr>
      </xdr:nvSpPr>
      <xdr:spPr bwMode="auto">
        <a:xfrm>
          <a:off x="3057525" y="103803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14</xdr:col>
      <xdr:colOff>190500</xdr:colOff>
      <xdr:row>373</xdr:row>
      <xdr:rowOff>0</xdr:rowOff>
    </xdr:from>
    <xdr:to>
      <xdr:col>15</xdr:col>
      <xdr:colOff>200025</xdr:colOff>
      <xdr:row>374</xdr:row>
      <xdr:rowOff>9525</xdr:rowOff>
    </xdr:to>
    <xdr:sp macro="" textlink="">
      <xdr:nvSpPr>
        <xdr:cNvPr id="2067" name="Rectangle 1697"/>
        <xdr:cNvSpPr>
          <a:spLocks noChangeArrowheads="1"/>
        </xdr:cNvSpPr>
      </xdr:nvSpPr>
      <xdr:spPr bwMode="auto">
        <a:xfrm>
          <a:off x="3933825" y="1038034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16</xdr:col>
      <xdr:colOff>190500</xdr:colOff>
      <xdr:row>373</xdr:row>
      <xdr:rowOff>0</xdr:rowOff>
    </xdr:from>
    <xdr:to>
      <xdr:col>17</xdr:col>
      <xdr:colOff>200025</xdr:colOff>
      <xdr:row>374</xdr:row>
      <xdr:rowOff>9525</xdr:rowOff>
    </xdr:to>
    <xdr:sp macro="" textlink="">
      <xdr:nvSpPr>
        <xdr:cNvPr id="2068" name="Rectangle 1698"/>
        <xdr:cNvSpPr>
          <a:spLocks noChangeArrowheads="1"/>
        </xdr:cNvSpPr>
      </xdr:nvSpPr>
      <xdr:spPr bwMode="auto">
        <a:xfrm>
          <a:off x="4943475" y="103803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373</xdr:row>
      <xdr:rowOff>0</xdr:rowOff>
    </xdr:from>
    <xdr:to>
      <xdr:col>19</xdr:col>
      <xdr:colOff>200025</xdr:colOff>
      <xdr:row>374</xdr:row>
      <xdr:rowOff>9525</xdr:rowOff>
    </xdr:to>
    <xdr:sp macro="" textlink="">
      <xdr:nvSpPr>
        <xdr:cNvPr id="2069" name="Rectangle 1699"/>
        <xdr:cNvSpPr>
          <a:spLocks noChangeArrowheads="1"/>
        </xdr:cNvSpPr>
      </xdr:nvSpPr>
      <xdr:spPr bwMode="auto">
        <a:xfrm>
          <a:off x="5838825" y="103803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16</xdr:col>
      <xdr:colOff>190500</xdr:colOff>
      <xdr:row>373</xdr:row>
      <xdr:rowOff>0</xdr:rowOff>
    </xdr:from>
    <xdr:to>
      <xdr:col>17</xdr:col>
      <xdr:colOff>200025</xdr:colOff>
      <xdr:row>374</xdr:row>
      <xdr:rowOff>9525</xdr:rowOff>
    </xdr:to>
    <xdr:sp macro="" textlink="">
      <xdr:nvSpPr>
        <xdr:cNvPr id="2070" name="Rectangle 1700"/>
        <xdr:cNvSpPr>
          <a:spLocks noChangeArrowheads="1"/>
        </xdr:cNvSpPr>
      </xdr:nvSpPr>
      <xdr:spPr bwMode="auto">
        <a:xfrm>
          <a:off x="4943475" y="103803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  <a:p>
          <a:pPr algn="ctr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20</xdr:col>
      <xdr:colOff>180975</xdr:colOff>
      <xdr:row>373</xdr:row>
      <xdr:rowOff>0</xdr:rowOff>
    </xdr:from>
    <xdr:to>
      <xdr:col>21</xdr:col>
      <xdr:colOff>190500</xdr:colOff>
      <xdr:row>374</xdr:row>
      <xdr:rowOff>9525</xdr:rowOff>
    </xdr:to>
    <xdr:sp macro="" textlink="">
      <xdr:nvSpPr>
        <xdr:cNvPr id="2071" name="Rectangle 1701"/>
        <xdr:cNvSpPr>
          <a:spLocks noChangeArrowheads="1"/>
        </xdr:cNvSpPr>
      </xdr:nvSpPr>
      <xdr:spPr bwMode="auto">
        <a:xfrm>
          <a:off x="6638925" y="1038034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373</xdr:row>
      <xdr:rowOff>0</xdr:rowOff>
    </xdr:from>
    <xdr:to>
      <xdr:col>21</xdr:col>
      <xdr:colOff>200025</xdr:colOff>
      <xdr:row>374</xdr:row>
      <xdr:rowOff>9525</xdr:rowOff>
    </xdr:to>
    <xdr:sp macro="" textlink="">
      <xdr:nvSpPr>
        <xdr:cNvPr id="2072" name="Rectangle 1702"/>
        <xdr:cNvSpPr>
          <a:spLocks noChangeArrowheads="1"/>
        </xdr:cNvSpPr>
      </xdr:nvSpPr>
      <xdr:spPr bwMode="auto">
        <a:xfrm>
          <a:off x="6648450" y="1038034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373</xdr:row>
      <xdr:rowOff>0</xdr:rowOff>
    </xdr:from>
    <xdr:to>
      <xdr:col>21</xdr:col>
      <xdr:colOff>200025</xdr:colOff>
      <xdr:row>374</xdr:row>
      <xdr:rowOff>9525</xdr:rowOff>
    </xdr:to>
    <xdr:sp macro="" textlink="">
      <xdr:nvSpPr>
        <xdr:cNvPr id="2073" name="Rectangle 1703"/>
        <xdr:cNvSpPr>
          <a:spLocks noChangeArrowheads="1"/>
        </xdr:cNvSpPr>
      </xdr:nvSpPr>
      <xdr:spPr bwMode="auto">
        <a:xfrm>
          <a:off x="6648450" y="1038034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22</xdr:col>
      <xdr:colOff>190500</xdr:colOff>
      <xdr:row>373</xdr:row>
      <xdr:rowOff>0</xdr:rowOff>
    </xdr:from>
    <xdr:to>
      <xdr:col>23</xdr:col>
      <xdr:colOff>200025</xdr:colOff>
      <xdr:row>374</xdr:row>
      <xdr:rowOff>9525</xdr:rowOff>
    </xdr:to>
    <xdr:sp macro="" textlink="">
      <xdr:nvSpPr>
        <xdr:cNvPr id="2074" name="Rectangle 1704"/>
        <xdr:cNvSpPr>
          <a:spLocks noChangeArrowheads="1"/>
        </xdr:cNvSpPr>
      </xdr:nvSpPr>
      <xdr:spPr bwMode="auto">
        <a:xfrm>
          <a:off x="7505700" y="103803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373</xdr:row>
      <xdr:rowOff>0</xdr:rowOff>
    </xdr:from>
    <xdr:to>
      <xdr:col>23</xdr:col>
      <xdr:colOff>200025</xdr:colOff>
      <xdr:row>374</xdr:row>
      <xdr:rowOff>9525</xdr:rowOff>
    </xdr:to>
    <xdr:sp macro="" textlink="">
      <xdr:nvSpPr>
        <xdr:cNvPr id="2075" name="Rectangle 1705"/>
        <xdr:cNvSpPr>
          <a:spLocks noChangeArrowheads="1"/>
        </xdr:cNvSpPr>
      </xdr:nvSpPr>
      <xdr:spPr bwMode="auto">
        <a:xfrm>
          <a:off x="7505700" y="103803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180975</xdr:colOff>
      <xdr:row>373</xdr:row>
      <xdr:rowOff>0</xdr:rowOff>
    </xdr:from>
    <xdr:to>
      <xdr:col>23</xdr:col>
      <xdr:colOff>190500</xdr:colOff>
      <xdr:row>374</xdr:row>
      <xdr:rowOff>9525</xdr:rowOff>
    </xdr:to>
    <xdr:sp macro="" textlink="">
      <xdr:nvSpPr>
        <xdr:cNvPr id="2076" name="Rectangle 1706"/>
        <xdr:cNvSpPr>
          <a:spLocks noChangeArrowheads="1"/>
        </xdr:cNvSpPr>
      </xdr:nvSpPr>
      <xdr:spPr bwMode="auto">
        <a:xfrm>
          <a:off x="7496175" y="103803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373</xdr:row>
      <xdr:rowOff>0</xdr:rowOff>
    </xdr:from>
    <xdr:to>
      <xdr:col>23</xdr:col>
      <xdr:colOff>200025</xdr:colOff>
      <xdr:row>374</xdr:row>
      <xdr:rowOff>9525</xdr:rowOff>
    </xdr:to>
    <xdr:sp macro="" textlink="">
      <xdr:nvSpPr>
        <xdr:cNvPr id="2077" name="Rectangle 1707"/>
        <xdr:cNvSpPr>
          <a:spLocks noChangeArrowheads="1"/>
        </xdr:cNvSpPr>
      </xdr:nvSpPr>
      <xdr:spPr bwMode="auto">
        <a:xfrm>
          <a:off x="7505700" y="103803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373</xdr:row>
      <xdr:rowOff>0</xdr:rowOff>
    </xdr:from>
    <xdr:to>
      <xdr:col>23</xdr:col>
      <xdr:colOff>200025</xdr:colOff>
      <xdr:row>374</xdr:row>
      <xdr:rowOff>9525</xdr:rowOff>
    </xdr:to>
    <xdr:sp macro="" textlink="">
      <xdr:nvSpPr>
        <xdr:cNvPr id="2078" name="Rectangle 1708"/>
        <xdr:cNvSpPr>
          <a:spLocks noChangeArrowheads="1"/>
        </xdr:cNvSpPr>
      </xdr:nvSpPr>
      <xdr:spPr bwMode="auto">
        <a:xfrm>
          <a:off x="7505700" y="103803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pPr rtl="0"/>
          <a:r>
            <a:rPr lang="en-US" sz="1200" b="0" i="0">
              <a:latin typeface="Arial" pitchFamily="34" charset="0"/>
              <a:ea typeface="+mn-ea"/>
              <a:cs typeface="Arial" pitchFamily="34" charset="0"/>
            </a:rPr>
            <a:t>K</a:t>
          </a:r>
          <a:endParaRPr lang="en-US" sz="1200" b="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190500</xdr:colOff>
      <xdr:row>373</xdr:row>
      <xdr:rowOff>0</xdr:rowOff>
    </xdr:from>
    <xdr:to>
      <xdr:col>37</xdr:col>
      <xdr:colOff>190500</xdr:colOff>
      <xdr:row>374</xdr:row>
      <xdr:rowOff>9525</xdr:rowOff>
    </xdr:to>
    <xdr:sp macro="" textlink="">
      <xdr:nvSpPr>
        <xdr:cNvPr id="2079" name="Rectangle 1709"/>
        <xdr:cNvSpPr>
          <a:spLocks noChangeArrowheads="1"/>
        </xdr:cNvSpPr>
      </xdr:nvSpPr>
      <xdr:spPr bwMode="auto">
        <a:xfrm>
          <a:off x="13201650" y="103803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373</xdr:row>
      <xdr:rowOff>0</xdr:rowOff>
    </xdr:from>
    <xdr:to>
      <xdr:col>37</xdr:col>
      <xdr:colOff>190500</xdr:colOff>
      <xdr:row>374</xdr:row>
      <xdr:rowOff>9525</xdr:rowOff>
    </xdr:to>
    <xdr:sp macro="" textlink="">
      <xdr:nvSpPr>
        <xdr:cNvPr id="2080" name="Rectangle 1710"/>
        <xdr:cNvSpPr>
          <a:spLocks noChangeArrowheads="1"/>
        </xdr:cNvSpPr>
      </xdr:nvSpPr>
      <xdr:spPr bwMode="auto">
        <a:xfrm>
          <a:off x="13201650" y="103803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K</a:t>
          </a:r>
        </a:p>
      </xdr:txBody>
    </xdr:sp>
    <xdr:clientData/>
  </xdr:twoCellAnchor>
  <xdr:twoCellAnchor>
    <xdr:from>
      <xdr:col>24</xdr:col>
      <xdr:colOff>190500</xdr:colOff>
      <xdr:row>373</xdr:row>
      <xdr:rowOff>0</xdr:rowOff>
    </xdr:from>
    <xdr:to>
      <xdr:col>25</xdr:col>
      <xdr:colOff>200025</xdr:colOff>
      <xdr:row>374</xdr:row>
      <xdr:rowOff>9525</xdr:rowOff>
    </xdr:to>
    <xdr:sp macro="" textlink="">
      <xdr:nvSpPr>
        <xdr:cNvPr id="2081" name="Rectangle 3291"/>
        <xdr:cNvSpPr>
          <a:spLocks noChangeArrowheads="1"/>
        </xdr:cNvSpPr>
      </xdr:nvSpPr>
      <xdr:spPr bwMode="auto">
        <a:xfrm>
          <a:off x="8315325" y="103803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373</xdr:row>
      <xdr:rowOff>0</xdr:rowOff>
    </xdr:from>
    <xdr:to>
      <xdr:col>25</xdr:col>
      <xdr:colOff>200025</xdr:colOff>
      <xdr:row>374</xdr:row>
      <xdr:rowOff>9525</xdr:rowOff>
    </xdr:to>
    <xdr:sp macro="" textlink="">
      <xdr:nvSpPr>
        <xdr:cNvPr id="2082" name="Rectangle 3292"/>
        <xdr:cNvSpPr>
          <a:spLocks noChangeArrowheads="1"/>
        </xdr:cNvSpPr>
      </xdr:nvSpPr>
      <xdr:spPr bwMode="auto">
        <a:xfrm>
          <a:off x="8315325" y="103803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373</xdr:row>
      <xdr:rowOff>0</xdr:rowOff>
    </xdr:from>
    <xdr:to>
      <xdr:col>25</xdr:col>
      <xdr:colOff>200025</xdr:colOff>
      <xdr:row>374</xdr:row>
      <xdr:rowOff>9525</xdr:rowOff>
    </xdr:to>
    <xdr:sp macro="" textlink="">
      <xdr:nvSpPr>
        <xdr:cNvPr id="2083" name="Rectangle 3293"/>
        <xdr:cNvSpPr>
          <a:spLocks noChangeArrowheads="1"/>
        </xdr:cNvSpPr>
      </xdr:nvSpPr>
      <xdr:spPr bwMode="auto">
        <a:xfrm>
          <a:off x="8315325" y="103803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373</xdr:row>
      <xdr:rowOff>0</xdr:rowOff>
    </xdr:from>
    <xdr:to>
      <xdr:col>25</xdr:col>
      <xdr:colOff>200025</xdr:colOff>
      <xdr:row>374</xdr:row>
      <xdr:rowOff>9525</xdr:rowOff>
    </xdr:to>
    <xdr:sp macro="" textlink="">
      <xdr:nvSpPr>
        <xdr:cNvPr id="2084" name="Rectangle 3294"/>
        <xdr:cNvSpPr>
          <a:spLocks noChangeArrowheads="1"/>
        </xdr:cNvSpPr>
      </xdr:nvSpPr>
      <xdr:spPr bwMode="auto">
        <a:xfrm>
          <a:off x="8315325" y="103803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180975</xdr:colOff>
      <xdr:row>373</xdr:row>
      <xdr:rowOff>0</xdr:rowOff>
    </xdr:from>
    <xdr:to>
      <xdr:col>25</xdr:col>
      <xdr:colOff>190500</xdr:colOff>
      <xdr:row>374</xdr:row>
      <xdr:rowOff>9525</xdr:rowOff>
    </xdr:to>
    <xdr:sp macro="" textlink="">
      <xdr:nvSpPr>
        <xdr:cNvPr id="2085" name="Rectangle 3295"/>
        <xdr:cNvSpPr>
          <a:spLocks noChangeArrowheads="1"/>
        </xdr:cNvSpPr>
      </xdr:nvSpPr>
      <xdr:spPr bwMode="auto">
        <a:xfrm>
          <a:off x="8305800" y="103803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373</xdr:row>
      <xdr:rowOff>0</xdr:rowOff>
    </xdr:from>
    <xdr:to>
      <xdr:col>25</xdr:col>
      <xdr:colOff>200025</xdr:colOff>
      <xdr:row>374</xdr:row>
      <xdr:rowOff>9525</xdr:rowOff>
    </xdr:to>
    <xdr:sp macro="" textlink="">
      <xdr:nvSpPr>
        <xdr:cNvPr id="2086" name="Rectangle 3296"/>
        <xdr:cNvSpPr>
          <a:spLocks noChangeArrowheads="1"/>
        </xdr:cNvSpPr>
      </xdr:nvSpPr>
      <xdr:spPr bwMode="auto">
        <a:xfrm>
          <a:off x="8315325" y="103803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373</xdr:row>
      <xdr:rowOff>0</xdr:rowOff>
    </xdr:from>
    <xdr:to>
      <xdr:col>25</xdr:col>
      <xdr:colOff>200025</xdr:colOff>
      <xdr:row>374</xdr:row>
      <xdr:rowOff>9525</xdr:rowOff>
    </xdr:to>
    <xdr:sp macro="" textlink="">
      <xdr:nvSpPr>
        <xdr:cNvPr id="2087" name="Rectangle 3297"/>
        <xdr:cNvSpPr>
          <a:spLocks noChangeArrowheads="1"/>
        </xdr:cNvSpPr>
      </xdr:nvSpPr>
      <xdr:spPr bwMode="auto">
        <a:xfrm>
          <a:off x="8315325" y="103803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US">
              <a:latin typeface="Arial" pitchFamily="34" charset="0"/>
              <a:cs typeface="Arial" pitchFamily="34" charset="0"/>
            </a:rPr>
            <a:t>K</a:t>
          </a:r>
        </a:p>
      </xdr:txBody>
    </xdr:sp>
    <xdr:clientData/>
  </xdr:twoCellAnchor>
  <xdr:twoCellAnchor>
    <xdr:from>
      <xdr:col>26</xdr:col>
      <xdr:colOff>190500</xdr:colOff>
      <xdr:row>373</xdr:row>
      <xdr:rowOff>0</xdr:rowOff>
    </xdr:from>
    <xdr:to>
      <xdr:col>27</xdr:col>
      <xdr:colOff>200025</xdr:colOff>
      <xdr:row>374</xdr:row>
      <xdr:rowOff>9525</xdr:rowOff>
    </xdr:to>
    <xdr:sp macro="" textlink="">
      <xdr:nvSpPr>
        <xdr:cNvPr id="2088" name="Rectangle 3619"/>
        <xdr:cNvSpPr>
          <a:spLocks noChangeArrowheads="1"/>
        </xdr:cNvSpPr>
      </xdr:nvSpPr>
      <xdr:spPr bwMode="auto">
        <a:xfrm>
          <a:off x="9163050" y="103803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373</xdr:row>
      <xdr:rowOff>0</xdr:rowOff>
    </xdr:from>
    <xdr:to>
      <xdr:col>27</xdr:col>
      <xdr:colOff>200025</xdr:colOff>
      <xdr:row>374</xdr:row>
      <xdr:rowOff>9525</xdr:rowOff>
    </xdr:to>
    <xdr:sp macro="" textlink="">
      <xdr:nvSpPr>
        <xdr:cNvPr id="2089" name="Rectangle 3620"/>
        <xdr:cNvSpPr>
          <a:spLocks noChangeArrowheads="1"/>
        </xdr:cNvSpPr>
      </xdr:nvSpPr>
      <xdr:spPr bwMode="auto">
        <a:xfrm>
          <a:off x="9163050" y="103803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373</xdr:row>
      <xdr:rowOff>0</xdr:rowOff>
    </xdr:from>
    <xdr:to>
      <xdr:col>27</xdr:col>
      <xdr:colOff>200025</xdr:colOff>
      <xdr:row>374</xdr:row>
      <xdr:rowOff>9525</xdr:rowOff>
    </xdr:to>
    <xdr:sp macro="" textlink="">
      <xdr:nvSpPr>
        <xdr:cNvPr id="2090" name="Rectangle 3621"/>
        <xdr:cNvSpPr>
          <a:spLocks noChangeArrowheads="1"/>
        </xdr:cNvSpPr>
      </xdr:nvSpPr>
      <xdr:spPr bwMode="auto">
        <a:xfrm>
          <a:off x="9163050" y="103803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373</xdr:row>
      <xdr:rowOff>0</xdr:rowOff>
    </xdr:from>
    <xdr:to>
      <xdr:col>27</xdr:col>
      <xdr:colOff>200025</xdr:colOff>
      <xdr:row>374</xdr:row>
      <xdr:rowOff>9525</xdr:rowOff>
    </xdr:to>
    <xdr:sp macro="" textlink="">
      <xdr:nvSpPr>
        <xdr:cNvPr id="2091" name="Rectangle 3622"/>
        <xdr:cNvSpPr>
          <a:spLocks noChangeArrowheads="1"/>
        </xdr:cNvSpPr>
      </xdr:nvSpPr>
      <xdr:spPr bwMode="auto">
        <a:xfrm>
          <a:off x="9163050" y="103803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373</xdr:row>
      <xdr:rowOff>0</xdr:rowOff>
    </xdr:from>
    <xdr:to>
      <xdr:col>27</xdr:col>
      <xdr:colOff>200025</xdr:colOff>
      <xdr:row>374</xdr:row>
      <xdr:rowOff>9525</xdr:rowOff>
    </xdr:to>
    <xdr:sp macro="" textlink="">
      <xdr:nvSpPr>
        <xdr:cNvPr id="2092" name="Rectangle 3623"/>
        <xdr:cNvSpPr>
          <a:spLocks noChangeArrowheads="1"/>
        </xdr:cNvSpPr>
      </xdr:nvSpPr>
      <xdr:spPr bwMode="auto">
        <a:xfrm>
          <a:off x="9163050" y="103803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373</xdr:row>
      <xdr:rowOff>0</xdr:rowOff>
    </xdr:from>
    <xdr:to>
      <xdr:col>27</xdr:col>
      <xdr:colOff>200025</xdr:colOff>
      <xdr:row>374</xdr:row>
      <xdr:rowOff>9525</xdr:rowOff>
    </xdr:to>
    <xdr:sp macro="" textlink="">
      <xdr:nvSpPr>
        <xdr:cNvPr id="2093" name="Rectangle 3624"/>
        <xdr:cNvSpPr>
          <a:spLocks noChangeArrowheads="1"/>
        </xdr:cNvSpPr>
      </xdr:nvSpPr>
      <xdr:spPr bwMode="auto">
        <a:xfrm>
          <a:off x="9163050" y="103803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180975</xdr:colOff>
      <xdr:row>373</xdr:row>
      <xdr:rowOff>0</xdr:rowOff>
    </xdr:from>
    <xdr:to>
      <xdr:col>27</xdr:col>
      <xdr:colOff>190500</xdr:colOff>
      <xdr:row>374</xdr:row>
      <xdr:rowOff>9525</xdr:rowOff>
    </xdr:to>
    <xdr:sp macro="" textlink="">
      <xdr:nvSpPr>
        <xdr:cNvPr id="2094" name="Rectangle 3625"/>
        <xdr:cNvSpPr>
          <a:spLocks noChangeArrowheads="1"/>
        </xdr:cNvSpPr>
      </xdr:nvSpPr>
      <xdr:spPr bwMode="auto">
        <a:xfrm>
          <a:off x="9153525" y="103803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373</xdr:row>
      <xdr:rowOff>0</xdr:rowOff>
    </xdr:from>
    <xdr:to>
      <xdr:col>27</xdr:col>
      <xdr:colOff>200025</xdr:colOff>
      <xdr:row>374</xdr:row>
      <xdr:rowOff>9525</xdr:rowOff>
    </xdr:to>
    <xdr:sp macro="" textlink="">
      <xdr:nvSpPr>
        <xdr:cNvPr id="2095" name="Rectangle 3626"/>
        <xdr:cNvSpPr>
          <a:spLocks noChangeArrowheads="1"/>
        </xdr:cNvSpPr>
      </xdr:nvSpPr>
      <xdr:spPr bwMode="auto">
        <a:xfrm>
          <a:off x="9163050" y="103803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373</xdr:row>
      <xdr:rowOff>0</xdr:rowOff>
    </xdr:from>
    <xdr:to>
      <xdr:col>27</xdr:col>
      <xdr:colOff>200025</xdr:colOff>
      <xdr:row>374</xdr:row>
      <xdr:rowOff>9525</xdr:rowOff>
    </xdr:to>
    <xdr:sp macro="" textlink="">
      <xdr:nvSpPr>
        <xdr:cNvPr id="2096" name="Rectangle 3627"/>
        <xdr:cNvSpPr>
          <a:spLocks noChangeArrowheads="1"/>
        </xdr:cNvSpPr>
      </xdr:nvSpPr>
      <xdr:spPr bwMode="auto">
        <a:xfrm>
          <a:off x="9163050" y="103803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US" sz="120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  K</a:t>
          </a:r>
        </a:p>
      </xdr:txBody>
    </xdr:sp>
    <xdr:clientData/>
  </xdr:twoCellAnchor>
  <xdr:twoCellAnchor>
    <xdr:from>
      <xdr:col>28</xdr:col>
      <xdr:colOff>190500</xdr:colOff>
      <xdr:row>373</xdr:row>
      <xdr:rowOff>0</xdr:rowOff>
    </xdr:from>
    <xdr:to>
      <xdr:col>29</xdr:col>
      <xdr:colOff>200025</xdr:colOff>
      <xdr:row>374</xdr:row>
      <xdr:rowOff>9525</xdr:rowOff>
    </xdr:to>
    <xdr:sp macro="" textlink="">
      <xdr:nvSpPr>
        <xdr:cNvPr id="2097" name="Rectangle 4049"/>
        <xdr:cNvSpPr>
          <a:spLocks noChangeArrowheads="1"/>
        </xdr:cNvSpPr>
      </xdr:nvSpPr>
      <xdr:spPr bwMode="auto">
        <a:xfrm>
          <a:off x="9991725" y="1038034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373</xdr:row>
      <xdr:rowOff>0</xdr:rowOff>
    </xdr:from>
    <xdr:to>
      <xdr:col>29</xdr:col>
      <xdr:colOff>200025</xdr:colOff>
      <xdr:row>374</xdr:row>
      <xdr:rowOff>9525</xdr:rowOff>
    </xdr:to>
    <xdr:sp macro="" textlink="">
      <xdr:nvSpPr>
        <xdr:cNvPr id="2098" name="Rectangle 4050"/>
        <xdr:cNvSpPr>
          <a:spLocks noChangeArrowheads="1"/>
        </xdr:cNvSpPr>
      </xdr:nvSpPr>
      <xdr:spPr bwMode="auto">
        <a:xfrm>
          <a:off x="9991725" y="1038034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373</xdr:row>
      <xdr:rowOff>0</xdr:rowOff>
    </xdr:from>
    <xdr:to>
      <xdr:col>29</xdr:col>
      <xdr:colOff>200025</xdr:colOff>
      <xdr:row>374</xdr:row>
      <xdr:rowOff>9525</xdr:rowOff>
    </xdr:to>
    <xdr:sp macro="" textlink="">
      <xdr:nvSpPr>
        <xdr:cNvPr id="2099" name="Rectangle 4051"/>
        <xdr:cNvSpPr>
          <a:spLocks noChangeArrowheads="1"/>
        </xdr:cNvSpPr>
      </xdr:nvSpPr>
      <xdr:spPr bwMode="auto">
        <a:xfrm>
          <a:off x="9991725" y="1038034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K</a:t>
          </a:r>
        </a:p>
      </xdr:txBody>
    </xdr:sp>
    <xdr:clientData/>
  </xdr:twoCellAnchor>
  <xdr:twoCellAnchor>
    <xdr:from>
      <xdr:col>30</xdr:col>
      <xdr:colOff>190500</xdr:colOff>
      <xdr:row>373</xdr:row>
      <xdr:rowOff>0</xdr:rowOff>
    </xdr:from>
    <xdr:to>
      <xdr:col>31</xdr:col>
      <xdr:colOff>200025</xdr:colOff>
      <xdr:row>374</xdr:row>
      <xdr:rowOff>9525</xdr:rowOff>
    </xdr:to>
    <xdr:sp macro="" textlink="">
      <xdr:nvSpPr>
        <xdr:cNvPr id="2100" name="Rectangle 4555"/>
        <xdr:cNvSpPr>
          <a:spLocks noChangeArrowheads="1"/>
        </xdr:cNvSpPr>
      </xdr:nvSpPr>
      <xdr:spPr bwMode="auto">
        <a:xfrm>
          <a:off x="10868025" y="1038034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373</xdr:row>
      <xdr:rowOff>0</xdr:rowOff>
    </xdr:from>
    <xdr:to>
      <xdr:col>31</xdr:col>
      <xdr:colOff>200025</xdr:colOff>
      <xdr:row>374</xdr:row>
      <xdr:rowOff>9525</xdr:rowOff>
    </xdr:to>
    <xdr:sp macro="" textlink="">
      <xdr:nvSpPr>
        <xdr:cNvPr id="2101" name="Rectangle 4556"/>
        <xdr:cNvSpPr>
          <a:spLocks noChangeArrowheads="1"/>
        </xdr:cNvSpPr>
      </xdr:nvSpPr>
      <xdr:spPr bwMode="auto">
        <a:xfrm>
          <a:off x="10868025" y="1038034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373</xdr:row>
      <xdr:rowOff>0</xdr:rowOff>
    </xdr:from>
    <xdr:to>
      <xdr:col>31</xdr:col>
      <xdr:colOff>200025</xdr:colOff>
      <xdr:row>374</xdr:row>
      <xdr:rowOff>9525</xdr:rowOff>
    </xdr:to>
    <xdr:sp macro="" textlink="">
      <xdr:nvSpPr>
        <xdr:cNvPr id="2102" name="Rectangle 4557"/>
        <xdr:cNvSpPr>
          <a:spLocks noChangeArrowheads="1"/>
        </xdr:cNvSpPr>
      </xdr:nvSpPr>
      <xdr:spPr bwMode="auto">
        <a:xfrm>
          <a:off x="10868025" y="1038034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373</xdr:row>
      <xdr:rowOff>0</xdr:rowOff>
    </xdr:from>
    <xdr:to>
      <xdr:col>31</xdr:col>
      <xdr:colOff>200025</xdr:colOff>
      <xdr:row>374</xdr:row>
      <xdr:rowOff>9525</xdr:rowOff>
    </xdr:to>
    <xdr:sp macro="" textlink="">
      <xdr:nvSpPr>
        <xdr:cNvPr id="2103" name="Rectangle 4558"/>
        <xdr:cNvSpPr>
          <a:spLocks noChangeArrowheads="1"/>
        </xdr:cNvSpPr>
      </xdr:nvSpPr>
      <xdr:spPr bwMode="auto">
        <a:xfrm>
          <a:off x="10868025" y="1038034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373</xdr:row>
      <xdr:rowOff>0</xdr:rowOff>
    </xdr:from>
    <xdr:to>
      <xdr:col>31</xdr:col>
      <xdr:colOff>200025</xdr:colOff>
      <xdr:row>374</xdr:row>
      <xdr:rowOff>9525</xdr:rowOff>
    </xdr:to>
    <xdr:sp macro="" textlink="">
      <xdr:nvSpPr>
        <xdr:cNvPr id="2104" name="Rectangle 4559"/>
        <xdr:cNvSpPr>
          <a:spLocks noChangeArrowheads="1"/>
        </xdr:cNvSpPr>
      </xdr:nvSpPr>
      <xdr:spPr bwMode="auto">
        <a:xfrm>
          <a:off x="10868025" y="1038034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K</a:t>
          </a:r>
        </a:p>
      </xdr:txBody>
    </xdr:sp>
    <xdr:clientData/>
  </xdr:twoCellAnchor>
  <xdr:twoCellAnchor>
    <xdr:from>
      <xdr:col>32</xdr:col>
      <xdr:colOff>190500</xdr:colOff>
      <xdr:row>373</xdr:row>
      <xdr:rowOff>0</xdr:rowOff>
    </xdr:from>
    <xdr:to>
      <xdr:col>33</xdr:col>
      <xdr:colOff>200025</xdr:colOff>
      <xdr:row>374</xdr:row>
      <xdr:rowOff>9525</xdr:rowOff>
    </xdr:to>
    <xdr:sp macro="" textlink="">
      <xdr:nvSpPr>
        <xdr:cNvPr id="2105" name="Rectangle 5223"/>
        <xdr:cNvSpPr>
          <a:spLocks noChangeArrowheads="1"/>
        </xdr:cNvSpPr>
      </xdr:nvSpPr>
      <xdr:spPr bwMode="auto">
        <a:xfrm>
          <a:off x="11649075" y="103803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373</xdr:row>
      <xdr:rowOff>0</xdr:rowOff>
    </xdr:from>
    <xdr:to>
      <xdr:col>33</xdr:col>
      <xdr:colOff>200025</xdr:colOff>
      <xdr:row>374</xdr:row>
      <xdr:rowOff>9525</xdr:rowOff>
    </xdr:to>
    <xdr:sp macro="" textlink="">
      <xdr:nvSpPr>
        <xdr:cNvPr id="2106" name="Rectangle 5224"/>
        <xdr:cNvSpPr>
          <a:spLocks noChangeArrowheads="1"/>
        </xdr:cNvSpPr>
      </xdr:nvSpPr>
      <xdr:spPr bwMode="auto">
        <a:xfrm>
          <a:off x="11649075" y="103803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373</xdr:row>
      <xdr:rowOff>0</xdr:rowOff>
    </xdr:from>
    <xdr:to>
      <xdr:col>33</xdr:col>
      <xdr:colOff>200025</xdr:colOff>
      <xdr:row>374</xdr:row>
      <xdr:rowOff>9525</xdr:rowOff>
    </xdr:to>
    <xdr:sp macro="" textlink="">
      <xdr:nvSpPr>
        <xdr:cNvPr id="2107" name="Rectangle 5225"/>
        <xdr:cNvSpPr>
          <a:spLocks noChangeArrowheads="1"/>
        </xdr:cNvSpPr>
      </xdr:nvSpPr>
      <xdr:spPr bwMode="auto">
        <a:xfrm>
          <a:off x="11649075" y="103803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373</xdr:row>
      <xdr:rowOff>0</xdr:rowOff>
    </xdr:from>
    <xdr:to>
      <xdr:col>33</xdr:col>
      <xdr:colOff>200025</xdr:colOff>
      <xdr:row>374</xdr:row>
      <xdr:rowOff>9525</xdr:rowOff>
    </xdr:to>
    <xdr:sp macro="" textlink="">
      <xdr:nvSpPr>
        <xdr:cNvPr id="2108" name="Rectangle 5226"/>
        <xdr:cNvSpPr>
          <a:spLocks noChangeArrowheads="1"/>
        </xdr:cNvSpPr>
      </xdr:nvSpPr>
      <xdr:spPr bwMode="auto">
        <a:xfrm>
          <a:off x="11649075" y="103803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373</xdr:row>
      <xdr:rowOff>0</xdr:rowOff>
    </xdr:from>
    <xdr:to>
      <xdr:col>33</xdr:col>
      <xdr:colOff>200025</xdr:colOff>
      <xdr:row>374</xdr:row>
      <xdr:rowOff>9525</xdr:rowOff>
    </xdr:to>
    <xdr:sp macro="" textlink="">
      <xdr:nvSpPr>
        <xdr:cNvPr id="2109" name="Rectangle 5227"/>
        <xdr:cNvSpPr>
          <a:spLocks noChangeArrowheads="1"/>
        </xdr:cNvSpPr>
      </xdr:nvSpPr>
      <xdr:spPr bwMode="auto">
        <a:xfrm>
          <a:off x="11649075" y="103803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373</xdr:row>
      <xdr:rowOff>0</xdr:rowOff>
    </xdr:from>
    <xdr:to>
      <xdr:col>33</xdr:col>
      <xdr:colOff>200025</xdr:colOff>
      <xdr:row>374</xdr:row>
      <xdr:rowOff>9525</xdr:rowOff>
    </xdr:to>
    <xdr:sp macro="" textlink="">
      <xdr:nvSpPr>
        <xdr:cNvPr id="2110" name="Rectangle 5228"/>
        <xdr:cNvSpPr>
          <a:spLocks noChangeArrowheads="1"/>
        </xdr:cNvSpPr>
      </xdr:nvSpPr>
      <xdr:spPr bwMode="auto">
        <a:xfrm>
          <a:off x="11649075" y="103803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US" sz="1400"/>
            <a:t>  K</a:t>
          </a:r>
        </a:p>
      </xdr:txBody>
    </xdr:sp>
    <xdr:clientData/>
  </xdr:twoCellAnchor>
  <xdr:twoCellAnchor>
    <xdr:from>
      <xdr:col>0</xdr:col>
      <xdr:colOff>57150</xdr:colOff>
      <xdr:row>351</xdr:row>
      <xdr:rowOff>85725</xdr:rowOff>
    </xdr:from>
    <xdr:to>
      <xdr:col>3</xdr:col>
      <xdr:colOff>114300</xdr:colOff>
      <xdr:row>354</xdr:row>
      <xdr:rowOff>114300</xdr:rowOff>
    </xdr:to>
    <xdr:pic>
      <xdr:nvPicPr>
        <xdr:cNvPr id="2111" name="Picture 565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b="10052"/>
        <a:stretch>
          <a:fillRect/>
        </a:stretch>
      </xdr:blipFill>
      <xdr:spPr bwMode="auto">
        <a:xfrm>
          <a:off x="57150" y="97516950"/>
          <a:ext cx="628650" cy="600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10</xdr:col>
      <xdr:colOff>190500</xdr:colOff>
      <xdr:row>409</xdr:row>
      <xdr:rowOff>0</xdr:rowOff>
    </xdr:from>
    <xdr:to>
      <xdr:col>11</xdr:col>
      <xdr:colOff>200025</xdr:colOff>
      <xdr:row>410</xdr:row>
      <xdr:rowOff>9525</xdr:rowOff>
    </xdr:to>
    <xdr:sp macro="" textlink="">
      <xdr:nvSpPr>
        <xdr:cNvPr id="2112" name="Rectangle 2111"/>
        <xdr:cNvSpPr>
          <a:spLocks noChangeArrowheads="1"/>
        </xdr:cNvSpPr>
      </xdr:nvSpPr>
      <xdr:spPr bwMode="auto">
        <a:xfrm>
          <a:off x="2209800" y="113709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12</xdr:col>
      <xdr:colOff>190500</xdr:colOff>
      <xdr:row>409</xdr:row>
      <xdr:rowOff>0</xdr:rowOff>
    </xdr:from>
    <xdr:to>
      <xdr:col>13</xdr:col>
      <xdr:colOff>200025</xdr:colOff>
      <xdr:row>410</xdr:row>
      <xdr:rowOff>9525</xdr:rowOff>
    </xdr:to>
    <xdr:sp macro="" textlink="">
      <xdr:nvSpPr>
        <xdr:cNvPr id="2113" name="Rectangle 2112"/>
        <xdr:cNvSpPr>
          <a:spLocks noChangeArrowheads="1"/>
        </xdr:cNvSpPr>
      </xdr:nvSpPr>
      <xdr:spPr bwMode="auto">
        <a:xfrm>
          <a:off x="3057525" y="113709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14</xdr:col>
      <xdr:colOff>190500</xdr:colOff>
      <xdr:row>409</xdr:row>
      <xdr:rowOff>0</xdr:rowOff>
    </xdr:from>
    <xdr:to>
      <xdr:col>15</xdr:col>
      <xdr:colOff>200025</xdr:colOff>
      <xdr:row>410</xdr:row>
      <xdr:rowOff>9525</xdr:rowOff>
    </xdr:to>
    <xdr:sp macro="" textlink="">
      <xdr:nvSpPr>
        <xdr:cNvPr id="2114" name="Rectangle 2113"/>
        <xdr:cNvSpPr>
          <a:spLocks noChangeArrowheads="1"/>
        </xdr:cNvSpPr>
      </xdr:nvSpPr>
      <xdr:spPr bwMode="auto">
        <a:xfrm>
          <a:off x="3933825" y="1137094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409</xdr:row>
      <xdr:rowOff>0</xdr:rowOff>
    </xdr:from>
    <xdr:to>
      <xdr:col>17</xdr:col>
      <xdr:colOff>200025</xdr:colOff>
      <xdr:row>410</xdr:row>
      <xdr:rowOff>9525</xdr:rowOff>
    </xdr:to>
    <xdr:sp macro="" textlink="">
      <xdr:nvSpPr>
        <xdr:cNvPr id="2115" name="Rectangle 2114"/>
        <xdr:cNvSpPr>
          <a:spLocks noChangeArrowheads="1"/>
        </xdr:cNvSpPr>
      </xdr:nvSpPr>
      <xdr:spPr bwMode="auto">
        <a:xfrm>
          <a:off x="4943475" y="113709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409</xdr:row>
      <xdr:rowOff>0</xdr:rowOff>
    </xdr:from>
    <xdr:to>
      <xdr:col>21</xdr:col>
      <xdr:colOff>200025</xdr:colOff>
      <xdr:row>410</xdr:row>
      <xdr:rowOff>9525</xdr:rowOff>
    </xdr:to>
    <xdr:sp macro="" textlink="">
      <xdr:nvSpPr>
        <xdr:cNvPr id="2116" name="Rectangle 2115"/>
        <xdr:cNvSpPr>
          <a:spLocks noChangeArrowheads="1"/>
        </xdr:cNvSpPr>
      </xdr:nvSpPr>
      <xdr:spPr bwMode="auto">
        <a:xfrm>
          <a:off x="6648450" y="1137094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409</xdr:row>
      <xdr:rowOff>0</xdr:rowOff>
    </xdr:from>
    <xdr:to>
      <xdr:col>23</xdr:col>
      <xdr:colOff>200025</xdr:colOff>
      <xdr:row>410</xdr:row>
      <xdr:rowOff>9525</xdr:rowOff>
    </xdr:to>
    <xdr:sp macro="" textlink="">
      <xdr:nvSpPr>
        <xdr:cNvPr id="2117" name="Rectangle 2116"/>
        <xdr:cNvSpPr>
          <a:spLocks noChangeArrowheads="1"/>
        </xdr:cNvSpPr>
      </xdr:nvSpPr>
      <xdr:spPr bwMode="auto">
        <a:xfrm>
          <a:off x="7505700" y="113709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409</xdr:row>
      <xdr:rowOff>0</xdr:rowOff>
    </xdr:from>
    <xdr:to>
      <xdr:col>25</xdr:col>
      <xdr:colOff>200025</xdr:colOff>
      <xdr:row>410</xdr:row>
      <xdr:rowOff>9525</xdr:rowOff>
    </xdr:to>
    <xdr:sp macro="" textlink="">
      <xdr:nvSpPr>
        <xdr:cNvPr id="2118" name="Rectangle 2117"/>
        <xdr:cNvSpPr>
          <a:spLocks noChangeArrowheads="1"/>
        </xdr:cNvSpPr>
      </xdr:nvSpPr>
      <xdr:spPr bwMode="auto">
        <a:xfrm>
          <a:off x="8315325" y="113709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409</xdr:row>
      <xdr:rowOff>0</xdr:rowOff>
    </xdr:from>
    <xdr:to>
      <xdr:col>27</xdr:col>
      <xdr:colOff>200025</xdr:colOff>
      <xdr:row>410</xdr:row>
      <xdr:rowOff>9525</xdr:rowOff>
    </xdr:to>
    <xdr:sp macro="" textlink="">
      <xdr:nvSpPr>
        <xdr:cNvPr id="2119" name="Rectangle 2118"/>
        <xdr:cNvSpPr>
          <a:spLocks noChangeArrowheads="1"/>
        </xdr:cNvSpPr>
      </xdr:nvSpPr>
      <xdr:spPr bwMode="auto">
        <a:xfrm>
          <a:off x="9163050" y="113709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409</xdr:row>
      <xdr:rowOff>0</xdr:rowOff>
    </xdr:from>
    <xdr:to>
      <xdr:col>31</xdr:col>
      <xdr:colOff>200025</xdr:colOff>
      <xdr:row>410</xdr:row>
      <xdr:rowOff>9525</xdr:rowOff>
    </xdr:to>
    <xdr:sp macro="" textlink="">
      <xdr:nvSpPr>
        <xdr:cNvPr id="2120" name="Rectangle 2119"/>
        <xdr:cNvSpPr>
          <a:spLocks noChangeArrowheads="1"/>
        </xdr:cNvSpPr>
      </xdr:nvSpPr>
      <xdr:spPr bwMode="auto">
        <a:xfrm>
          <a:off x="10868025" y="1137094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409</xdr:row>
      <xdr:rowOff>0</xdr:rowOff>
    </xdr:from>
    <xdr:to>
      <xdr:col>33</xdr:col>
      <xdr:colOff>200025</xdr:colOff>
      <xdr:row>410</xdr:row>
      <xdr:rowOff>9525</xdr:rowOff>
    </xdr:to>
    <xdr:sp macro="" textlink="">
      <xdr:nvSpPr>
        <xdr:cNvPr id="2121" name="Rectangle 2120"/>
        <xdr:cNvSpPr>
          <a:spLocks noChangeArrowheads="1"/>
        </xdr:cNvSpPr>
      </xdr:nvSpPr>
      <xdr:spPr bwMode="auto">
        <a:xfrm>
          <a:off x="11649075" y="113709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36</xdr:col>
      <xdr:colOff>190500</xdr:colOff>
      <xdr:row>409</xdr:row>
      <xdr:rowOff>0</xdr:rowOff>
    </xdr:from>
    <xdr:to>
      <xdr:col>37</xdr:col>
      <xdr:colOff>190500</xdr:colOff>
      <xdr:row>410</xdr:row>
      <xdr:rowOff>9525</xdr:rowOff>
    </xdr:to>
    <xdr:sp macro="" textlink="">
      <xdr:nvSpPr>
        <xdr:cNvPr id="2122" name="Rectangle 2121"/>
        <xdr:cNvSpPr>
          <a:spLocks noChangeArrowheads="1"/>
        </xdr:cNvSpPr>
      </xdr:nvSpPr>
      <xdr:spPr bwMode="auto">
        <a:xfrm>
          <a:off x="13201650" y="113709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409</xdr:row>
      <xdr:rowOff>0</xdr:rowOff>
    </xdr:from>
    <xdr:to>
      <xdr:col>29</xdr:col>
      <xdr:colOff>200025</xdr:colOff>
      <xdr:row>410</xdr:row>
      <xdr:rowOff>9525</xdr:rowOff>
    </xdr:to>
    <xdr:sp macro="" textlink="">
      <xdr:nvSpPr>
        <xdr:cNvPr id="2123" name="Rectangle 1149"/>
        <xdr:cNvSpPr>
          <a:spLocks noChangeArrowheads="1"/>
        </xdr:cNvSpPr>
      </xdr:nvSpPr>
      <xdr:spPr bwMode="auto">
        <a:xfrm>
          <a:off x="9991725" y="1137094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18</xdr:col>
      <xdr:colOff>180975</xdr:colOff>
      <xdr:row>409</xdr:row>
      <xdr:rowOff>0</xdr:rowOff>
    </xdr:from>
    <xdr:to>
      <xdr:col>19</xdr:col>
      <xdr:colOff>190500</xdr:colOff>
      <xdr:row>410</xdr:row>
      <xdr:rowOff>9525</xdr:rowOff>
    </xdr:to>
    <xdr:sp macro="" textlink="">
      <xdr:nvSpPr>
        <xdr:cNvPr id="2124" name="Rectangle 1242"/>
        <xdr:cNvSpPr>
          <a:spLocks noChangeArrowheads="1"/>
        </xdr:cNvSpPr>
      </xdr:nvSpPr>
      <xdr:spPr bwMode="auto">
        <a:xfrm>
          <a:off x="5829300" y="113709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10</xdr:col>
      <xdr:colOff>190500</xdr:colOff>
      <xdr:row>409</xdr:row>
      <xdr:rowOff>0</xdr:rowOff>
    </xdr:from>
    <xdr:to>
      <xdr:col>11</xdr:col>
      <xdr:colOff>200025</xdr:colOff>
      <xdr:row>410</xdr:row>
      <xdr:rowOff>9525</xdr:rowOff>
    </xdr:to>
    <xdr:sp macro="" textlink="">
      <xdr:nvSpPr>
        <xdr:cNvPr id="2125" name="Rectangle 1243"/>
        <xdr:cNvSpPr>
          <a:spLocks noChangeArrowheads="1"/>
        </xdr:cNvSpPr>
      </xdr:nvSpPr>
      <xdr:spPr bwMode="auto">
        <a:xfrm>
          <a:off x="2209800" y="113709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409</xdr:row>
      <xdr:rowOff>0</xdr:rowOff>
    </xdr:from>
    <xdr:to>
      <xdr:col>13</xdr:col>
      <xdr:colOff>200025</xdr:colOff>
      <xdr:row>410</xdr:row>
      <xdr:rowOff>9525</xdr:rowOff>
    </xdr:to>
    <xdr:sp macro="" textlink="">
      <xdr:nvSpPr>
        <xdr:cNvPr id="2126" name="Rectangle 1244"/>
        <xdr:cNvSpPr>
          <a:spLocks noChangeArrowheads="1"/>
        </xdr:cNvSpPr>
      </xdr:nvSpPr>
      <xdr:spPr bwMode="auto">
        <a:xfrm>
          <a:off x="3057525" y="113709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409</xdr:row>
      <xdr:rowOff>0</xdr:rowOff>
    </xdr:from>
    <xdr:to>
      <xdr:col>15</xdr:col>
      <xdr:colOff>200025</xdr:colOff>
      <xdr:row>410</xdr:row>
      <xdr:rowOff>9525</xdr:rowOff>
    </xdr:to>
    <xdr:sp macro="" textlink="">
      <xdr:nvSpPr>
        <xdr:cNvPr id="2127" name="Rectangle 1245"/>
        <xdr:cNvSpPr>
          <a:spLocks noChangeArrowheads="1"/>
        </xdr:cNvSpPr>
      </xdr:nvSpPr>
      <xdr:spPr bwMode="auto">
        <a:xfrm>
          <a:off x="3933825" y="1137094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190500</xdr:colOff>
      <xdr:row>409</xdr:row>
      <xdr:rowOff>0</xdr:rowOff>
    </xdr:from>
    <xdr:to>
      <xdr:col>17</xdr:col>
      <xdr:colOff>200025</xdr:colOff>
      <xdr:row>410</xdr:row>
      <xdr:rowOff>9525</xdr:rowOff>
    </xdr:to>
    <xdr:sp macro="" textlink="">
      <xdr:nvSpPr>
        <xdr:cNvPr id="2128" name="Rectangle 1246"/>
        <xdr:cNvSpPr>
          <a:spLocks noChangeArrowheads="1"/>
        </xdr:cNvSpPr>
      </xdr:nvSpPr>
      <xdr:spPr bwMode="auto">
        <a:xfrm>
          <a:off x="4943475" y="113709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409</xdr:row>
      <xdr:rowOff>0</xdr:rowOff>
    </xdr:from>
    <xdr:to>
      <xdr:col>19</xdr:col>
      <xdr:colOff>200025</xdr:colOff>
      <xdr:row>410</xdr:row>
      <xdr:rowOff>9525</xdr:rowOff>
    </xdr:to>
    <xdr:sp macro="" textlink="">
      <xdr:nvSpPr>
        <xdr:cNvPr id="2129" name="Rectangle 1247"/>
        <xdr:cNvSpPr>
          <a:spLocks noChangeArrowheads="1"/>
        </xdr:cNvSpPr>
      </xdr:nvSpPr>
      <xdr:spPr bwMode="auto">
        <a:xfrm>
          <a:off x="5838825" y="113709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409</xdr:row>
      <xdr:rowOff>0</xdr:rowOff>
    </xdr:from>
    <xdr:to>
      <xdr:col>21</xdr:col>
      <xdr:colOff>200025</xdr:colOff>
      <xdr:row>410</xdr:row>
      <xdr:rowOff>9525</xdr:rowOff>
    </xdr:to>
    <xdr:sp macro="" textlink="">
      <xdr:nvSpPr>
        <xdr:cNvPr id="2130" name="Rectangle 1248"/>
        <xdr:cNvSpPr>
          <a:spLocks noChangeArrowheads="1"/>
        </xdr:cNvSpPr>
      </xdr:nvSpPr>
      <xdr:spPr bwMode="auto">
        <a:xfrm>
          <a:off x="6648450" y="1137094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409</xdr:row>
      <xdr:rowOff>0</xdr:rowOff>
    </xdr:from>
    <xdr:to>
      <xdr:col>23</xdr:col>
      <xdr:colOff>200025</xdr:colOff>
      <xdr:row>410</xdr:row>
      <xdr:rowOff>9525</xdr:rowOff>
    </xdr:to>
    <xdr:sp macro="" textlink="">
      <xdr:nvSpPr>
        <xdr:cNvPr id="2131" name="Rectangle 1249"/>
        <xdr:cNvSpPr>
          <a:spLocks noChangeArrowheads="1"/>
        </xdr:cNvSpPr>
      </xdr:nvSpPr>
      <xdr:spPr bwMode="auto">
        <a:xfrm>
          <a:off x="7505700" y="113709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409</xdr:row>
      <xdr:rowOff>0</xdr:rowOff>
    </xdr:from>
    <xdr:to>
      <xdr:col>25</xdr:col>
      <xdr:colOff>200025</xdr:colOff>
      <xdr:row>410</xdr:row>
      <xdr:rowOff>9525</xdr:rowOff>
    </xdr:to>
    <xdr:sp macro="" textlink="">
      <xdr:nvSpPr>
        <xdr:cNvPr id="2132" name="Rectangle 1250"/>
        <xdr:cNvSpPr>
          <a:spLocks noChangeArrowheads="1"/>
        </xdr:cNvSpPr>
      </xdr:nvSpPr>
      <xdr:spPr bwMode="auto">
        <a:xfrm>
          <a:off x="8315325" y="113709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409</xdr:row>
      <xdr:rowOff>0</xdr:rowOff>
    </xdr:from>
    <xdr:to>
      <xdr:col>27</xdr:col>
      <xdr:colOff>200025</xdr:colOff>
      <xdr:row>410</xdr:row>
      <xdr:rowOff>9525</xdr:rowOff>
    </xdr:to>
    <xdr:sp macro="" textlink="">
      <xdr:nvSpPr>
        <xdr:cNvPr id="2133" name="Rectangle 1251"/>
        <xdr:cNvSpPr>
          <a:spLocks noChangeArrowheads="1"/>
        </xdr:cNvSpPr>
      </xdr:nvSpPr>
      <xdr:spPr bwMode="auto">
        <a:xfrm>
          <a:off x="9163050" y="113709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409</xdr:row>
      <xdr:rowOff>0</xdr:rowOff>
    </xdr:from>
    <xdr:to>
      <xdr:col>31</xdr:col>
      <xdr:colOff>200025</xdr:colOff>
      <xdr:row>410</xdr:row>
      <xdr:rowOff>9525</xdr:rowOff>
    </xdr:to>
    <xdr:sp macro="" textlink="">
      <xdr:nvSpPr>
        <xdr:cNvPr id="2134" name="Rectangle 1252"/>
        <xdr:cNvSpPr>
          <a:spLocks noChangeArrowheads="1"/>
        </xdr:cNvSpPr>
      </xdr:nvSpPr>
      <xdr:spPr bwMode="auto">
        <a:xfrm>
          <a:off x="10868025" y="1137094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409</xdr:row>
      <xdr:rowOff>0</xdr:rowOff>
    </xdr:from>
    <xdr:to>
      <xdr:col>33</xdr:col>
      <xdr:colOff>200025</xdr:colOff>
      <xdr:row>410</xdr:row>
      <xdr:rowOff>9525</xdr:rowOff>
    </xdr:to>
    <xdr:sp macro="" textlink="">
      <xdr:nvSpPr>
        <xdr:cNvPr id="2135" name="Rectangle 1253"/>
        <xdr:cNvSpPr>
          <a:spLocks noChangeArrowheads="1"/>
        </xdr:cNvSpPr>
      </xdr:nvSpPr>
      <xdr:spPr bwMode="auto">
        <a:xfrm>
          <a:off x="11649075" y="113709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409</xdr:row>
      <xdr:rowOff>0</xdr:rowOff>
    </xdr:from>
    <xdr:to>
      <xdr:col>29</xdr:col>
      <xdr:colOff>200025</xdr:colOff>
      <xdr:row>410</xdr:row>
      <xdr:rowOff>9525</xdr:rowOff>
    </xdr:to>
    <xdr:sp macro="" textlink="">
      <xdr:nvSpPr>
        <xdr:cNvPr id="2136" name="Rectangle 1254"/>
        <xdr:cNvSpPr>
          <a:spLocks noChangeArrowheads="1"/>
        </xdr:cNvSpPr>
      </xdr:nvSpPr>
      <xdr:spPr bwMode="auto">
        <a:xfrm>
          <a:off x="9991725" y="1137094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409</xdr:row>
      <xdr:rowOff>0</xdr:rowOff>
    </xdr:from>
    <xdr:to>
      <xdr:col>37</xdr:col>
      <xdr:colOff>190500</xdr:colOff>
      <xdr:row>410</xdr:row>
      <xdr:rowOff>9525</xdr:rowOff>
    </xdr:to>
    <xdr:sp macro="" textlink="">
      <xdr:nvSpPr>
        <xdr:cNvPr id="2137" name="Rectangle 1657"/>
        <xdr:cNvSpPr>
          <a:spLocks noChangeArrowheads="1"/>
        </xdr:cNvSpPr>
      </xdr:nvSpPr>
      <xdr:spPr bwMode="auto">
        <a:xfrm>
          <a:off x="13201650" y="113709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190500</xdr:colOff>
      <xdr:row>409</xdr:row>
      <xdr:rowOff>0</xdr:rowOff>
    </xdr:from>
    <xdr:to>
      <xdr:col>11</xdr:col>
      <xdr:colOff>200025</xdr:colOff>
      <xdr:row>410</xdr:row>
      <xdr:rowOff>9525</xdr:rowOff>
    </xdr:to>
    <xdr:sp macro="" textlink="">
      <xdr:nvSpPr>
        <xdr:cNvPr id="2138" name="Rectangle 1695"/>
        <xdr:cNvSpPr>
          <a:spLocks noChangeArrowheads="1"/>
        </xdr:cNvSpPr>
      </xdr:nvSpPr>
      <xdr:spPr bwMode="auto">
        <a:xfrm>
          <a:off x="2209800" y="113709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C</a:t>
          </a:r>
        </a:p>
      </xdr:txBody>
    </xdr:sp>
    <xdr:clientData/>
  </xdr:twoCellAnchor>
  <xdr:twoCellAnchor>
    <xdr:from>
      <xdr:col>12</xdr:col>
      <xdr:colOff>190500</xdr:colOff>
      <xdr:row>409</xdr:row>
      <xdr:rowOff>0</xdr:rowOff>
    </xdr:from>
    <xdr:to>
      <xdr:col>13</xdr:col>
      <xdr:colOff>200025</xdr:colOff>
      <xdr:row>410</xdr:row>
      <xdr:rowOff>9525</xdr:rowOff>
    </xdr:to>
    <xdr:sp macro="" textlink="">
      <xdr:nvSpPr>
        <xdr:cNvPr id="2139" name="Rectangle 1696"/>
        <xdr:cNvSpPr>
          <a:spLocks noChangeArrowheads="1"/>
        </xdr:cNvSpPr>
      </xdr:nvSpPr>
      <xdr:spPr bwMode="auto">
        <a:xfrm>
          <a:off x="3057525" y="113709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14</xdr:col>
      <xdr:colOff>190500</xdr:colOff>
      <xdr:row>409</xdr:row>
      <xdr:rowOff>0</xdr:rowOff>
    </xdr:from>
    <xdr:to>
      <xdr:col>15</xdr:col>
      <xdr:colOff>200025</xdr:colOff>
      <xdr:row>410</xdr:row>
      <xdr:rowOff>9525</xdr:rowOff>
    </xdr:to>
    <xdr:sp macro="" textlink="">
      <xdr:nvSpPr>
        <xdr:cNvPr id="2140" name="Rectangle 1697"/>
        <xdr:cNvSpPr>
          <a:spLocks noChangeArrowheads="1"/>
        </xdr:cNvSpPr>
      </xdr:nvSpPr>
      <xdr:spPr bwMode="auto">
        <a:xfrm>
          <a:off x="3933825" y="113709450"/>
          <a:ext cx="5810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409</xdr:row>
      <xdr:rowOff>0</xdr:rowOff>
    </xdr:from>
    <xdr:to>
      <xdr:col>17</xdr:col>
      <xdr:colOff>200025</xdr:colOff>
      <xdr:row>410</xdr:row>
      <xdr:rowOff>9525</xdr:rowOff>
    </xdr:to>
    <xdr:sp macro="" textlink="">
      <xdr:nvSpPr>
        <xdr:cNvPr id="2141" name="Rectangle 1698"/>
        <xdr:cNvSpPr>
          <a:spLocks noChangeArrowheads="1"/>
        </xdr:cNvSpPr>
      </xdr:nvSpPr>
      <xdr:spPr bwMode="auto">
        <a:xfrm>
          <a:off x="4943475" y="113709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190500</xdr:colOff>
      <xdr:row>409</xdr:row>
      <xdr:rowOff>0</xdr:rowOff>
    </xdr:from>
    <xdr:to>
      <xdr:col>19</xdr:col>
      <xdr:colOff>200025</xdr:colOff>
      <xdr:row>410</xdr:row>
      <xdr:rowOff>9525</xdr:rowOff>
    </xdr:to>
    <xdr:sp macro="" textlink="">
      <xdr:nvSpPr>
        <xdr:cNvPr id="2142" name="Rectangle 1699"/>
        <xdr:cNvSpPr>
          <a:spLocks noChangeArrowheads="1"/>
        </xdr:cNvSpPr>
      </xdr:nvSpPr>
      <xdr:spPr bwMode="auto">
        <a:xfrm>
          <a:off x="5838825" y="113709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16</xdr:col>
      <xdr:colOff>190500</xdr:colOff>
      <xdr:row>409</xdr:row>
      <xdr:rowOff>0</xdr:rowOff>
    </xdr:from>
    <xdr:to>
      <xdr:col>17</xdr:col>
      <xdr:colOff>200025</xdr:colOff>
      <xdr:row>410</xdr:row>
      <xdr:rowOff>9525</xdr:rowOff>
    </xdr:to>
    <xdr:sp macro="" textlink="">
      <xdr:nvSpPr>
        <xdr:cNvPr id="2143" name="Rectangle 1700"/>
        <xdr:cNvSpPr>
          <a:spLocks noChangeArrowheads="1"/>
        </xdr:cNvSpPr>
      </xdr:nvSpPr>
      <xdr:spPr bwMode="auto">
        <a:xfrm>
          <a:off x="4943475" y="113709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  <a:p>
          <a:pPr algn="ctr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20</xdr:col>
      <xdr:colOff>180975</xdr:colOff>
      <xdr:row>409</xdr:row>
      <xdr:rowOff>0</xdr:rowOff>
    </xdr:from>
    <xdr:to>
      <xdr:col>21</xdr:col>
      <xdr:colOff>190500</xdr:colOff>
      <xdr:row>410</xdr:row>
      <xdr:rowOff>9525</xdr:rowOff>
    </xdr:to>
    <xdr:sp macro="" textlink="">
      <xdr:nvSpPr>
        <xdr:cNvPr id="2144" name="Rectangle 1701"/>
        <xdr:cNvSpPr>
          <a:spLocks noChangeArrowheads="1"/>
        </xdr:cNvSpPr>
      </xdr:nvSpPr>
      <xdr:spPr bwMode="auto">
        <a:xfrm>
          <a:off x="6638925" y="1137094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20</xdr:col>
      <xdr:colOff>190500</xdr:colOff>
      <xdr:row>409</xdr:row>
      <xdr:rowOff>0</xdr:rowOff>
    </xdr:from>
    <xdr:to>
      <xdr:col>21</xdr:col>
      <xdr:colOff>200025</xdr:colOff>
      <xdr:row>410</xdr:row>
      <xdr:rowOff>9525</xdr:rowOff>
    </xdr:to>
    <xdr:sp macro="" textlink="">
      <xdr:nvSpPr>
        <xdr:cNvPr id="2145" name="Rectangle 1702"/>
        <xdr:cNvSpPr>
          <a:spLocks noChangeArrowheads="1"/>
        </xdr:cNvSpPr>
      </xdr:nvSpPr>
      <xdr:spPr bwMode="auto">
        <a:xfrm>
          <a:off x="6648450" y="1137094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190500</xdr:colOff>
      <xdr:row>409</xdr:row>
      <xdr:rowOff>0</xdr:rowOff>
    </xdr:from>
    <xdr:to>
      <xdr:col>21</xdr:col>
      <xdr:colOff>200025</xdr:colOff>
      <xdr:row>410</xdr:row>
      <xdr:rowOff>9525</xdr:rowOff>
    </xdr:to>
    <xdr:sp macro="" textlink="">
      <xdr:nvSpPr>
        <xdr:cNvPr id="2146" name="Rectangle 1703"/>
        <xdr:cNvSpPr>
          <a:spLocks noChangeArrowheads="1"/>
        </xdr:cNvSpPr>
      </xdr:nvSpPr>
      <xdr:spPr bwMode="auto">
        <a:xfrm>
          <a:off x="6648450" y="113709450"/>
          <a:ext cx="4857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409</xdr:row>
      <xdr:rowOff>0</xdr:rowOff>
    </xdr:from>
    <xdr:to>
      <xdr:col>23</xdr:col>
      <xdr:colOff>200025</xdr:colOff>
      <xdr:row>410</xdr:row>
      <xdr:rowOff>9525</xdr:rowOff>
    </xdr:to>
    <xdr:sp macro="" textlink="">
      <xdr:nvSpPr>
        <xdr:cNvPr id="2147" name="Rectangle 1704"/>
        <xdr:cNvSpPr>
          <a:spLocks noChangeArrowheads="1"/>
        </xdr:cNvSpPr>
      </xdr:nvSpPr>
      <xdr:spPr bwMode="auto">
        <a:xfrm>
          <a:off x="7505700" y="113709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409</xdr:row>
      <xdr:rowOff>0</xdr:rowOff>
    </xdr:from>
    <xdr:to>
      <xdr:col>23</xdr:col>
      <xdr:colOff>200025</xdr:colOff>
      <xdr:row>410</xdr:row>
      <xdr:rowOff>9525</xdr:rowOff>
    </xdr:to>
    <xdr:sp macro="" textlink="">
      <xdr:nvSpPr>
        <xdr:cNvPr id="2148" name="Rectangle 1705"/>
        <xdr:cNvSpPr>
          <a:spLocks noChangeArrowheads="1"/>
        </xdr:cNvSpPr>
      </xdr:nvSpPr>
      <xdr:spPr bwMode="auto">
        <a:xfrm>
          <a:off x="7505700" y="113709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180975</xdr:colOff>
      <xdr:row>409</xdr:row>
      <xdr:rowOff>0</xdr:rowOff>
    </xdr:from>
    <xdr:to>
      <xdr:col>23</xdr:col>
      <xdr:colOff>190500</xdr:colOff>
      <xdr:row>410</xdr:row>
      <xdr:rowOff>9525</xdr:rowOff>
    </xdr:to>
    <xdr:sp macro="" textlink="">
      <xdr:nvSpPr>
        <xdr:cNvPr id="2149" name="Rectangle 1706"/>
        <xdr:cNvSpPr>
          <a:spLocks noChangeArrowheads="1"/>
        </xdr:cNvSpPr>
      </xdr:nvSpPr>
      <xdr:spPr bwMode="auto">
        <a:xfrm>
          <a:off x="7496175" y="113709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22</xdr:col>
      <xdr:colOff>190500</xdr:colOff>
      <xdr:row>409</xdr:row>
      <xdr:rowOff>0</xdr:rowOff>
    </xdr:from>
    <xdr:to>
      <xdr:col>23</xdr:col>
      <xdr:colOff>200025</xdr:colOff>
      <xdr:row>410</xdr:row>
      <xdr:rowOff>9525</xdr:rowOff>
    </xdr:to>
    <xdr:sp macro="" textlink="">
      <xdr:nvSpPr>
        <xdr:cNvPr id="2150" name="Rectangle 1707"/>
        <xdr:cNvSpPr>
          <a:spLocks noChangeArrowheads="1"/>
        </xdr:cNvSpPr>
      </xdr:nvSpPr>
      <xdr:spPr bwMode="auto">
        <a:xfrm>
          <a:off x="7505700" y="113709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190500</xdr:colOff>
      <xdr:row>409</xdr:row>
      <xdr:rowOff>0</xdr:rowOff>
    </xdr:from>
    <xdr:to>
      <xdr:col>23</xdr:col>
      <xdr:colOff>200025</xdr:colOff>
      <xdr:row>410</xdr:row>
      <xdr:rowOff>9525</xdr:rowOff>
    </xdr:to>
    <xdr:sp macro="" textlink="">
      <xdr:nvSpPr>
        <xdr:cNvPr id="2151" name="Rectangle 1708"/>
        <xdr:cNvSpPr>
          <a:spLocks noChangeArrowheads="1"/>
        </xdr:cNvSpPr>
      </xdr:nvSpPr>
      <xdr:spPr bwMode="auto">
        <a:xfrm>
          <a:off x="7505700" y="113709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pPr rtl="0"/>
          <a:r>
            <a:rPr lang="en-US" sz="1200" b="0" i="0">
              <a:latin typeface="Arial" pitchFamily="34" charset="0"/>
              <a:ea typeface="+mn-ea"/>
              <a:cs typeface="Arial" pitchFamily="34" charset="0"/>
            </a:rPr>
            <a:t>  C</a:t>
          </a:r>
          <a:endParaRPr lang="en-US" sz="1200" b="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190500</xdr:colOff>
      <xdr:row>409</xdr:row>
      <xdr:rowOff>0</xdr:rowOff>
    </xdr:from>
    <xdr:to>
      <xdr:col>37</xdr:col>
      <xdr:colOff>190500</xdr:colOff>
      <xdr:row>410</xdr:row>
      <xdr:rowOff>9525</xdr:rowOff>
    </xdr:to>
    <xdr:sp macro="" textlink="">
      <xdr:nvSpPr>
        <xdr:cNvPr id="2152" name="Rectangle 1709"/>
        <xdr:cNvSpPr>
          <a:spLocks noChangeArrowheads="1"/>
        </xdr:cNvSpPr>
      </xdr:nvSpPr>
      <xdr:spPr bwMode="auto">
        <a:xfrm>
          <a:off x="13201650" y="113709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190500</xdr:colOff>
      <xdr:row>409</xdr:row>
      <xdr:rowOff>0</xdr:rowOff>
    </xdr:from>
    <xdr:to>
      <xdr:col>37</xdr:col>
      <xdr:colOff>190500</xdr:colOff>
      <xdr:row>410</xdr:row>
      <xdr:rowOff>9525</xdr:rowOff>
    </xdr:to>
    <xdr:sp macro="" textlink="">
      <xdr:nvSpPr>
        <xdr:cNvPr id="2153" name="Rectangle 1710"/>
        <xdr:cNvSpPr>
          <a:spLocks noChangeArrowheads="1"/>
        </xdr:cNvSpPr>
      </xdr:nvSpPr>
      <xdr:spPr bwMode="auto">
        <a:xfrm>
          <a:off x="13201650" y="113709450"/>
          <a:ext cx="52387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409</xdr:row>
      <xdr:rowOff>0</xdr:rowOff>
    </xdr:from>
    <xdr:to>
      <xdr:col>25</xdr:col>
      <xdr:colOff>200025</xdr:colOff>
      <xdr:row>410</xdr:row>
      <xdr:rowOff>9525</xdr:rowOff>
    </xdr:to>
    <xdr:sp macro="" textlink="">
      <xdr:nvSpPr>
        <xdr:cNvPr id="2154" name="Rectangle 3291"/>
        <xdr:cNvSpPr>
          <a:spLocks noChangeArrowheads="1"/>
        </xdr:cNvSpPr>
      </xdr:nvSpPr>
      <xdr:spPr bwMode="auto">
        <a:xfrm>
          <a:off x="8315325" y="113709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409</xdr:row>
      <xdr:rowOff>0</xdr:rowOff>
    </xdr:from>
    <xdr:to>
      <xdr:col>25</xdr:col>
      <xdr:colOff>200025</xdr:colOff>
      <xdr:row>410</xdr:row>
      <xdr:rowOff>9525</xdr:rowOff>
    </xdr:to>
    <xdr:sp macro="" textlink="">
      <xdr:nvSpPr>
        <xdr:cNvPr id="2155" name="Rectangle 3292"/>
        <xdr:cNvSpPr>
          <a:spLocks noChangeArrowheads="1"/>
        </xdr:cNvSpPr>
      </xdr:nvSpPr>
      <xdr:spPr bwMode="auto">
        <a:xfrm>
          <a:off x="8315325" y="113709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409</xdr:row>
      <xdr:rowOff>0</xdr:rowOff>
    </xdr:from>
    <xdr:to>
      <xdr:col>25</xdr:col>
      <xdr:colOff>200025</xdr:colOff>
      <xdr:row>410</xdr:row>
      <xdr:rowOff>9525</xdr:rowOff>
    </xdr:to>
    <xdr:sp macro="" textlink="">
      <xdr:nvSpPr>
        <xdr:cNvPr id="2156" name="Rectangle 3293"/>
        <xdr:cNvSpPr>
          <a:spLocks noChangeArrowheads="1"/>
        </xdr:cNvSpPr>
      </xdr:nvSpPr>
      <xdr:spPr bwMode="auto">
        <a:xfrm>
          <a:off x="8315325" y="113709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409</xdr:row>
      <xdr:rowOff>0</xdr:rowOff>
    </xdr:from>
    <xdr:to>
      <xdr:col>25</xdr:col>
      <xdr:colOff>200025</xdr:colOff>
      <xdr:row>410</xdr:row>
      <xdr:rowOff>9525</xdr:rowOff>
    </xdr:to>
    <xdr:sp macro="" textlink="">
      <xdr:nvSpPr>
        <xdr:cNvPr id="2157" name="Rectangle 3294"/>
        <xdr:cNvSpPr>
          <a:spLocks noChangeArrowheads="1"/>
        </xdr:cNvSpPr>
      </xdr:nvSpPr>
      <xdr:spPr bwMode="auto">
        <a:xfrm>
          <a:off x="8315325" y="113709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180975</xdr:colOff>
      <xdr:row>409</xdr:row>
      <xdr:rowOff>0</xdr:rowOff>
    </xdr:from>
    <xdr:to>
      <xdr:col>25</xdr:col>
      <xdr:colOff>190500</xdr:colOff>
      <xdr:row>410</xdr:row>
      <xdr:rowOff>9525</xdr:rowOff>
    </xdr:to>
    <xdr:sp macro="" textlink="">
      <xdr:nvSpPr>
        <xdr:cNvPr id="2158" name="Rectangle 3295"/>
        <xdr:cNvSpPr>
          <a:spLocks noChangeArrowheads="1"/>
        </xdr:cNvSpPr>
      </xdr:nvSpPr>
      <xdr:spPr bwMode="auto">
        <a:xfrm>
          <a:off x="8305800" y="113709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24</xdr:col>
      <xdr:colOff>190500</xdr:colOff>
      <xdr:row>409</xdr:row>
      <xdr:rowOff>0</xdr:rowOff>
    </xdr:from>
    <xdr:to>
      <xdr:col>25</xdr:col>
      <xdr:colOff>200025</xdr:colOff>
      <xdr:row>410</xdr:row>
      <xdr:rowOff>9525</xdr:rowOff>
    </xdr:to>
    <xdr:sp macro="" textlink="">
      <xdr:nvSpPr>
        <xdr:cNvPr id="2159" name="Rectangle 3296"/>
        <xdr:cNvSpPr>
          <a:spLocks noChangeArrowheads="1"/>
        </xdr:cNvSpPr>
      </xdr:nvSpPr>
      <xdr:spPr bwMode="auto">
        <a:xfrm>
          <a:off x="8315325" y="113709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190500</xdr:colOff>
      <xdr:row>409</xdr:row>
      <xdr:rowOff>0</xdr:rowOff>
    </xdr:from>
    <xdr:to>
      <xdr:col>25</xdr:col>
      <xdr:colOff>200025</xdr:colOff>
      <xdr:row>410</xdr:row>
      <xdr:rowOff>9525</xdr:rowOff>
    </xdr:to>
    <xdr:sp macro="" textlink="">
      <xdr:nvSpPr>
        <xdr:cNvPr id="2160" name="Rectangle 3297"/>
        <xdr:cNvSpPr>
          <a:spLocks noChangeArrowheads="1"/>
        </xdr:cNvSpPr>
      </xdr:nvSpPr>
      <xdr:spPr bwMode="auto">
        <a:xfrm>
          <a:off x="8315325" y="113709450"/>
          <a:ext cx="4762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US">
              <a:latin typeface="Arial" pitchFamily="34" charset="0"/>
              <a:cs typeface="Arial" pitchFamily="34" charset="0"/>
            </a:rPr>
            <a:t>  </a:t>
          </a:r>
          <a:r>
            <a:rPr lang="en-US" sz="1200">
              <a:latin typeface="Arial" pitchFamily="34" charset="0"/>
              <a:cs typeface="Arial" pitchFamily="34" charset="0"/>
            </a:rPr>
            <a:t>C</a:t>
          </a:r>
        </a:p>
      </xdr:txBody>
    </xdr:sp>
    <xdr:clientData/>
  </xdr:twoCellAnchor>
  <xdr:twoCellAnchor>
    <xdr:from>
      <xdr:col>26</xdr:col>
      <xdr:colOff>190500</xdr:colOff>
      <xdr:row>409</xdr:row>
      <xdr:rowOff>0</xdr:rowOff>
    </xdr:from>
    <xdr:to>
      <xdr:col>27</xdr:col>
      <xdr:colOff>200025</xdr:colOff>
      <xdr:row>410</xdr:row>
      <xdr:rowOff>9525</xdr:rowOff>
    </xdr:to>
    <xdr:sp macro="" textlink="">
      <xdr:nvSpPr>
        <xdr:cNvPr id="2161" name="Rectangle 3619"/>
        <xdr:cNvSpPr>
          <a:spLocks noChangeArrowheads="1"/>
        </xdr:cNvSpPr>
      </xdr:nvSpPr>
      <xdr:spPr bwMode="auto">
        <a:xfrm>
          <a:off x="9163050" y="113709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409</xdr:row>
      <xdr:rowOff>0</xdr:rowOff>
    </xdr:from>
    <xdr:to>
      <xdr:col>27</xdr:col>
      <xdr:colOff>200025</xdr:colOff>
      <xdr:row>410</xdr:row>
      <xdr:rowOff>9525</xdr:rowOff>
    </xdr:to>
    <xdr:sp macro="" textlink="">
      <xdr:nvSpPr>
        <xdr:cNvPr id="2162" name="Rectangle 3620"/>
        <xdr:cNvSpPr>
          <a:spLocks noChangeArrowheads="1"/>
        </xdr:cNvSpPr>
      </xdr:nvSpPr>
      <xdr:spPr bwMode="auto">
        <a:xfrm>
          <a:off x="9163050" y="113709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409</xdr:row>
      <xdr:rowOff>0</xdr:rowOff>
    </xdr:from>
    <xdr:to>
      <xdr:col>27</xdr:col>
      <xdr:colOff>200025</xdr:colOff>
      <xdr:row>410</xdr:row>
      <xdr:rowOff>9525</xdr:rowOff>
    </xdr:to>
    <xdr:sp macro="" textlink="">
      <xdr:nvSpPr>
        <xdr:cNvPr id="2163" name="Rectangle 3621"/>
        <xdr:cNvSpPr>
          <a:spLocks noChangeArrowheads="1"/>
        </xdr:cNvSpPr>
      </xdr:nvSpPr>
      <xdr:spPr bwMode="auto">
        <a:xfrm>
          <a:off x="9163050" y="113709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409</xdr:row>
      <xdr:rowOff>0</xdr:rowOff>
    </xdr:from>
    <xdr:to>
      <xdr:col>27</xdr:col>
      <xdr:colOff>200025</xdr:colOff>
      <xdr:row>410</xdr:row>
      <xdr:rowOff>9525</xdr:rowOff>
    </xdr:to>
    <xdr:sp macro="" textlink="">
      <xdr:nvSpPr>
        <xdr:cNvPr id="2164" name="Rectangle 3622"/>
        <xdr:cNvSpPr>
          <a:spLocks noChangeArrowheads="1"/>
        </xdr:cNvSpPr>
      </xdr:nvSpPr>
      <xdr:spPr bwMode="auto">
        <a:xfrm>
          <a:off x="9163050" y="113709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409</xdr:row>
      <xdr:rowOff>0</xdr:rowOff>
    </xdr:from>
    <xdr:to>
      <xdr:col>27</xdr:col>
      <xdr:colOff>200025</xdr:colOff>
      <xdr:row>410</xdr:row>
      <xdr:rowOff>9525</xdr:rowOff>
    </xdr:to>
    <xdr:sp macro="" textlink="">
      <xdr:nvSpPr>
        <xdr:cNvPr id="2165" name="Rectangle 3623"/>
        <xdr:cNvSpPr>
          <a:spLocks noChangeArrowheads="1"/>
        </xdr:cNvSpPr>
      </xdr:nvSpPr>
      <xdr:spPr bwMode="auto">
        <a:xfrm>
          <a:off x="9163050" y="113709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409</xdr:row>
      <xdr:rowOff>0</xdr:rowOff>
    </xdr:from>
    <xdr:to>
      <xdr:col>27</xdr:col>
      <xdr:colOff>200025</xdr:colOff>
      <xdr:row>410</xdr:row>
      <xdr:rowOff>9525</xdr:rowOff>
    </xdr:to>
    <xdr:sp macro="" textlink="">
      <xdr:nvSpPr>
        <xdr:cNvPr id="2166" name="Rectangle 3624"/>
        <xdr:cNvSpPr>
          <a:spLocks noChangeArrowheads="1"/>
        </xdr:cNvSpPr>
      </xdr:nvSpPr>
      <xdr:spPr bwMode="auto">
        <a:xfrm>
          <a:off x="9163050" y="113709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180975</xdr:colOff>
      <xdr:row>409</xdr:row>
      <xdr:rowOff>0</xdr:rowOff>
    </xdr:from>
    <xdr:to>
      <xdr:col>27</xdr:col>
      <xdr:colOff>190500</xdr:colOff>
      <xdr:row>410</xdr:row>
      <xdr:rowOff>9525</xdr:rowOff>
    </xdr:to>
    <xdr:sp macro="" textlink="">
      <xdr:nvSpPr>
        <xdr:cNvPr id="2167" name="Rectangle 3625"/>
        <xdr:cNvSpPr>
          <a:spLocks noChangeArrowheads="1"/>
        </xdr:cNvSpPr>
      </xdr:nvSpPr>
      <xdr:spPr bwMode="auto">
        <a:xfrm>
          <a:off x="9153525" y="113709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26</xdr:col>
      <xdr:colOff>190500</xdr:colOff>
      <xdr:row>409</xdr:row>
      <xdr:rowOff>0</xdr:rowOff>
    </xdr:from>
    <xdr:to>
      <xdr:col>27</xdr:col>
      <xdr:colOff>200025</xdr:colOff>
      <xdr:row>410</xdr:row>
      <xdr:rowOff>9525</xdr:rowOff>
    </xdr:to>
    <xdr:sp macro="" textlink="">
      <xdr:nvSpPr>
        <xdr:cNvPr id="2168" name="Rectangle 3626"/>
        <xdr:cNvSpPr>
          <a:spLocks noChangeArrowheads="1"/>
        </xdr:cNvSpPr>
      </xdr:nvSpPr>
      <xdr:spPr bwMode="auto">
        <a:xfrm>
          <a:off x="9163050" y="113709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190500</xdr:colOff>
      <xdr:row>409</xdr:row>
      <xdr:rowOff>0</xdr:rowOff>
    </xdr:from>
    <xdr:to>
      <xdr:col>27</xdr:col>
      <xdr:colOff>200025</xdr:colOff>
      <xdr:row>410</xdr:row>
      <xdr:rowOff>9525</xdr:rowOff>
    </xdr:to>
    <xdr:sp macro="" textlink="">
      <xdr:nvSpPr>
        <xdr:cNvPr id="2169" name="Rectangle 3627"/>
        <xdr:cNvSpPr>
          <a:spLocks noChangeArrowheads="1"/>
        </xdr:cNvSpPr>
      </xdr:nvSpPr>
      <xdr:spPr bwMode="auto">
        <a:xfrm>
          <a:off x="9163050" y="113709450"/>
          <a:ext cx="4572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US" sz="120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  C</a:t>
          </a:r>
        </a:p>
      </xdr:txBody>
    </xdr:sp>
    <xdr:clientData/>
  </xdr:twoCellAnchor>
  <xdr:twoCellAnchor>
    <xdr:from>
      <xdr:col>28</xdr:col>
      <xdr:colOff>190500</xdr:colOff>
      <xdr:row>409</xdr:row>
      <xdr:rowOff>0</xdr:rowOff>
    </xdr:from>
    <xdr:to>
      <xdr:col>29</xdr:col>
      <xdr:colOff>200025</xdr:colOff>
      <xdr:row>410</xdr:row>
      <xdr:rowOff>9525</xdr:rowOff>
    </xdr:to>
    <xdr:sp macro="" textlink="">
      <xdr:nvSpPr>
        <xdr:cNvPr id="2170" name="Rectangle 4049"/>
        <xdr:cNvSpPr>
          <a:spLocks noChangeArrowheads="1"/>
        </xdr:cNvSpPr>
      </xdr:nvSpPr>
      <xdr:spPr bwMode="auto">
        <a:xfrm>
          <a:off x="9991725" y="1137094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28</xdr:col>
      <xdr:colOff>190500</xdr:colOff>
      <xdr:row>409</xdr:row>
      <xdr:rowOff>0</xdr:rowOff>
    </xdr:from>
    <xdr:to>
      <xdr:col>29</xdr:col>
      <xdr:colOff>200025</xdr:colOff>
      <xdr:row>410</xdr:row>
      <xdr:rowOff>9525</xdr:rowOff>
    </xdr:to>
    <xdr:sp macro="" textlink="">
      <xdr:nvSpPr>
        <xdr:cNvPr id="2171" name="Rectangle 4050"/>
        <xdr:cNvSpPr>
          <a:spLocks noChangeArrowheads="1"/>
        </xdr:cNvSpPr>
      </xdr:nvSpPr>
      <xdr:spPr bwMode="auto">
        <a:xfrm>
          <a:off x="9991725" y="1137094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190500</xdr:colOff>
      <xdr:row>409</xdr:row>
      <xdr:rowOff>0</xdr:rowOff>
    </xdr:from>
    <xdr:to>
      <xdr:col>29</xdr:col>
      <xdr:colOff>200025</xdr:colOff>
      <xdr:row>410</xdr:row>
      <xdr:rowOff>9525</xdr:rowOff>
    </xdr:to>
    <xdr:sp macro="" textlink="">
      <xdr:nvSpPr>
        <xdr:cNvPr id="2172" name="Rectangle 4051"/>
        <xdr:cNvSpPr>
          <a:spLocks noChangeArrowheads="1"/>
        </xdr:cNvSpPr>
      </xdr:nvSpPr>
      <xdr:spPr bwMode="auto">
        <a:xfrm>
          <a:off x="9991725" y="113709450"/>
          <a:ext cx="504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C</a:t>
          </a:r>
        </a:p>
      </xdr:txBody>
    </xdr:sp>
    <xdr:clientData/>
  </xdr:twoCellAnchor>
  <xdr:twoCellAnchor>
    <xdr:from>
      <xdr:col>30</xdr:col>
      <xdr:colOff>190500</xdr:colOff>
      <xdr:row>409</xdr:row>
      <xdr:rowOff>0</xdr:rowOff>
    </xdr:from>
    <xdr:to>
      <xdr:col>31</xdr:col>
      <xdr:colOff>200025</xdr:colOff>
      <xdr:row>410</xdr:row>
      <xdr:rowOff>9525</xdr:rowOff>
    </xdr:to>
    <xdr:sp macro="" textlink="">
      <xdr:nvSpPr>
        <xdr:cNvPr id="2173" name="Rectangle 4555"/>
        <xdr:cNvSpPr>
          <a:spLocks noChangeArrowheads="1"/>
        </xdr:cNvSpPr>
      </xdr:nvSpPr>
      <xdr:spPr bwMode="auto">
        <a:xfrm>
          <a:off x="10868025" y="1137094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409</xdr:row>
      <xdr:rowOff>0</xdr:rowOff>
    </xdr:from>
    <xdr:to>
      <xdr:col>31</xdr:col>
      <xdr:colOff>200025</xdr:colOff>
      <xdr:row>410</xdr:row>
      <xdr:rowOff>9525</xdr:rowOff>
    </xdr:to>
    <xdr:sp macro="" textlink="">
      <xdr:nvSpPr>
        <xdr:cNvPr id="2174" name="Rectangle 4556"/>
        <xdr:cNvSpPr>
          <a:spLocks noChangeArrowheads="1"/>
        </xdr:cNvSpPr>
      </xdr:nvSpPr>
      <xdr:spPr bwMode="auto">
        <a:xfrm>
          <a:off x="10868025" y="1137094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409</xdr:row>
      <xdr:rowOff>0</xdr:rowOff>
    </xdr:from>
    <xdr:to>
      <xdr:col>31</xdr:col>
      <xdr:colOff>200025</xdr:colOff>
      <xdr:row>410</xdr:row>
      <xdr:rowOff>9525</xdr:rowOff>
    </xdr:to>
    <xdr:sp macro="" textlink="">
      <xdr:nvSpPr>
        <xdr:cNvPr id="2175" name="Rectangle 4557"/>
        <xdr:cNvSpPr>
          <a:spLocks noChangeArrowheads="1"/>
        </xdr:cNvSpPr>
      </xdr:nvSpPr>
      <xdr:spPr bwMode="auto">
        <a:xfrm>
          <a:off x="10868025" y="1137094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30</xdr:col>
      <xdr:colOff>190500</xdr:colOff>
      <xdr:row>409</xdr:row>
      <xdr:rowOff>0</xdr:rowOff>
    </xdr:from>
    <xdr:to>
      <xdr:col>31</xdr:col>
      <xdr:colOff>200025</xdr:colOff>
      <xdr:row>410</xdr:row>
      <xdr:rowOff>9525</xdr:rowOff>
    </xdr:to>
    <xdr:sp macro="" textlink="">
      <xdr:nvSpPr>
        <xdr:cNvPr id="2176" name="Rectangle 4558"/>
        <xdr:cNvSpPr>
          <a:spLocks noChangeArrowheads="1"/>
        </xdr:cNvSpPr>
      </xdr:nvSpPr>
      <xdr:spPr bwMode="auto">
        <a:xfrm>
          <a:off x="10868025" y="1137094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190500</xdr:colOff>
      <xdr:row>409</xdr:row>
      <xdr:rowOff>0</xdr:rowOff>
    </xdr:from>
    <xdr:to>
      <xdr:col>31</xdr:col>
      <xdr:colOff>200025</xdr:colOff>
      <xdr:row>410</xdr:row>
      <xdr:rowOff>9525</xdr:rowOff>
    </xdr:to>
    <xdr:sp macro="" textlink="">
      <xdr:nvSpPr>
        <xdr:cNvPr id="2177" name="Rectangle 4559"/>
        <xdr:cNvSpPr>
          <a:spLocks noChangeArrowheads="1"/>
        </xdr:cNvSpPr>
      </xdr:nvSpPr>
      <xdr:spPr bwMode="auto">
        <a:xfrm>
          <a:off x="10868025" y="113709450"/>
          <a:ext cx="4286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  C</a:t>
          </a:r>
        </a:p>
      </xdr:txBody>
    </xdr:sp>
    <xdr:clientData/>
  </xdr:twoCellAnchor>
  <xdr:twoCellAnchor>
    <xdr:from>
      <xdr:col>32</xdr:col>
      <xdr:colOff>190500</xdr:colOff>
      <xdr:row>409</xdr:row>
      <xdr:rowOff>0</xdr:rowOff>
    </xdr:from>
    <xdr:to>
      <xdr:col>33</xdr:col>
      <xdr:colOff>200025</xdr:colOff>
      <xdr:row>410</xdr:row>
      <xdr:rowOff>9525</xdr:rowOff>
    </xdr:to>
    <xdr:sp macro="" textlink="">
      <xdr:nvSpPr>
        <xdr:cNvPr id="2178" name="Rectangle 5223"/>
        <xdr:cNvSpPr>
          <a:spLocks noChangeArrowheads="1"/>
        </xdr:cNvSpPr>
      </xdr:nvSpPr>
      <xdr:spPr bwMode="auto">
        <a:xfrm>
          <a:off x="11649075" y="113709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409</xdr:row>
      <xdr:rowOff>0</xdr:rowOff>
    </xdr:from>
    <xdr:to>
      <xdr:col>33</xdr:col>
      <xdr:colOff>200025</xdr:colOff>
      <xdr:row>410</xdr:row>
      <xdr:rowOff>9525</xdr:rowOff>
    </xdr:to>
    <xdr:sp macro="" textlink="">
      <xdr:nvSpPr>
        <xdr:cNvPr id="2179" name="Rectangle 5224"/>
        <xdr:cNvSpPr>
          <a:spLocks noChangeArrowheads="1"/>
        </xdr:cNvSpPr>
      </xdr:nvSpPr>
      <xdr:spPr bwMode="auto">
        <a:xfrm>
          <a:off x="11649075" y="113709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409</xdr:row>
      <xdr:rowOff>0</xdr:rowOff>
    </xdr:from>
    <xdr:to>
      <xdr:col>33</xdr:col>
      <xdr:colOff>200025</xdr:colOff>
      <xdr:row>410</xdr:row>
      <xdr:rowOff>9525</xdr:rowOff>
    </xdr:to>
    <xdr:sp macro="" textlink="">
      <xdr:nvSpPr>
        <xdr:cNvPr id="2180" name="Rectangle 5225"/>
        <xdr:cNvSpPr>
          <a:spLocks noChangeArrowheads="1"/>
        </xdr:cNvSpPr>
      </xdr:nvSpPr>
      <xdr:spPr bwMode="auto">
        <a:xfrm>
          <a:off x="11649075" y="113709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409</xdr:row>
      <xdr:rowOff>0</xdr:rowOff>
    </xdr:from>
    <xdr:to>
      <xdr:col>33</xdr:col>
      <xdr:colOff>200025</xdr:colOff>
      <xdr:row>410</xdr:row>
      <xdr:rowOff>9525</xdr:rowOff>
    </xdr:to>
    <xdr:sp macro="" textlink="">
      <xdr:nvSpPr>
        <xdr:cNvPr id="2181" name="Rectangle 5226"/>
        <xdr:cNvSpPr>
          <a:spLocks noChangeArrowheads="1"/>
        </xdr:cNvSpPr>
      </xdr:nvSpPr>
      <xdr:spPr bwMode="auto">
        <a:xfrm>
          <a:off x="11649075" y="113709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32</xdr:col>
      <xdr:colOff>190500</xdr:colOff>
      <xdr:row>409</xdr:row>
      <xdr:rowOff>0</xdr:rowOff>
    </xdr:from>
    <xdr:to>
      <xdr:col>33</xdr:col>
      <xdr:colOff>200025</xdr:colOff>
      <xdr:row>410</xdr:row>
      <xdr:rowOff>9525</xdr:rowOff>
    </xdr:to>
    <xdr:sp macro="" textlink="">
      <xdr:nvSpPr>
        <xdr:cNvPr id="2182" name="Rectangle 5227"/>
        <xdr:cNvSpPr>
          <a:spLocks noChangeArrowheads="1"/>
        </xdr:cNvSpPr>
      </xdr:nvSpPr>
      <xdr:spPr bwMode="auto">
        <a:xfrm>
          <a:off x="11649075" y="113709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32</xdr:col>
      <xdr:colOff>190500</xdr:colOff>
      <xdr:row>409</xdr:row>
      <xdr:rowOff>0</xdr:rowOff>
    </xdr:from>
    <xdr:to>
      <xdr:col>33</xdr:col>
      <xdr:colOff>200025</xdr:colOff>
      <xdr:row>410</xdr:row>
      <xdr:rowOff>9525</xdr:rowOff>
    </xdr:to>
    <xdr:sp macro="" textlink="">
      <xdr:nvSpPr>
        <xdr:cNvPr id="2183" name="Rectangle 5228"/>
        <xdr:cNvSpPr>
          <a:spLocks noChangeArrowheads="1"/>
        </xdr:cNvSpPr>
      </xdr:nvSpPr>
      <xdr:spPr bwMode="auto">
        <a:xfrm>
          <a:off x="11649075" y="113709450"/>
          <a:ext cx="4381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US" sz="1400"/>
            <a:t>  C</a:t>
          </a:r>
        </a:p>
      </xdr:txBody>
    </xdr:sp>
    <xdr:clientData/>
  </xdr:twoCellAnchor>
  <xdr:twoCellAnchor>
    <xdr:from>
      <xdr:col>0</xdr:col>
      <xdr:colOff>57150</xdr:colOff>
      <xdr:row>387</xdr:row>
      <xdr:rowOff>85725</xdr:rowOff>
    </xdr:from>
    <xdr:to>
      <xdr:col>3</xdr:col>
      <xdr:colOff>114300</xdr:colOff>
      <xdr:row>390</xdr:row>
      <xdr:rowOff>114300</xdr:rowOff>
    </xdr:to>
    <xdr:pic>
      <xdr:nvPicPr>
        <xdr:cNvPr id="2184" name="Picture 565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b="10052"/>
        <a:stretch>
          <a:fillRect/>
        </a:stretch>
      </xdr:blipFill>
      <xdr:spPr bwMode="auto">
        <a:xfrm>
          <a:off x="57150" y="107546775"/>
          <a:ext cx="628650" cy="600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PAYPS\DKR\DKR-BLN\0920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rima\vol2\WIN98\HACCP\FRM-HCC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rima\vol2\DATA\HACCP\FORM\FRM-HC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DUKSI\THN%202014\FEB%2014\FEB%202014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LONG\Local%20Settings\Temporary%20Internet%20Files\OLK8E\DATA%20QU\PBL-ISK\Excel\FORM\FRM1-13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FORM\FRM1-1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LONG\Local%20Settings\Temporary%20Internet%20Files\OLK8E\LAPORAN%20%20HARIAN\LAP.KOPRA\PBL-ISK\LAP%20BULANAN\ABSENSI\LAPORAN%20%20HARIAN\Excel\FORM\FRM1-13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\C-MPD1\LAPPROD\LAPHRN\HRNOF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LONG\Local%20Settings\Temporary%20Internet%20Files\OLK8E\LAPORAN%20%20HARIAN\LAP.KOPRA\A-KJA\TRANSIT\2003\Kry-KB-WKB-ADM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LONG\Local%20Settings\Temporary%20Internet%20Files\OLK8E\PBL-ISK\LAPORAN%20%20HARIAN\LAP.KB\PBL-ISK\LAPORAN%20%20HARIAN\Excel\FORM\FRM1-13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LONG\Local%20Settings\Temporary%20Internet%20Files\OLK8E\LAPORAN%20%20HARIAN\LAP.KOPRA\E-PSN3\ISO\QMS\PRO%20&amp;%20WIN\WIN-psn-001(penilaian)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OLK13\DOK-ISK\ALL%20REPORT\DES06\Excel\FORM\FRM1-13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lphin\d\CARBONIZING\DATA\LAP\JULY07\CRBN-JULY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APORAN%20%20HARIAN\LAP.KOPRA\PBL-ISK\Excel\FORM\FRM1-1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LONG\Local%20Settings\Temporary%20Internet%20Files\OLK8E\LAPORAN%20%20HARIAN\LAP.KOPRA\E-PSN3\LAPORAN\REKAP\Master\NEW%20FORIK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LONG\Local%20Settings\Temporary%20Internet%20Files\OLK8E\PBL-ISK\LAPORAN%20%20HARIAN\LAP.KB\Documents%20and%20Settings\e-pbl2\Local%20Settings\Temporary%20Internet%20Files\Content.IE5\614RU1KB\Sosialisasi%20ojt%20terbaru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udi\SHARING\Documents%20and%20Settings\ALONG\Local%20Settings\Temporary%20Internet%20Files\OLK8E\DATA%20QU\PBL-ISK\Excel\FORM\FRM1-13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LONG/Local%20Settings/Temporary%20Internet%20Files/OLK8E/DATA%20QU/PBL-ISK/Excel/FORM/FRM1-13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Startup" Target="E-MP1/E-ADMP1/DLL/FIRMANS/PINDAH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PAYPS\DKR\DKR-BLN\JU2002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p1-4\mp4\datamp1-3\My%20Documents\My%20Documents\TRANSITE\TRANSITE\HARDIS\SH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LONG\Local%20Settings\Temporary%20Internet%20Files\OLK8E\PBL-ISK\LAPORAN%20%20HARIAN\LAP.KB\PBL-ISK\LAPORAN%20%20HARIAN\Excel\USER\C-MPD1\LAPPROD\LAPHRN\HRNOF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LONG\Local%20Settings\Temporary%20Internet%20Files\OLK8E\PBL-ISK\LAPORAN%20%20HARIAN\LAP.KB\PBL-ISK\LAPORAN%20%20HARIAN\Excel\prowin-mpd\FORM\FRM1-13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LONG\Local%20Settings\Temporary%20Internet%20Files\OLK8E\PBL-ISK\LAPORAN%20%20HARIAN\LAP.KB\PBL-ISK\LAPORAN%20%20HARIAN\Excel\prowin-mpd\FRM1-13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OLK13\LAPORAN-ISK\PRODUKSI\THN%202008\FEB08\GAB-%20NOV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ad4\c\DATA\HACCP\FORM\FRM-HCP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LONG\Local%20Settings\Temporary%20Internet%20Files\OLK8E\LAPORAN%20%20HARIAN\LAP.KOPRA\E-PSN3\UMUM\FORM-PSN\SPK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et3\C\Data%20Wtp\Laporan\FRM\FORM\Lazuardi\WET_PROC\CONTOH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RUDI%20RMP\STOCK%20PETAAKKK\DATA%20RELASI%20DAN%20PETANI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LONG\Local%20Settings\Temporary%20Internet%20Files\OLK8E\LAPORAN%20%20HARIAN\LAP.KOPRA\DOK-ISK\HRD\UMUM\OTHER\LAIN\RESUME\MPD1\ISO\MASTER%20C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ln2\data\Data%20BackUp\Pmk\ISO\9002\PROSEDUR\pmk2000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DT%20PEMBELIAN%20ISK%20(NEW)/2012/MEI%202012/LAB%20DATA/PRO-QC/My%20Documents/Kalibrasi%20PSG/Lap%20kal/Guru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mroh\JULI%202012\LAB%20DATA\PRO-QC\My%20Documents\Kalibrasi%20PSG\Lap%20kal\Guru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ad4\c\My%20Documents\Kalibrasi%20PSG\Lap%20kal\Guru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PAYPS\DKR\DKR-BLN\042002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OLK13\DOK-ISK\ALL%20REPORT\DES06\Excel\prowin-mpd\FRM1-13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-PSN3\ISO\QMS\PRO%20&amp;%20WIN\WIN-psn-001%2006-03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LONG\Local%20Settings\Temporary%20Internet%20Files\OLK8E\LAPORAN%20%20HARIAN\LAP.KOPRA\A-KJA\TRANSIT\2004\Kry-P1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/Rudi%20-%20RMP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XXXXXXX"/>
      <sheetName val="XXXXXX0"/>
      <sheetName val="XXXXXX1"/>
      <sheetName val="results"/>
      <sheetName val="MP2"/>
      <sheetName val="Sheet2"/>
      <sheetName val="prj"/>
      <sheetName val="listrik"/>
      <sheetName val="ASES"/>
      <sheetName val="PMK"/>
      <sheetName val="kop"/>
      <sheetName val="PIC"/>
      <sheetName val="OFFICE"/>
      <sheetName val="ITD"/>
      <sheetName val="ACC"/>
      <sheetName val="FIN"/>
      <sheetName val="QSD"/>
      <sheetName val="KLINIK"/>
      <sheetName val="psn"/>
      <sheetName val="QAD"/>
      <sheetName val="WTR"/>
      <sheetName val="wet"/>
      <sheetName val="Boiler"/>
      <sheetName val="Genset"/>
      <sheetName val="GA"/>
      <sheetName val="B.UMUM"/>
      <sheetName val="PRU"/>
      <sheetName val="ESM"/>
      <sheetName val="WHS"/>
      <sheetName val="LOG"/>
      <sheetName val="CST"/>
      <sheetName val="LFDC"/>
      <sheetName val="MP3"/>
      <sheetName val="MP1"/>
      <sheetName val="drp"/>
      <sheetName val="RMP"/>
      <sheetName val="Keluar"/>
      <sheetName val="mutasi.@"/>
      <sheetName val="PROMOSI "/>
      <sheetName val="PROMOSI  (2)"/>
      <sheetName val="MASUK"/>
      <sheetName val="pendidikan"/>
      <sheetName val="BAB"/>
      <sheetName val="Chart2"/>
      <sheetName val="Chart1"/>
      <sheetName val="SUKU "/>
      <sheetName val="ABK"/>
      <sheetName val="PROMOSI"/>
      <sheetName val="umur"/>
      <sheetName val="2-MP"/>
    </sheetNames>
    <sheetDataSet>
      <sheetData sheetId="0"/>
      <sheetData sheetId="1"/>
      <sheetData sheetId="2"/>
      <sheetData sheetId="3" refreshError="1"/>
      <sheetData sheetId="4" refreshError="1">
        <row r="2">
          <cell r="Q2" t="str">
            <v>SUKU</v>
          </cell>
        </row>
        <row r="3">
          <cell r="F3" t="str">
            <v>THN</v>
          </cell>
        </row>
        <row r="4">
          <cell r="F4">
            <v>32</v>
          </cell>
          <cell r="O4" t="str">
            <v>No</v>
          </cell>
          <cell r="Q4" t="str">
            <v>MINANG</v>
          </cell>
        </row>
        <row r="5">
          <cell r="F5">
            <v>30</v>
          </cell>
          <cell r="O5" t="str">
            <v>INHIL</v>
          </cell>
          <cell r="Q5" t="str">
            <v>MELAYU</v>
          </cell>
        </row>
        <row r="6">
          <cell r="F6">
            <v>36</v>
          </cell>
          <cell r="O6" t="str">
            <v>INHIL</v>
          </cell>
          <cell r="Q6" t="str">
            <v>MINANG</v>
          </cell>
        </row>
        <row r="7">
          <cell r="F7">
            <v>25</v>
          </cell>
          <cell r="O7" t="str">
            <v>No</v>
          </cell>
          <cell r="Q7" t="str">
            <v>BATAK</v>
          </cell>
        </row>
        <row r="8">
          <cell r="F8">
            <v>38</v>
          </cell>
          <cell r="O8" t="str">
            <v>INHIL</v>
          </cell>
          <cell r="Q8" t="str">
            <v>MELAYU</v>
          </cell>
        </row>
        <row r="9">
          <cell r="F9">
            <v>29</v>
          </cell>
          <cell r="O9" t="str">
            <v>INHIL</v>
          </cell>
          <cell r="Q9" t="str">
            <v>MELAYU</v>
          </cell>
        </row>
        <row r="10">
          <cell r="F10">
            <v>27</v>
          </cell>
          <cell r="O10" t="str">
            <v>No</v>
          </cell>
          <cell r="Q10" t="str">
            <v>JAWA</v>
          </cell>
        </row>
        <row r="11">
          <cell r="F11">
            <v>23</v>
          </cell>
          <cell r="O11" t="str">
            <v>INHIL</v>
          </cell>
          <cell r="Q11" t="str">
            <v>BANJAR</v>
          </cell>
        </row>
        <row r="12">
          <cell r="F12">
            <v>23</v>
          </cell>
          <cell r="O12" t="str">
            <v>INHIL</v>
          </cell>
          <cell r="Q12" t="str">
            <v>BATAK</v>
          </cell>
        </row>
        <row r="13">
          <cell r="F13">
            <v>25</v>
          </cell>
          <cell r="O13" t="str">
            <v>INHIL</v>
          </cell>
          <cell r="Q13" t="str">
            <v>BANJAR</v>
          </cell>
        </row>
        <row r="14">
          <cell r="F14">
            <v>34</v>
          </cell>
          <cell r="O14" t="str">
            <v>INHIL</v>
          </cell>
          <cell r="Q14" t="str">
            <v>JAWA</v>
          </cell>
        </row>
        <row r="15">
          <cell r="F15">
            <v>23</v>
          </cell>
          <cell r="O15" t="str">
            <v>INHIL</v>
          </cell>
          <cell r="Q15" t="str">
            <v>MELAYU</v>
          </cell>
        </row>
        <row r="16">
          <cell r="F16">
            <v>41</v>
          </cell>
          <cell r="O16" t="str">
            <v>INHIL</v>
          </cell>
          <cell r="Q16" t="str">
            <v>JAWA</v>
          </cell>
        </row>
        <row r="17">
          <cell r="F17">
            <v>28</v>
          </cell>
          <cell r="O17" t="str">
            <v>INHIL</v>
          </cell>
          <cell r="Q17" t="str">
            <v>JAWA</v>
          </cell>
        </row>
        <row r="18">
          <cell r="F18">
            <v>35</v>
          </cell>
          <cell r="O18" t="str">
            <v>INHIL</v>
          </cell>
          <cell r="Q18" t="str">
            <v>JAWA</v>
          </cell>
        </row>
        <row r="19">
          <cell r="F19">
            <v>28</v>
          </cell>
          <cell r="O19" t="str">
            <v>INHIL</v>
          </cell>
          <cell r="Q19" t="str">
            <v>MELAYU</v>
          </cell>
        </row>
        <row r="20">
          <cell r="F20">
            <v>23</v>
          </cell>
          <cell r="O20" t="str">
            <v>INHIL</v>
          </cell>
          <cell r="Q20" t="str">
            <v>MELAYU</v>
          </cell>
        </row>
        <row r="21">
          <cell r="F21">
            <v>21</v>
          </cell>
          <cell r="O21" t="str">
            <v>No</v>
          </cell>
          <cell r="Q21" t="str">
            <v>MELAYU</v>
          </cell>
        </row>
        <row r="22">
          <cell r="F22">
            <v>39</v>
          </cell>
          <cell r="O22" t="str">
            <v>INHIL</v>
          </cell>
          <cell r="Q22" t="str">
            <v>JAWA</v>
          </cell>
        </row>
        <row r="23">
          <cell r="F23">
            <v>28</v>
          </cell>
          <cell r="O23" t="str">
            <v>INHIL</v>
          </cell>
          <cell r="Q23" t="str">
            <v>JAWA</v>
          </cell>
        </row>
        <row r="24">
          <cell r="F24">
            <v>34</v>
          </cell>
          <cell r="O24" t="str">
            <v>INHIL</v>
          </cell>
          <cell r="Q24" t="str">
            <v>JAWA</v>
          </cell>
        </row>
        <row r="25">
          <cell r="F25">
            <v>40</v>
          </cell>
          <cell r="O25" t="str">
            <v>INHIL</v>
          </cell>
          <cell r="Q25" t="str">
            <v>JAWA</v>
          </cell>
        </row>
        <row r="26">
          <cell r="F26">
            <v>52</v>
          </cell>
          <cell r="O26" t="str">
            <v>INHIL</v>
          </cell>
          <cell r="Q26" t="str">
            <v>JAWA</v>
          </cell>
        </row>
        <row r="27">
          <cell r="F27">
            <v>24</v>
          </cell>
          <cell r="O27" t="str">
            <v>No</v>
          </cell>
          <cell r="Q27" t="str">
            <v>MELAYU</v>
          </cell>
        </row>
        <row r="28">
          <cell r="F28">
            <v>29</v>
          </cell>
          <cell r="O28" t="str">
            <v>No</v>
          </cell>
          <cell r="Q28" t="str">
            <v>JAWA</v>
          </cell>
        </row>
        <row r="29">
          <cell r="F29">
            <v>46</v>
          </cell>
          <cell r="O29" t="str">
            <v>INHIL</v>
          </cell>
          <cell r="Q29" t="str">
            <v>JAWA</v>
          </cell>
        </row>
        <row r="30">
          <cell r="F30">
            <v>30</v>
          </cell>
          <cell r="O30" t="str">
            <v>INHIL</v>
          </cell>
          <cell r="Q30" t="str">
            <v>JAWA</v>
          </cell>
        </row>
        <row r="31">
          <cell r="F31">
            <v>36</v>
          </cell>
          <cell r="O31" t="str">
            <v>INHIL</v>
          </cell>
          <cell r="Q31" t="str">
            <v>MELAYU</v>
          </cell>
        </row>
        <row r="32">
          <cell r="F32">
            <v>30</v>
          </cell>
          <cell r="O32" t="str">
            <v>INHIL</v>
          </cell>
          <cell r="Q32" t="str">
            <v>JAWA</v>
          </cell>
        </row>
        <row r="33">
          <cell r="F33">
            <v>33</v>
          </cell>
          <cell r="O33" t="str">
            <v>INHIL</v>
          </cell>
          <cell r="Q33" t="str">
            <v>BANJAR</v>
          </cell>
        </row>
        <row r="34">
          <cell r="F34">
            <v>26</v>
          </cell>
          <cell r="O34" t="str">
            <v>INHIL</v>
          </cell>
          <cell r="Q34" t="str">
            <v>BATAK</v>
          </cell>
        </row>
        <row r="35">
          <cell r="F35">
            <v>29</v>
          </cell>
          <cell r="O35" t="str">
            <v>INHIL</v>
          </cell>
          <cell r="Q35" t="str">
            <v>BATAK</v>
          </cell>
        </row>
        <row r="36">
          <cell r="F36">
            <v>31</v>
          </cell>
          <cell r="O36" t="str">
            <v>No</v>
          </cell>
          <cell r="Q36" t="str">
            <v>SUNDA</v>
          </cell>
        </row>
        <row r="37">
          <cell r="F37">
            <v>33</v>
          </cell>
          <cell r="O37" t="str">
            <v>INHIL</v>
          </cell>
          <cell r="Q37" t="str">
            <v>MELAYU</v>
          </cell>
        </row>
        <row r="38">
          <cell r="F38">
            <v>41</v>
          </cell>
          <cell r="O38" t="str">
            <v>INHIL</v>
          </cell>
          <cell r="Q38" t="str">
            <v>SUNDA</v>
          </cell>
        </row>
        <row r="39">
          <cell r="F39">
            <v>35</v>
          </cell>
          <cell r="O39" t="str">
            <v>No</v>
          </cell>
          <cell r="Q39" t="str">
            <v>JAWA</v>
          </cell>
        </row>
        <row r="40">
          <cell r="F40">
            <v>24</v>
          </cell>
          <cell r="O40" t="str">
            <v>INHIL</v>
          </cell>
          <cell r="Q40" t="str">
            <v>MELAYU</v>
          </cell>
        </row>
        <row r="41">
          <cell r="F41">
            <v>21</v>
          </cell>
          <cell r="O41" t="str">
            <v>No</v>
          </cell>
          <cell r="Q41" t="str">
            <v>MINANG</v>
          </cell>
        </row>
        <row r="42">
          <cell r="F42">
            <v>22</v>
          </cell>
          <cell r="O42" t="str">
            <v>No</v>
          </cell>
          <cell r="Q42" t="str">
            <v>BATAK</v>
          </cell>
        </row>
        <row r="43">
          <cell r="F43">
            <v>38</v>
          </cell>
          <cell r="O43" t="str">
            <v>INHIL</v>
          </cell>
          <cell r="Q43" t="str">
            <v>MELAYU</v>
          </cell>
        </row>
        <row r="44">
          <cell r="F44">
            <v>24</v>
          </cell>
          <cell r="O44" t="str">
            <v>INHIL</v>
          </cell>
          <cell r="Q44" t="str">
            <v>BUGIS</v>
          </cell>
        </row>
        <row r="45">
          <cell r="F45">
            <v>21</v>
          </cell>
          <cell r="O45" t="str">
            <v>No</v>
          </cell>
          <cell r="Q45" t="str">
            <v>JAWA</v>
          </cell>
        </row>
        <row r="46">
          <cell r="F46">
            <v>18</v>
          </cell>
          <cell r="O46" t="str">
            <v>INHIL</v>
          </cell>
          <cell r="Q46" t="str">
            <v>BUGIS</v>
          </cell>
        </row>
        <row r="47">
          <cell r="F47">
            <v>24</v>
          </cell>
          <cell r="O47" t="str">
            <v>No</v>
          </cell>
          <cell r="Q47" t="str">
            <v>JAWA</v>
          </cell>
        </row>
        <row r="48">
          <cell r="F48">
            <v>20</v>
          </cell>
          <cell r="O48" t="str">
            <v>No</v>
          </cell>
          <cell r="Q48" t="str">
            <v>MELAYU</v>
          </cell>
        </row>
        <row r="49">
          <cell r="F49">
            <v>18</v>
          </cell>
          <cell r="O49" t="str">
            <v>No</v>
          </cell>
          <cell r="Q49" t="str">
            <v>MELAYU</v>
          </cell>
        </row>
        <row r="50">
          <cell r="F50">
            <v>19</v>
          </cell>
          <cell r="O50" t="str">
            <v>No</v>
          </cell>
          <cell r="Q50" t="str">
            <v>MELAYU</v>
          </cell>
        </row>
      </sheetData>
      <sheetData sheetId="5"/>
      <sheetData sheetId="6" refreshError="1">
        <row r="1">
          <cell r="A1" t="str">
            <v>F: E-PSN2\REKAP\Data-Kry</v>
          </cell>
        </row>
        <row r="2">
          <cell r="A2" t="str">
            <v>No</v>
          </cell>
          <cell r="B2" t="str">
            <v>NIK</v>
          </cell>
          <cell r="C2" t="str">
            <v>NAMA</v>
          </cell>
        </row>
        <row r="3">
          <cell r="F3" t="str">
            <v>THN</v>
          </cell>
        </row>
        <row r="4">
          <cell r="A4">
            <v>1</v>
          </cell>
          <cell r="B4" t="str">
            <v>0540</v>
          </cell>
          <cell r="C4" t="str">
            <v>M PETIR</v>
          </cell>
          <cell r="F4">
            <v>38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F5">
            <v>24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51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INHIL</v>
          </cell>
        </row>
        <row r="7">
          <cell r="F7">
            <v>34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No</v>
          </cell>
        </row>
        <row r="8">
          <cell r="F8">
            <v>23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No</v>
          </cell>
        </row>
        <row r="9">
          <cell r="F9">
            <v>23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No</v>
          </cell>
        </row>
        <row r="10">
          <cell r="F10">
            <v>20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No</v>
          </cell>
        </row>
        <row r="11">
          <cell r="F11">
            <v>23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No</v>
          </cell>
        </row>
        <row r="12">
          <cell r="F12">
            <v>32</v>
          </cell>
          <cell r="J12" t="str">
            <v>INHIL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INHIL</v>
          </cell>
        </row>
        <row r="13">
          <cell r="F13">
            <v>64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31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INHIL</v>
          </cell>
        </row>
        <row r="15">
          <cell r="F15">
            <v>28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INHIL</v>
          </cell>
        </row>
        <row r="16">
          <cell r="F16">
            <v>24</v>
          </cell>
          <cell r="J16" t="str">
            <v>INHIL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INHIL</v>
          </cell>
        </row>
        <row r="17">
          <cell r="F17">
            <v>40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No</v>
          </cell>
        </row>
        <row r="18">
          <cell r="F18">
            <v>38</v>
          </cell>
          <cell r="J18" t="str">
            <v>INHIL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INHIL</v>
          </cell>
        </row>
        <row r="19">
          <cell r="F19">
            <v>33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INHIL</v>
          </cell>
        </row>
        <row r="20">
          <cell r="F20">
            <v>22</v>
          </cell>
          <cell r="J20" t="str">
            <v>-</v>
          </cell>
          <cell r="K20" t="str">
            <v>INHIL</v>
          </cell>
          <cell r="L20" t="str">
            <v>-</v>
          </cell>
          <cell r="M20" t="str">
            <v>-</v>
          </cell>
          <cell r="N20" t="str">
            <v>INHIL</v>
          </cell>
        </row>
        <row r="21">
          <cell r="F21">
            <v>28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No</v>
          </cell>
        </row>
        <row r="22">
          <cell r="F22">
            <v>30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INHIL</v>
          </cell>
        </row>
        <row r="23">
          <cell r="F23">
            <v>29</v>
          </cell>
          <cell r="J23" t="str">
            <v>-</v>
          </cell>
          <cell r="K23" t="str">
            <v>INHIL</v>
          </cell>
          <cell r="L23" t="str">
            <v>-</v>
          </cell>
          <cell r="M23" t="str">
            <v>-</v>
          </cell>
          <cell r="N23" t="str">
            <v>INHIL</v>
          </cell>
        </row>
        <row r="24">
          <cell r="F24">
            <v>39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INHIL</v>
          </cell>
        </row>
        <row r="25">
          <cell r="F25">
            <v>33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INHIL</v>
          </cell>
        </row>
        <row r="26">
          <cell r="F26">
            <v>45</v>
          </cell>
          <cell r="J26" t="str">
            <v>INHIL</v>
          </cell>
          <cell r="K26" t="str">
            <v>-</v>
          </cell>
          <cell r="L26" t="str">
            <v>-</v>
          </cell>
          <cell r="M26" t="str">
            <v>-</v>
          </cell>
          <cell r="N26" t="str">
            <v>INHIL</v>
          </cell>
        </row>
        <row r="27">
          <cell r="F27">
            <v>29</v>
          </cell>
          <cell r="J27" t="str">
            <v>-</v>
          </cell>
          <cell r="K27" t="str">
            <v>-</v>
          </cell>
          <cell r="L27" t="str">
            <v>-</v>
          </cell>
          <cell r="M27" t="str">
            <v>-</v>
          </cell>
          <cell r="N27" t="str">
            <v>INHIL</v>
          </cell>
        </row>
        <row r="28">
          <cell r="F28">
            <v>29</v>
          </cell>
          <cell r="J28" t="str">
            <v>-</v>
          </cell>
          <cell r="K28" t="str">
            <v>-</v>
          </cell>
          <cell r="L28" t="str">
            <v>-</v>
          </cell>
          <cell r="M28" t="str">
            <v>-</v>
          </cell>
          <cell r="N28" t="str">
            <v>No</v>
          </cell>
        </row>
        <row r="29">
          <cell r="F29">
            <v>23</v>
          </cell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N29" t="str">
            <v>No</v>
          </cell>
        </row>
        <row r="30">
          <cell r="F30">
            <v>33</v>
          </cell>
          <cell r="J30" t="str">
            <v>-</v>
          </cell>
          <cell r="K30" t="str">
            <v>-</v>
          </cell>
          <cell r="L30" t="str">
            <v>-</v>
          </cell>
          <cell r="M30" t="str">
            <v>-</v>
          </cell>
          <cell r="N30" t="str">
            <v>INHIL</v>
          </cell>
        </row>
        <row r="31">
          <cell r="F31">
            <v>23</v>
          </cell>
          <cell r="J31" t="str">
            <v>-</v>
          </cell>
          <cell r="K31" t="str">
            <v>-</v>
          </cell>
          <cell r="L31" t="str">
            <v>-</v>
          </cell>
          <cell r="M31" t="str">
            <v>-</v>
          </cell>
          <cell r="N31" t="str">
            <v>No</v>
          </cell>
        </row>
        <row r="32">
          <cell r="F32">
            <v>28</v>
          </cell>
          <cell r="J32" t="str">
            <v>-</v>
          </cell>
          <cell r="K32" t="str">
            <v>-</v>
          </cell>
          <cell r="L32" t="str">
            <v>-</v>
          </cell>
          <cell r="M32" t="str">
            <v>-</v>
          </cell>
          <cell r="N32" t="str">
            <v>INHIL</v>
          </cell>
        </row>
        <row r="33">
          <cell r="F33">
            <v>35</v>
          </cell>
          <cell r="J33" t="str">
            <v>-</v>
          </cell>
          <cell r="K33" t="str">
            <v>-</v>
          </cell>
          <cell r="L33" t="str">
            <v>-</v>
          </cell>
          <cell r="M33" t="str">
            <v>-</v>
          </cell>
          <cell r="N33" t="str">
            <v>INHIL</v>
          </cell>
        </row>
        <row r="34">
          <cell r="F34">
            <v>32</v>
          </cell>
          <cell r="J34" t="str">
            <v>-</v>
          </cell>
          <cell r="K34" t="str">
            <v>-</v>
          </cell>
          <cell r="L34" t="str">
            <v>-</v>
          </cell>
          <cell r="M34" t="str">
            <v>-</v>
          </cell>
          <cell r="N34" t="str">
            <v>INHIL</v>
          </cell>
        </row>
      </sheetData>
      <sheetData sheetId="7" refreshError="1">
        <row r="1">
          <cell r="A1" t="str">
            <v>F: E-PSN2\REKAP\Data-Kry</v>
          </cell>
        </row>
        <row r="2">
          <cell r="A2" t="str">
            <v>No</v>
          </cell>
          <cell r="B2" t="str">
            <v>NIK</v>
          </cell>
          <cell r="C2" t="str">
            <v>NAMA</v>
          </cell>
        </row>
        <row r="3">
          <cell r="F3" t="str">
            <v>THN</v>
          </cell>
        </row>
        <row r="4">
          <cell r="A4">
            <v>1</v>
          </cell>
          <cell r="B4">
            <v>30142</v>
          </cell>
          <cell r="C4" t="str">
            <v>SRIYATUN</v>
          </cell>
          <cell r="F4">
            <v>19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No</v>
          </cell>
        </row>
        <row r="5">
          <cell r="A5">
            <v>2</v>
          </cell>
          <cell r="B5">
            <v>30129</v>
          </cell>
          <cell r="C5" t="str">
            <v>WIWIK ERI SUSANTO</v>
          </cell>
          <cell r="F5">
            <v>20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No</v>
          </cell>
        </row>
        <row r="6">
          <cell r="A6">
            <v>3</v>
          </cell>
          <cell r="B6">
            <v>30128</v>
          </cell>
          <cell r="C6" t="str">
            <v>AGUS WAHONO</v>
          </cell>
          <cell r="F6">
            <v>20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No</v>
          </cell>
        </row>
        <row r="7">
          <cell r="F7">
            <v>20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No</v>
          </cell>
        </row>
        <row r="8">
          <cell r="F8">
            <v>26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No</v>
          </cell>
        </row>
        <row r="9">
          <cell r="F9">
            <v>24</v>
          </cell>
          <cell r="J9" t="str">
            <v>INHIL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30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No</v>
          </cell>
        </row>
        <row r="11">
          <cell r="F11">
            <v>25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No</v>
          </cell>
        </row>
        <row r="12">
          <cell r="F12">
            <v>34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INHIL</v>
          </cell>
        </row>
        <row r="13">
          <cell r="F13">
            <v>37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26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INHIL</v>
          </cell>
        </row>
        <row r="15">
          <cell r="F15">
            <v>28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INHIL</v>
          </cell>
        </row>
        <row r="16">
          <cell r="F16">
            <v>26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INHIL</v>
          </cell>
        </row>
        <row r="17">
          <cell r="F17">
            <v>27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INHIL</v>
          </cell>
        </row>
        <row r="18">
          <cell r="F18">
            <v>22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INHIL</v>
          </cell>
        </row>
        <row r="19">
          <cell r="F19">
            <v>23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No</v>
          </cell>
        </row>
        <row r="20">
          <cell r="F20">
            <v>24</v>
          </cell>
          <cell r="J20" t="str">
            <v>-</v>
          </cell>
          <cell r="K20" t="str">
            <v>INHIL</v>
          </cell>
          <cell r="L20" t="str">
            <v>-</v>
          </cell>
          <cell r="M20" t="str">
            <v>-</v>
          </cell>
          <cell r="N20" t="str">
            <v>INHIL</v>
          </cell>
        </row>
        <row r="21">
          <cell r="F21">
            <v>27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No</v>
          </cell>
        </row>
        <row r="22">
          <cell r="F22">
            <v>25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No</v>
          </cell>
        </row>
        <row r="23">
          <cell r="F23">
            <v>26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No</v>
          </cell>
        </row>
        <row r="24">
          <cell r="F24">
            <v>23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INHIL</v>
          </cell>
        </row>
        <row r="25">
          <cell r="F25">
            <v>24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INHIL</v>
          </cell>
        </row>
        <row r="26">
          <cell r="F26">
            <v>33</v>
          </cell>
          <cell r="J26" t="str">
            <v>-</v>
          </cell>
          <cell r="K26" t="str">
            <v>-</v>
          </cell>
          <cell r="L26" t="str">
            <v>-</v>
          </cell>
          <cell r="M26" t="str">
            <v>-</v>
          </cell>
          <cell r="N26" t="str">
            <v>INHIL</v>
          </cell>
        </row>
        <row r="27">
          <cell r="F27">
            <v>27</v>
          </cell>
          <cell r="J27" t="str">
            <v>-</v>
          </cell>
          <cell r="K27" t="str">
            <v>-</v>
          </cell>
          <cell r="L27" t="str">
            <v>-</v>
          </cell>
          <cell r="M27" t="str">
            <v>-</v>
          </cell>
          <cell r="N27" t="str">
            <v>No</v>
          </cell>
        </row>
        <row r="28">
          <cell r="F28">
            <v>28</v>
          </cell>
          <cell r="J28" t="str">
            <v>-</v>
          </cell>
          <cell r="K28" t="str">
            <v>-</v>
          </cell>
          <cell r="L28" t="str">
            <v>-</v>
          </cell>
          <cell r="M28" t="str">
            <v>-</v>
          </cell>
          <cell r="N28" t="str">
            <v>INHIL</v>
          </cell>
        </row>
        <row r="29">
          <cell r="F29">
            <v>44</v>
          </cell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N29" t="str">
            <v>INHIL</v>
          </cell>
        </row>
        <row r="30">
          <cell r="F30">
            <v>19</v>
          </cell>
          <cell r="J30" t="str">
            <v>-</v>
          </cell>
          <cell r="K30" t="str">
            <v>-</v>
          </cell>
          <cell r="L30" t="str">
            <v>-</v>
          </cell>
          <cell r="M30" t="str">
            <v>-</v>
          </cell>
          <cell r="N30" t="str">
            <v>No</v>
          </cell>
        </row>
        <row r="31">
          <cell r="F31">
            <v>29</v>
          </cell>
          <cell r="J31" t="str">
            <v>-</v>
          </cell>
          <cell r="K31" t="str">
            <v>-</v>
          </cell>
          <cell r="L31" t="str">
            <v>-</v>
          </cell>
          <cell r="M31" t="str">
            <v>-</v>
          </cell>
          <cell r="N31" t="str">
            <v>No</v>
          </cell>
        </row>
        <row r="32">
          <cell r="F32">
            <v>19</v>
          </cell>
          <cell r="J32" t="str">
            <v>-</v>
          </cell>
          <cell r="K32" t="str">
            <v>-</v>
          </cell>
          <cell r="L32" t="str">
            <v>-</v>
          </cell>
          <cell r="M32" t="str">
            <v>-</v>
          </cell>
          <cell r="N32" t="str">
            <v>No</v>
          </cell>
        </row>
        <row r="33">
          <cell r="F33">
            <v>19</v>
          </cell>
          <cell r="J33" t="str">
            <v>-</v>
          </cell>
          <cell r="K33" t="str">
            <v>-</v>
          </cell>
          <cell r="L33" t="str">
            <v>-</v>
          </cell>
          <cell r="M33" t="str">
            <v>-</v>
          </cell>
          <cell r="N33" t="str">
            <v>No</v>
          </cell>
        </row>
        <row r="34">
          <cell r="F34">
            <v>19</v>
          </cell>
          <cell r="J34" t="str">
            <v>-</v>
          </cell>
          <cell r="K34" t="str">
            <v>-</v>
          </cell>
          <cell r="L34" t="str">
            <v>-</v>
          </cell>
          <cell r="M34" t="str">
            <v>-</v>
          </cell>
          <cell r="N34" t="str">
            <v>No</v>
          </cell>
        </row>
        <row r="35">
          <cell r="F35">
            <v>18</v>
          </cell>
          <cell r="J35" t="str">
            <v>-</v>
          </cell>
          <cell r="K35" t="str">
            <v>-</v>
          </cell>
          <cell r="L35" t="str">
            <v>-</v>
          </cell>
          <cell r="M35" t="str">
            <v>-</v>
          </cell>
          <cell r="N35" t="str">
            <v>No</v>
          </cell>
        </row>
        <row r="36">
          <cell r="F36">
            <v>19</v>
          </cell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 t="str">
            <v>No</v>
          </cell>
        </row>
        <row r="37">
          <cell r="F37">
            <v>19</v>
          </cell>
          <cell r="J37" t="str">
            <v>-</v>
          </cell>
          <cell r="K37" t="str">
            <v>-</v>
          </cell>
          <cell r="L37" t="str">
            <v>-</v>
          </cell>
          <cell r="M37" t="str">
            <v>-</v>
          </cell>
          <cell r="N37" t="str">
            <v>No</v>
          </cell>
        </row>
        <row r="38">
          <cell r="F38">
            <v>18</v>
          </cell>
          <cell r="J38" t="str">
            <v>-</v>
          </cell>
          <cell r="K38" t="str">
            <v>-</v>
          </cell>
          <cell r="L38" t="str">
            <v>-</v>
          </cell>
          <cell r="M38" t="str">
            <v>-</v>
          </cell>
          <cell r="N38" t="str">
            <v>No</v>
          </cell>
        </row>
      </sheetData>
      <sheetData sheetId="8" refreshError="1">
        <row r="3">
          <cell r="F3" t="str">
            <v>THN</v>
          </cell>
        </row>
        <row r="4">
          <cell r="F4">
            <v>22</v>
          </cell>
          <cell r="J4" t="str">
            <v>INHIL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F5">
            <v>23</v>
          </cell>
          <cell r="J5" t="str">
            <v>INHIL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25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INHIL</v>
          </cell>
        </row>
        <row r="7">
          <cell r="C7" t="str">
            <v>DAWAM</v>
          </cell>
          <cell r="F7">
            <v>30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INHIL</v>
          </cell>
        </row>
        <row r="8">
          <cell r="F8">
            <v>24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INHIL</v>
          </cell>
        </row>
        <row r="9">
          <cell r="F9">
            <v>22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24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No</v>
          </cell>
        </row>
        <row r="11">
          <cell r="F11">
            <v>28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26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No</v>
          </cell>
        </row>
        <row r="13">
          <cell r="F13">
            <v>27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27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INHIL</v>
          </cell>
        </row>
        <row r="15">
          <cell r="F15">
            <v>33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INHIL</v>
          </cell>
        </row>
        <row r="16">
          <cell r="F16">
            <v>22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INHIL</v>
          </cell>
        </row>
        <row r="17">
          <cell r="F17">
            <v>20</v>
          </cell>
          <cell r="J17" t="str">
            <v>-</v>
          </cell>
          <cell r="K17" t="str">
            <v>INHIL</v>
          </cell>
          <cell r="L17" t="str">
            <v>-</v>
          </cell>
          <cell r="M17" t="str">
            <v>-</v>
          </cell>
          <cell r="N17" t="str">
            <v>INHIL</v>
          </cell>
        </row>
        <row r="18">
          <cell r="F18">
            <v>26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INHIL</v>
          </cell>
        </row>
        <row r="19">
          <cell r="F19">
            <v>29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INHIL</v>
          </cell>
        </row>
        <row r="20">
          <cell r="F20">
            <v>29</v>
          </cell>
          <cell r="J20" t="str">
            <v>INHIL</v>
          </cell>
          <cell r="K20" t="str">
            <v>-</v>
          </cell>
          <cell r="L20" t="str">
            <v>-</v>
          </cell>
          <cell r="M20" t="str">
            <v>-</v>
          </cell>
          <cell r="N20" t="str">
            <v>INHIL</v>
          </cell>
        </row>
        <row r="21">
          <cell r="F21">
            <v>27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No</v>
          </cell>
        </row>
      </sheetData>
      <sheetData sheetId="9" refreshError="1">
        <row r="1">
          <cell r="A1" t="str">
            <v>F: E-PSN2\REKAP\Data-Kry</v>
          </cell>
        </row>
        <row r="2">
          <cell r="A2" t="str">
            <v>No</v>
          </cell>
          <cell r="B2" t="str">
            <v>NIK</v>
          </cell>
          <cell r="C2" t="str">
            <v>NAMA</v>
          </cell>
        </row>
        <row r="3">
          <cell r="F3" t="str">
            <v>THN</v>
          </cell>
        </row>
        <row r="4">
          <cell r="A4">
            <v>1</v>
          </cell>
          <cell r="B4">
            <v>30160</v>
          </cell>
          <cell r="C4" t="str">
            <v>EKA HADI PRAMONO</v>
          </cell>
          <cell r="F4">
            <v>25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No</v>
          </cell>
        </row>
        <row r="5">
          <cell r="F5">
            <v>21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No</v>
          </cell>
        </row>
        <row r="6">
          <cell r="F6">
            <v>19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No</v>
          </cell>
        </row>
        <row r="7">
          <cell r="F7">
            <v>20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No</v>
          </cell>
        </row>
        <row r="8">
          <cell r="F8">
            <v>21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No</v>
          </cell>
        </row>
        <row r="9">
          <cell r="F9">
            <v>20</v>
          </cell>
          <cell r="J9" t="str">
            <v>-</v>
          </cell>
          <cell r="K9" t="str">
            <v>INHIL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20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No</v>
          </cell>
        </row>
        <row r="11">
          <cell r="F11">
            <v>24</v>
          </cell>
          <cell r="J11" t="str">
            <v>-</v>
          </cell>
          <cell r="K11" t="str">
            <v>INHIL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26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No</v>
          </cell>
        </row>
        <row r="13">
          <cell r="F13">
            <v>20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No</v>
          </cell>
        </row>
        <row r="14">
          <cell r="F14">
            <v>20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No</v>
          </cell>
        </row>
        <row r="15">
          <cell r="F15">
            <v>21</v>
          </cell>
          <cell r="J15" t="str">
            <v>-</v>
          </cell>
          <cell r="K15" t="str">
            <v>INHIL</v>
          </cell>
          <cell r="L15" t="str">
            <v>-</v>
          </cell>
          <cell r="M15" t="str">
            <v>-</v>
          </cell>
          <cell r="N15" t="str">
            <v>INHIL</v>
          </cell>
        </row>
        <row r="16">
          <cell r="F16">
            <v>36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INHIL</v>
          </cell>
        </row>
        <row r="17">
          <cell r="F17">
            <v>24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No</v>
          </cell>
        </row>
        <row r="18">
          <cell r="F18">
            <v>27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INHIL</v>
          </cell>
        </row>
        <row r="19">
          <cell r="F19">
            <v>27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INHIL</v>
          </cell>
        </row>
        <row r="20">
          <cell r="F20">
            <v>48</v>
          </cell>
          <cell r="J20" t="str">
            <v>INHIL</v>
          </cell>
          <cell r="K20" t="str">
            <v>-</v>
          </cell>
          <cell r="L20" t="str">
            <v>-</v>
          </cell>
          <cell r="M20" t="str">
            <v>-</v>
          </cell>
          <cell r="N20" t="str">
            <v>INHIL</v>
          </cell>
        </row>
        <row r="21">
          <cell r="F21">
            <v>24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No</v>
          </cell>
        </row>
        <row r="22">
          <cell r="F22">
            <v>21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No</v>
          </cell>
        </row>
        <row r="23">
          <cell r="F23">
            <v>30</v>
          </cell>
          <cell r="J23" t="str">
            <v>INHIL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INHIL</v>
          </cell>
        </row>
        <row r="24">
          <cell r="F24">
            <v>25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No</v>
          </cell>
        </row>
        <row r="25">
          <cell r="F25">
            <v>21</v>
          </cell>
          <cell r="J25" t="str">
            <v>-</v>
          </cell>
          <cell r="K25" t="str">
            <v>INHIL</v>
          </cell>
          <cell r="L25" t="str">
            <v>-</v>
          </cell>
          <cell r="M25" t="str">
            <v>-</v>
          </cell>
          <cell r="N25" t="str">
            <v>INHIL</v>
          </cell>
        </row>
        <row r="26">
          <cell r="F26">
            <v>25</v>
          </cell>
          <cell r="J26" t="str">
            <v>-</v>
          </cell>
          <cell r="K26" t="str">
            <v>-</v>
          </cell>
          <cell r="L26" t="str">
            <v>-</v>
          </cell>
          <cell r="M26" t="str">
            <v>-</v>
          </cell>
          <cell r="N26" t="str">
            <v>No</v>
          </cell>
        </row>
        <row r="27">
          <cell r="F27">
            <v>21</v>
          </cell>
          <cell r="J27" t="str">
            <v>-</v>
          </cell>
          <cell r="K27" t="str">
            <v>-</v>
          </cell>
          <cell r="L27" t="str">
            <v>-</v>
          </cell>
          <cell r="M27" t="str">
            <v>-</v>
          </cell>
          <cell r="N27" t="str">
            <v>INHIL</v>
          </cell>
        </row>
        <row r="28">
          <cell r="F28">
            <v>19</v>
          </cell>
          <cell r="J28" t="str">
            <v>-</v>
          </cell>
          <cell r="K28" t="str">
            <v>-</v>
          </cell>
          <cell r="L28" t="str">
            <v>-</v>
          </cell>
          <cell r="M28" t="str">
            <v>-</v>
          </cell>
          <cell r="N28" t="str">
            <v>No</v>
          </cell>
        </row>
        <row r="29">
          <cell r="F29">
            <v>22</v>
          </cell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N29" t="str">
            <v>No</v>
          </cell>
        </row>
        <row r="30">
          <cell r="F30">
            <v>20</v>
          </cell>
          <cell r="J30" t="str">
            <v>-</v>
          </cell>
          <cell r="K30" t="str">
            <v>-</v>
          </cell>
          <cell r="L30" t="str">
            <v>-</v>
          </cell>
          <cell r="M30" t="str">
            <v>-</v>
          </cell>
          <cell r="N30" t="str">
            <v>No</v>
          </cell>
        </row>
        <row r="31">
          <cell r="F31">
            <v>21</v>
          </cell>
          <cell r="J31" t="str">
            <v>-</v>
          </cell>
          <cell r="K31" t="str">
            <v>INHIL</v>
          </cell>
          <cell r="L31" t="str">
            <v>-</v>
          </cell>
          <cell r="M31" t="str">
            <v>-</v>
          </cell>
          <cell r="N31" t="str">
            <v>INHIL</v>
          </cell>
        </row>
        <row r="32">
          <cell r="F32">
            <v>23</v>
          </cell>
          <cell r="J32" t="str">
            <v>INHIL</v>
          </cell>
          <cell r="K32" t="str">
            <v>-</v>
          </cell>
          <cell r="L32" t="str">
            <v>-</v>
          </cell>
          <cell r="M32" t="str">
            <v>-</v>
          </cell>
          <cell r="N32" t="str">
            <v>INHIL</v>
          </cell>
        </row>
        <row r="33">
          <cell r="F33">
            <v>27</v>
          </cell>
          <cell r="J33" t="str">
            <v>-</v>
          </cell>
          <cell r="K33" t="str">
            <v>-</v>
          </cell>
          <cell r="L33" t="str">
            <v>-</v>
          </cell>
          <cell r="M33" t="str">
            <v>-</v>
          </cell>
          <cell r="N33" t="str">
            <v>INHIL</v>
          </cell>
        </row>
        <row r="34">
          <cell r="F34">
            <v>24</v>
          </cell>
          <cell r="J34" t="str">
            <v>-</v>
          </cell>
          <cell r="K34" t="str">
            <v>-</v>
          </cell>
          <cell r="L34" t="str">
            <v>-</v>
          </cell>
          <cell r="M34" t="str">
            <v>-</v>
          </cell>
          <cell r="N34" t="str">
            <v>INHIL</v>
          </cell>
        </row>
        <row r="35">
          <cell r="F35">
            <v>30</v>
          </cell>
          <cell r="J35" t="str">
            <v>-</v>
          </cell>
          <cell r="K35" t="str">
            <v>-</v>
          </cell>
          <cell r="L35" t="str">
            <v>-</v>
          </cell>
          <cell r="M35" t="str">
            <v>-</v>
          </cell>
          <cell r="N35" t="str">
            <v>INHIL</v>
          </cell>
        </row>
        <row r="36">
          <cell r="F36">
            <v>38</v>
          </cell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 t="str">
            <v>INHIL</v>
          </cell>
        </row>
        <row r="37">
          <cell r="F37">
            <v>23</v>
          </cell>
          <cell r="J37" t="str">
            <v>-</v>
          </cell>
          <cell r="K37" t="str">
            <v>-</v>
          </cell>
          <cell r="L37" t="str">
            <v>-</v>
          </cell>
          <cell r="M37" t="str">
            <v>-</v>
          </cell>
          <cell r="N37" t="str">
            <v>INHIL</v>
          </cell>
        </row>
        <row r="38">
          <cell r="F38">
            <v>53</v>
          </cell>
          <cell r="J38" t="str">
            <v>-</v>
          </cell>
          <cell r="K38" t="str">
            <v>-</v>
          </cell>
          <cell r="L38" t="str">
            <v>INHIL</v>
          </cell>
          <cell r="M38" t="str">
            <v>-</v>
          </cell>
          <cell r="N38" t="str">
            <v>INHIL</v>
          </cell>
        </row>
        <row r="39">
          <cell r="F39">
            <v>38</v>
          </cell>
          <cell r="J39" t="str">
            <v>-</v>
          </cell>
          <cell r="K39" t="str">
            <v>-</v>
          </cell>
          <cell r="L39" t="str">
            <v>-</v>
          </cell>
          <cell r="M39" t="str">
            <v>-</v>
          </cell>
          <cell r="N39" t="str">
            <v>INHIL</v>
          </cell>
        </row>
        <row r="40">
          <cell r="F40">
            <v>29</v>
          </cell>
          <cell r="J40" t="str">
            <v>-</v>
          </cell>
          <cell r="K40" t="str">
            <v>-</v>
          </cell>
          <cell r="L40" t="str">
            <v>-</v>
          </cell>
          <cell r="M40" t="str">
            <v>-</v>
          </cell>
          <cell r="N40" t="str">
            <v>INHIL</v>
          </cell>
        </row>
        <row r="41">
          <cell r="F41">
            <v>27</v>
          </cell>
          <cell r="J41" t="str">
            <v>-</v>
          </cell>
          <cell r="K41" t="str">
            <v>-</v>
          </cell>
          <cell r="L41" t="str">
            <v>-</v>
          </cell>
          <cell r="M41" t="str">
            <v>-</v>
          </cell>
          <cell r="N41" t="str">
            <v>INHIL</v>
          </cell>
        </row>
        <row r="42">
          <cell r="F42">
            <v>35</v>
          </cell>
          <cell r="J42" t="str">
            <v>INHIL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INHIL</v>
          </cell>
        </row>
        <row r="43">
          <cell r="F43">
            <v>39</v>
          </cell>
          <cell r="J43" t="str">
            <v>-</v>
          </cell>
          <cell r="K43" t="str">
            <v>-</v>
          </cell>
          <cell r="L43" t="str">
            <v>-</v>
          </cell>
          <cell r="M43" t="str">
            <v>-</v>
          </cell>
          <cell r="N43" t="str">
            <v>INHIL</v>
          </cell>
        </row>
        <row r="44">
          <cell r="F44">
            <v>52</v>
          </cell>
          <cell r="J44" t="str">
            <v>-</v>
          </cell>
          <cell r="K44" t="str">
            <v>-</v>
          </cell>
          <cell r="L44" t="str">
            <v>-</v>
          </cell>
          <cell r="M44" t="str">
            <v>-</v>
          </cell>
          <cell r="N44" t="str">
            <v>INHIL</v>
          </cell>
        </row>
        <row r="45">
          <cell r="F45">
            <v>29</v>
          </cell>
          <cell r="J45" t="str">
            <v>-</v>
          </cell>
          <cell r="K45" t="str">
            <v>-</v>
          </cell>
          <cell r="L45" t="str">
            <v>-</v>
          </cell>
          <cell r="M45" t="str">
            <v>-</v>
          </cell>
          <cell r="N45" t="str">
            <v>INHIL</v>
          </cell>
        </row>
        <row r="46">
          <cell r="F46">
            <v>30</v>
          </cell>
          <cell r="J46" t="str">
            <v>-</v>
          </cell>
          <cell r="K46" t="str">
            <v>-</v>
          </cell>
          <cell r="L46" t="str">
            <v>-</v>
          </cell>
          <cell r="M46" t="str">
            <v>-</v>
          </cell>
          <cell r="N46" t="str">
            <v>INHIL</v>
          </cell>
        </row>
        <row r="47">
          <cell r="F47">
            <v>39</v>
          </cell>
          <cell r="J47" t="str">
            <v>-</v>
          </cell>
          <cell r="K47" t="str">
            <v>-</v>
          </cell>
          <cell r="L47" t="str">
            <v>-</v>
          </cell>
          <cell r="M47" t="str">
            <v>-</v>
          </cell>
          <cell r="N47" t="str">
            <v>INHIL</v>
          </cell>
        </row>
        <row r="48">
          <cell r="F48">
            <v>26</v>
          </cell>
          <cell r="J48" t="str">
            <v>-</v>
          </cell>
          <cell r="K48" t="str">
            <v>-</v>
          </cell>
          <cell r="L48" t="str">
            <v>-</v>
          </cell>
          <cell r="M48" t="str">
            <v>-</v>
          </cell>
          <cell r="N48" t="str">
            <v>INHIL</v>
          </cell>
        </row>
        <row r="49">
          <cell r="F49">
            <v>30</v>
          </cell>
          <cell r="J49" t="str">
            <v>-</v>
          </cell>
          <cell r="K49" t="str">
            <v>-</v>
          </cell>
          <cell r="L49" t="str">
            <v>-</v>
          </cell>
          <cell r="M49" t="str">
            <v>-</v>
          </cell>
          <cell r="N49" t="str">
            <v>INHIL</v>
          </cell>
        </row>
        <row r="50">
          <cell r="F50">
            <v>25</v>
          </cell>
          <cell r="J50" t="str">
            <v>-</v>
          </cell>
          <cell r="K50" t="str">
            <v>-</v>
          </cell>
          <cell r="L50" t="str">
            <v>-</v>
          </cell>
          <cell r="M50" t="str">
            <v>-</v>
          </cell>
          <cell r="N50" t="str">
            <v>INHIL</v>
          </cell>
        </row>
        <row r="51">
          <cell r="F51">
            <v>19</v>
          </cell>
          <cell r="J51" t="str">
            <v>-</v>
          </cell>
          <cell r="K51" t="str">
            <v>-</v>
          </cell>
          <cell r="L51" t="str">
            <v>-</v>
          </cell>
          <cell r="M51" t="str">
            <v>-</v>
          </cell>
          <cell r="N51" t="str">
            <v>INHIL</v>
          </cell>
        </row>
        <row r="52">
          <cell r="F52">
            <v>23</v>
          </cell>
          <cell r="J52" t="str">
            <v>-</v>
          </cell>
          <cell r="K52" t="str">
            <v>-</v>
          </cell>
          <cell r="L52" t="str">
            <v>-</v>
          </cell>
          <cell r="M52" t="str">
            <v>-</v>
          </cell>
          <cell r="N52" t="str">
            <v>No</v>
          </cell>
        </row>
        <row r="53">
          <cell r="F53">
            <v>24</v>
          </cell>
          <cell r="J53" t="str">
            <v>-</v>
          </cell>
          <cell r="K53" t="str">
            <v>-</v>
          </cell>
          <cell r="L53" t="str">
            <v>-</v>
          </cell>
          <cell r="M53" t="str">
            <v>-</v>
          </cell>
          <cell r="N53" t="str">
            <v>INHIL</v>
          </cell>
        </row>
        <row r="54">
          <cell r="F54">
            <v>28</v>
          </cell>
          <cell r="J54" t="str">
            <v>-</v>
          </cell>
          <cell r="K54" t="str">
            <v>-</v>
          </cell>
          <cell r="L54" t="str">
            <v>-</v>
          </cell>
          <cell r="M54" t="str">
            <v>-</v>
          </cell>
          <cell r="N54" t="str">
            <v>No</v>
          </cell>
        </row>
        <row r="55">
          <cell r="F55">
            <v>21</v>
          </cell>
          <cell r="J55" t="str">
            <v>-</v>
          </cell>
          <cell r="K55" t="str">
            <v>-</v>
          </cell>
          <cell r="L55" t="str">
            <v>-</v>
          </cell>
          <cell r="M55" t="str">
            <v>-</v>
          </cell>
          <cell r="N55" t="str">
            <v>No</v>
          </cell>
        </row>
        <row r="56">
          <cell r="F56">
            <v>29</v>
          </cell>
          <cell r="J56" t="str">
            <v>-</v>
          </cell>
          <cell r="K56" t="str">
            <v>-</v>
          </cell>
          <cell r="L56" t="str">
            <v>-</v>
          </cell>
          <cell r="M56" t="str">
            <v>-</v>
          </cell>
          <cell r="N56" t="str">
            <v>No</v>
          </cell>
        </row>
        <row r="57">
          <cell r="F57">
            <v>24</v>
          </cell>
          <cell r="J57" t="str">
            <v>-</v>
          </cell>
          <cell r="K57" t="str">
            <v>-</v>
          </cell>
          <cell r="L57" t="str">
            <v>-</v>
          </cell>
          <cell r="M57" t="str">
            <v>-</v>
          </cell>
          <cell r="N57" t="str">
            <v>No</v>
          </cell>
        </row>
        <row r="58">
          <cell r="F58">
            <v>23</v>
          </cell>
          <cell r="J58" t="str">
            <v>-</v>
          </cell>
          <cell r="K58" t="str">
            <v>-</v>
          </cell>
          <cell r="L58" t="str">
            <v>-</v>
          </cell>
          <cell r="M58" t="str">
            <v>-</v>
          </cell>
          <cell r="N58" t="str">
            <v>No</v>
          </cell>
        </row>
        <row r="59">
          <cell r="F59">
            <v>23</v>
          </cell>
          <cell r="J59" t="str">
            <v>-</v>
          </cell>
          <cell r="K59" t="str">
            <v>-</v>
          </cell>
          <cell r="L59" t="str">
            <v>-</v>
          </cell>
          <cell r="M59" t="str">
            <v>-</v>
          </cell>
          <cell r="N59" t="str">
            <v>INHIL</v>
          </cell>
        </row>
        <row r="60">
          <cell r="F60">
            <v>31</v>
          </cell>
          <cell r="J60" t="str">
            <v>-</v>
          </cell>
          <cell r="K60" t="str">
            <v>-</v>
          </cell>
          <cell r="L60" t="str">
            <v>-</v>
          </cell>
          <cell r="M60" t="str">
            <v>-</v>
          </cell>
          <cell r="N60" t="str">
            <v>INHIL</v>
          </cell>
        </row>
        <row r="61">
          <cell r="F61">
            <v>34</v>
          </cell>
          <cell r="J61" t="str">
            <v>-</v>
          </cell>
          <cell r="K61" t="str">
            <v>-</v>
          </cell>
          <cell r="L61" t="str">
            <v>-</v>
          </cell>
          <cell r="M61" t="str">
            <v>-</v>
          </cell>
          <cell r="N61" t="str">
            <v>No</v>
          </cell>
        </row>
        <row r="62">
          <cell r="F62">
            <v>23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No</v>
          </cell>
        </row>
        <row r="63">
          <cell r="F63">
            <v>24</v>
          </cell>
          <cell r="J63" t="str">
            <v>-</v>
          </cell>
          <cell r="K63" t="str">
            <v>-</v>
          </cell>
          <cell r="L63" t="str">
            <v>-</v>
          </cell>
          <cell r="M63" t="str">
            <v>-</v>
          </cell>
          <cell r="N63" t="str">
            <v>No</v>
          </cell>
        </row>
        <row r="64">
          <cell r="F64">
            <v>20</v>
          </cell>
          <cell r="J64" t="str">
            <v>-</v>
          </cell>
          <cell r="K64" t="str">
            <v>-</v>
          </cell>
          <cell r="L64" t="str">
            <v>-</v>
          </cell>
          <cell r="M64" t="str">
            <v>-</v>
          </cell>
          <cell r="N64" t="str">
            <v>No</v>
          </cell>
        </row>
        <row r="65">
          <cell r="F65">
            <v>21</v>
          </cell>
          <cell r="J65" t="str">
            <v>-</v>
          </cell>
          <cell r="K65" t="str">
            <v>-</v>
          </cell>
          <cell r="L65" t="str">
            <v>-</v>
          </cell>
          <cell r="M65" t="str">
            <v>-</v>
          </cell>
          <cell r="N65" t="str">
            <v>INHIL</v>
          </cell>
        </row>
        <row r="66">
          <cell r="F66">
            <v>23</v>
          </cell>
          <cell r="J66" t="str">
            <v>-</v>
          </cell>
          <cell r="K66" t="str">
            <v>-</v>
          </cell>
          <cell r="L66" t="str">
            <v>-</v>
          </cell>
          <cell r="M66" t="str">
            <v>-</v>
          </cell>
          <cell r="N66" t="str">
            <v>No</v>
          </cell>
        </row>
        <row r="67">
          <cell r="F67">
            <v>20</v>
          </cell>
          <cell r="J67" t="str">
            <v>-</v>
          </cell>
          <cell r="K67" t="str">
            <v>-</v>
          </cell>
          <cell r="L67" t="str">
            <v>-</v>
          </cell>
          <cell r="M67" t="str">
            <v>-</v>
          </cell>
          <cell r="N67" t="str">
            <v>No</v>
          </cell>
        </row>
        <row r="68">
          <cell r="F68">
            <v>23</v>
          </cell>
          <cell r="J68" t="str">
            <v>-</v>
          </cell>
          <cell r="K68" t="str">
            <v>-</v>
          </cell>
          <cell r="L68" t="str">
            <v>-</v>
          </cell>
          <cell r="M68" t="str">
            <v>-</v>
          </cell>
          <cell r="N68" t="str">
            <v>No</v>
          </cell>
        </row>
        <row r="69">
          <cell r="F69">
            <v>35</v>
          </cell>
          <cell r="J69" t="str">
            <v>-</v>
          </cell>
          <cell r="K69" t="str">
            <v>-</v>
          </cell>
          <cell r="L69" t="str">
            <v>-</v>
          </cell>
          <cell r="M69" t="str">
            <v>-</v>
          </cell>
          <cell r="N69" t="str">
            <v>No</v>
          </cell>
        </row>
        <row r="70">
          <cell r="F70">
            <v>26</v>
          </cell>
          <cell r="J70" t="str">
            <v>-</v>
          </cell>
          <cell r="K70" t="str">
            <v>-</v>
          </cell>
          <cell r="L70" t="str">
            <v>-</v>
          </cell>
          <cell r="M70" t="str">
            <v>-</v>
          </cell>
          <cell r="N70" t="str">
            <v>No</v>
          </cell>
        </row>
        <row r="71">
          <cell r="F71">
            <v>34</v>
          </cell>
          <cell r="J71" t="str">
            <v>-</v>
          </cell>
          <cell r="K71" t="str">
            <v>-</v>
          </cell>
          <cell r="L71" t="str">
            <v>-</v>
          </cell>
          <cell r="M71" t="str">
            <v>-</v>
          </cell>
          <cell r="N71" t="str">
            <v>INHIL</v>
          </cell>
        </row>
        <row r="72">
          <cell r="F72">
            <v>21</v>
          </cell>
          <cell r="J72" t="str">
            <v>-</v>
          </cell>
          <cell r="K72" t="str">
            <v>-</v>
          </cell>
          <cell r="L72" t="str">
            <v>-</v>
          </cell>
          <cell r="M72" t="str">
            <v>-</v>
          </cell>
          <cell r="N72" t="str">
            <v>INHIL</v>
          </cell>
        </row>
        <row r="73">
          <cell r="F73">
            <v>22</v>
          </cell>
          <cell r="J73" t="str">
            <v>-</v>
          </cell>
          <cell r="K73" t="str">
            <v>-</v>
          </cell>
          <cell r="L73" t="str">
            <v>-</v>
          </cell>
          <cell r="M73" t="str">
            <v>-</v>
          </cell>
          <cell r="N73" t="str">
            <v>No</v>
          </cell>
        </row>
        <row r="74">
          <cell r="F74">
            <v>23</v>
          </cell>
          <cell r="J74" t="str">
            <v>INHIL</v>
          </cell>
          <cell r="K74" t="str">
            <v>-</v>
          </cell>
          <cell r="L74" t="str">
            <v>-</v>
          </cell>
          <cell r="M74" t="str">
            <v>-</v>
          </cell>
          <cell r="N74" t="str">
            <v>INHIL</v>
          </cell>
        </row>
        <row r="75">
          <cell r="F75">
            <v>22</v>
          </cell>
          <cell r="J75" t="str">
            <v>-</v>
          </cell>
          <cell r="K75" t="str">
            <v>-</v>
          </cell>
          <cell r="L75" t="str">
            <v>-</v>
          </cell>
          <cell r="M75" t="str">
            <v>-</v>
          </cell>
          <cell r="N75" t="str">
            <v>No</v>
          </cell>
        </row>
        <row r="76">
          <cell r="F76">
            <v>6</v>
          </cell>
          <cell r="J76" t="str">
            <v>-</v>
          </cell>
          <cell r="K76" t="str">
            <v>-</v>
          </cell>
          <cell r="L76" t="str">
            <v>-</v>
          </cell>
          <cell r="M76" t="str">
            <v>-</v>
          </cell>
          <cell r="N76" t="str">
            <v>No</v>
          </cell>
        </row>
        <row r="77">
          <cell r="F77">
            <v>28</v>
          </cell>
          <cell r="J77" t="str">
            <v>-</v>
          </cell>
          <cell r="K77" t="str">
            <v>-</v>
          </cell>
          <cell r="L77" t="str">
            <v>-</v>
          </cell>
          <cell r="M77" t="str">
            <v>-</v>
          </cell>
          <cell r="N77" t="str">
            <v>No</v>
          </cell>
        </row>
        <row r="78">
          <cell r="F78">
            <v>30</v>
          </cell>
          <cell r="J78" t="str">
            <v>-</v>
          </cell>
          <cell r="K78" t="str">
            <v>-</v>
          </cell>
          <cell r="L78" t="str">
            <v>-</v>
          </cell>
          <cell r="M78" t="str">
            <v>-</v>
          </cell>
          <cell r="N78" t="str">
            <v>INHIL</v>
          </cell>
        </row>
        <row r="79">
          <cell r="F79">
            <v>31</v>
          </cell>
          <cell r="J79" t="str">
            <v>-</v>
          </cell>
          <cell r="K79" t="str">
            <v>-</v>
          </cell>
          <cell r="L79" t="str">
            <v>-</v>
          </cell>
          <cell r="M79" t="str">
            <v>-</v>
          </cell>
          <cell r="N79" t="str">
            <v>INHIL</v>
          </cell>
        </row>
        <row r="80">
          <cell r="F80">
            <v>27</v>
          </cell>
          <cell r="J80" t="str">
            <v>-</v>
          </cell>
          <cell r="K80" t="str">
            <v>-</v>
          </cell>
          <cell r="L80" t="str">
            <v>-</v>
          </cell>
          <cell r="M80" t="str">
            <v>-</v>
          </cell>
          <cell r="N80" t="str">
            <v>INHIL</v>
          </cell>
        </row>
        <row r="81">
          <cell r="F81">
            <v>29</v>
          </cell>
          <cell r="J81" t="str">
            <v>-</v>
          </cell>
          <cell r="K81" t="str">
            <v>-</v>
          </cell>
          <cell r="L81" t="str">
            <v>-</v>
          </cell>
          <cell r="M81" t="str">
            <v>-</v>
          </cell>
          <cell r="N81" t="str">
            <v>No</v>
          </cell>
        </row>
        <row r="82">
          <cell r="F82">
            <v>32</v>
          </cell>
          <cell r="J82" t="str">
            <v>-</v>
          </cell>
          <cell r="K82" t="str">
            <v>-</v>
          </cell>
          <cell r="L82" t="str">
            <v>-</v>
          </cell>
          <cell r="M82" t="str">
            <v>-</v>
          </cell>
          <cell r="N82" t="str">
            <v>INHIL</v>
          </cell>
        </row>
        <row r="83">
          <cell r="F83">
            <v>32</v>
          </cell>
          <cell r="J83" t="str">
            <v>-</v>
          </cell>
          <cell r="K83" t="str">
            <v>-</v>
          </cell>
          <cell r="L83" t="str">
            <v>-</v>
          </cell>
          <cell r="M83" t="str">
            <v>-</v>
          </cell>
          <cell r="N83" t="str">
            <v>INHIL</v>
          </cell>
        </row>
        <row r="84">
          <cell r="F84">
            <v>21</v>
          </cell>
          <cell r="J84" t="str">
            <v>-</v>
          </cell>
          <cell r="K84" t="str">
            <v>-</v>
          </cell>
          <cell r="L84" t="str">
            <v>-</v>
          </cell>
          <cell r="M84" t="str">
            <v>-</v>
          </cell>
          <cell r="N84" t="str">
            <v>No</v>
          </cell>
        </row>
        <row r="85">
          <cell r="F85">
            <v>22</v>
          </cell>
          <cell r="J85" t="str">
            <v>-</v>
          </cell>
          <cell r="K85" t="str">
            <v>-</v>
          </cell>
          <cell r="L85" t="str">
            <v>-</v>
          </cell>
          <cell r="M85" t="str">
            <v>-</v>
          </cell>
          <cell r="N85" t="str">
            <v>No</v>
          </cell>
        </row>
        <row r="86">
          <cell r="F86">
            <v>28</v>
          </cell>
          <cell r="J86" t="str">
            <v>-</v>
          </cell>
          <cell r="K86" t="str">
            <v>-</v>
          </cell>
          <cell r="L86" t="str">
            <v>-</v>
          </cell>
          <cell r="M86" t="str">
            <v>-</v>
          </cell>
          <cell r="N86" t="str">
            <v>INHIL</v>
          </cell>
        </row>
        <row r="87">
          <cell r="F87">
            <v>41</v>
          </cell>
          <cell r="J87" t="str">
            <v>-</v>
          </cell>
          <cell r="K87" t="str">
            <v>-</v>
          </cell>
          <cell r="L87" t="str">
            <v>-</v>
          </cell>
          <cell r="M87" t="str">
            <v>-</v>
          </cell>
          <cell r="N87" t="str">
            <v>INHIL</v>
          </cell>
        </row>
        <row r="88">
          <cell r="F88">
            <v>25</v>
          </cell>
          <cell r="J88" t="str">
            <v>-</v>
          </cell>
          <cell r="K88" t="str">
            <v>-</v>
          </cell>
          <cell r="L88" t="str">
            <v>-</v>
          </cell>
          <cell r="M88" t="str">
            <v>-</v>
          </cell>
          <cell r="N88" t="str">
            <v>No</v>
          </cell>
        </row>
        <row r="89">
          <cell r="F89">
            <v>20</v>
          </cell>
          <cell r="J89" t="str">
            <v>-</v>
          </cell>
          <cell r="K89" t="str">
            <v>-</v>
          </cell>
          <cell r="L89" t="str">
            <v>-</v>
          </cell>
          <cell r="M89" t="str">
            <v>-</v>
          </cell>
          <cell r="N89" t="str">
            <v>No</v>
          </cell>
        </row>
        <row r="91">
          <cell r="F91">
            <v>18</v>
          </cell>
          <cell r="J91" t="str">
            <v>-</v>
          </cell>
          <cell r="K91" t="str">
            <v>-</v>
          </cell>
          <cell r="L91" t="str">
            <v>-</v>
          </cell>
          <cell r="M91" t="str">
            <v>-</v>
          </cell>
          <cell r="N91" t="str">
            <v>No</v>
          </cell>
        </row>
        <row r="92">
          <cell r="F92">
            <v>19</v>
          </cell>
          <cell r="J92" t="str">
            <v>-</v>
          </cell>
          <cell r="K92" t="str">
            <v>-</v>
          </cell>
          <cell r="L92" t="str">
            <v>-</v>
          </cell>
          <cell r="M92" t="str">
            <v>-</v>
          </cell>
          <cell r="N92" t="str">
            <v>No</v>
          </cell>
        </row>
        <row r="93">
          <cell r="F93">
            <v>18</v>
          </cell>
          <cell r="J93" t="str">
            <v>-</v>
          </cell>
          <cell r="K93" t="str">
            <v>-</v>
          </cell>
          <cell r="L93" t="str">
            <v>-</v>
          </cell>
          <cell r="M93" t="str">
            <v>-</v>
          </cell>
          <cell r="N93" t="str">
            <v>No</v>
          </cell>
        </row>
        <row r="94">
          <cell r="F94">
            <v>21</v>
          </cell>
          <cell r="N94" t="str">
            <v>No</v>
          </cell>
        </row>
        <row r="95">
          <cell r="F95">
            <v>26</v>
          </cell>
          <cell r="J95" t="str">
            <v>-</v>
          </cell>
          <cell r="K95" t="str">
            <v>-</v>
          </cell>
          <cell r="L95" t="str">
            <v>-</v>
          </cell>
          <cell r="M95" t="str">
            <v>-</v>
          </cell>
          <cell r="N95" t="str">
            <v>No</v>
          </cell>
        </row>
      </sheetData>
      <sheetData sheetId="10" refreshError="1">
        <row r="2">
          <cell r="A2" t="str">
            <v>No</v>
          </cell>
          <cell r="B2" t="str">
            <v>NIK</v>
          </cell>
          <cell r="C2" t="str">
            <v>NAMA</v>
          </cell>
        </row>
        <row r="3">
          <cell r="F3" t="str">
            <v>THN</v>
          </cell>
        </row>
        <row r="4">
          <cell r="A4">
            <v>1</v>
          </cell>
          <cell r="B4" t="str">
            <v>10235</v>
          </cell>
          <cell r="C4" t="str">
            <v>HADI SUNGKONO</v>
          </cell>
          <cell r="F4">
            <v>47</v>
          </cell>
          <cell r="J4" t="str">
            <v>INHIL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F5">
            <v>27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20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No</v>
          </cell>
        </row>
        <row r="7">
          <cell r="F7">
            <v>22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INHIL</v>
          </cell>
        </row>
        <row r="8">
          <cell r="F8">
            <v>22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No</v>
          </cell>
        </row>
        <row r="9">
          <cell r="F9">
            <v>32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No</v>
          </cell>
        </row>
        <row r="10">
          <cell r="F10">
            <v>102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INHIL</v>
          </cell>
        </row>
        <row r="11">
          <cell r="F11">
            <v>35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19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No</v>
          </cell>
        </row>
        <row r="13">
          <cell r="F13">
            <v>25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No</v>
          </cell>
        </row>
        <row r="14">
          <cell r="F14">
            <v>25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INHIL</v>
          </cell>
        </row>
      </sheetData>
      <sheetData sheetId="11" refreshError="1">
        <row r="3">
          <cell r="F3" t="str">
            <v>THN</v>
          </cell>
        </row>
        <row r="4">
          <cell r="F4">
            <v>29</v>
          </cell>
          <cell r="J4" t="str">
            <v>-</v>
          </cell>
          <cell r="K4" t="str">
            <v>INHIL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F5">
            <v>32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30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INHIL</v>
          </cell>
        </row>
        <row r="7">
          <cell r="F7">
            <v>25</v>
          </cell>
          <cell r="J7" t="str">
            <v>-</v>
          </cell>
          <cell r="K7" t="str">
            <v>-</v>
          </cell>
          <cell r="L7" t="str">
            <v>INHIL</v>
          </cell>
          <cell r="M7" t="str">
            <v>-</v>
          </cell>
          <cell r="N7" t="str">
            <v>INHIL</v>
          </cell>
        </row>
        <row r="8">
          <cell r="F8">
            <v>25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No</v>
          </cell>
        </row>
        <row r="9">
          <cell r="F9">
            <v>24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No</v>
          </cell>
        </row>
        <row r="10">
          <cell r="F10">
            <v>27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INHIL</v>
          </cell>
        </row>
        <row r="11">
          <cell r="A11">
            <v>8</v>
          </cell>
          <cell r="F11">
            <v>49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23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No</v>
          </cell>
        </row>
        <row r="13">
          <cell r="F13">
            <v>26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No</v>
          </cell>
        </row>
        <row r="14">
          <cell r="F14">
            <v>28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INHIL</v>
          </cell>
        </row>
        <row r="15">
          <cell r="F15">
            <v>23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No</v>
          </cell>
        </row>
      </sheetData>
      <sheetData sheetId="12" refreshError="1">
        <row r="1">
          <cell r="A1" t="str">
            <v>F: E-PSN2\REKAP\Data-Kry</v>
          </cell>
        </row>
        <row r="2">
          <cell r="A2" t="str">
            <v>No</v>
          </cell>
          <cell r="B2" t="str">
            <v>NIK</v>
          </cell>
          <cell r="C2" t="str">
            <v>NAMA</v>
          </cell>
        </row>
        <row r="3">
          <cell r="F3" t="str">
            <v>THN</v>
          </cell>
        </row>
        <row r="4">
          <cell r="A4">
            <v>1</v>
          </cell>
          <cell r="B4">
            <v>1516</v>
          </cell>
          <cell r="C4" t="str">
            <v>SATIER</v>
          </cell>
          <cell r="F4">
            <v>42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A5">
            <v>2</v>
          </cell>
          <cell r="B5">
            <v>7103</v>
          </cell>
          <cell r="C5" t="str">
            <v>SURYADI</v>
          </cell>
          <cell r="F5">
            <v>32</v>
          </cell>
          <cell r="J5" t="str">
            <v>INHIL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28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INHIL</v>
          </cell>
        </row>
        <row r="7">
          <cell r="F7">
            <v>30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INHIL</v>
          </cell>
        </row>
        <row r="8">
          <cell r="F8">
            <v>31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INHIL</v>
          </cell>
        </row>
        <row r="9">
          <cell r="F9">
            <v>20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25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INHIL</v>
          </cell>
        </row>
        <row r="11">
          <cell r="F11">
            <v>26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No</v>
          </cell>
        </row>
        <row r="12">
          <cell r="F12">
            <v>27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INHIL</v>
          </cell>
        </row>
        <row r="13">
          <cell r="F13">
            <v>35</v>
          </cell>
          <cell r="J13" t="str">
            <v>-</v>
          </cell>
          <cell r="K13" t="str">
            <v>INHIL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21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No</v>
          </cell>
        </row>
        <row r="15">
          <cell r="F15">
            <v>34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No</v>
          </cell>
        </row>
        <row r="16">
          <cell r="F16">
            <v>26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No</v>
          </cell>
        </row>
        <row r="17">
          <cell r="F17">
            <v>25</v>
          </cell>
          <cell r="J17" t="str">
            <v>INHIL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INHIL</v>
          </cell>
        </row>
        <row r="18">
          <cell r="F18">
            <v>19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No</v>
          </cell>
        </row>
        <row r="19">
          <cell r="F19">
            <v>19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No</v>
          </cell>
        </row>
        <row r="20">
          <cell r="F20">
            <v>25</v>
          </cell>
          <cell r="J20" t="str">
            <v>-</v>
          </cell>
          <cell r="K20" t="str">
            <v>-</v>
          </cell>
          <cell r="L20" t="str">
            <v>-</v>
          </cell>
          <cell r="M20" t="str">
            <v>-</v>
          </cell>
          <cell r="N20" t="str">
            <v>No</v>
          </cell>
        </row>
        <row r="21">
          <cell r="F21">
            <v>20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INHIL</v>
          </cell>
        </row>
        <row r="22">
          <cell r="F22">
            <v>17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No</v>
          </cell>
        </row>
        <row r="23">
          <cell r="F23">
            <v>25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INHIL</v>
          </cell>
        </row>
        <row r="24">
          <cell r="F24">
            <v>29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INHIL</v>
          </cell>
        </row>
        <row r="25">
          <cell r="F25">
            <v>23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No</v>
          </cell>
        </row>
        <row r="26">
          <cell r="F26">
            <v>19</v>
          </cell>
          <cell r="J26" t="str">
            <v>-</v>
          </cell>
          <cell r="K26" t="str">
            <v>-</v>
          </cell>
          <cell r="L26" t="str">
            <v>-</v>
          </cell>
          <cell r="M26" t="str">
            <v>-</v>
          </cell>
          <cell r="N26" t="str">
            <v>No</v>
          </cell>
        </row>
        <row r="27">
          <cell r="F27">
            <v>25</v>
          </cell>
          <cell r="J27" t="str">
            <v>-</v>
          </cell>
          <cell r="K27" t="str">
            <v>-</v>
          </cell>
          <cell r="L27" t="str">
            <v>-</v>
          </cell>
          <cell r="M27" t="str">
            <v>-</v>
          </cell>
          <cell r="N27" t="str">
            <v>No</v>
          </cell>
        </row>
        <row r="28">
          <cell r="F28">
            <v>25</v>
          </cell>
          <cell r="N28" t="str">
            <v>No</v>
          </cell>
        </row>
        <row r="29">
          <cell r="F29">
            <v>22</v>
          </cell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N29" t="str">
            <v>No</v>
          </cell>
        </row>
        <row r="38">
          <cell r="F38" t="str">
            <v xml:space="preserve">HARIAN </v>
          </cell>
        </row>
      </sheetData>
      <sheetData sheetId="13" refreshError="1">
        <row r="3">
          <cell r="F3" t="str">
            <v>THN</v>
          </cell>
        </row>
        <row r="4">
          <cell r="F4">
            <v>36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No</v>
          </cell>
        </row>
        <row r="5">
          <cell r="F5">
            <v>25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No</v>
          </cell>
        </row>
        <row r="6">
          <cell r="E6">
            <v>28481</v>
          </cell>
          <cell r="F6">
            <v>24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INHIL</v>
          </cell>
        </row>
        <row r="7">
          <cell r="F7">
            <v>25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INHIL</v>
          </cell>
        </row>
        <row r="8">
          <cell r="F8">
            <v>26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No</v>
          </cell>
        </row>
        <row r="9">
          <cell r="F9">
            <v>26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No</v>
          </cell>
        </row>
        <row r="10">
          <cell r="F10">
            <v>25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No</v>
          </cell>
        </row>
        <row r="11">
          <cell r="F11">
            <v>25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No</v>
          </cell>
        </row>
        <row r="12">
          <cell r="F12">
            <v>28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No</v>
          </cell>
        </row>
        <row r="13">
          <cell r="F13">
            <v>29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No</v>
          </cell>
        </row>
        <row r="14">
          <cell r="F14">
            <v>27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No</v>
          </cell>
        </row>
        <row r="15">
          <cell r="F15">
            <v>23</v>
          </cell>
        </row>
        <row r="16">
          <cell r="F16">
            <v>41</v>
          </cell>
        </row>
        <row r="17">
          <cell r="F17">
            <v>28</v>
          </cell>
        </row>
        <row r="18">
          <cell r="F18">
            <v>35</v>
          </cell>
        </row>
        <row r="19">
          <cell r="F19">
            <v>28</v>
          </cell>
        </row>
        <row r="20">
          <cell r="F20">
            <v>23</v>
          </cell>
        </row>
        <row r="21">
          <cell r="F21">
            <v>21</v>
          </cell>
        </row>
        <row r="22">
          <cell r="F22">
            <v>39</v>
          </cell>
        </row>
        <row r="23">
          <cell r="F23">
            <v>28</v>
          </cell>
        </row>
        <row r="24">
          <cell r="F24">
            <v>34</v>
          </cell>
        </row>
        <row r="25">
          <cell r="F25">
            <v>40</v>
          </cell>
        </row>
        <row r="26">
          <cell r="F26">
            <v>52</v>
          </cell>
        </row>
        <row r="27">
          <cell r="F27">
            <v>24</v>
          </cell>
        </row>
        <row r="28">
          <cell r="F28">
            <v>29</v>
          </cell>
        </row>
        <row r="29">
          <cell r="F29">
            <v>46</v>
          </cell>
        </row>
        <row r="30">
          <cell r="F30">
            <v>30</v>
          </cell>
        </row>
        <row r="31">
          <cell r="F31">
            <v>36</v>
          </cell>
        </row>
        <row r="32">
          <cell r="F32">
            <v>30</v>
          </cell>
        </row>
        <row r="33">
          <cell r="F33">
            <v>33</v>
          </cell>
        </row>
        <row r="34">
          <cell r="F34">
            <v>26</v>
          </cell>
        </row>
        <row r="35">
          <cell r="F35">
            <v>29</v>
          </cell>
        </row>
        <row r="36">
          <cell r="F36">
            <v>31</v>
          </cell>
        </row>
        <row r="37">
          <cell r="F37">
            <v>33</v>
          </cell>
        </row>
        <row r="38">
          <cell r="F38">
            <v>41</v>
          </cell>
        </row>
        <row r="39">
          <cell r="F39">
            <v>35</v>
          </cell>
        </row>
        <row r="40">
          <cell r="F40">
            <v>24</v>
          </cell>
        </row>
        <row r="41">
          <cell r="F41">
            <v>21</v>
          </cell>
        </row>
        <row r="42">
          <cell r="F42">
            <v>22</v>
          </cell>
        </row>
        <row r="43">
          <cell r="F43">
            <v>38</v>
          </cell>
        </row>
        <row r="44">
          <cell r="F44">
            <v>24</v>
          </cell>
        </row>
        <row r="45">
          <cell r="F45">
            <v>21</v>
          </cell>
        </row>
        <row r="46">
          <cell r="F46">
            <v>18</v>
          </cell>
        </row>
        <row r="47">
          <cell r="F47">
            <v>24</v>
          </cell>
        </row>
        <row r="48">
          <cell r="F48">
            <v>20</v>
          </cell>
        </row>
        <row r="49">
          <cell r="F49">
            <v>18</v>
          </cell>
        </row>
        <row r="50">
          <cell r="F50">
            <v>19</v>
          </cell>
        </row>
      </sheetData>
      <sheetData sheetId="14" refreshError="1">
        <row r="2">
          <cell r="C2" t="str">
            <v>NAMA</v>
          </cell>
        </row>
        <row r="3">
          <cell r="F3" t="str">
            <v>THN</v>
          </cell>
        </row>
        <row r="4">
          <cell r="C4" t="str">
            <v>DEDDY HERMAWAN</v>
          </cell>
          <cell r="F4">
            <v>44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C5" t="str">
            <v>SUTAN NASUTION</v>
          </cell>
          <cell r="F5">
            <v>38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31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INHIL</v>
          </cell>
        </row>
        <row r="7">
          <cell r="F7">
            <v>31</v>
          </cell>
          <cell r="J7" t="str">
            <v>INHIL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INHIL</v>
          </cell>
        </row>
        <row r="8">
          <cell r="F8">
            <v>23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INHIL</v>
          </cell>
        </row>
        <row r="9">
          <cell r="F9">
            <v>38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39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INHIL</v>
          </cell>
        </row>
        <row r="11">
          <cell r="F11">
            <v>26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No</v>
          </cell>
        </row>
        <row r="12">
          <cell r="F12">
            <v>25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No</v>
          </cell>
        </row>
        <row r="13">
          <cell r="F13">
            <v>26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No</v>
          </cell>
        </row>
        <row r="14">
          <cell r="F14">
            <v>31</v>
          </cell>
          <cell r="J14" t="str">
            <v>-</v>
          </cell>
          <cell r="L14" t="str">
            <v>-</v>
          </cell>
          <cell r="M14" t="str">
            <v>-</v>
          </cell>
          <cell r="N14" t="str">
            <v>INHIL</v>
          </cell>
        </row>
        <row r="15">
          <cell r="F15">
            <v>44</v>
          </cell>
          <cell r="J15" t="str">
            <v>-</v>
          </cell>
          <cell r="L15" t="str">
            <v>-</v>
          </cell>
          <cell r="M15" t="str">
            <v>-</v>
          </cell>
          <cell r="N15" t="str">
            <v>No</v>
          </cell>
        </row>
        <row r="16">
          <cell r="F16">
            <v>32</v>
          </cell>
          <cell r="J16" t="str">
            <v>-</v>
          </cell>
          <cell r="L16" t="str">
            <v>-</v>
          </cell>
          <cell r="M16" t="str">
            <v>-</v>
          </cell>
          <cell r="N16" t="str">
            <v>INHIL</v>
          </cell>
        </row>
        <row r="17">
          <cell r="F17">
            <v>31</v>
          </cell>
          <cell r="J17" t="str">
            <v>-</v>
          </cell>
          <cell r="L17" t="str">
            <v>-</v>
          </cell>
          <cell r="M17" t="str">
            <v>-</v>
          </cell>
          <cell r="N17" t="str">
            <v>INHIL</v>
          </cell>
        </row>
        <row r="18">
          <cell r="F18">
            <v>27</v>
          </cell>
          <cell r="J18" t="str">
            <v>-</v>
          </cell>
          <cell r="L18" t="str">
            <v>-</v>
          </cell>
          <cell r="M18" t="str">
            <v>-</v>
          </cell>
          <cell r="N18" t="str">
            <v>INHIL</v>
          </cell>
        </row>
        <row r="19">
          <cell r="F19">
            <v>34</v>
          </cell>
          <cell r="J19" t="str">
            <v>-</v>
          </cell>
          <cell r="L19" t="str">
            <v>-</v>
          </cell>
          <cell r="M19" t="str">
            <v>-</v>
          </cell>
          <cell r="N19" t="str">
            <v>INHIL</v>
          </cell>
        </row>
        <row r="20">
          <cell r="F20">
            <v>31</v>
          </cell>
          <cell r="J20" t="str">
            <v>-</v>
          </cell>
          <cell r="L20" t="str">
            <v>-</v>
          </cell>
          <cell r="M20" t="str">
            <v>-</v>
          </cell>
          <cell r="N20" t="str">
            <v>No</v>
          </cell>
        </row>
        <row r="21">
          <cell r="F21">
            <v>24</v>
          </cell>
          <cell r="J21" t="str">
            <v>-</v>
          </cell>
          <cell r="L21" t="str">
            <v>-</v>
          </cell>
          <cell r="M21" t="str">
            <v>-</v>
          </cell>
          <cell r="N21" t="str">
            <v>INHIL</v>
          </cell>
        </row>
        <row r="22">
          <cell r="F22">
            <v>21</v>
          </cell>
          <cell r="J22" t="str">
            <v>-</v>
          </cell>
          <cell r="L22" t="str">
            <v>-</v>
          </cell>
          <cell r="M22" t="str">
            <v>-</v>
          </cell>
          <cell r="N22" t="str">
            <v>No</v>
          </cell>
        </row>
        <row r="23">
          <cell r="F23">
            <v>21</v>
          </cell>
          <cell r="J23" t="str">
            <v>-</v>
          </cell>
          <cell r="L23" t="str">
            <v>-</v>
          </cell>
          <cell r="M23" t="str">
            <v>-</v>
          </cell>
          <cell r="N23" t="str">
            <v>No</v>
          </cell>
        </row>
        <row r="24">
          <cell r="F24">
            <v>32</v>
          </cell>
          <cell r="J24" t="str">
            <v>-</v>
          </cell>
          <cell r="L24" t="str">
            <v>-</v>
          </cell>
          <cell r="M24" t="str">
            <v>-</v>
          </cell>
          <cell r="N24" t="str">
            <v>INHIL</v>
          </cell>
        </row>
        <row r="25">
          <cell r="F25">
            <v>26</v>
          </cell>
          <cell r="J25" t="str">
            <v>-</v>
          </cell>
          <cell r="L25" t="str">
            <v>-</v>
          </cell>
          <cell r="M25" t="str">
            <v>-</v>
          </cell>
          <cell r="N25" t="str">
            <v>No</v>
          </cell>
        </row>
        <row r="26">
          <cell r="F26">
            <v>24</v>
          </cell>
          <cell r="J26" t="str">
            <v>INHIL</v>
          </cell>
          <cell r="L26" t="str">
            <v>-</v>
          </cell>
          <cell r="M26" t="str">
            <v>-</v>
          </cell>
          <cell r="N26" t="str">
            <v>INHIL</v>
          </cell>
        </row>
        <row r="27">
          <cell r="F27">
            <v>20</v>
          </cell>
          <cell r="J27" t="str">
            <v>-</v>
          </cell>
          <cell r="L27" t="str">
            <v>-</v>
          </cell>
          <cell r="M27" t="str">
            <v>-</v>
          </cell>
          <cell r="N27" t="str">
            <v>No</v>
          </cell>
        </row>
        <row r="28">
          <cell r="F28">
            <v>32</v>
          </cell>
          <cell r="J28" t="str">
            <v>-</v>
          </cell>
          <cell r="L28" t="str">
            <v>-</v>
          </cell>
          <cell r="M28" t="str">
            <v>-</v>
          </cell>
          <cell r="N28" t="str">
            <v>INHIL</v>
          </cell>
        </row>
        <row r="29">
          <cell r="F29">
            <v>26</v>
          </cell>
          <cell r="J29" t="str">
            <v>-</v>
          </cell>
          <cell r="L29" t="str">
            <v>-</v>
          </cell>
          <cell r="M29" t="str">
            <v>-</v>
          </cell>
          <cell r="N29" t="str">
            <v>INHIL</v>
          </cell>
        </row>
        <row r="30">
          <cell r="F30">
            <v>25</v>
          </cell>
          <cell r="J30" t="str">
            <v>-</v>
          </cell>
          <cell r="L30" t="str">
            <v>-</v>
          </cell>
          <cell r="M30" t="str">
            <v>-</v>
          </cell>
          <cell r="N30" t="str">
            <v>No</v>
          </cell>
        </row>
        <row r="31">
          <cell r="F31">
            <v>25</v>
          </cell>
          <cell r="J31" t="str">
            <v>-</v>
          </cell>
          <cell r="L31" t="str">
            <v>-</v>
          </cell>
          <cell r="M31" t="str">
            <v>-</v>
          </cell>
          <cell r="N31" t="str">
            <v>INHIL</v>
          </cell>
        </row>
        <row r="32">
          <cell r="F32">
            <v>32</v>
          </cell>
          <cell r="J32" t="str">
            <v>-</v>
          </cell>
          <cell r="L32" t="str">
            <v>-</v>
          </cell>
          <cell r="M32" t="str">
            <v>-</v>
          </cell>
          <cell r="N32" t="str">
            <v>INHIL</v>
          </cell>
        </row>
        <row r="33">
          <cell r="F33">
            <v>29</v>
          </cell>
          <cell r="J33" t="str">
            <v>-</v>
          </cell>
          <cell r="L33" t="str">
            <v>-</v>
          </cell>
          <cell r="M33" t="str">
            <v>-</v>
          </cell>
          <cell r="N33" t="str">
            <v>INHIL</v>
          </cell>
        </row>
        <row r="34">
          <cell r="F34">
            <v>31</v>
          </cell>
          <cell r="J34" t="str">
            <v>-</v>
          </cell>
          <cell r="L34" t="str">
            <v>-</v>
          </cell>
          <cell r="M34" t="str">
            <v>-</v>
          </cell>
          <cell r="N34" t="str">
            <v>No</v>
          </cell>
        </row>
        <row r="35">
          <cell r="F35">
            <v>30</v>
          </cell>
          <cell r="J35" t="str">
            <v>-</v>
          </cell>
          <cell r="L35" t="str">
            <v>-</v>
          </cell>
          <cell r="M35" t="str">
            <v>-</v>
          </cell>
          <cell r="N35" t="str">
            <v>INHIL</v>
          </cell>
        </row>
        <row r="36">
          <cell r="F36">
            <v>32</v>
          </cell>
          <cell r="J36" t="str">
            <v>-</v>
          </cell>
          <cell r="L36" t="str">
            <v>-</v>
          </cell>
          <cell r="M36" t="str">
            <v>-</v>
          </cell>
          <cell r="N36" t="str">
            <v>INHIL</v>
          </cell>
        </row>
        <row r="37">
          <cell r="F37">
            <v>21</v>
          </cell>
          <cell r="J37" t="str">
            <v>-</v>
          </cell>
          <cell r="L37" t="str">
            <v>-</v>
          </cell>
          <cell r="M37" t="str">
            <v>-</v>
          </cell>
          <cell r="N37" t="str">
            <v>No</v>
          </cell>
        </row>
        <row r="38">
          <cell r="F38">
            <v>24</v>
          </cell>
          <cell r="J38" t="str">
            <v>-</v>
          </cell>
          <cell r="L38" t="str">
            <v>-</v>
          </cell>
          <cell r="M38" t="str">
            <v>-</v>
          </cell>
          <cell r="N38" t="str">
            <v>No</v>
          </cell>
        </row>
        <row r="39">
          <cell r="F39">
            <v>20</v>
          </cell>
          <cell r="J39" t="str">
            <v>-</v>
          </cell>
          <cell r="L39" t="str">
            <v>-</v>
          </cell>
          <cell r="M39" t="str">
            <v>-</v>
          </cell>
          <cell r="N39" t="str">
            <v>No</v>
          </cell>
        </row>
        <row r="40">
          <cell r="F40">
            <v>29</v>
          </cell>
          <cell r="J40" t="str">
            <v>-</v>
          </cell>
          <cell r="L40" t="str">
            <v>-</v>
          </cell>
          <cell r="M40" t="str">
            <v>-</v>
          </cell>
          <cell r="N40" t="str">
            <v>INHIL</v>
          </cell>
        </row>
        <row r="41">
          <cell r="F41">
            <v>21</v>
          </cell>
          <cell r="J41" t="str">
            <v>-</v>
          </cell>
          <cell r="L41" t="str">
            <v>-</v>
          </cell>
          <cell r="M41" t="str">
            <v>-</v>
          </cell>
          <cell r="N41" t="str">
            <v>No</v>
          </cell>
        </row>
        <row r="42">
          <cell r="F42">
            <v>21</v>
          </cell>
          <cell r="J42" t="str">
            <v>-</v>
          </cell>
          <cell r="L42" t="str">
            <v>-</v>
          </cell>
          <cell r="M42" t="str">
            <v>-</v>
          </cell>
          <cell r="N42" t="str">
            <v>No</v>
          </cell>
        </row>
        <row r="43">
          <cell r="F43">
            <v>35</v>
          </cell>
          <cell r="J43" t="str">
            <v>-</v>
          </cell>
          <cell r="L43" t="str">
            <v>-</v>
          </cell>
          <cell r="M43" t="str">
            <v>-</v>
          </cell>
          <cell r="N43" t="str">
            <v>INHIL</v>
          </cell>
        </row>
        <row r="44">
          <cell r="F44">
            <v>40</v>
          </cell>
          <cell r="J44" t="str">
            <v>-</v>
          </cell>
          <cell r="L44" t="str">
            <v>-</v>
          </cell>
          <cell r="M44" t="str">
            <v>-</v>
          </cell>
          <cell r="N44" t="str">
            <v>INHIL</v>
          </cell>
        </row>
        <row r="45">
          <cell r="F45">
            <v>26</v>
          </cell>
          <cell r="J45" t="str">
            <v>-</v>
          </cell>
          <cell r="L45" t="str">
            <v>-</v>
          </cell>
          <cell r="M45" t="str">
            <v>-</v>
          </cell>
          <cell r="N45" t="str">
            <v>No</v>
          </cell>
        </row>
        <row r="46">
          <cell r="F46">
            <v>23</v>
          </cell>
          <cell r="J46" t="str">
            <v>INHIL</v>
          </cell>
          <cell r="L46" t="str">
            <v>-</v>
          </cell>
          <cell r="M46" t="str">
            <v>-</v>
          </cell>
          <cell r="N46" t="str">
            <v>INHIL</v>
          </cell>
        </row>
        <row r="47">
          <cell r="F47">
            <v>25</v>
          </cell>
          <cell r="J47" t="str">
            <v>-</v>
          </cell>
          <cell r="L47" t="str">
            <v>-</v>
          </cell>
          <cell r="M47" t="str">
            <v>-</v>
          </cell>
          <cell r="N47" t="str">
            <v>No</v>
          </cell>
        </row>
        <row r="48">
          <cell r="F48">
            <v>22</v>
          </cell>
          <cell r="J48" t="str">
            <v>-</v>
          </cell>
          <cell r="L48" t="str">
            <v>-</v>
          </cell>
          <cell r="M48" t="str">
            <v>-</v>
          </cell>
          <cell r="N48" t="str">
            <v>No</v>
          </cell>
        </row>
        <row r="49">
          <cell r="F49">
            <v>30</v>
          </cell>
          <cell r="J49" t="str">
            <v>-</v>
          </cell>
          <cell r="L49" t="str">
            <v>-</v>
          </cell>
          <cell r="M49" t="str">
            <v>-</v>
          </cell>
          <cell r="N49" t="str">
            <v>INHIL</v>
          </cell>
        </row>
        <row r="50">
          <cell r="F50">
            <v>22</v>
          </cell>
          <cell r="J50" t="str">
            <v>-</v>
          </cell>
          <cell r="L50" t="str">
            <v>-</v>
          </cell>
          <cell r="M50" t="str">
            <v>-</v>
          </cell>
          <cell r="N50" t="str">
            <v>No</v>
          </cell>
        </row>
        <row r="51">
          <cell r="F51">
            <v>28</v>
          </cell>
          <cell r="J51" t="str">
            <v>-</v>
          </cell>
          <cell r="L51" t="str">
            <v>-</v>
          </cell>
          <cell r="M51" t="str">
            <v>-</v>
          </cell>
          <cell r="N51" t="str">
            <v>No</v>
          </cell>
        </row>
        <row r="52">
          <cell r="F52">
            <v>31</v>
          </cell>
          <cell r="J52" t="str">
            <v>-</v>
          </cell>
          <cell r="L52" t="str">
            <v>-</v>
          </cell>
          <cell r="M52" t="str">
            <v>-</v>
          </cell>
          <cell r="N52" t="str">
            <v>INHIL</v>
          </cell>
        </row>
        <row r="53">
          <cell r="F53">
            <v>30</v>
          </cell>
          <cell r="J53" t="str">
            <v>-</v>
          </cell>
          <cell r="L53" t="str">
            <v>-</v>
          </cell>
          <cell r="M53" t="str">
            <v>-</v>
          </cell>
          <cell r="N53" t="str">
            <v>INHIL</v>
          </cell>
        </row>
        <row r="54">
          <cell r="F54">
            <v>29</v>
          </cell>
          <cell r="J54" t="str">
            <v>-</v>
          </cell>
          <cell r="L54" t="str">
            <v>-</v>
          </cell>
          <cell r="M54" t="str">
            <v>-</v>
          </cell>
          <cell r="N54" t="str">
            <v>INHIL</v>
          </cell>
        </row>
        <row r="55">
          <cell r="F55">
            <v>30</v>
          </cell>
          <cell r="J55" t="str">
            <v>-</v>
          </cell>
          <cell r="L55" t="str">
            <v>-</v>
          </cell>
          <cell r="M55" t="str">
            <v>-</v>
          </cell>
          <cell r="N55" t="str">
            <v>INHIL</v>
          </cell>
        </row>
        <row r="56">
          <cell r="F56">
            <v>20</v>
          </cell>
          <cell r="J56" t="str">
            <v>-</v>
          </cell>
          <cell r="L56" t="str">
            <v>-</v>
          </cell>
          <cell r="M56" t="str">
            <v>-</v>
          </cell>
          <cell r="N56" t="str">
            <v>No</v>
          </cell>
        </row>
        <row r="57">
          <cell r="F57">
            <v>21</v>
          </cell>
          <cell r="J57" t="str">
            <v>-</v>
          </cell>
          <cell r="L57" t="str">
            <v>-</v>
          </cell>
          <cell r="M57" t="str">
            <v>-</v>
          </cell>
          <cell r="N57" t="str">
            <v>No</v>
          </cell>
        </row>
        <row r="58">
          <cell r="F58">
            <v>28</v>
          </cell>
          <cell r="J58" t="str">
            <v>-</v>
          </cell>
          <cell r="L58" t="str">
            <v>-</v>
          </cell>
          <cell r="M58" t="str">
            <v>-</v>
          </cell>
          <cell r="N58" t="str">
            <v>INHIL</v>
          </cell>
        </row>
        <row r="59">
          <cell r="F59">
            <v>21</v>
          </cell>
          <cell r="J59" t="str">
            <v>-</v>
          </cell>
          <cell r="L59" t="str">
            <v>-</v>
          </cell>
          <cell r="M59" t="str">
            <v>-</v>
          </cell>
          <cell r="N59" t="str">
            <v>No</v>
          </cell>
        </row>
        <row r="60">
          <cell r="F60">
            <v>23</v>
          </cell>
          <cell r="J60" t="str">
            <v>-</v>
          </cell>
          <cell r="L60" t="str">
            <v>-</v>
          </cell>
          <cell r="M60" t="str">
            <v>-</v>
          </cell>
          <cell r="N60" t="str">
            <v>INHIL</v>
          </cell>
        </row>
        <row r="61">
          <cell r="F61">
            <v>19</v>
          </cell>
          <cell r="J61" t="str">
            <v>-</v>
          </cell>
          <cell r="L61" t="str">
            <v>-</v>
          </cell>
          <cell r="M61" t="str">
            <v>-</v>
          </cell>
          <cell r="N61" t="str">
            <v>No</v>
          </cell>
        </row>
        <row r="62">
          <cell r="F62">
            <v>28</v>
          </cell>
          <cell r="J62" t="str">
            <v>-</v>
          </cell>
          <cell r="L62" t="str">
            <v>-</v>
          </cell>
          <cell r="M62" t="str">
            <v>-</v>
          </cell>
          <cell r="N62" t="str">
            <v>INHIL</v>
          </cell>
        </row>
        <row r="63">
          <cell r="F63">
            <v>20</v>
          </cell>
          <cell r="J63" t="str">
            <v>-</v>
          </cell>
          <cell r="L63" t="str">
            <v>-</v>
          </cell>
          <cell r="M63" t="str">
            <v>-</v>
          </cell>
          <cell r="N63" t="str">
            <v>No</v>
          </cell>
        </row>
        <row r="64">
          <cell r="F64">
            <v>26</v>
          </cell>
          <cell r="J64" t="str">
            <v>-</v>
          </cell>
          <cell r="L64" t="str">
            <v>-</v>
          </cell>
          <cell r="M64" t="str">
            <v>-</v>
          </cell>
          <cell r="N64" t="str">
            <v>No</v>
          </cell>
        </row>
        <row r="65">
          <cell r="F65">
            <v>30</v>
          </cell>
          <cell r="J65" t="str">
            <v>-</v>
          </cell>
          <cell r="L65" t="str">
            <v>-</v>
          </cell>
          <cell r="M65" t="str">
            <v>-</v>
          </cell>
          <cell r="N65" t="str">
            <v>No</v>
          </cell>
        </row>
        <row r="66">
          <cell r="F66">
            <v>22</v>
          </cell>
          <cell r="J66" t="str">
            <v>-</v>
          </cell>
          <cell r="L66" t="str">
            <v>-</v>
          </cell>
          <cell r="M66" t="str">
            <v>-</v>
          </cell>
          <cell r="N66" t="str">
            <v>No</v>
          </cell>
        </row>
        <row r="67">
          <cell r="F67">
            <v>21</v>
          </cell>
          <cell r="J67" t="str">
            <v>-</v>
          </cell>
          <cell r="L67" t="str">
            <v>-</v>
          </cell>
          <cell r="M67" t="str">
            <v>-</v>
          </cell>
          <cell r="N67" t="str">
            <v>INHIL</v>
          </cell>
        </row>
        <row r="68">
          <cell r="F68">
            <v>23</v>
          </cell>
          <cell r="J68" t="str">
            <v>-</v>
          </cell>
          <cell r="L68" t="str">
            <v>-</v>
          </cell>
          <cell r="M68" t="str">
            <v>-</v>
          </cell>
          <cell r="N68" t="str">
            <v>No</v>
          </cell>
        </row>
        <row r="69">
          <cell r="F69">
            <v>23</v>
          </cell>
          <cell r="J69" t="str">
            <v>-</v>
          </cell>
          <cell r="L69" t="str">
            <v>-</v>
          </cell>
          <cell r="M69" t="str">
            <v>-</v>
          </cell>
          <cell r="N69" t="str">
            <v>No</v>
          </cell>
        </row>
        <row r="70">
          <cell r="F70">
            <v>22</v>
          </cell>
          <cell r="J70" t="str">
            <v>INHIL</v>
          </cell>
          <cell r="L70" t="str">
            <v>-</v>
          </cell>
          <cell r="M70" t="str">
            <v>-</v>
          </cell>
          <cell r="N70" t="str">
            <v>INHIL</v>
          </cell>
        </row>
        <row r="71">
          <cell r="F71">
            <v>24</v>
          </cell>
          <cell r="J71" t="str">
            <v>-</v>
          </cell>
          <cell r="L71" t="str">
            <v>-</v>
          </cell>
          <cell r="M71" t="str">
            <v>-</v>
          </cell>
          <cell r="N71" t="str">
            <v>INHIL</v>
          </cell>
        </row>
        <row r="72">
          <cell r="F72">
            <v>21</v>
          </cell>
          <cell r="J72" t="str">
            <v>-</v>
          </cell>
          <cell r="L72" t="str">
            <v>-</v>
          </cell>
          <cell r="M72" t="str">
            <v>-</v>
          </cell>
          <cell r="N72" t="str">
            <v>INHIL</v>
          </cell>
        </row>
        <row r="73">
          <cell r="F73">
            <v>21</v>
          </cell>
          <cell r="J73" t="str">
            <v>-</v>
          </cell>
          <cell r="L73" t="str">
            <v>-</v>
          </cell>
          <cell r="M73" t="str">
            <v>-</v>
          </cell>
          <cell r="N73" t="str">
            <v>INHIL</v>
          </cell>
        </row>
        <row r="74">
          <cell r="F74">
            <v>23</v>
          </cell>
          <cell r="J74" t="str">
            <v>-</v>
          </cell>
          <cell r="L74" t="str">
            <v>-</v>
          </cell>
          <cell r="M74" t="str">
            <v>-</v>
          </cell>
          <cell r="N74" t="str">
            <v>INHIL</v>
          </cell>
        </row>
        <row r="75">
          <cell r="F75">
            <v>23</v>
          </cell>
          <cell r="J75" t="str">
            <v>-</v>
          </cell>
          <cell r="L75" t="str">
            <v>-</v>
          </cell>
          <cell r="M75" t="str">
            <v>-</v>
          </cell>
          <cell r="N75" t="str">
            <v>INHIL</v>
          </cell>
        </row>
        <row r="76">
          <cell r="F76">
            <v>24</v>
          </cell>
          <cell r="J76" t="str">
            <v>INHIL</v>
          </cell>
          <cell r="L76" t="str">
            <v>-</v>
          </cell>
          <cell r="M76" t="str">
            <v>-</v>
          </cell>
          <cell r="N76" t="str">
            <v>INHIL</v>
          </cell>
        </row>
        <row r="77">
          <cell r="F77">
            <v>27</v>
          </cell>
          <cell r="J77" t="str">
            <v>-</v>
          </cell>
          <cell r="L77" t="str">
            <v>-</v>
          </cell>
          <cell r="M77" t="str">
            <v>-</v>
          </cell>
          <cell r="N77" t="str">
            <v>No</v>
          </cell>
        </row>
        <row r="78">
          <cell r="F78">
            <v>27</v>
          </cell>
          <cell r="J78" t="str">
            <v>-</v>
          </cell>
          <cell r="L78" t="str">
            <v>-</v>
          </cell>
          <cell r="M78" t="str">
            <v>-</v>
          </cell>
          <cell r="N78" t="str">
            <v>INHIL</v>
          </cell>
        </row>
        <row r="79">
          <cell r="F79">
            <v>25</v>
          </cell>
          <cell r="J79" t="str">
            <v>-</v>
          </cell>
          <cell r="L79" t="str">
            <v>-</v>
          </cell>
          <cell r="M79" t="str">
            <v>-</v>
          </cell>
          <cell r="N79" t="str">
            <v>INHIL</v>
          </cell>
        </row>
        <row r="80">
          <cell r="F80">
            <v>26</v>
          </cell>
          <cell r="J80" t="str">
            <v>-</v>
          </cell>
          <cell r="L80" t="str">
            <v>-</v>
          </cell>
          <cell r="M80" t="str">
            <v>-</v>
          </cell>
          <cell r="N80" t="str">
            <v>INHIL</v>
          </cell>
        </row>
        <row r="81">
          <cell r="F81">
            <v>22</v>
          </cell>
          <cell r="J81" t="str">
            <v>-</v>
          </cell>
          <cell r="L81" t="str">
            <v>-</v>
          </cell>
          <cell r="M81" t="str">
            <v>-</v>
          </cell>
          <cell r="N81" t="str">
            <v>INHIL</v>
          </cell>
        </row>
        <row r="82">
          <cell r="F82">
            <v>22</v>
          </cell>
          <cell r="J82" t="str">
            <v>INHIL</v>
          </cell>
          <cell r="L82" t="str">
            <v>-</v>
          </cell>
          <cell r="M82" t="str">
            <v>-</v>
          </cell>
          <cell r="N82" t="str">
            <v>INHIL</v>
          </cell>
        </row>
        <row r="83">
          <cell r="F83">
            <v>21</v>
          </cell>
          <cell r="J83" t="str">
            <v>-</v>
          </cell>
          <cell r="L83" t="str">
            <v>-</v>
          </cell>
          <cell r="M83" t="str">
            <v>-</v>
          </cell>
          <cell r="N83" t="str">
            <v>INHIL</v>
          </cell>
        </row>
        <row r="84">
          <cell r="F84">
            <v>26</v>
          </cell>
          <cell r="J84" t="str">
            <v>-</v>
          </cell>
          <cell r="L84" t="str">
            <v>-</v>
          </cell>
          <cell r="M84" t="str">
            <v>-</v>
          </cell>
          <cell r="N84" t="str">
            <v>No</v>
          </cell>
        </row>
        <row r="85">
          <cell r="F85">
            <v>24</v>
          </cell>
          <cell r="J85" t="str">
            <v>-</v>
          </cell>
          <cell r="L85" t="str">
            <v>-</v>
          </cell>
          <cell r="M85" t="str">
            <v>-</v>
          </cell>
          <cell r="N85" t="str">
            <v>No</v>
          </cell>
        </row>
        <row r="86">
          <cell r="F86">
            <v>21</v>
          </cell>
          <cell r="J86" t="str">
            <v>-</v>
          </cell>
          <cell r="L86" t="str">
            <v>-</v>
          </cell>
          <cell r="M86" t="str">
            <v>-</v>
          </cell>
          <cell r="N86" t="str">
            <v>No</v>
          </cell>
        </row>
        <row r="87">
          <cell r="F87">
            <v>20</v>
          </cell>
          <cell r="J87" t="str">
            <v>-</v>
          </cell>
          <cell r="L87" t="str">
            <v>-</v>
          </cell>
          <cell r="M87" t="str">
            <v>-</v>
          </cell>
          <cell r="N87" t="str">
            <v>INHIL</v>
          </cell>
        </row>
        <row r="88">
          <cell r="F88">
            <v>22</v>
          </cell>
          <cell r="J88" t="str">
            <v>-</v>
          </cell>
          <cell r="L88" t="str">
            <v>-</v>
          </cell>
          <cell r="M88" t="str">
            <v>-</v>
          </cell>
          <cell r="N88" t="str">
            <v>No</v>
          </cell>
        </row>
        <row r="89">
          <cell r="F89">
            <v>24</v>
          </cell>
          <cell r="J89" t="str">
            <v>-</v>
          </cell>
          <cell r="L89" t="str">
            <v>-</v>
          </cell>
          <cell r="M89" t="str">
            <v>-</v>
          </cell>
          <cell r="N89" t="str">
            <v>No</v>
          </cell>
        </row>
        <row r="90">
          <cell r="F90">
            <v>24</v>
          </cell>
          <cell r="J90" t="str">
            <v>-</v>
          </cell>
          <cell r="L90" t="str">
            <v>-</v>
          </cell>
          <cell r="M90" t="str">
            <v>-</v>
          </cell>
          <cell r="N90" t="str">
            <v>INHIL</v>
          </cell>
        </row>
        <row r="91">
          <cell r="F91">
            <v>29</v>
          </cell>
          <cell r="J91" t="str">
            <v>-</v>
          </cell>
          <cell r="L91" t="str">
            <v>-</v>
          </cell>
          <cell r="M91" t="str">
            <v>-</v>
          </cell>
          <cell r="N91" t="str">
            <v>INHIL</v>
          </cell>
        </row>
        <row r="92">
          <cell r="F92">
            <v>23</v>
          </cell>
          <cell r="J92" t="str">
            <v>-</v>
          </cell>
          <cell r="L92" t="str">
            <v>-</v>
          </cell>
          <cell r="M92" t="str">
            <v>-</v>
          </cell>
          <cell r="N92" t="str">
            <v>INHIL</v>
          </cell>
        </row>
        <row r="93">
          <cell r="F93">
            <v>30</v>
          </cell>
          <cell r="J93" t="str">
            <v>-</v>
          </cell>
          <cell r="L93" t="str">
            <v>-</v>
          </cell>
          <cell r="M93" t="str">
            <v>-</v>
          </cell>
          <cell r="N93" t="str">
            <v>INHIL</v>
          </cell>
        </row>
        <row r="94">
          <cell r="F94">
            <v>28</v>
          </cell>
          <cell r="J94" t="str">
            <v>-</v>
          </cell>
          <cell r="L94" t="str">
            <v>-</v>
          </cell>
          <cell r="M94" t="str">
            <v>-</v>
          </cell>
          <cell r="N94" t="str">
            <v>INHIL</v>
          </cell>
        </row>
        <row r="95">
          <cell r="F95">
            <v>27</v>
          </cell>
          <cell r="J95" t="str">
            <v>-</v>
          </cell>
          <cell r="L95" t="str">
            <v>-</v>
          </cell>
          <cell r="M95" t="str">
            <v>-</v>
          </cell>
          <cell r="N95" t="str">
            <v>INHIL</v>
          </cell>
        </row>
        <row r="96">
          <cell r="F96">
            <v>24</v>
          </cell>
          <cell r="J96" t="str">
            <v>-</v>
          </cell>
          <cell r="L96" t="str">
            <v>-</v>
          </cell>
          <cell r="M96" t="str">
            <v>-</v>
          </cell>
          <cell r="N96" t="str">
            <v>INHIL</v>
          </cell>
        </row>
        <row r="97">
          <cell r="F97">
            <v>21</v>
          </cell>
          <cell r="J97" t="str">
            <v>INHIL</v>
          </cell>
          <cell r="L97" t="str">
            <v>-</v>
          </cell>
          <cell r="M97" t="str">
            <v>-</v>
          </cell>
          <cell r="N97" t="str">
            <v>INHIL</v>
          </cell>
        </row>
        <row r="98">
          <cell r="F98">
            <v>25</v>
          </cell>
          <cell r="J98" t="str">
            <v>-</v>
          </cell>
          <cell r="L98" t="str">
            <v>-</v>
          </cell>
          <cell r="M98" t="str">
            <v>-</v>
          </cell>
          <cell r="N98" t="str">
            <v>INHIL</v>
          </cell>
        </row>
        <row r="99">
          <cell r="F99">
            <v>32</v>
          </cell>
          <cell r="J99" t="str">
            <v>-</v>
          </cell>
          <cell r="L99" t="str">
            <v>-</v>
          </cell>
          <cell r="M99" t="str">
            <v>-</v>
          </cell>
          <cell r="N99" t="str">
            <v>INHIL</v>
          </cell>
        </row>
        <row r="100">
          <cell r="F100">
            <v>29</v>
          </cell>
          <cell r="J100" t="str">
            <v>-</v>
          </cell>
          <cell r="L100" t="str">
            <v>-</v>
          </cell>
          <cell r="M100" t="str">
            <v>-</v>
          </cell>
          <cell r="N100" t="str">
            <v>No</v>
          </cell>
        </row>
        <row r="101">
          <cell r="F101">
            <v>25</v>
          </cell>
          <cell r="J101" t="str">
            <v>-</v>
          </cell>
          <cell r="L101" t="str">
            <v>-</v>
          </cell>
          <cell r="M101" t="str">
            <v>-</v>
          </cell>
          <cell r="N101" t="str">
            <v>No</v>
          </cell>
        </row>
        <row r="102">
          <cell r="F102">
            <v>32</v>
          </cell>
          <cell r="J102" t="str">
            <v>-</v>
          </cell>
          <cell r="L102" t="str">
            <v>-</v>
          </cell>
          <cell r="M102" t="str">
            <v>-</v>
          </cell>
          <cell r="N102" t="str">
            <v>INHIL</v>
          </cell>
        </row>
        <row r="103">
          <cell r="F103">
            <v>22</v>
          </cell>
          <cell r="J103" t="str">
            <v>-</v>
          </cell>
          <cell r="L103" t="str">
            <v>-</v>
          </cell>
          <cell r="M103" t="str">
            <v>-</v>
          </cell>
          <cell r="N103" t="str">
            <v>No</v>
          </cell>
        </row>
        <row r="104">
          <cell r="F104">
            <v>21</v>
          </cell>
          <cell r="J104" t="str">
            <v>-</v>
          </cell>
          <cell r="L104" t="str">
            <v>-</v>
          </cell>
          <cell r="M104" t="str">
            <v>-</v>
          </cell>
          <cell r="N104" t="str">
            <v>No</v>
          </cell>
        </row>
        <row r="105">
          <cell r="F105">
            <v>23</v>
          </cell>
          <cell r="J105" t="str">
            <v>-</v>
          </cell>
          <cell r="L105" t="str">
            <v>-</v>
          </cell>
          <cell r="M105" t="str">
            <v>-</v>
          </cell>
          <cell r="N105" t="str">
            <v>INHIL</v>
          </cell>
        </row>
        <row r="106">
          <cell r="F106">
            <v>25</v>
          </cell>
          <cell r="J106" t="str">
            <v>-</v>
          </cell>
          <cell r="L106" t="str">
            <v>-</v>
          </cell>
          <cell r="M106" t="str">
            <v>-</v>
          </cell>
          <cell r="N106" t="str">
            <v>INHIL</v>
          </cell>
        </row>
        <row r="107">
          <cell r="F107">
            <v>20</v>
          </cell>
          <cell r="J107" t="str">
            <v>-</v>
          </cell>
          <cell r="L107" t="str">
            <v>-</v>
          </cell>
          <cell r="M107" t="str">
            <v>-</v>
          </cell>
          <cell r="N107" t="str">
            <v>No</v>
          </cell>
        </row>
        <row r="108">
          <cell r="F108">
            <v>21</v>
          </cell>
          <cell r="J108" t="str">
            <v>-</v>
          </cell>
          <cell r="L108" t="str">
            <v>-</v>
          </cell>
          <cell r="M108" t="str">
            <v>-</v>
          </cell>
          <cell r="N108" t="str">
            <v>No</v>
          </cell>
        </row>
        <row r="109">
          <cell r="F109">
            <v>21</v>
          </cell>
          <cell r="J109" t="str">
            <v>-</v>
          </cell>
          <cell r="L109" t="str">
            <v>-</v>
          </cell>
          <cell r="M109" t="str">
            <v>-</v>
          </cell>
          <cell r="N109" t="str">
            <v>INHIL</v>
          </cell>
        </row>
        <row r="110">
          <cell r="F110">
            <v>30</v>
          </cell>
          <cell r="J110" t="str">
            <v>-</v>
          </cell>
          <cell r="L110" t="str">
            <v>-</v>
          </cell>
          <cell r="M110" t="str">
            <v>-</v>
          </cell>
          <cell r="N110" t="str">
            <v>INHIL</v>
          </cell>
        </row>
        <row r="111">
          <cell r="F111">
            <v>32</v>
          </cell>
          <cell r="J111" t="str">
            <v>INHIL</v>
          </cell>
          <cell r="L111" t="str">
            <v>-</v>
          </cell>
          <cell r="M111" t="str">
            <v>-</v>
          </cell>
          <cell r="N111" t="str">
            <v>INHIL</v>
          </cell>
        </row>
        <row r="112">
          <cell r="F112">
            <v>33</v>
          </cell>
          <cell r="J112" t="str">
            <v>INHIL</v>
          </cell>
          <cell r="L112" t="str">
            <v>-</v>
          </cell>
          <cell r="M112" t="str">
            <v>-</v>
          </cell>
          <cell r="N112" t="str">
            <v>INHIL</v>
          </cell>
        </row>
        <row r="113">
          <cell r="F113">
            <v>20</v>
          </cell>
          <cell r="J113" t="str">
            <v>-</v>
          </cell>
          <cell r="L113" t="str">
            <v>-</v>
          </cell>
          <cell r="M113" t="str">
            <v>-</v>
          </cell>
          <cell r="N113" t="str">
            <v>No</v>
          </cell>
        </row>
        <row r="114">
          <cell r="F114">
            <v>20</v>
          </cell>
          <cell r="J114" t="str">
            <v>-</v>
          </cell>
          <cell r="L114" t="str">
            <v>-</v>
          </cell>
          <cell r="M114" t="str">
            <v>-</v>
          </cell>
          <cell r="N114" t="str">
            <v>No</v>
          </cell>
        </row>
        <row r="115">
          <cell r="F115">
            <v>22</v>
          </cell>
          <cell r="J115" t="str">
            <v>-</v>
          </cell>
          <cell r="L115" t="str">
            <v>-</v>
          </cell>
          <cell r="M115" t="str">
            <v>-</v>
          </cell>
          <cell r="N115" t="str">
            <v>No</v>
          </cell>
        </row>
        <row r="116">
          <cell r="F116">
            <v>25</v>
          </cell>
          <cell r="J116" t="str">
            <v>-</v>
          </cell>
          <cell r="L116" t="str">
            <v>-</v>
          </cell>
          <cell r="M116" t="str">
            <v>-</v>
          </cell>
          <cell r="N116" t="str">
            <v>No</v>
          </cell>
        </row>
        <row r="117">
          <cell r="F117">
            <v>26</v>
          </cell>
          <cell r="J117" t="str">
            <v>-</v>
          </cell>
          <cell r="L117" t="str">
            <v>-</v>
          </cell>
          <cell r="M117" t="str">
            <v>-</v>
          </cell>
          <cell r="N117" t="str">
            <v>No</v>
          </cell>
        </row>
        <row r="118">
          <cell r="F118">
            <v>22</v>
          </cell>
          <cell r="J118" t="str">
            <v>-</v>
          </cell>
          <cell r="L118" t="str">
            <v>-</v>
          </cell>
          <cell r="M118" t="str">
            <v>-</v>
          </cell>
          <cell r="N118" t="str">
            <v>No</v>
          </cell>
        </row>
        <row r="119">
          <cell r="F119">
            <v>20</v>
          </cell>
          <cell r="J119" t="str">
            <v>-</v>
          </cell>
          <cell r="L119" t="str">
            <v>-</v>
          </cell>
          <cell r="M119" t="str">
            <v>-</v>
          </cell>
          <cell r="N119" t="str">
            <v>No</v>
          </cell>
        </row>
        <row r="120">
          <cell r="F120">
            <v>21</v>
          </cell>
          <cell r="J120" t="str">
            <v>-</v>
          </cell>
          <cell r="L120" t="str">
            <v>-</v>
          </cell>
          <cell r="M120" t="str">
            <v>-</v>
          </cell>
          <cell r="N120" t="str">
            <v>No</v>
          </cell>
        </row>
        <row r="121">
          <cell r="F121">
            <v>19</v>
          </cell>
          <cell r="J121" t="str">
            <v>-</v>
          </cell>
          <cell r="L121" t="str">
            <v>-</v>
          </cell>
          <cell r="M121" t="str">
            <v>-</v>
          </cell>
          <cell r="N121" t="str">
            <v>No</v>
          </cell>
        </row>
        <row r="122">
          <cell r="F122">
            <v>19</v>
          </cell>
          <cell r="J122" t="str">
            <v>-</v>
          </cell>
          <cell r="L122" t="str">
            <v>-</v>
          </cell>
          <cell r="M122" t="str">
            <v>-</v>
          </cell>
          <cell r="N122" t="str">
            <v>No</v>
          </cell>
        </row>
        <row r="123">
          <cell r="F123">
            <v>22</v>
          </cell>
          <cell r="J123" t="str">
            <v>-</v>
          </cell>
          <cell r="L123" t="str">
            <v>-</v>
          </cell>
          <cell r="M123" t="str">
            <v>-</v>
          </cell>
          <cell r="N123" t="str">
            <v>No</v>
          </cell>
        </row>
        <row r="124">
          <cell r="F124">
            <v>29</v>
          </cell>
          <cell r="J124" t="str">
            <v>-</v>
          </cell>
          <cell r="L124" t="str">
            <v>-</v>
          </cell>
          <cell r="M124" t="str">
            <v>-</v>
          </cell>
          <cell r="N124" t="str">
            <v>No</v>
          </cell>
        </row>
        <row r="125">
          <cell r="F125">
            <v>21</v>
          </cell>
          <cell r="J125" t="str">
            <v>-</v>
          </cell>
          <cell r="L125" t="str">
            <v>-</v>
          </cell>
          <cell r="M125" t="str">
            <v>-</v>
          </cell>
          <cell r="N125" t="str">
            <v>No</v>
          </cell>
        </row>
        <row r="126">
          <cell r="F126">
            <v>24</v>
          </cell>
          <cell r="J126" t="str">
            <v>-</v>
          </cell>
          <cell r="L126" t="str">
            <v>-</v>
          </cell>
          <cell r="M126" t="str">
            <v>-</v>
          </cell>
          <cell r="N126" t="str">
            <v>No</v>
          </cell>
        </row>
        <row r="127">
          <cell r="F127">
            <v>21</v>
          </cell>
          <cell r="J127" t="str">
            <v>-</v>
          </cell>
          <cell r="L127" t="str">
            <v>-</v>
          </cell>
          <cell r="M127" t="str">
            <v>-</v>
          </cell>
          <cell r="N127" t="str">
            <v>No</v>
          </cell>
        </row>
        <row r="128">
          <cell r="F128">
            <v>20</v>
          </cell>
          <cell r="J128" t="str">
            <v>-</v>
          </cell>
          <cell r="L128" t="str">
            <v>-</v>
          </cell>
          <cell r="M128" t="str">
            <v>-</v>
          </cell>
          <cell r="N128" t="str">
            <v>No</v>
          </cell>
        </row>
        <row r="129">
          <cell r="F129">
            <v>19</v>
          </cell>
          <cell r="J129" t="str">
            <v>-</v>
          </cell>
          <cell r="L129" t="str">
            <v>-</v>
          </cell>
          <cell r="M129" t="str">
            <v>-</v>
          </cell>
          <cell r="N129" t="str">
            <v>No</v>
          </cell>
        </row>
        <row r="130">
          <cell r="F130">
            <v>20</v>
          </cell>
          <cell r="J130" t="str">
            <v>-</v>
          </cell>
          <cell r="L130" t="str">
            <v>-</v>
          </cell>
          <cell r="M130" t="str">
            <v>-</v>
          </cell>
          <cell r="N130" t="str">
            <v>No</v>
          </cell>
        </row>
        <row r="131">
          <cell r="F131">
            <v>21</v>
          </cell>
          <cell r="J131" t="str">
            <v>-</v>
          </cell>
          <cell r="L131" t="str">
            <v>-</v>
          </cell>
          <cell r="M131" t="str">
            <v>-</v>
          </cell>
          <cell r="N131" t="str">
            <v>No</v>
          </cell>
        </row>
        <row r="132">
          <cell r="F132">
            <v>20</v>
          </cell>
          <cell r="J132" t="str">
            <v>-</v>
          </cell>
          <cell r="L132" t="str">
            <v>-</v>
          </cell>
          <cell r="M132" t="str">
            <v>-</v>
          </cell>
          <cell r="N132" t="str">
            <v>No</v>
          </cell>
        </row>
        <row r="133">
          <cell r="F133">
            <v>19</v>
          </cell>
          <cell r="J133" t="str">
            <v>-</v>
          </cell>
          <cell r="L133" t="str">
            <v>-</v>
          </cell>
          <cell r="M133" t="str">
            <v>-</v>
          </cell>
          <cell r="N133" t="str">
            <v>No</v>
          </cell>
        </row>
        <row r="134">
          <cell r="F134">
            <v>20</v>
          </cell>
          <cell r="J134" t="str">
            <v>-</v>
          </cell>
          <cell r="L134" t="str">
            <v>-</v>
          </cell>
          <cell r="M134" t="str">
            <v>-</v>
          </cell>
          <cell r="N134" t="str">
            <v>No</v>
          </cell>
        </row>
        <row r="135">
          <cell r="F135">
            <v>22</v>
          </cell>
          <cell r="J135" t="str">
            <v>-</v>
          </cell>
          <cell r="L135" t="str">
            <v>-</v>
          </cell>
          <cell r="M135" t="str">
            <v>-</v>
          </cell>
          <cell r="N135" t="str">
            <v>No</v>
          </cell>
        </row>
        <row r="136">
          <cell r="F136">
            <v>19</v>
          </cell>
          <cell r="J136" t="str">
            <v>-</v>
          </cell>
          <cell r="L136" t="str">
            <v>-</v>
          </cell>
          <cell r="M136" t="str">
            <v>-</v>
          </cell>
          <cell r="N136" t="str">
            <v>No</v>
          </cell>
        </row>
        <row r="137">
          <cell r="F137">
            <v>22</v>
          </cell>
          <cell r="J137" t="str">
            <v>-</v>
          </cell>
          <cell r="L137" t="str">
            <v>-</v>
          </cell>
          <cell r="M137" t="str">
            <v>-</v>
          </cell>
          <cell r="N137" t="str">
            <v>No</v>
          </cell>
        </row>
        <row r="138">
          <cell r="F138">
            <v>21</v>
          </cell>
          <cell r="J138" t="str">
            <v>-</v>
          </cell>
          <cell r="L138" t="str">
            <v>-</v>
          </cell>
          <cell r="M138" t="str">
            <v>-</v>
          </cell>
          <cell r="N138" t="str">
            <v>No</v>
          </cell>
        </row>
        <row r="139">
          <cell r="F139">
            <v>20</v>
          </cell>
          <cell r="J139" t="str">
            <v>-</v>
          </cell>
          <cell r="L139" t="str">
            <v>-</v>
          </cell>
          <cell r="M139" t="str">
            <v>-</v>
          </cell>
          <cell r="N139" t="str">
            <v>INHIL</v>
          </cell>
        </row>
        <row r="140">
          <cell r="F140">
            <v>21</v>
          </cell>
          <cell r="J140" t="str">
            <v>-</v>
          </cell>
          <cell r="L140" t="str">
            <v>-</v>
          </cell>
          <cell r="M140" t="str">
            <v>-</v>
          </cell>
          <cell r="N140" t="str">
            <v>No</v>
          </cell>
        </row>
        <row r="141">
          <cell r="F141">
            <v>24</v>
          </cell>
          <cell r="J141" t="str">
            <v>-</v>
          </cell>
          <cell r="L141" t="str">
            <v>-</v>
          </cell>
          <cell r="M141" t="str">
            <v>-</v>
          </cell>
          <cell r="N141" t="str">
            <v>No</v>
          </cell>
        </row>
        <row r="142">
          <cell r="F142">
            <v>18</v>
          </cell>
          <cell r="J142" t="str">
            <v>-</v>
          </cell>
          <cell r="L142" t="str">
            <v>-</v>
          </cell>
          <cell r="M142" t="str">
            <v>-</v>
          </cell>
          <cell r="N142" t="str">
            <v>No</v>
          </cell>
        </row>
        <row r="143">
          <cell r="F143">
            <v>20</v>
          </cell>
          <cell r="J143" t="str">
            <v>-</v>
          </cell>
          <cell r="L143" t="str">
            <v>-</v>
          </cell>
          <cell r="M143" t="str">
            <v>-</v>
          </cell>
          <cell r="N143" t="str">
            <v>No</v>
          </cell>
        </row>
        <row r="144">
          <cell r="F144">
            <v>19</v>
          </cell>
          <cell r="J144" t="str">
            <v>-</v>
          </cell>
          <cell r="L144" t="str">
            <v>-</v>
          </cell>
          <cell r="M144" t="str">
            <v>-</v>
          </cell>
          <cell r="N144" t="str">
            <v>INHIL</v>
          </cell>
        </row>
        <row r="145">
          <cell r="F145">
            <v>23</v>
          </cell>
          <cell r="J145" t="str">
            <v>-</v>
          </cell>
          <cell r="L145" t="str">
            <v>-</v>
          </cell>
          <cell r="M145" t="str">
            <v>-</v>
          </cell>
          <cell r="N145" t="str">
            <v>No</v>
          </cell>
        </row>
        <row r="146">
          <cell r="F146">
            <v>19</v>
          </cell>
          <cell r="J146" t="str">
            <v>-</v>
          </cell>
          <cell r="L146" t="str">
            <v>-</v>
          </cell>
          <cell r="M146" t="str">
            <v>-</v>
          </cell>
          <cell r="N146" t="str">
            <v>No</v>
          </cell>
        </row>
        <row r="147">
          <cell r="F147">
            <v>24</v>
          </cell>
          <cell r="J147" t="str">
            <v>-</v>
          </cell>
          <cell r="L147" t="str">
            <v>-</v>
          </cell>
          <cell r="M147" t="str">
            <v>-</v>
          </cell>
          <cell r="N147" t="str">
            <v>No</v>
          </cell>
        </row>
        <row r="148">
          <cell r="F148">
            <v>25</v>
          </cell>
          <cell r="J148" t="str">
            <v>-</v>
          </cell>
          <cell r="L148" t="str">
            <v>-</v>
          </cell>
          <cell r="M148" t="str">
            <v>-</v>
          </cell>
          <cell r="N148" t="str">
            <v>No</v>
          </cell>
        </row>
        <row r="149">
          <cell r="F149">
            <v>24</v>
          </cell>
          <cell r="J149" t="str">
            <v>-</v>
          </cell>
          <cell r="L149" t="str">
            <v>-</v>
          </cell>
          <cell r="M149" t="str">
            <v>-</v>
          </cell>
          <cell r="N149" t="str">
            <v>No</v>
          </cell>
        </row>
        <row r="150">
          <cell r="F150">
            <v>25</v>
          </cell>
          <cell r="J150" t="str">
            <v>INHIL</v>
          </cell>
          <cell r="L150" t="str">
            <v>-</v>
          </cell>
          <cell r="M150" t="str">
            <v>-</v>
          </cell>
          <cell r="N150" t="str">
            <v>INHIL</v>
          </cell>
        </row>
        <row r="151">
          <cell r="F151">
            <v>23</v>
          </cell>
          <cell r="J151" t="str">
            <v>INHIL</v>
          </cell>
          <cell r="L151" t="str">
            <v>-</v>
          </cell>
          <cell r="M151" t="str">
            <v>-</v>
          </cell>
          <cell r="N151" t="str">
            <v>INHIL</v>
          </cell>
        </row>
        <row r="152">
          <cell r="F152">
            <v>21</v>
          </cell>
          <cell r="J152" t="str">
            <v>-</v>
          </cell>
          <cell r="L152" t="str">
            <v>-</v>
          </cell>
          <cell r="M152" t="str">
            <v>-</v>
          </cell>
          <cell r="N152" t="str">
            <v>No</v>
          </cell>
        </row>
        <row r="153">
          <cell r="F153">
            <v>23</v>
          </cell>
          <cell r="J153" t="str">
            <v>-</v>
          </cell>
          <cell r="L153" t="str">
            <v>-</v>
          </cell>
          <cell r="M153" t="str">
            <v>-</v>
          </cell>
          <cell r="N153" t="str">
            <v>No</v>
          </cell>
        </row>
        <row r="154">
          <cell r="F154">
            <v>21</v>
          </cell>
          <cell r="J154" t="str">
            <v>-</v>
          </cell>
          <cell r="L154" t="str">
            <v>-</v>
          </cell>
          <cell r="M154" t="str">
            <v>-</v>
          </cell>
          <cell r="N154" t="str">
            <v>INHIL</v>
          </cell>
        </row>
        <row r="155">
          <cell r="F155">
            <v>21</v>
          </cell>
          <cell r="J155" t="str">
            <v>-</v>
          </cell>
          <cell r="L155" t="str">
            <v>-</v>
          </cell>
          <cell r="M155" t="str">
            <v>-</v>
          </cell>
          <cell r="N155" t="str">
            <v>INHIL</v>
          </cell>
        </row>
        <row r="156">
          <cell r="F156">
            <v>19</v>
          </cell>
          <cell r="J156" t="str">
            <v>-</v>
          </cell>
          <cell r="L156" t="str">
            <v>-</v>
          </cell>
          <cell r="M156" t="str">
            <v>-</v>
          </cell>
          <cell r="N156" t="str">
            <v>INHIL</v>
          </cell>
        </row>
        <row r="157">
          <cell r="F157">
            <v>22</v>
          </cell>
          <cell r="J157" t="str">
            <v>-</v>
          </cell>
          <cell r="L157" t="str">
            <v>-</v>
          </cell>
          <cell r="M157" t="str">
            <v>-</v>
          </cell>
          <cell r="N157" t="str">
            <v>INHIL</v>
          </cell>
        </row>
        <row r="158">
          <cell r="F158">
            <v>25</v>
          </cell>
          <cell r="J158" t="str">
            <v>-</v>
          </cell>
          <cell r="L158" t="str">
            <v>-</v>
          </cell>
          <cell r="M158" t="str">
            <v>-</v>
          </cell>
          <cell r="N158" t="str">
            <v>No</v>
          </cell>
        </row>
        <row r="159">
          <cell r="F159">
            <v>23</v>
          </cell>
          <cell r="J159" t="str">
            <v>-</v>
          </cell>
          <cell r="L159" t="str">
            <v>-</v>
          </cell>
          <cell r="M159" t="str">
            <v>-</v>
          </cell>
          <cell r="N159" t="str">
            <v>No</v>
          </cell>
        </row>
        <row r="160">
          <cell r="F160">
            <v>20</v>
          </cell>
          <cell r="J160" t="str">
            <v>-</v>
          </cell>
          <cell r="L160" t="str">
            <v>-</v>
          </cell>
          <cell r="M160" t="str">
            <v>-</v>
          </cell>
          <cell r="N160" t="str">
            <v>No</v>
          </cell>
        </row>
        <row r="161">
          <cell r="F161">
            <v>24</v>
          </cell>
          <cell r="J161" t="str">
            <v>-</v>
          </cell>
          <cell r="L161" t="str">
            <v>-</v>
          </cell>
          <cell r="M161" t="str">
            <v>-</v>
          </cell>
          <cell r="N161" t="str">
            <v>INHIL</v>
          </cell>
        </row>
        <row r="162">
          <cell r="F162">
            <v>20</v>
          </cell>
          <cell r="J162" t="str">
            <v>-</v>
          </cell>
          <cell r="L162" t="str">
            <v>-</v>
          </cell>
          <cell r="M162" t="str">
            <v>INHIL</v>
          </cell>
          <cell r="N162" t="str">
            <v>INHIL</v>
          </cell>
        </row>
        <row r="163">
          <cell r="F163">
            <v>20</v>
          </cell>
          <cell r="J163" t="str">
            <v>-</v>
          </cell>
          <cell r="L163" t="str">
            <v>-</v>
          </cell>
          <cell r="M163" t="str">
            <v>-</v>
          </cell>
          <cell r="N163" t="str">
            <v>INHIL</v>
          </cell>
        </row>
        <row r="164">
          <cell r="F164">
            <v>20</v>
          </cell>
          <cell r="J164" t="str">
            <v>-</v>
          </cell>
          <cell r="L164" t="str">
            <v>-</v>
          </cell>
          <cell r="M164" t="str">
            <v>-</v>
          </cell>
          <cell r="N164" t="str">
            <v>No</v>
          </cell>
        </row>
        <row r="165">
          <cell r="F165">
            <v>21</v>
          </cell>
          <cell r="J165" t="str">
            <v>-</v>
          </cell>
          <cell r="L165" t="str">
            <v>-</v>
          </cell>
          <cell r="M165" t="str">
            <v>-</v>
          </cell>
          <cell r="N165" t="str">
            <v>No</v>
          </cell>
        </row>
        <row r="166">
          <cell r="F166">
            <v>19</v>
          </cell>
          <cell r="J166" t="str">
            <v>-</v>
          </cell>
          <cell r="L166" t="str">
            <v>-</v>
          </cell>
          <cell r="M166" t="str">
            <v>-</v>
          </cell>
          <cell r="N166" t="str">
            <v>No</v>
          </cell>
        </row>
        <row r="167">
          <cell r="F167">
            <v>18</v>
          </cell>
          <cell r="J167" t="str">
            <v>-</v>
          </cell>
          <cell r="L167" t="str">
            <v>-</v>
          </cell>
          <cell r="M167" t="str">
            <v>-</v>
          </cell>
          <cell r="N167" t="str">
            <v>No</v>
          </cell>
        </row>
        <row r="168">
          <cell r="F168">
            <v>18</v>
          </cell>
          <cell r="J168" t="str">
            <v>-</v>
          </cell>
          <cell r="L168" t="str">
            <v>-</v>
          </cell>
          <cell r="M168" t="str">
            <v>-</v>
          </cell>
          <cell r="N168" t="str">
            <v>No</v>
          </cell>
        </row>
        <row r="169">
          <cell r="F169">
            <v>19</v>
          </cell>
          <cell r="J169" t="str">
            <v>-</v>
          </cell>
          <cell r="L169" t="str">
            <v>-</v>
          </cell>
          <cell r="M169" t="str">
            <v>-</v>
          </cell>
          <cell r="N169" t="str">
            <v>No</v>
          </cell>
        </row>
        <row r="170">
          <cell r="F170">
            <v>18</v>
          </cell>
          <cell r="J170" t="str">
            <v>-</v>
          </cell>
          <cell r="L170" t="str">
            <v>-</v>
          </cell>
          <cell r="M170" t="str">
            <v>-</v>
          </cell>
          <cell r="N170" t="str">
            <v>No</v>
          </cell>
        </row>
        <row r="171">
          <cell r="F171">
            <v>19</v>
          </cell>
          <cell r="J171" t="str">
            <v>-</v>
          </cell>
          <cell r="L171" t="str">
            <v>-</v>
          </cell>
          <cell r="M171" t="str">
            <v>-</v>
          </cell>
          <cell r="N171" t="str">
            <v>No</v>
          </cell>
        </row>
        <row r="172">
          <cell r="F172">
            <v>18</v>
          </cell>
          <cell r="J172" t="str">
            <v>-</v>
          </cell>
          <cell r="L172" t="str">
            <v>-</v>
          </cell>
          <cell r="M172" t="str">
            <v>-</v>
          </cell>
          <cell r="N172" t="str">
            <v>No</v>
          </cell>
        </row>
        <row r="173">
          <cell r="F173">
            <v>18</v>
          </cell>
          <cell r="J173" t="str">
            <v>-</v>
          </cell>
          <cell r="L173" t="str">
            <v>-</v>
          </cell>
          <cell r="M173" t="str">
            <v>-</v>
          </cell>
          <cell r="N173" t="str">
            <v>No</v>
          </cell>
        </row>
        <row r="174">
          <cell r="F174">
            <v>19</v>
          </cell>
          <cell r="J174" t="str">
            <v>-</v>
          </cell>
          <cell r="L174" t="str">
            <v>-</v>
          </cell>
          <cell r="M174" t="str">
            <v>-</v>
          </cell>
          <cell r="N174" t="str">
            <v>No</v>
          </cell>
        </row>
        <row r="175">
          <cell r="F175">
            <v>18</v>
          </cell>
          <cell r="J175" t="str">
            <v>-</v>
          </cell>
          <cell r="L175" t="str">
            <v>-</v>
          </cell>
          <cell r="M175" t="str">
            <v>-</v>
          </cell>
          <cell r="N175" t="str">
            <v>No</v>
          </cell>
        </row>
        <row r="176">
          <cell r="F176">
            <v>20</v>
          </cell>
          <cell r="J176" t="str">
            <v>-</v>
          </cell>
          <cell r="L176" t="str">
            <v>-</v>
          </cell>
          <cell r="M176" t="str">
            <v>-</v>
          </cell>
          <cell r="N176" t="str">
            <v>No</v>
          </cell>
        </row>
        <row r="177">
          <cell r="F177">
            <v>24</v>
          </cell>
          <cell r="J177" t="str">
            <v>-</v>
          </cell>
          <cell r="L177" t="str">
            <v>-</v>
          </cell>
          <cell r="M177" t="str">
            <v>-</v>
          </cell>
          <cell r="N177" t="str">
            <v>No</v>
          </cell>
        </row>
        <row r="178">
          <cell r="F178">
            <v>18</v>
          </cell>
          <cell r="J178" t="str">
            <v>-</v>
          </cell>
          <cell r="L178" t="str">
            <v>-</v>
          </cell>
          <cell r="M178" t="str">
            <v>-</v>
          </cell>
          <cell r="N178" t="str">
            <v>No</v>
          </cell>
        </row>
        <row r="179">
          <cell r="F179">
            <v>19</v>
          </cell>
          <cell r="J179" t="str">
            <v>-</v>
          </cell>
          <cell r="L179" t="str">
            <v>-</v>
          </cell>
          <cell r="M179" t="str">
            <v>-</v>
          </cell>
          <cell r="N179" t="str">
            <v>No</v>
          </cell>
        </row>
        <row r="180">
          <cell r="F180">
            <v>25</v>
          </cell>
          <cell r="J180" t="str">
            <v>-</v>
          </cell>
          <cell r="L180" t="str">
            <v>-</v>
          </cell>
          <cell r="M180" t="str">
            <v>-</v>
          </cell>
          <cell r="N180" t="str">
            <v>No</v>
          </cell>
        </row>
        <row r="181">
          <cell r="F181">
            <v>19</v>
          </cell>
          <cell r="J181" t="str">
            <v>-</v>
          </cell>
          <cell r="L181" t="str">
            <v>-</v>
          </cell>
          <cell r="M181" t="str">
            <v>-</v>
          </cell>
          <cell r="N181" t="str">
            <v>No</v>
          </cell>
        </row>
        <row r="182">
          <cell r="F182">
            <v>19</v>
          </cell>
          <cell r="J182" t="str">
            <v>-</v>
          </cell>
          <cell r="L182" t="str">
            <v>-</v>
          </cell>
          <cell r="M182" t="str">
            <v>-</v>
          </cell>
          <cell r="N182" t="str">
            <v>No</v>
          </cell>
        </row>
        <row r="183">
          <cell r="F183">
            <v>21</v>
          </cell>
          <cell r="J183" t="str">
            <v>-</v>
          </cell>
          <cell r="L183" t="str">
            <v>-</v>
          </cell>
          <cell r="M183" t="str">
            <v>-</v>
          </cell>
          <cell r="N183" t="str">
            <v>No</v>
          </cell>
        </row>
        <row r="184">
          <cell r="F184">
            <v>17</v>
          </cell>
          <cell r="J184" t="str">
            <v>-</v>
          </cell>
          <cell r="L184" t="str">
            <v>-</v>
          </cell>
          <cell r="M184" t="str">
            <v>-</v>
          </cell>
          <cell r="N184" t="str">
            <v>INHIL</v>
          </cell>
        </row>
        <row r="185">
          <cell r="F185">
            <v>18</v>
          </cell>
          <cell r="J185" t="str">
            <v>-</v>
          </cell>
          <cell r="L185" t="str">
            <v>-</v>
          </cell>
          <cell r="M185" t="str">
            <v>-</v>
          </cell>
          <cell r="N185" t="str">
            <v>No</v>
          </cell>
        </row>
        <row r="186">
          <cell r="F186">
            <v>22</v>
          </cell>
          <cell r="J186" t="str">
            <v>-</v>
          </cell>
          <cell r="L186" t="str">
            <v>-</v>
          </cell>
          <cell r="M186" t="str">
            <v>-</v>
          </cell>
          <cell r="N186" t="str">
            <v>No</v>
          </cell>
        </row>
        <row r="187">
          <cell r="F187">
            <v>19</v>
          </cell>
          <cell r="J187" t="str">
            <v>INHIL</v>
          </cell>
          <cell r="L187" t="str">
            <v>-</v>
          </cell>
          <cell r="M187" t="str">
            <v>-</v>
          </cell>
          <cell r="N187" t="str">
            <v>INHIL</v>
          </cell>
        </row>
        <row r="188">
          <cell r="F188">
            <v>19</v>
          </cell>
          <cell r="J188" t="str">
            <v>-</v>
          </cell>
          <cell r="L188" t="str">
            <v>-</v>
          </cell>
          <cell r="M188" t="str">
            <v>-</v>
          </cell>
          <cell r="N188" t="str">
            <v>No</v>
          </cell>
        </row>
        <row r="189">
          <cell r="F189">
            <v>18</v>
          </cell>
          <cell r="J189" t="str">
            <v>-</v>
          </cell>
          <cell r="L189" t="str">
            <v>-</v>
          </cell>
          <cell r="M189" t="str">
            <v>-</v>
          </cell>
          <cell r="N189" t="str">
            <v>No</v>
          </cell>
        </row>
        <row r="190">
          <cell r="F190">
            <v>23</v>
          </cell>
          <cell r="J190" t="str">
            <v>-</v>
          </cell>
          <cell r="L190" t="str">
            <v>NHIL</v>
          </cell>
          <cell r="M190" t="str">
            <v>-</v>
          </cell>
          <cell r="N190" t="str">
            <v>INHIL</v>
          </cell>
        </row>
        <row r="191">
          <cell r="F191">
            <v>21</v>
          </cell>
          <cell r="J191" t="str">
            <v>-</v>
          </cell>
          <cell r="L191" t="str">
            <v>-</v>
          </cell>
          <cell r="M191" t="str">
            <v>-</v>
          </cell>
          <cell r="N191" t="str">
            <v>No</v>
          </cell>
        </row>
        <row r="192">
          <cell r="F192">
            <v>23</v>
          </cell>
          <cell r="J192" t="str">
            <v>-</v>
          </cell>
          <cell r="L192" t="str">
            <v>-</v>
          </cell>
          <cell r="M192" t="str">
            <v>-</v>
          </cell>
          <cell r="N192" t="str">
            <v>No</v>
          </cell>
        </row>
        <row r="193">
          <cell r="F193">
            <v>28</v>
          </cell>
          <cell r="J193" t="str">
            <v>-</v>
          </cell>
          <cell r="L193" t="str">
            <v>-</v>
          </cell>
          <cell r="M193" t="str">
            <v>-</v>
          </cell>
          <cell r="N193" t="str">
            <v>No</v>
          </cell>
        </row>
        <row r="194">
          <cell r="F194">
            <v>20</v>
          </cell>
          <cell r="J194" t="str">
            <v>-</v>
          </cell>
          <cell r="L194" t="str">
            <v>-</v>
          </cell>
          <cell r="M194" t="str">
            <v>-</v>
          </cell>
          <cell r="N194" t="str">
            <v>No</v>
          </cell>
        </row>
        <row r="195">
          <cell r="F195">
            <v>19</v>
          </cell>
          <cell r="J195" t="str">
            <v>-</v>
          </cell>
          <cell r="L195" t="str">
            <v>-</v>
          </cell>
          <cell r="M195" t="str">
            <v>-</v>
          </cell>
          <cell r="N195" t="str">
            <v>No</v>
          </cell>
        </row>
        <row r="196">
          <cell r="F196">
            <v>19</v>
          </cell>
          <cell r="J196" t="str">
            <v>-</v>
          </cell>
          <cell r="L196" t="str">
            <v>-</v>
          </cell>
          <cell r="M196" t="str">
            <v>-</v>
          </cell>
          <cell r="N196" t="str">
            <v>INHIL</v>
          </cell>
        </row>
      </sheetData>
      <sheetData sheetId="15" refreshError="1">
        <row r="1">
          <cell r="A1" t="str">
            <v>F: E-PSN2\REKAP\Data-Kry</v>
          </cell>
        </row>
        <row r="2">
          <cell r="A2" t="str">
            <v>No</v>
          </cell>
          <cell r="B2" t="str">
            <v>NIK</v>
          </cell>
          <cell r="C2" t="str">
            <v>NAMA</v>
          </cell>
        </row>
        <row r="3">
          <cell r="F3" t="str">
            <v>THN</v>
          </cell>
        </row>
        <row r="4">
          <cell r="A4">
            <v>1</v>
          </cell>
          <cell r="B4">
            <v>10873</v>
          </cell>
          <cell r="C4" t="str">
            <v>SATINA SOMAD</v>
          </cell>
          <cell r="F4">
            <v>32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F5">
            <v>38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28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INHIL</v>
          </cell>
        </row>
        <row r="7">
          <cell r="F7">
            <v>28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No</v>
          </cell>
        </row>
        <row r="8">
          <cell r="F8">
            <v>33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INHIL</v>
          </cell>
        </row>
        <row r="9">
          <cell r="F9">
            <v>29</v>
          </cell>
          <cell r="J9" t="str">
            <v>INHIL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INHIL</v>
          </cell>
        </row>
        <row r="11"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No</v>
          </cell>
        </row>
        <row r="13"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INHIL</v>
          </cell>
        </row>
        <row r="15"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No</v>
          </cell>
        </row>
        <row r="16"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INHIL</v>
          </cell>
        </row>
        <row r="17">
          <cell r="J17" t="str">
            <v>INHIL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INHIL</v>
          </cell>
        </row>
        <row r="18"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INHIL</v>
          </cell>
        </row>
        <row r="19"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INHIL</v>
          </cell>
        </row>
        <row r="20">
          <cell r="J20" t="str">
            <v>-</v>
          </cell>
          <cell r="K20" t="str">
            <v>-</v>
          </cell>
          <cell r="L20" t="str">
            <v>-</v>
          </cell>
          <cell r="M20" t="str">
            <v>-</v>
          </cell>
          <cell r="N20" t="str">
            <v>INHIL</v>
          </cell>
        </row>
        <row r="21"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INHIL</v>
          </cell>
        </row>
        <row r="22"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INHIL</v>
          </cell>
        </row>
        <row r="23"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INHIL</v>
          </cell>
        </row>
        <row r="24"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INHIL</v>
          </cell>
        </row>
        <row r="25"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INHIL</v>
          </cell>
        </row>
        <row r="26">
          <cell r="J26" t="str">
            <v>-</v>
          </cell>
          <cell r="K26" t="str">
            <v>-</v>
          </cell>
          <cell r="L26" t="str">
            <v>-</v>
          </cell>
          <cell r="M26" t="str">
            <v>-</v>
          </cell>
          <cell r="N26" t="str">
            <v>INHIL</v>
          </cell>
        </row>
        <row r="27">
          <cell r="J27" t="str">
            <v>-</v>
          </cell>
          <cell r="K27" t="str">
            <v>-</v>
          </cell>
          <cell r="L27" t="str">
            <v>-</v>
          </cell>
          <cell r="M27" t="str">
            <v>-</v>
          </cell>
          <cell r="N27" t="str">
            <v>INHIL</v>
          </cell>
        </row>
        <row r="28">
          <cell r="J28" t="str">
            <v>-</v>
          </cell>
          <cell r="K28" t="str">
            <v>-</v>
          </cell>
          <cell r="L28" t="str">
            <v>-</v>
          </cell>
          <cell r="M28" t="str">
            <v>-</v>
          </cell>
          <cell r="N28" t="str">
            <v>INHIL</v>
          </cell>
        </row>
        <row r="29"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N29" t="str">
            <v>INHIL</v>
          </cell>
        </row>
        <row r="30">
          <cell r="J30" t="str">
            <v>-</v>
          </cell>
          <cell r="K30" t="str">
            <v>-</v>
          </cell>
          <cell r="L30" t="str">
            <v>-</v>
          </cell>
          <cell r="M30" t="str">
            <v>-</v>
          </cell>
          <cell r="N30" t="str">
            <v>No</v>
          </cell>
        </row>
        <row r="31">
          <cell r="J31" t="str">
            <v>-</v>
          </cell>
          <cell r="K31" t="str">
            <v>-</v>
          </cell>
          <cell r="L31" t="str">
            <v>-</v>
          </cell>
          <cell r="M31" t="str">
            <v>-</v>
          </cell>
          <cell r="N31" t="str">
            <v>INHIL</v>
          </cell>
        </row>
        <row r="32">
          <cell r="J32" t="str">
            <v>-</v>
          </cell>
          <cell r="K32" t="str">
            <v>-</v>
          </cell>
          <cell r="L32" t="str">
            <v>-</v>
          </cell>
          <cell r="M32" t="str">
            <v>-</v>
          </cell>
          <cell r="N32" t="str">
            <v>INHIL</v>
          </cell>
        </row>
        <row r="33">
          <cell r="J33" t="str">
            <v>-</v>
          </cell>
          <cell r="K33" t="str">
            <v>-</v>
          </cell>
          <cell r="L33" t="str">
            <v>-</v>
          </cell>
          <cell r="M33" t="str">
            <v>-</v>
          </cell>
          <cell r="N33" t="str">
            <v>INHIL</v>
          </cell>
        </row>
        <row r="34">
          <cell r="J34" t="str">
            <v>-</v>
          </cell>
          <cell r="K34" t="str">
            <v>-</v>
          </cell>
          <cell r="L34" t="str">
            <v>-</v>
          </cell>
          <cell r="M34" t="str">
            <v>-</v>
          </cell>
          <cell r="N34" t="str">
            <v>No</v>
          </cell>
        </row>
        <row r="35">
          <cell r="J35" t="str">
            <v>-</v>
          </cell>
          <cell r="K35" t="str">
            <v>-</v>
          </cell>
          <cell r="L35" t="str">
            <v>-</v>
          </cell>
          <cell r="M35" t="str">
            <v>-</v>
          </cell>
          <cell r="N35" t="str">
            <v>INHIL</v>
          </cell>
        </row>
        <row r="36"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 t="str">
            <v>No</v>
          </cell>
        </row>
        <row r="37">
          <cell r="J37" t="str">
            <v>-</v>
          </cell>
          <cell r="K37" t="str">
            <v>-</v>
          </cell>
          <cell r="L37" t="str">
            <v>-</v>
          </cell>
          <cell r="M37" t="str">
            <v>-</v>
          </cell>
          <cell r="N37" t="str">
            <v>No</v>
          </cell>
        </row>
        <row r="38">
          <cell r="J38" t="str">
            <v>-</v>
          </cell>
          <cell r="K38" t="str">
            <v>-</v>
          </cell>
          <cell r="L38" t="str">
            <v>-</v>
          </cell>
          <cell r="M38" t="str">
            <v>-</v>
          </cell>
          <cell r="N38" t="str">
            <v>INHIL</v>
          </cell>
        </row>
        <row r="39">
          <cell r="J39" t="str">
            <v>-</v>
          </cell>
          <cell r="K39" t="str">
            <v>-</v>
          </cell>
          <cell r="L39" t="str">
            <v>-</v>
          </cell>
          <cell r="M39" t="str">
            <v>-</v>
          </cell>
          <cell r="N39" t="str">
            <v>No</v>
          </cell>
        </row>
        <row r="40">
          <cell r="J40" t="str">
            <v>-</v>
          </cell>
          <cell r="K40" t="str">
            <v>-</v>
          </cell>
          <cell r="L40" t="str">
            <v>-</v>
          </cell>
          <cell r="M40" t="str">
            <v>-</v>
          </cell>
          <cell r="N40" t="str">
            <v>No</v>
          </cell>
        </row>
        <row r="41">
          <cell r="J41" t="str">
            <v>-</v>
          </cell>
          <cell r="K41" t="str">
            <v>-</v>
          </cell>
          <cell r="L41" t="str">
            <v>-</v>
          </cell>
          <cell r="M41" t="str">
            <v>-</v>
          </cell>
          <cell r="N41" t="str">
            <v>No</v>
          </cell>
        </row>
        <row r="42"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No</v>
          </cell>
        </row>
        <row r="43">
          <cell r="J43" t="str">
            <v>-</v>
          </cell>
          <cell r="K43" t="str">
            <v>-</v>
          </cell>
          <cell r="L43" t="str">
            <v>-</v>
          </cell>
          <cell r="M43" t="str">
            <v>-</v>
          </cell>
          <cell r="N43" t="str">
            <v>No</v>
          </cell>
        </row>
        <row r="44">
          <cell r="J44" t="str">
            <v>-</v>
          </cell>
          <cell r="K44" t="str">
            <v>-</v>
          </cell>
          <cell r="L44" t="str">
            <v>-</v>
          </cell>
          <cell r="M44" t="str">
            <v>-</v>
          </cell>
          <cell r="N44" t="str">
            <v>No</v>
          </cell>
        </row>
        <row r="45">
          <cell r="J45" t="str">
            <v>-</v>
          </cell>
          <cell r="K45" t="str">
            <v>-</v>
          </cell>
          <cell r="L45" t="str">
            <v>-</v>
          </cell>
          <cell r="M45" t="str">
            <v>-</v>
          </cell>
          <cell r="N45" t="str">
            <v>No</v>
          </cell>
        </row>
        <row r="46">
          <cell r="J46" t="str">
            <v>-</v>
          </cell>
          <cell r="K46" t="str">
            <v>-</v>
          </cell>
          <cell r="L46" t="str">
            <v>-</v>
          </cell>
          <cell r="M46" t="str">
            <v>-</v>
          </cell>
          <cell r="N46" t="str">
            <v>No</v>
          </cell>
        </row>
        <row r="47">
          <cell r="J47" t="str">
            <v>INHIL</v>
          </cell>
          <cell r="K47" t="str">
            <v>-</v>
          </cell>
          <cell r="L47" t="str">
            <v>-</v>
          </cell>
          <cell r="M47" t="str">
            <v>-</v>
          </cell>
          <cell r="N47" t="str">
            <v>INHIL</v>
          </cell>
        </row>
        <row r="48">
          <cell r="J48" t="str">
            <v>-</v>
          </cell>
          <cell r="K48" t="str">
            <v>-</v>
          </cell>
          <cell r="L48" t="str">
            <v>-</v>
          </cell>
          <cell r="M48" t="str">
            <v>-</v>
          </cell>
          <cell r="N48" t="str">
            <v>No</v>
          </cell>
        </row>
        <row r="49">
          <cell r="N49" t="str">
            <v>INHIL</v>
          </cell>
        </row>
      </sheetData>
      <sheetData sheetId="16" refreshError="1">
        <row r="3">
          <cell r="F3" t="str">
            <v>THN</v>
          </cell>
        </row>
        <row r="4">
          <cell r="F4" t="str">
            <v>THN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F5">
            <v>27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28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INHIL</v>
          </cell>
        </row>
        <row r="7">
          <cell r="F7">
            <v>34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No</v>
          </cell>
        </row>
        <row r="8">
          <cell r="F8">
            <v>24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No</v>
          </cell>
        </row>
        <row r="9">
          <cell r="F9">
            <v>28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No</v>
          </cell>
        </row>
        <row r="10">
          <cell r="F10">
            <v>41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INHIL</v>
          </cell>
        </row>
        <row r="11">
          <cell r="F11">
            <v>36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23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INHIL</v>
          </cell>
        </row>
        <row r="13">
          <cell r="F13">
            <v>27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25</v>
          </cell>
          <cell r="J14" t="str">
            <v>INHIL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INHIL</v>
          </cell>
        </row>
        <row r="15">
          <cell r="F15">
            <v>20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No</v>
          </cell>
        </row>
        <row r="16">
          <cell r="F16">
            <v>36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No</v>
          </cell>
        </row>
        <row r="17">
          <cell r="F17">
            <v>27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INHIL</v>
          </cell>
        </row>
        <row r="18">
          <cell r="F18">
            <v>27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INHIL</v>
          </cell>
        </row>
        <row r="19">
          <cell r="F19">
            <v>22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INHIL</v>
          </cell>
        </row>
        <row r="20">
          <cell r="F20">
            <v>23</v>
          </cell>
          <cell r="J20" t="str">
            <v>INHIL</v>
          </cell>
          <cell r="K20" t="str">
            <v>-</v>
          </cell>
          <cell r="L20" t="str">
            <v>-</v>
          </cell>
          <cell r="M20" t="str">
            <v>-</v>
          </cell>
          <cell r="N20" t="str">
            <v>INHIL</v>
          </cell>
        </row>
        <row r="21">
          <cell r="F21">
            <v>28</v>
          </cell>
          <cell r="J21" t="str">
            <v>-</v>
          </cell>
          <cell r="K21" t="str">
            <v>INHIL</v>
          </cell>
          <cell r="L21" t="str">
            <v>-</v>
          </cell>
          <cell r="M21" t="str">
            <v>-</v>
          </cell>
          <cell r="N21" t="str">
            <v>INHIL</v>
          </cell>
        </row>
        <row r="22">
          <cell r="F22">
            <v>26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INHIL</v>
          </cell>
        </row>
        <row r="23">
          <cell r="F23">
            <v>43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INHIL</v>
          </cell>
        </row>
        <row r="24">
          <cell r="F24">
            <v>22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INHIL</v>
          </cell>
        </row>
        <row r="25">
          <cell r="F25">
            <v>35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INHIL</v>
          </cell>
        </row>
        <row r="26">
          <cell r="F26">
            <v>21</v>
          </cell>
          <cell r="J26" t="str">
            <v>INHIL</v>
          </cell>
          <cell r="K26" t="str">
            <v>-</v>
          </cell>
          <cell r="L26" t="str">
            <v>-</v>
          </cell>
          <cell r="M26" t="str">
            <v>-</v>
          </cell>
          <cell r="N26" t="str">
            <v>INHIL</v>
          </cell>
        </row>
        <row r="27">
          <cell r="F27">
            <v>27</v>
          </cell>
          <cell r="J27" t="str">
            <v>INHIL</v>
          </cell>
          <cell r="K27" t="str">
            <v>-</v>
          </cell>
          <cell r="L27" t="str">
            <v>-</v>
          </cell>
          <cell r="M27" t="str">
            <v>-</v>
          </cell>
          <cell r="N27" t="str">
            <v>INHIL</v>
          </cell>
        </row>
        <row r="28">
          <cell r="F28">
            <v>39</v>
          </cell>
          <cell r="J28" t="str">
            <v>-</v>
          </cell>
          <cell r="K28" t="str">
            <v>-</v>
          </cell>
          <cell r="L28" t="str">
            <v>-</v>
          </cell>
          <cell r="M28" t="str">
            <v>-</v>
          </cell>
          <cell r="N28" t="str">
            <v>No</v>
          </cell>
        </row>
        <row r="29">
          <cell r="F29">
            <v>38</v>
          </cell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N29" t="str">
            <v>INHIL</v>
          </cell>
        </row>
        <row r="30">
          <cell r="F30">
            <v>32</v>
          </cell>
          <cell r="J30" t="str">
            <v>-</v>
          </cell>
          <cell r="K30" t="str">
            <v>-</v>
          </cell>
          <cell r="L30" t="str">
            <v>-</v>
          </cell>
          <cell r="M30" t="str">
            <v>-</v>
          </cell>
          <cell r="N30" t="str">
            <v>INHIL</v>
          </cell>
        </row>
        <row r="31">
          <cell r="F31">
            <v>32</v>
          </cell>
          <cell r="J31" t="str">
            <v>-</v>
          </cell>
          <cell r="K31" t="str">
            <v>-</v>
          </cell>
          <cell r="L31" t="str">
            <v>-</v>
          </cell>
          <cell r="M31" t="str">
            <v>-</v>
          </cell>
          <cell r="N31" t="str">
            <v>INHIL</v>
          </cell>
        </row>
        <row r="32">
          <cell r="F32">
            <v>33</v>
          </cell>
          <cell r="J32" t="str">
            <v>-</v>
          </cell>
          <cell r="K32" t="str">
            <v>-</v>
          </cell>
          <cell r="L32" t="str">
            <v>-</v>
          </cell>
          <cell r="M32" t="str">
            <v>-</v>
          </cell>
          <cell r="N32" t="str">
            <v>No</v>
          </cell>
        </row>
        <row r="33">
          <cell r="F33">
            <v>30</v>
          </cell>
          <cell r="J33" t="str">
            <v>-</v>
          </cell>
          <cell r="K33" t="str">
            <v>-</v>
          </cell>
          <cell r="L33" t="str">
            <v>-</v>
          </cell>
          <cell r="M33" t="str">
            <v>-</v>
          </cell>
          <cell r="N33" t="str">
            <v>No</v>
          </cell>
        </row>
        <row r="34">
          <cell r="F34">
            <v>32</v>
          </cell>
          <cell r="J34" t="str">
            <v>-</v>
          </cell>
          <cell r="K34" t="str">
            <v>-</v>
          </cell>
          <cell r="L34" t="str">
            <v>-</v>
          </cell>
          <cell r="M34" t="str">
            <v>-</v>
          </cell>
          <cell r="N34" t="str">
            <v>INHIL</v>
          </cell>
        </row>
        <row r="35">
          <cell r="F35">
            <v>31</v>
          </cell>
          <cell r="J35" t="str">
            <v>-</v>
          </cell>
          <cell r="K35" t="str">
            <v>-</v>
          </cell>
          <cell r="L35" t="str">
            <v>-</v>
          </cell>
          <cell r="M35" t="str">
            <v>-</v>
          </cell>
          <cell r="N35" t="str">
            <v>No</v>
          </cell>
        </row>
        <row r="36">
          <cell r="F36">
            <v>26</v>
          </cell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 t="str">
            <v>No</v>
          </cell>
        </row>
        <row r="37">
          <cell r="F37">
            <v>30</v>
          </cell>
          <cell r="J37" t="str">
            <v>-</v>
          </cell>
          <cell r="K37" t="str">
            <v>-</v>
          </cell>
          <cell r="L37" t="str">
            <v>-</v>
          </cell>
          <cell r="M37" t="str">
            <v>-</v>
          </cell>
          <cell r="N37" t="str">
            <v>INHIL</v>
          </cell>
        </row>
        <row r="38">
          <cell r="F38">
            <v>23</v>
          </cell>
          <cell r="J38" t="str">
            <v>INHIL</v>
          </cell>
          <cell r="K38" t="str">
            <v>-</v>
          </cell>
          <cell r="L38" t="str">
            <v>-</v>
          </cell>
          <cell r="M38" t="str">
            <v>-</v>
          </cell>
          <cell r="N38" t="str">
            <v>INHIL</v>
          </cell>
        </row>
        <row r="39">
          <cell r="F39">
            <v>24</v>
          </cell>
          <cell r="J39" t="str">
            <v>-</v>
          </cell>
          <cell r="K39" t="str">
            <v>-</v>
          </cell>
          <cell r="L39" t="str">
            <v>-</v>
          </cell>
          <cell r="M39" t="str">
            <v>-</v>
          </cell>
          <cell r="N39" t="str">
            <v>No</v>
          </cell>
        </row>
        <row r="40">
          <cell r="F40">
            <v>48</v>
          </cell>
          <cell r="J40" t="str">
            <v>INHIL</v>
          </cell>
          <cell r="K40" t="str">
            <v>-</v>
          </cell>
          <cell r="L40" t="str">
            <v>-</v>
          </cell>
          <cell r="M40" t="str">
            <v>-</v>
          </cell>
          <cell r="N40" t="str">
            <v>INHIL</v>
          </cell>
        </row>
        <row r="41">
          <cell r="F41">
            <v>23</v>
          </cell>
          <cell r="J41" t="str">
            <v>-</v>
          </cell>
          <cell r="K41" t="str">
            <v>-</v>
          </cell>
          <cell r="L41" t="str">
            <v>-</v>
          </cell>
          <cell r="M41" t="str">
            <v>-</v>
          </cell>
          <cell r="N41" t="str">
            <v>No</v>
          </cell>
        </row>
        <row r="42">
          <cell r="F42">
            <v>25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No</v>
          </cell>
        </row>
        <row r="43">
          <cell r="F43">
            <v>26</v>
          </cell>
          <cell r="J43" t="str">
            <v>-</v>
          </cell>
          <cell r="K43" t="str">
            <v>-</v>
          </cell>
          <cell r="L43" t="str">
            <v>-</v>
          </cell>
          <cell r="M43" t="str">
            <v>-</v>
          </cell>
          <cell r="N43" t="str">
            <v>No</v>
          </cell>
        </row>
        <row r="44">
          <cell r="F44">
            <v>26</v>
          </cell>
          <cell r="J44" t="str">
            <v>-</v>
          </cell>
          <cell r="K44" t="str">
            <v>-</v>
          </cell>
          <cell r="L44" t="str">
            <v>-</v>
          </cell>
          <cell r="M44" t="str">
            <v>-</v>
          </cell>
          <cell r="N44" t="str">
            <v>No</v>
          </cell>
        </row>
        <row r="45">
          <cell r="F45">
            <v>24</v>
          </cell>
          <cell r="N45" t="str">
            <v>No</v>
          </cell>
        </row>
        <row r="46">
          <cell r="F46">
            <v>24</v>
          </cell>
          <cell r="J46" t="str">
            <v>-</v>
          </cell>
          <cell r="K46" t="str">
            <v>-</v>
          </cell>
          <cell r="L46" t="str">
            <v>-</v>
          </cell>
          <cell r="M46" t="str">
            <v>-</v>
          </cell>
          <cell r="N46" t="str">
            <v>No</v>
          </cell>
        </row>
      </sheetData>
      <sheetData sheetId="17" refreshError="1">
        <row r="1">
          <cell r="A1" t="str">
            <v>F: E-PSN2\REKAP\Data-Kry</v>
          </cell>
        </row>
        <row r="2">
          <cell r="A2" t="str">
            <v>No</v>
          </cell>
          <cell r="B2" t="str">
            <v>NIK</v>
          </cell>
          <cell r="C2" t="str">
            <v>NAMA</v>
          </cell>
        </row>
        <row r="3">
          <cell r="F3" t="str">
            <v>THN</v>
          </cell>
        </row>
        <row r="4">
          <cell r="A4">
            <v>1</v>
          </cell>
          <cell r="B4">
            <v>1118</v>
          </cell>
          <cell r="C4" t="str">
            <v>JUWANDI</v>
          </cell>
          <cell r="F4">
            <v>37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F5">
            <v>42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41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INHIL</v>
          </cell>
        </row>
        <row r="7">
          <cell r="F7">
            <v>28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INHIL</v>
          </cell>
        </row>
        <row r="8">
          <cell r="F8">
            <v>27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INHIL</v>
          </cell>
        </row>
        <row r="9">
          <cell r="F9">
            <v>23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INHIL</v>
          </cell>
          <cell r="N9" t="str">
            <v>INHIL</v>
          </cell>
        </row>
        <row r="10">
          <cell r="F10">
            <v>21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No</v>
          </cell>
        </row>
        <row r="11">
          <cell r="F11">
            <v>24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INHIL</v>
          </cell>
          <cell r="N11" t="str">
            <v>INHIL</v>
          </cell>
        </row>
        <row r="12">
          <cell r="F12">
            <v>23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No</v>
          </cell>
        </row>
        <row r="13">
          <cell r="F13">
            <v>24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No</v>
          </cell>
        </row>
        <row r="14">
          <cell r="F14">
            <v>30</v>
          </cell>
          <cell r="J14" t="str">
            <v>-</v>
          </cell>
          <cell r="K14" t="str">
            <v>INHIL</v>
          </cell>
          <cell r="L14" t="str">
            <v>-</v>
          </cell>
          <cell r="M14" t="str">
            <v>INHIL</v>
          </cell>
          <cell r="N14" t="str">
            <v>INHIL</v>
          </cell>
        </row>
        <row r="15">
          <cell r="F15">
            <v>42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INHIL</v>
          </cell>
        </row>
        <row r="16">
          <cell r="F16">
            <v>22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No</v>
          </cell>
        </row>
        <row r="17">
          <cell r="F17">
            <v>22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No</v>
          </cell>
        </row>
        <row r="18">
          <cell r="F18">
            <v>31</v>
          </cell>
          <cell r="L18" t="str">
            <v>-</v>
          </cell>
          <cell r="M18" t="str">
            <v>-</v>
          </cell>
        </row>
        <row r="19">
          <cell r="F19">
            <v>26</v>
          </cell>
          <cell r="L19" t="str">
            <v>-</v>
          </cell>
          <cell r="M19" t="str">
            <v>-</v>
          </cell>
        </row>
        <row r="20">
          <cell r="F20">
            <v>29</v>
          </cell>
          <cell r="L20" t="str">
            <v>-</v>
          </cell>
          <cell r="M20" t="str">
            <v>-</v>
          </cell>
        </row>
        <row r="21">
          <cell r="F21">
            <v>26</v>
          </cell>
          <cell r="L21" t="str">
            <v>-</v>
          </cell>
          <cell r="M21" t="str">
            <v>-</v>
          </cell>
        </row>
        <row r="22">
          <cell r="F22">
            <v>20</v>
          </cell>
          <cell r="L22" t="str">
            <v>-</v>
          </cell>
          <cell r="M22" t="str">
            <v>-</v>
          </cell>
        </row>
        <row r="23">
          <cell r="F23">
            <v>35</v>
          </cell>
          <cell r="L23" t="str">
            <v>-</v>
          </cell>
          <cell r="M23" t="str">
            <v>-</v>
          </cell>
        </row>
        <row r="24">
          <cell r="F24">
            <v>36</v>
          </cell>
          <cell r="L24" t="str">
            <v>-</v>
          </cell>
          <cell r="M24" t="str">
            <v>-</v>
          </cell>
        </row>
        <row r="25">
          <cell r="F25">
            <v>26</v>
          </cell>
          <cell r="L25" t="str">
            <v>-</v>
          </cell>
          <cell r="M25" t="str">
            <v>-</v>
          </cell>
        </row>
        <row r="26">
          <cell r="F26">
            <v>25</v>
          </cell>
          <cell r="L26" t="str">
            <v>-</v>
          </cell>
          <cell r="M26" t="str">
            <v>-</v>
          </cell>
        </row>
        <row r="27">
          <cell r="F27">
            <v>34</v>
          </cell>
          <cell r="L27" t="str">
            <v>-</v>
          </cell>
          <cell r="M27" t="str">
            <v>-</v>
          </cell>
        </row>
        <row r="28">
          <cell r="F28">
            <v>27</v>
          </cell>
          <cell r="L28" t="str">
            <v>-</v>
          </cell>
          <cell r="M28" t="str">
            <v>-</v>
          </cell>
        </row>
        <row r="29">
          <cell r="F29">
            <v>30</v>
          </cell>
          <cell r="L29" t="str">
            <v>-</v>
          </cell>
          <cell r="M29" t="str">
            <v>-</v>
          </cell>
        </row>
        <row r="30">
          <cell r="F30">
            <v>23</v>
          </cell>
          <cell r="L30" t="str">
            <v>-</v>
          </cell>
          <cell r="M30" t="str">
            <v>-</v>
          </cell>
        </row>
        <row r="31">
          <cell r="F31">
            <v>34</v>
          </cell>
          <cell r="L31" t="str">
            <v>-</v>
          </cell>
          <cell r="M31" t="str">
            <v>-</v>
          </cell>
        </row>
        <row r="32">
          <cell r="F32">
            <v>23</v>
          </cell>
          <cell r="L32" t="str">
            <v>-</v>
          </cell>
          <cell r="M32" t="str">
            <v>-</v>
          </cell>
        </row>
        <row r="33">
          <cell r="F33">
            <v>23</v>
          </cell>
          <cell r="L33" t="str">
            <v>-</v>
          </cell>
          <cell r="M33" t="str">
            <v>-</v>
          </cell>
        </row>
        <row r="34">
          <cell r="F34">
            <v>31</v>
          </cell>
          <cell r="L34" t="str">
            <v>-</v>
          </cell>
          <cell r="M34" t="str">
            <v>-</v>
          </cell>
        </row>
        <row r="35">
          <cell r="F35">
            <v>23</v>
          </cell>
          <cell r="L35" t="str">
            <v>-</v>
          </cell>
          <cell r="M35" t="str">
            <v>-</v>
          </cell>
        </row>
        <row r="36">
          <cell r="F36">
            <v>21</v>
          </cell>
          <cell r="L36" t="str">
            <v>-</v>
          </cell>
          <cell r="M36" t="str">
            <v>-</v>
          </cell>
        </row>
        <row r="37">
          <cell r="F37">
            <v>27</v>
          </cell>
          <cell r="L37" t="str">
            <v>-</v>
          </cell>
          <cell r="M37" t="str">
            <v>-</v>
          </cell>
        </row>
        <row r="38">
          <cell r="F38">
            <v>36</v>
          </cell>
          <cell r="L38" t="str">
            <v>-</v>
          </cell>
          <cell r="M38" t="str">
            <v>-</v>
          </cell>
        </row>
        <row r="39">
          <cell r="F39">
            <v>27</v>
          </cell>
          <cell r="L39" t="str">
            <v>-</v>
          </cell>
          <cell r="M39" t="str">
            <v>-</v>
          </cell>
        </row>
        <row r="40">
          <cell r="F40">
            <v>26</v>
          </cell>
          <cell r="L40" t="str">
            <v>-</v>
          </cell>
          <cell r="M40" t="str">
            <v>-</v>
          </cell>
        </row>
        <row r="41">
          <cell r="F41">
            <v>27</v>
          </cell>
          <cell r="L41" t="str">
            <v>-</v>
          </cell>
          <cell r="M41" t="str">
            <v>-</v>
          </cell>
        </row>
        <row r="42">
          <cell r="F42">
            <v>50</v>
          </cell>
          <cell r="L42" t="str">
            <v>-</v>
          </cell>
          <cell r="M42" t="str">
            <v>-</v>
          </cell>
        </row>
        <row r="43">
          <cell r="F43">
            <v>32</v>
          </cell>
          <cell r="L43" t="str">
            <v>-</v>
          </cell>
          <cell r="M43" t="str">
            <v>-</v>
          </cell>
        </row>
        <row r="44">
          <cell r="F44">
            <v>27</v>
          </cell>
          <cell r="L44" t="str">
            <v>-</v>
          </cell>
          <cell r="M44" t="str">
            <v>-</v>
          </cell>
        </row>
        <row r="45">
          <cell r="F45">
            <v>21</v>
          </cell>
          <cell r="L45" t="str">
            <v>-</v>
          </cell>
          <cell r="M45" t="str">
            <v>-</v>
          </cell>
        </row>
        <row r="46">
          <cell r="F46">
            <v>24</v>
          </cell>
          <cell r="L46" t="str">
            <v>INHIL</v>
          </cell>
          <cell r="M46" t="str">
            <v>-</v>
          </cell>
        </row>
        <row r="47">
          <cell r="F47">
            <v>30</v>
          </cell>
          <cell r="L47" t="str">
            <v>-</v>
          </cell>
          <cell r="M47" t="str">
            <v>-</v>
          </cell>
        </row>
        <row r="48">
          <cell r="F48">
            <v>31</v>
          </cell>
          <cell r="L48" t="str">
            <v>-</v>
          </cell>
          <cell r="M48" t="str">
            <v>-</v>
          </cell>
        </row>
        <row r="49">
          <cell r="F49">
            <v>22</v>
          </cell>
          <cell r="L49" t="str">
            <v>-</v>
          </cell>
          <cell r="M49" t="str">
            <v>-</v>
          </cell>
        </row>
        <row r="50">
          <cell r="F50">
            <v>36</v>
          </cell>
          <cell r="L50" t="str">
            <v>-</v>
          </cell>
          <cell r="M50" t="str">
            <v>-</v>
          </cell>
        </row>
        <row r="51">
          <cell r="F51">
            <v>25</v>
          </cell>
          <cell r="L51" t="str">
            <v>-</v>
          </cell>
          <cell r="M51" t="str">
            <v>-</v>
          </cell>
        </row>
        <row r="52">
          <cell r="F52">
            <v>33</v>
          </cell>
          <cell r="L52" t="str">
            <v>-</v>
          </cell>
          <cell r="M52" t="str">
            <v>-</v>
          </cell>
        </row>
        <row r="53">
          <cell r="F53">
            <v>20</v>
          </cell>
          <cell r="L53" t="str">
            <v>INHIL</v>
          </cell>
          <cell r="M53" t="str">
            <v>-</v>
          </cell>
        </row>
        <row r="54">
          <cell r="F54">
            <v>36</v>
          </cell>
          <cell r="L54" t="str">
            <v>-</v>
          </cell>
          <cell r="M54" t="str">
            <v>-</v>
          </cell>
        </row>
        <row r="55">
          <cell r="F55">
            <v>25</v>
          </cell>
          <cell r="L55" t="str">
            <v>-</v>
          </cell>
          <cell r="M55" t="str">
            <v>-</v>
          </cell>
        </row>
        <row r="56">
          <cell r="F56">
            <v>22</v>
          </cell>
          <cell r="L56" t="str">
            <v>-</v>
          </cell>
          <cell r="M56" t="str">
            <v>-</v>
          </cell>
        </row>
        <row r="57">
          <cell r="F57">
            <v>19</v>
          </cell>
          <cell r="L57" t="str">
            <v>-</v>
          </cell>
          <cell r="M57" t="str">
            <v>-</v>
          </cell>
        </row>
        <row r="58">
          <cell r="F58">
            <v>29</v>
          </cell>
          <cell r="L58" t="str">
            <v>-</v>
          </cell>
          <cell r="M58" t="str">
            <v>-</v>
          </cell>
        </row>
        <row r="59">
          <cell r="F59">
            <v>31</v>
          </cell>
          <cell r="L59" t="str">
            <v>-</v>
          </cell>
          <cell r="M59" t="str">
            <v>-</v>
          </cell>
        </row>
        <row r="60">
          <cell r="F60">
            <v>28</v>
          </cell>
          <cell r="L60" t="str">
            <v>-</v>
          </cell>
          <cell r="M60" t="str">
            <v>-</v>
          </cell>
        </row>
        <row r="61">
          <cell r="F61">
            <v>27</v>
          </cell>
          <cell r="L61" t="str">
            <v>-</v>
          </cell>
          <cell r="M61" t="str">
            <v>-</v>
          </cell>
        </row>
        <row r="62">
          <cell r="F62">
            <v>35</v>
          </cell>
          <cell r="L62" t="str">
            <v>-</v>
          </cell>
          <cell r="M62" t="str">
            <v>-</v>
          </cell>
        </row>
        <row r="63">
          <cell r="F63">
            <v>30</v>
          </cell>
          <cell r="L63" t="str">
            <v>-</v>
          </cell>
          <cell r="M63" t="str">
            <v>-</v>
          </cell>
        </row>
        <row r="64">
          <cell r="F64">
            <v>28</v>
          </cell>
          <cell r="L64" t="str">
            <v>-</v>
          </cell>
          <cell r="M64" t="str">
            <v>-</v>
          </cell>
        </row>
        <row r="65">
          <cell r="F65">
            <v>35</v>
          </cell>
          <cell r="L65" t="str">
            <v>-</v>
          </cell>
          <cell r="M65" t="str">
            <v>-</v>
          </cell>
        </row>
        <row r="66">
          <cell r="F66">
            <v>41</v>
          </cell>
          <cell r="L66" t="str">
            <v>-</v>
          </cell>
          <cell r="M66" t="str">
            <v>-</v>
          </cell>
        </row>
        <row r="67">
          <cell r="F67">
            <v>30</v>
          </cell>
          <cell r="L67" t="str">
            <v>-</v>
          </cell>
          <cell r="M67" t="str">
            <v>-</v>
          </cell>
        </row>
        <row r="68">
          <cell r="F68">
            <v>30</v>
          </cell>
          <cell r="L68" t="str">
            <v>-</v>
          </cell>
          <cell r="M68" t="str">
            <v>-</v>
          </cell>
        </row>
        <row r="69">
          <cell r="F69">
            <v>31</v>
          </cell>
          <cell r="L69" t="str">
            <v>-</v>
          </cell>
          <cell r="M69" t="str">
            <v>-</v>
          </cell>
        </row>
        <row r="70">
          <cell r="F70">
            <v>28</v>
          </cell>
          <cell r="L70" t="str">
            <v>-</v>
          </cell>
          <cell r="M70" t="str">
            <v>-</v>
          </cell>
        </row>
        <row r="71">
          <cell r="F71">
            <v>31</v>
          </cell>
          <cell r="L71" t="str">
            <v>-</v>
          </cell>
          <cell r="M71" t="str">
            <v>-</v>
          </cell>
        </row>
        <row r="72">
          <cell r="F72">
            <v>25</v>
          </cell>
          <cell r="L72" t="str">
            <v>-</v>
          </cell>
          <cell r="M72" t="str">
            <v>-</v>
          </cell>
        </row>
        <row r="73">
          <cell r="F73">
            <v>22</v>
          </cell>
          <cell r="L73" t="str">
            <v>-</v>
          </cell>
          <cell r="M73" t="str">
            <v>-</v>
          </cell>
        </row>
        <row r="74">
          <cell r="F74">
            <v>25</v>
          </cell>
          <cell r="L74" t="str">
            <v>-</v>
          </cell>
          <cell r="M74" t="str">
            <v>-</v>
          </cell>
        </row>
        <row r="75">
          <cell r="F75">
            <v>28</v>
          </cell>
          <cell r="L75" t="str">
            <v>-</v>
          </cell>
          <cell r="M75" t="str">
            <v>-</v>
          </cell>
        </row>
        <row r="76">
          <cell r="F76">
            <v>23</v>
          </cell>
          <cell r="L76" t="str">
            <v>-</v>
          </cell>
          <cell r="M76" t="str">
            <v>-</v>
          </cell>
        </row>
        <row r="77">
          <cell r="F77">
            <v>24</v>
          </cell>
          <cell r="L77" t="str">
            <v>-</v>
          </cell>
          <cell r="M77" t="str">
            <v>-</v>
          </cell>
        </row>
        <row r="78">
          <cell r="F78">
            <v>20</v>
          </cell>
          <cell r="L78" t="str">
            <v>-</v>
          </cell>
          <cell r="M78" t="str">
            <v>-</v>
          </cell>
        </row>
        <row r="79">
          <cell r="F79">
            <v>21</v>
          </cell>
          <cell r="L79" t="str">
            <v>-</v>
          </cell>
          <cell r="M79" t="str">
            <v>-</v>
          </cell>
        </row>
        <row r="80">
          <cell r="F80">
            <v>24</v>
          </cell>
          <cell r="L80" t="str">
            <v>-</v>
          </cell>
          <cell r="M80" t="str">
            <v>-</v>
          </cell>
        </row>
        <row r="81">
          <cell r="F81">
            <v>20</v>
          </cell>
          <cell r="L81" t="str">
            <v>-</v>
          </cell>
          <cell r="M81" t="str">
            <v>-</v>
          </cell>
        </row>
        <row r="82">
          <cell r="F82">
            <v>23</v>
          </cell>
          <cell r="L82" t="str">
            <v>-</v>
          </cell>
          <cell r="M82" t="str">
            <v>-</v>
          </cell>
        </row>
        <row r="83">
          <cell r="F83">
            <v>21</v>
          </cell>
          <cell r="L83" t="str">
            <v>-</v>
          </cell>
          <cell r="M83" t="str">
            <v>-</v>
          </cell>
        </row>
        <row r="84">
          <cell r="F84">
            <v>26</v>
          </cell>
          <cell r="L84" t="str">
            <v>-</v>
          </cell>
          <cell r="M84" t="str">
            <v>-</v>
          </cell>
        </row>
        <row r="85">
          <cell r="F85">
            <v>23</v>
          </cell>
          <cell r="L85" t="str">
            <v>INHIL</v>
          </cell>
          <cell r="M85" t="str">
            <v>-</v>
          </cell>
        </row>
        <row r="86">
          <cell r="F86">
            <v>27</v>
          </cell>
          <cell r="L86" t="str">
            <v>-</v>
          </cell>
          <cell r="M86" t="str">
            <v>-</v>
          </cell>
        </row>
        <row r="87">
          <cell r="F87">
            <v>25</v>
          </cell>
          <cell r="L87" t="str">
            <v>-</v>
          </cell>
          <cell r="M87" t="str">
            <v>-</v>
          </cell>
        </row>
        <row r="88">
          <cell r="F88">
            <v>35</v>
          </cell>
          <cell r="L88" t="str">
            <v>-</v>
          </cell>
          <cell r="M88" t="str">
            <v>-</v>
          </cell>
        </row>
        <row r="89">
          <cell r="F89">
            <v>33</v>
          </cell>
          <cell r="L89" t="str">
            <v>-</v>
          </cell>
          <cell r="M89" t="str">
            <v>-</v>
          </cell>
        </row>
        <row r="90">
          <cell r="F90">
            <v>34</v>
          </cell>
          <cell r="L90" t="str">
            <v>-</v>
          </cell>
          <cell r="M90" t="str">
            <v>-</v>
          </cell>
        </row>
        <row r="91">
          <cell r="F91">
            <v>32</v>
          </cell>
          <cell r="L91" t="str">
            <v>-</v>
          </cell>
          <cell r="M91" t="str">
            <v>-</v>
          </cell>
        </row>
        <row r="92">
          <cell r="F92">
            <v>32</v>
          </cell>
          <cell r="L92" t="str">
            <v>-</v>
          </cell>
          <cell r="M92" t="str">
            <v>-</v>
          </cell>
        </row>
        <row r="93">
          <cell r="F93">
            <v>32</v>
          </cell>
          <cell r="L93" t="str">
            <v>-</v>
          </cell>
          <cell r="M93" t="str">
            <v>-</v>
          </cell>
        </row>
        <row r="94">
          <cell r="F94">
            <v>31</v>
          </cell>
          <cell r="L94" t="str">
            <v>-</v>
          </cell>
          <cell r="M94" t="str">
            <v>-</v>
          </cell>
        </row>
        <row r="95">
          <cell r="F95">
            <v>29</v>
          </cell>
          <cell r="L95" t="str">
            <v>-</v>
          </cell>
          <cell r="M95" t="str">
            <v>-</v>
          </cell>
        </row>
        <row r="96">
          <cell r="F96">
            <v>24</v>
          </cell>
          <cell r="L96" t="str">
            <v>-</v>
          </cell>
          <cell r="M96" t="str">
            <v>-</v>
          </cell>
        </row>
        <row r="97">
          <cell r="F97">
            <v>26</v>
          </cell>
          <cell r="L97" t="str">
            <v>-</v>
          </cell>
          <cell r="M97" t="str">
            <v>-</v>
          </cell>
        </row>
        <row r="98">
          <cell r="F98">
            <v>26</v>
          </cell>
          <cell r="L98" t="str">
            <v>-</v>
          </cell>
          <cell r="M98" t="str">
            <v>-</v>
          </cell>
        </row>
        <row r="99">
          <cell r="F99">
            <v>21</v>
          </cell>
          <cell r="L99" t="str">
            <v>-</v>
          </cell>
          <cell r="M99" t="str">
            <v>-</v>
          </cell>
        </row>
        <row r="100">
          <cell r="F100">
            <v>23</v>
          </cell>
          <cell r="L100" t="str">
            <v>-</v>
          </cell>
          <cell r="M100" t="str">
            <v>-</v>
          </cell>
        </row>
        <row r="101">
          <cell r="F101">
            <v>23</v>
          </cell>
          <cell r="L101" t="str">
            <v>-</v>
          </cell>
          <cell r="M101" t="str">
            <v>-</v>
          </cell>
        </row>
        <row r="102">
          <cell r="F102">
            <v>26</v>
          </cell>
          <cell r="L102" t="str">
            <v>-</v>
          </cell>
          <cell r="M102" t="str">
            <v>-</v>
          </cell>
        </row>
        <row r="103">
          <cell r="F103">
            <v>26</v>
          </cell>
          <cell r="L103" t="str">
            <v>-</v>
          </cell>
          <cell r="M103" t="str">
            <v>-</v>
          </cell>
        </row>
        <row r="104">
          <cell r="F104">
            <v>33</v>
          </cell>
          <cell r="L104" t="str">
            <v>-</v>
          </cell>
          <cell r="M104" t="str">
            <v>-</v>
          </cell>
        </row>
        <row r="105">
          <cell r="F105">
            <v>29</v>
          </cell>
          <cell r="L105" t="str">
            <v>-</v>
          </cell>
          <cell r="M105" t="str">
            <v>-</v>
          </cell>
        </row>
        <row r="106">
          <cell r="F106">
            <v>27</v>
          </cell>
          <cell r="L106" t="str">
            <v>-</v>
          </cell>
          <cell r="M106" t="str">
            <v>-</v>
          </cell>
        </row>
        <row r="107">
          <cell r="F107">
            <v>25</v>
          </cell>
          <cell r="L107" t="str">
            <v>-</v>
          </cell>
          <cell r="M107" t="str">
            <v>-</v>
          </cell>
        </row>
        <row r="108">
          <cell r="F108">
            <v>27</v>
          </cell>
          <cell r="L108" t="str">
            <v>-</v>
          </cell>
          <cell r="M108" t="str">
            <v>-</v>
          </cell>
        </row>
        <row r="109">
          <cell r="F109">
            <v>20</v>
          </cell>
          <cell r="L109" t="str">
            <v>INHIL</v>
          </cell>
          <cell r="M109" t="str">
            <v>-</v>
          </cell>
        </row>
        <row r="110">
          <cell r="F110">
            <v>23</v>
          </cell>
          <cell r="L110" t="str">
            <v>-</v>
          </cell>
          <cell r="M110" t="str">
            <v>-</v>
          </cell>
        </row>
        <row r="111">
          <cell r="F111">
            <v>23</v>
          </cell>
          <cell r="L111" t="str">
            <v>-</v>
          </cell>
          <cell r="M111" t="str">
            <v>-</v>
          </cell>
        </row>
        <row r="112">
          <cell r="F112">
            <v>22</v>
          </cell>
          <cell r="L112" t="str">
            <v>-</v>
          </cell>
          <cell r="M112" t="str">
            <v>-</v>
          </cell>
        </row>
        <row r="113">
          <cell r="F113">
            <v>20</v>
          </cell>
          <cell r="L113" t="str">
            <v>-</v>
          </cell>
          <cell r="M113" t="str">
            <v>-</v>
          </cell>
        </row>
        <row r="114">
          <cell r="F114">
            <v>33</v>
          </cell>
          <cell r="L114" t="str">
            <v>-</v>
          </cell>
          <cell r="M114" t="str">
            <v>-</v>
          </cell>
        </row>
        <row r="115">
          <cell r="F115">
            <v>23</v>
          </cell>
          <cell r="L115" t="str">
            <v>-</v>
          </cell>
          <cell r="M115" t="str">
            <v>-</v>
          </cell>
        </row>
        <row r="116">
          <cell r="F116">
            <v>34</v>
          </cell>
          <cell r="L116" t="str">
            <v>-</v>
          </cell>
          <cell r="M116" t="str">
            <v>-</v>
          </cell>
        </row>
        <row r="117">
          <cell r="F117">
            <v>32</v>
          </cell>
          <cell r="L117" t="str">
            <v>-</v>
          </cell>
          <cell r="M117" t="str">
            <v>-</v>
          </cell>
        </row>
        <row r="118">
          <cell r="F118">
            <v>26</v>
          </cell>
          <cell r="L118" t="str">
            <v>-</v>
          </cell>
          <cell r="M118" t="str">
            <v>-</v>
          </cell>
        </row>
        <row r="119">
          <cell r="F119">
            <v>21</v>
          </cell>
          <cell r="L119" t="str">
            <v>-</v>
          </cell>
          <cell r="M119" t="str">
            <v>-</v>
          </cell>
        </row>
        <row r="120">
          <cell r="F120">
            <v>31</v>
          </cell>
          <cell r="L120" t="str">
            <v>-</v>
          </cell>
          <cell r="M120" t="str">
            <v>-</v>
          </cell>
        </row>
        <row r="121">
          <cell r="F121">
            <v>21</v>
          </cell>
          <cell r="L121" t="str">
            <v>-</v>
          </cell>
          <cell r="M121" t="str">
            <v>-</v>
          </cell>
        </row>
        <row r="122">
          <cell r="F122">
            <v>24</v>
          </cell>
          <cell r="L122" t="str">
            <v>-</v>
          </cell>
          <cell r="M122" t="str">
            <v>-</v>
          </cell>
        </row>
        <row r="123">
          <cell r="F123">
            <v>28</v>
          </cell>
          <cell r="L123" t="str">
            <v>-</v>
          </cell>
          <cell r="M123" t="str">
            <v>-</v>
          </cell>
        </row>
        <row r="124">
          <cell r="F124">
            <v>25</v>
          </cell>
          <cell r="L124" t="str">
            <v>-</v>
          </cell>
          <cell r="M124" t="str">
            <v>-</v>
          </cell>
        </row>
        <row r="125">
          <cell r="F125">
            <v>21</v>
          </cell>
          <cell r="L125" t="str">
            <v>-</v>
          </cell>
          <cell r="M125" t="str">
            <v>-</v>
          </cell>
        </row>
        <row r="126">
          <cell r="F126">
            <v>24</v>
          </cell>
          <cell r="L126" t="str">
            <v>-</v>
          </cell>
          <cell r="M126" t="str">
            <v>-</v>
          </cell>
        </row>
        <row r="127">
          <cell r="F127">
            <v>29</v>
          </cell>
          <cell r="L127" t="str">
            <v>-</v>
          </cell>
          <cell r="M127" t="str">
            <v>-</v>
          </cell>
        </row>
        <row r="128">
          <cell r="F128">
            <v>24</v>
          </cell>
          <cell r="L128" t="str">
            <v>-</v>
          </cell>
          <cell r="M128" t="str">
            <v>-</v>
          </cell>
        </row>
        <row r="129">
          <cell r="F129">
            <v>28</v>
          </cell>
          <cell r="L129" t="str">
            <v>-</v>
          </cell>
          <cell r="M129" t="str">
            <v>-</v>
          </cell>
        </row>
        <row r="130">
          <cell r="F130">
            <v>40</v>
          </cell>
          <cell r="L130" t="str">
            <v>-</v>
          </cell>
          <cell r="M130" t="str">
            <v>-</v>
          </cell>
        </row>
        <row r="131">
          <cell r="F131">
            <v>30</v>
          </cell>
          <cell r="L131" t="str">
            <v>-</v>
          </cell>
          <cell r="M131" t="str">
            <v>-</v>
          </cell>
        </row>
        <row r="132">
          <cell r="F132">
            <v>30</v>
          </cell>
          <cell r="L132" t="str">
            <v>-</v>
          </cell>
          <cell r="M132" t="str">
            <v>-</v>
          </cell>
        </row>
        <row r="133">
          <cell r="F133">
            <v>25</v>
          </cell>
          <cell r="L133" t="str">
            <v>-</v>
          </cell>
          <cell r="M133" t="str">
            <v>-</v>
          </cell>
        </row>
        <row r="134">
          <cell r="F134">
            <v>27</v>
          </cell>
          <cell r="L134" t="str">
            <v>-</v>
          </cell>
          <cell r="M134" t="str">
            <v>-</v>
          </cell>
        </row>
        <row r="135">
          <cell r="F135">
            <v>23</v>
          </cell>
          <cell r="L135" t="str">
            <v>-</v>
          </cell>
          <cell r="M135" t="str">
            <v>-</v>
          </cell>
        </row>
        <row r="136">
          <cell r="F136">
            <v>20</v>
          </cell>
          <cell r="L136" t="str">
            <v>-</v>
          </cell>
          <cell r="M136" t="str">
            <v>-</v>
          </cell>
        </row>
        <row r="137">
          <cell r="F137">
            <v>22</v>
          </cell>
          <cell r="L137" t="str">
            <v>-</v>
          </cell>
          <cell r="M137" t="str">
            <v>-</v>
          </cell>
        </row>
        <row r="138">
          <cell r="F138">
            <v>21</v>
          </cell>
          <cell r="L138" t="str">
            <v>INHIL</v>
          </cell>
          <cell r="M138" t="str">
            <v>-</v>
          </cell>
        </row>
        <row r="139">
          <cell r="F139">
            <v>27</v>
          </cell>
          <cell r="L139" t="str">
            <v>-</v>
          </cell>
          <cell r="M139" t="str">
            <v>-</v>
          </cell>
        </row>
        <row r="140">
          <cell r="F140">
            <v>32</v>
          </cell>
          <cell r="L140" t="str">
            <v>-</v>
          </cell>
          <cell r="M140" t="str">
            <v>-</v>
          </cell>
        </row>
        <row r="141">
          <cell r="F141">
            <v>33</v>
          </cell>
          <cell r="L141" t="str">
            <v>-</v>
          </cell>
          <cell r="M141" t="str">
            <v>-</v>
          </cell>
        </row>
        <row r="142">
          <cell r="F142">
            <v>38</v>
          </cell>
          <cell r="L142" t="str">
            <v>-</v>
          </cell>
          <cell r="M142" t="str">
            <v>-</v>
          </cell>
        </row>
        <row r="143">
          <cell r="F143">
            <v>27</v>
          </cell>
          <cell r="L143" t="str">
            <v>-</v>
          </cell>
          <cell r="M143" t="str">
            <v>-</v>
          </cell>
        </row>
        <row r="144">
          <cell r="F144">
            <v>30</v>
          </cell>
          <cell r="L144" t="str">
            <v>-</v>
          </cell>
          <cell r="M144" t="str">
            <v>-</v>
          </cell>
        </row>
        <row r="145">
          <cell r="F145">
            <v>35</v>
          </cell>
          <cell r="L145" t="str">
            <v>-</v>
          </cell>
          <cell r="M145" t="str">
            <v>-</v>
          </cell>
        </row>
        <row r="146">
          <cell r="F146">
            <v>28</v>
          </cell>
          <cell r="L146" t="str">
            <v>-</v>
          </cell>
          <cell r="M146" t="str">
            <v>-</v>
          </cell>
        </row>
        <row r="147">
          <cell r="F147">
            <v>25</v>
          </cell>
          <cell r="L147" t="str">
            <v>-</v>
          </cell>
          <cell r="M147" t="str">
            <v>-</v>
          </cell>
        </row>
        <row r="148">
          <cell r="F148">
            <v>27</v>
          </cell>
          <cell r="L148" t="str">
            <v>-</v>
          </cell>
          <cell r="M148" t="str">
            <v>-</v>
          </cell>
        </row>
        <row r="149">
          <cell r="F149">
            <v>22</v>
          </cell>
          <cell r="L149" t="str">
            <v>-</v>
          </cell>
          <cell r="M149" t="str">
            <v>-</v>
          </cell>
        </row>
        <row r="150">
          <cell r="F150">
            <v>19</v>
          </cell>
          <cell r="L150" t="str">
            <v>-</v>
          </cell>
          <cell r="M150" t="str">
            <v>-</v>
          </cell>
        </row>
        <row r="151">
          <cell r="F151">
            <v>23</v>
          </cell>
          <cell r="L151" t="str">
            <v>-</v>
          </cell>
          <cell r="M151" t="str">
            <v>-</v>
          </cell>
        </row>
        <row r="152">
          <cell r="F152">
            <v>24</v>
          </cell>
          <cell r="L152" t="str">
            <v>-</v>
          </cell>
          <cell r="M152" t="str">
            <v>-</v>
          </cell>
        </row>
        <row r="153">
          <cell r="F153">
            <v>21</v>
          </cell>
          <cell r="L153" t="str">
            <v>-</v>
          </cell>
          <cell r="M153" t="str">
            <v>-</v>
          </cell>
        </row>
        <row r="154">
          <cell r="F154">
            <v>20</v>
          </cell>
          <cell r="L154" t="str">
            <v>-</v>
          </cell>
          <cell r="M154" t="str">
            <v>-</v>
          </cell>
        </row>
        <row r="155">
          <cell r="F155">
            <v>21</v>
          </cell>
          <cell r="L155" t="str">
            <v>-</v>
          </cell>
          <cell r="M155" t="str">
            <v>-</v>
          </cell>
        </row>
        <row r="156">
          <cell r="F156">
            <v>19</v>
          </cell>
          <cell r="L156" t="str">
            <v>-</v>
          </cell>
          <cell r="M156" t="str">
            <v>-</v>
          </cell>
        </row>
        <row r="157">
          <cell r="F157">
            <v>21</v>
          </cell>
          <cell r="L157" t="str">
            <v>-</v>
          </cell>
          <cell r="M157" t="str">
            <v>-</v>
          </cell>
        </row>
        <row r="158">
          <cell r="F158">
            <v>19</v>
          </cell>
          <cell r="L158" t="str">
            <v>-</v>
          </cell>
          <cell r="M158" t="str">
            <v>-</v>
          </cell>
        </row>
        <row r="159">
          <cell r="F159">
            <v>27</v>
          </cell>
          <cell r="L159" t="str">
            <v>-</v>
          </cell>
          <cell r="M159" t="str">
            <v>-</v>
          </cell>
        </row>
        <row r="160">
          <cell r="F160">
            <v>23</v>
          </cell>
          <cell r="L160" t="str">
            <v>-</v>
          </cell>
          <cell r="M160" t="str">
            <v>-</v>
          </cell>
        </row>
        <row r="161">
          <cell r="F161">
            <v>24</v>
          </cell>
          <cell r="L161" t="str">
            <v>-</v>
          </cell>
          <cell r="M161" t="str">
            <v>-</v>
          </cell>
        </row>
        <row r="162">
          <cell r="F162">
            <v>24</v>
          </cell>
          <cell r="L162" t="str">
            <v>-</v>
          </cell>
          <cell r="M162" t="str">
            <v>-</v>
          </cell>
        </row>
        <row r="163">
          <cell r="F163">
            <v>25</v>
          </cell>
          <cell r="L163" t="str">
            <v>-</v>
          </cell>
          <cell r="M163" t="str">
            <v>-</v>
          </cell>
        </row>
        <row r="164">
          <cell r="F164">
            <v>23</v>
          </cell>
          <cell r="L164" t="str">
            <v>-</v>
          </cell>
          <cell r="M164" t="str">
            <v>-</v>
          </cell>
        </row>
        <row r="165">
          <cell r="F165">
            <v>26</v>
          </cell>
          <cell r="L165" t="str">
            <v>-</v>
          </cell>
          <cell r="M165" t="str">
            <v>-</v>
          </cell>
        </row>
        <row r="166">
          <cell r="F166">
            <v>26</v>
          </cell>
          <cell r="L166" t="str">
            <v>-</v>
          </cell>
          <cell r="M166" t="str">
            <v>-</v>
          </cell>
        </row>
        <row r="167">
          <cell r="F167">
            <v>25</v>
          </cell>
          <cell r="L167" t="str">
            <v>-</v>
          </cell>
          <cell r="M167" t="str">
            <v>-</v>
          </cell>
        </row>
        <row r="168">
          <cell r="F168">
            <v>25</v>
          </cell>
          <cell r="L168" t="str">
            <v>-</v>
          </cell>
          <cell r="M168" t="str">
            <v>-</v>
          </cell>
        </row>
        <row r="169">
          <cell r="F169">
            <v>22</v>
          </cell>
          <cell r="L169" t="str">
            <v>-</v>
          </cell>
          <cell r="M169" t="str">
            <v>-</v>
          </cell>
        </row>
        <row r="170">
          <cell r="F170">
            <v>24</v>
          </cell>
          <cell r="L170" t="str">
            <v>-</v>
          </cell>
          <cell r="M170" t="str">
            <v>-</v>
          </cell>
        </row>
        <row r="171">
          <cell r="F171">
            <v>23</v>
          </cell>
          <cell r="L171" t="str">
            <v>-</v>
          </cell>
          <cell r="M171" t="str">
            <v>-</v>
          </cell>
        </row>
        <row r="172">
          <cell r="F172">
            <v>23</v>
          </cell>
          <cell r="L172" t="str">
            <v>-</v>
          </cell>
          <cell r="M172" t="str">
            <v>-</v>
          </cell>
        </row>
        <row r="173">
          <cell r="F173">
            <v>21</v>
          </cell>
          <cell r="L173" t="str">
            <v>-</v>
          </cell>
          <cell r="M173" t="str">
            <v>-</v>
          </cell>
        </row>
        <row r="174">
          <cell r="F174">
            <v>24</v>
          </cell>
          <cell r="L174" t="str">
            <v>-</v>
          </cell>
          <cell r="M174" t="str">
            <v>-</v>
          </cell>
        </row>
        <row r="175">
          <cell r="F175">
            <v>20</v>
          </cell>
          <cell r="L175" t="str">
            <v>-</v>
          </cell>
          <cell r="M175" t="str">
            <v>-</v>
          </cell>
        </row>
        <row r="176">
          <cell r="F176">
            <v>24</v>
          </cell>
          <cell r="L176" t="str">
            <v>-</v>
          </cell>
          <cell r="M176" t="str">
            <v>-</v>
          </cell>
        </row>
        <row r="177">
          <cell r="F177">
            <v>20</v>
          </cell>
          <cell r="L177" t="str">
            <v>-</v>
          </cell>
          <cell r="M177" t="str">
            <v>-</v>
          </cell>
        </row>
        <row r="178">
          <cell r="F178">
            <v>22</v>
          </cell>
          <cell r="L178" t="str">
            <v>-</v>
          </cell>
          <cell r="M178" t="str">
            <v>-</v>
          </cell>
        </row>
        <row r="179">
          <cell r="F179">
            <v>18</v>
          </cell>
          <cell r="L179" t="str">
            <v>-</v>
          </cell>
          <cell r="M179" t="str">
            <v>-</v>
          </cell>
        </row>
        <row r="180">
          <cell r="F180">
            <v>18</v>
          </cell>
          <cell r="L180" t="str">
            <v>-</v>
          </cell>
          <cell r="M180" t="str">
            <v>-</v>
          </cell>
        </row>
        <row r="181">
          <cell r="F181">
            <v>21</v>
          </cell>
          <cell r="L181" t="str">
            <v>-</v>
          </cell>
          <cell r="M181" t="str">
            <v>-</v>
          </cell>
        </row>
        <row r="182">
          <cell r="F182">
            <v>21</v>
          </cell>
          <cell r="L182" t="str">
            <v>INHIL</v>
          </cell>
          <cell r="M182" t="str">
            <v>-</v>
          </cell>
        </row>
        <row r="183">
          <cell r="F183">
            <v>19</v>
          </cell>
          <cell r="L183" t="str">
            <v>-</v>
          </cell>
          <cell r="M183" t="str">
            <v>-</v>
          </cell>
        </row>
        <row r="184">
          <cell r="F184">
            <v>19</v>
          </cell>
          <cell r="L184" t="str">
            <v>-</v>
          </cell>
          <cell r="M184" t="str">
            <v>-</v>
          </cell>
        </row>
        <row r="185">
          <cell r="F185">
            <v>18</v>
          </cell>
          <cell r="L185" t="str">
            <v>-</v>
          </cell>
          <cell r="M185" t="str">
            <v>-</v>
          </cell>
        </row>
        <row r="186">
          <cell r="F186">
            <v>19</v>
          </cell>
          <cell r="L186" t="str">
            <v>-</v>
          </cell>
          <cell r="M186" t="str">
            <v>-</v>
          </cell>
        </row>
        <row r="187">
          <cell r="F187">
            <v>18</v>
          </cell>
          <cell r="L187" t="str">
            <v>-</v>
          </cell>
          <cell r="M187" t="str">
            <v>-</v>
          </cell>
        </row>
        <row r="188">
          <cell r="F188">
            <v>20</v>
          </cell>
          <cell r="L188" t="str">
            <v>-</v>
          </cell>
          <cell r="M188" t="str">
            <v>-</v>
          </cell>
        </row>
        <row r="189">
          <cell r="F189">
            <v>18</v>
          </cell>
          <cell r="L189" t="str">
            <v>-</v>
          </cell>
          <cell r="M189" t="str">
            <v>-</v>
          </cell>
        </row>
        <row r="190">
          <cell r="F190">
            <v>19</v>
          </cell>
          <cell r="L190" t="str">
            <v>-</v>
          </cell>
          <cell r="M190" t="str">
            <v>-</v>
          </cell>
        </row>
        <row r="191">
          <cell r="F191">
            <v>20</v>
          </cell>
          <cell r="L191" t="str">
            <v>-</v>
          </cell>
          <cell r="M191" t="str">
            <v>-</v>
          </cell>
        </row>
        <row r="192">
          <cell r="F192">
            <v>19</v>
          </cell>
          <cell r="L192" t="str">
            <v>-</v>
          </cell>
          <cell r="M192" t="str">
            <v>-</v>
          </cell>
        </row>
        <row r="193">
          <cell r="F193">
            <v>20</v>
          </cell>
          <cell r="L193" t="str">
            <v>-</v>
          </cell>
          <cell r="M193" t="str">
            <v>-</v>
          </cell>
        </row>
        <row r="194">
          <cell r="F194">
            <v>21</v>
          </cell>
          <cell r="L194" t="str">
            <v>-</v>
          </cell>
          <cell r="M194" t="str">
            <v>-</v>
          </cell>
        </row>
        <row r="195">
          <cell r="F195">
            <v>18</v>
          </cell>
          <cell r="L195" t="str">
            <v>-</v>
          </cell>
          <cell r="M195" t="str">
            <v>-</v>
          </cell>
        </row>
        <row r="196">
          <cell r="F196">
            <v>19</v>
          </cell>
          <cell r="L196" t="str">
            <v>-</v>
          </cell>
          <cell r="M196" t="str">
            <v>-</v>
          </cell>
        </row>
        <row r="197">
          <cell r="F197">
            <v>18</v>
          </cell>
          <cell r="L197" t="str">
            <v>-</v>
          </cell>
          <cell r="M197" t="str">
            <v>-</v>
          </cell>
        </row>
        <row r="198">
          <cell r="F198">
            <v>18</v>
          </cell>
          <cell r="L198" t="str">
            <v>-</v>
          </cell>
          <cell r="M198" t="str">
            <v>-</v>
          </cell>
        </row>
        <row r="199">
          <cell r="F199">
            <v>20</v>
          </cell>
          <cell r="L199" t="str">
            <v>-</v>
          </cell>
          <cell r="M199" t="str">
            <v>-</v>
          </cell>
        </row>
        <row r="200">
          <cell r="F200">
            <v>23</v>
          </cell>
          <cell r="L200" t="str">
            <v>-</v>
          </cell>
          <cell r="M200" t="str">
            <v>-</v>
          </cell>
        </row>
        <row r="201">
          <cell r="F201">
            <v>18</v>
          </cell>
          <cell r="L201" t="str">
            <v>-</v>
          </cell>
          <cell r="M201" t="str">
            <v>-</v>
          </cell>
        </row>
        <row r="202">
          <cell r="F202">
            <v>19</v>
          </cell>
          <cell r="L202" t="str">
            <v>-</v>
          </cell>
          <cell r="M202" t="str">
            <v>-</v>
          </cell>
        </row>
        <row r="203">
          <cell r="F203">
            <v>18</v>
          </cell>
          <cell r="L203" t="str">
            <v>-</v>
          </cell>
          <cell r="M203" t="str">
            <v>-</v>
          </cell>
        </row>
      </sheetData>
      <sheetData sheetId="18" refreshError="1">
        <row r="1">
          <cell r="A1" t="str">
            <v>F: E-PSN2\REKAP\Data-Kry</v>
          </cell>
        </row>
        <row r="2">
          <cell r="A2" t="str">
            <v>No</v>
          </cell>
          <cell r="B2" t="str">
            <v>NIK</v>
          </cell>
          <cell r="C2" t="str">
            <v>NAMA</v>
          </cell>
        </row>
        <row r="3">
          <cell r="F3" t="str">
            <v>THN</v>
          </cell>
        </row>
        <row r="4">
          <cell r="A4">
            <v>1</v>
          </cell>
          <cell r="B4">
            <v>8965</v>
          </cell>
          <cell r="C4" t="str">
            <v>ENIZA SOFITRI</v>
          </cell>
          <cell r="F4">
            <v>37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A5">
            <v>2</v>
          </cell>
          <cell r="B5">
            <v>11608</v>
          </cell>
          <cell r="C5" t="str">
            <v>SALMAN AL LATIF</v>
          </cell>
          <cell r="F5">
            <v>30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A6">
            <v>3</v>
          </cell>
          <cell r="B6">
            <v>11863</v>
          </cell>
          <cell r="C6" t="str">
            <v>SAIDIN SPd</v>
          </cell>
          <cell r="F6">
            <v>32</v>
          </cell>
          <cell r="J6" t="str">
            <v>-</v>
          </cell>
          <cell r="K6" t="str">
            <v>INHIL</v>
          </cell>
          <cell r="L6" t="str">
            <v>-</v>
          </cell>
          <cell r="M6" t="str">
            <v>-</v>
          </cell>
          <cell r="N6" t="str">
            <v>INHIL</v>
          </cell>
        </row>
        <row r="7">
          <cell r="F7">
            <v>26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No</v>
          </cell>
        </row>
        <row r="8">
          <cell r="F8">
            <v>30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No</v>
          </cell>
        </row>
        <row r="9">
          <cell r="F9">
            <v>33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35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No</v>
          </cell>
        </row>
        <row r="11">
          <cell r="F11">
            <v>24</v>
          </cell>
          <cell r="J11" t="str">
            <v>INHIL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30</v>
          </cell>
          <cell r="J12" t="str">
            <v>-</v>
          </cell>
          <cell r="K12" t="str">
            <v>INHIL</v>
          </cell>
          <cell r="L12" t="str">
            <v>-</v>
          </cell>
          <cell r="M12" t="str">
            <v>-</v>
          </cell>
          <cell r="N12" t="str">
            <v>INHIL</v>
          </cell>
        </row>
        <row r="13">
          <cell r="F13">
            <v>21</v>
          </cell>
          <cell r="J13" t="str">
            <v>INHIL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23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No</v>
          </cell>
        </row>
        <row r="15">
          <cell r="F15">
            <v>26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No</v>
          </cell>
        </row>
        <row r="16">
          <cell r="F16">
            <v>26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No</v>
          </cell>
        </row>
      </sheetData>
      <sheetData sheetId="19" refreshError="1">
        <row r="1">
          <cell r="A1" t="str">
            <v>F: E-PSN2\REKAP\Data-Kry</v>
          </cell>
        </row>
        <row r="2">
          <cell r="A2" t="str">
            <v>No</v>
          </cell>
          <cell r="B2" t="str">
            <v>NIK</v>
          </cell>
          <cell r="C2" t="str">
            <v>NAMA</v>
          </cell>
        </row>
        <row r="3">
          <cell r="F3" t="str">
            <v>THN</v>
          </cell>
        </row>
        <row r="4">
          <cell r="A4">
            <v>1</v>
          </cell>
          <cell r="B4">
            <v>10278</v>
          </cell>
          <cell r="C4" t="str">
            <v>SURIYANI</v>
          </cell>
          <cell r="F4">
            <v>26</v>
          </cell>
          <cell r="J4" t="str">
            <v>INHIL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F5">
            <v>24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21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No</v>
          </cell>
        </row>
        <row r="7">
          <cell r="F7">
            <v>33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INHIL</v>
          </cell>
        </row>
        <row r="8">
          <cell r="F8">
            <v>30</v>
          </cell>
          <cell r="J8" t="str">
            <v>INHIL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INHIL</v>
          </cell>
        </row>
        <row r="9">
          <cell r="F9">
            <v>32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30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INHIL</v>
          </cell>
        </row>
        <row r="11">
          <cell r="F11">
            <v>29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29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INHIL</v>
          </cell>
        </row>
        <row r="13">
          <cell r="F13">
            <v>26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32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No</v>
          </cell>
        </row>
        <row r="15">
          <cell r="F15">
            <v>28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INHIL</v>
          </cell>
        </row>
        <row r="16">
          <cell r="F16">
            <v>31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INHIL</v>
          </cell>
        </row>
        <row r="17">
          <cell r="F17">
            <v>30</v>
          </cell>
          <cell r="J17" t="str">
            <v>-</v>
          </cell>
          <cell r="K17" t="str">
            <v>-</v>
          </cell>
          <cell r="L17" t="str">
            <v>INHIL</v>
          </cell>
          <cell r="M17" t="str">
            <v>-</v>
          </cell>
          <cell r="N17" t="str">
            <v>INHIL</v>
          </cell>
        </row>
        <row r="18">
          <cell r="F18">
            <v>31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INHIL</v>
          </cell>
        </row>
        <row r="19">
          <cell r="F19">
            <v>26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INHIL</v>
          </cell>
        </row>
        <row r="20">
          <cell r="F20">
            <v>29</v>
          </cell>
          <cell r="J20" t="str">
            <v>-</v>
          </cell>
          <cell r="K20" t="str">
            <v>-</v>
          </cell>
          <cell r="L20" t="str">
            <v>-</v>
          </cell>
          <cell r="M20" t="str">
            <v>-</v>
          </cell>
          <cell r="N20" t="str">
            <v>INHIL</v>
          </cell>
        </row>
        <row r="21">
          <cell r="F21">
            <v>26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No</v>
          </cell>
        </row>
        <row r="22">
          <cell r="F22">
            <v>20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No</v>
          </cell>
        </row>
        <row r="23">
          <cell r="F23">
            <v>35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INHIL</v>
          </cell>
        </row>
        <row r="24">
          <cell r="F24">
            <v>36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INHIL</v>
          </cell>
        </row>
        <row r="25">
          <cell r="F25">
            <v>26</v>
          </cell>
          <cell r="J25" t="str">
            <v>INHIL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INHIL</v>
          </cell>
        </row>
        <row r="26">
          <cell r="F26">
            <v>25</v>
          </cell>
          <cell r="J26" t="str">
            <v>-</v>
          </cell>
          <cell r="K26" t="str">
            <v>-</v>
          </cell>
          <cell r="L26" t="str">
            <v>-</v>
          </cell>
          <cell r="M26" t="str">
            <v>-</v>
          </cell>
          <cell r="N26" t="str">
            <v>INHIL</v>
          </cell>
        </row>
        <row r="27">
          <cell r="F27">
            <v>34</v>
          </cell>
          <cell r="J27" t="str">
            <v>-</v>
          </cell>
          <cell r="K27" t="str">
            <v>-</v>
          </cell>
          <cell r="L27" t="str">
            <v>-</v>
          </cell>
          <cell r="M27" t="str">
            <v>-</v>
          </cell>
          <cell r="N27" t="str">
            <v>INHIL</v>
          </cell>
        </row>
        <row r="28">
          <cell r="F28">
            <v>27</v>
          </cell>
          <cell r="J28" t="str">
            <v>-</v>
          </cell>
          <cell r="K28" t="str">
            <v>-</v>
          </cell>
          <cell r="L28" t="str">
            <v>-</v>
          </cell>
          <cell r="M28" t="str">
            <v>-</v>
          </cell>
          <cell r="N28" t="str">
            <v>INHIL</v>
          </cell>
        </row>
        <row r="29">
          <cell r="F29">
            <v>30</v>
          </cell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N29" t="str">
            <v>INHIL</v>
          </cell>
        </row>
        <row r="30">
          <cell r="F30">
            <v>23</v>
          </cell>
          <cell r="J30" t="str">
            <v>-</v>
          </cell>
          <cell r="K30" t="str">
            <v>-</v>
          </cell>
          <cell r="L30" t="str">
            <v>-</v>
          </cell>
          <cell r="M30" t="str">
            <v>-</v>
          </cell>
          <cell r="N30" t="str">
            <v>INHIL</v>
          </cell>
        </row>
        <row r="31">
          <cell r="F31">
            <v>34</v>
          </cell>
          <cell r="J31" t="str">
            <v>-</v>
          </cell>
          <cell r="K31" t="str">
            <v>-</v>
          </cell>
          <cell r="L31" t="str">
            <v>-</v>
          </cell>
          <cell r="M31" t="str">
            <v>-</v>
          </cell>
          <cell r="N31" t="str">
            <v>INHIL</v>
          </cell>
        </row>
        <row r="32">
          <cell r="F32">
            <v>23</v>
          </cell>
          <cell r="J32" t="str">
            <v>-</v>
          </cell>
          <cell r="K32" t="str">
            <v>-</v>
          </cell>
          <cell r="L32" t="str">
            <v>-</v>
          </cell>
          <cell r="M32" t="str">
            <v>-</v>
          </cell>
          <cell r="N32" t="str">
            <v>INHIL</v>
          </cell>
        </row>
        <row r="33">
          <cell r="F33">
            <v>23</v>
          </cell>
          <cell r="J33" t="str">
            <v>-</v>
          </cell>
          <cell r="K33" t="str">
            <v>-</v>
          </cell>
          <cell r="L33" t="str">
            <v>-</v>
          </cell>
          <cell r="M33" t="str">
            <v>-</v>
          </cell>
          <cell r="N33" t="str">
            <v>INHIL</v>
          </cell>
        </row>
        <row r="34">
          <cell r="F34">
            <v>31</v>
          </cell>
          <cell r="J34" t="str">
            <v>-</v>
          </cell>
          <cell r="K34" t="str">
            <v>-</v>
          </cell>
          <cell r="L34" t="str">
            <v>-</v>
          </cell>
          <cell r="M34" t="str">
            <v>-</v>
          </cell>
          <cell r="N34" t="str">
            <v>INHIL</v>
          </cell>
        </row>
        <row r="35">
          <cell r="F35">
            <v>23</v>
          </cell>
          <cell r="J35" t="str">
            <v>-</v>
          </cell>
          <cell r="K35" t="str">
            <v>-</v>
          </cell>
          <cell r="L35" t="str">
            <v>-</v>
          </cell>
          <cell r="M35" t="str">
            <v>-</v>
          </cell>
          <cell r="N35" t="str">
            <v>INHIL</v>
          </cell>
        </row>
        <row r="36">
          <cell r="F36">
            <v>21</v>
          </cell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 t="str">
            <v>No</v>
          </cell>
        </row>
        <row r="37">
          <cell r="F37">
            <v>27</v>
          </cell>
          <cell r="J37" t="str">
            <v>-</v>
          </cell>
          <cell r="K37" t="str">
            <v>-</v>
          </cell>
          <cell r="L37" t="str">
            <v>-</v>
          </cell>
          <cell r="M37" t="str">
            <v>-</v>
          </cell>
          <cell r="N37" t="str">
            <v>INHIL</v>
          </cell>
        </row>
        <row r="38">
          <cell r="F38">
            <v>36</v>
          </cell>
          <cell r="J38" t="str">
            <v>-</v>
          </cell>
          <cell r="K38" t="str">
            <v>-</v>
          </cell>
          <cell r="L38" t="str">
            <v>-</v>
          </cell>
          <cell r="M38" t="str">
            <v>-</v>
          </cell>
          <cell r="N38" t="str">
            <v>INHIL</v>
          </cell>
        </row>
        <row r="39">
          <cell r="F39">
            <v>27</v>
          </cell>
          <cell r="J39" t="str">
            <v>-</v>
          </cell>
          <cell r="K39" t="str">
            <v>-</v>
          </cell>
          <cell r="L39" t="str">
            <v>-</v>
          </cell>
          <cell r="M39" t="str">
            <v>-</v>
          </cell>
          <cell r="N39" t="str">
            <v>INHIL</v>
          </cell>
        </row>
        <row r="40">
          <cell r="F40">
            <v>26</v>
          </cell>
          <cell r="J40" t="str">
            <v>-</v>
          </cell>
          <cell r="K40" t="str">
            <v>-</v>
          </cell>
          <cell r="L40" t="str">
            <v>-</v>
          </cell>
          <cell r="M40" t="str">
            <v>-</v>
          </cell>
          <cell r="N40" t="str">
            <v>INHIL</v>
          </cell>
        </row>
        <row r="41">
          <cell r="F41">
            <v>27</v>
          </cell>
          <cell r="J41" t="str">
            <v>-</v>
          </cell>
          <cell r="K41" t="str">
            <v>-</v>
          </cell>
          <cell r="L41" t="str">
            <v>-</v>
          </cell>
          <cell r="M41" t="str">
            <v>-</v>
          </cell>
          <cell r="N41" t="str">
            <v>INHIL</v>
          </cell>
        </row>
        <row r="42">
          <cell r="F42">
            <v>50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INHIL</v>
          </cell>
        </row>
        <row r="43">
          <cell r="F43">
            <v>32</v>
          </cell>
          <cell r="J43" t="str">
            <v>-</v>
          </cell>
          <cell r="K43" t="str">
            <v>-</v>
          </cell>
          <cell r="L43" t="str">
            <v>-</v>
          </cell>
          <cell r="M43" t="str">
            <v>-</v>
          </cell>
          <cell r="N43" t="str">
            <v>INHIL</v>
          </cell>
        </row>
        <row r="44">
          <cell r="F44">
            <v>27</v>
          </cell>
          <cell r="J44" t="str">
            <v>-</v>
          </cell>
          <cell r="K44" t="str">
            <v>-</v>
          </cell>
          <cell r="L44" t="str">
            <v>-</v>
          </cell>
          <cell r="M44" t="str">
            <v>-</v>
          </cell>
          <cell r="N44" t="str">
            <v>INHIL</v>
          </cell>
        </row>
        <row r="45">
          <cell r="F45">
            <v>21</v>
          </cell>
          <cell r="J45" t="str">
            <v>-</v>
          </cell>
          <cell r="K45" t="str">
            <v>-</v>
          </cell>
          <cell r="L45" t="str">
            <v>-</v>
          </cell>
          <cell r="M45" t="str">
            <v>-</v>
          </cell>
          <cell r="N45" t="str">
            <v>INHIL</v>
          </cell>
        </row>
        <row r="46">
          <cell r="F46">
            <v>24</v>
          </cell>
          <cell r="J46" t="str">
            <v>-</v>
          </cell>
          <cell r="K46" t="str">
            <v>-</v>
          </cell>
          <cell r="L46" t="str">
            <v>INHIL</v>
          </cell>
          <cell r="M46" t="str">
            <v>-</v>
          </cell>
          <cell r="N46" t="str">
            <v>INHIL</v>
          </cell>
        </row>
        <row r="47">
          <cell r="F47">
            <v>30</v>
          </cell>
          <cell r="J47" t="str">
            <v>-</v>
          </cell>
          <cell r="K47" t="str">
            <v>-</v>
          </cell>
          <cell r="L47" t="str">
            <v>-</v>
          </cell>
          <cell r="M47" t="str">
            <v>-</v>
          </cell>
          <cell r="N47" t="str">
            <v>INHIL</v>
          </cell>
        </row>
        <row r="48">
          <cell r="F48">
            <v>31</v>
          </cell>
          <cell r="J48" t="str">
            <v>-</v>
          </cell>
          <cell r="K48" t="str">
            <v>-</v>
          </cell>
          <cell r="L48" t="str">
            <v>-</v>
          </cell>
          <cell r="M48" t="str">
            <v>-</v>
          </cell>
          <cell r="N48" t="str">
            <v>INHIL</v>
          </cell>
        </row>
        <row r="49">
          <cell r="F49">
            <v>22</v>
          </cell>
          <cell r="J49" t="str">
            <v>-</v>
          </cell>
          <cell r="K49" t="str">
            <v>-</v>
          </cell>
          <cell r="L49" t="str">
            <v>-</v>
          </cell>
          <cell r="M49" t="str">
            <v>-</v>
          </cell>
          <cell r="N49" t="str">
            <v>INHIL</v>
          </cell>
        </row>
        <row r="50">
          <cell r="F50">
            <v>36</v>
          </cell>
          <cell r="J50" t="str">
            <v>-</v>
          </cell>
          <cell r="K50" t="str">
            <v>-</v>
          </cell>
          <cell r="L50" t="str">
            <v>-</v>
          </cell>
          <cell r="M50" t="str">
            <v>-</v>
          </cell>
          <cell r="N50" t="str">
            <v>INHIL</v>
          </cell>
        </row>
        <row r="51">
          <cell r="F51">
            <v>25</v>
          </cell>
          <cell r="J51" t="str">
            <v>-</v>
          </cell>
          <cell r="K51" t="str">
            <v>-</v>
          </cell>
          <cell r="L51" t="str">
            <v>-</v>
          </cell>
          <cell r="M51" t="str">
            <v>-</v>
          </cell>
          <cell r="N51" t="str">
            <v>INHIL</v>
          </cell>
        </row>
        <row r="52">
          <cell r="F52">
            <v>33</v>
          </cell>
          <cell r="J52" t="str">
            <v>-</v>
          </cell>
          <cell r="K52" t="str">
            <v>-</v>
          </cell>
          <cell r="L52" t="str">
            <v>-</v>
          </cell>
          <cell r="M52" t="str">
            <v>-</v>
          </cell>
          <cell r="N52" t="str">
            <v>INHIL</v>
          </cell>
        </row>
        <row r="53">
          <cell r="F53">
            <v>20</v>
          </cell>
          <cell r="J53" t="str">
            <v>-</v>
          </cell>
          <cell r="K53" t="str">
            <v>-</v>
          </cell>
          <cell r="L53" t="str">
            <v>INHIL</v>
          </cell>
          <cell r="M53" t="str">
            <v>-</v>
          </cell>
          <cell r="N53" t="str">
            <v>INHIL</v>
          </cell>
        </row>
        <row r="54">
          <cell r="F54">
            <v>36</v>
          </cell>
          <cell r="J54" t="str">
            <v>-</v>
          </cell>
          <cell r="K54" t="str">
            <v>INHIL</v>
          </cell>
          <cell r="L54" t="str">
            <v>-</v>
          </cell>
          <cell r="M54" t="str">
            <v>-</v>
          </cell>
          <cell r="N54" t="str">
            <v>INHIL</v>
          </cell>
        </row>
        <row r="55">
          <cell r="F55">
            <v>25</v>
          </cell>
          <cell r="J55" t="str">
            <v>-</v>
          </cell>
          <cell r="K55" t="str">
            <v>-</v>
          </cell>
          <cell r="L55" t="str">
            <v>-</v>
          </cell>
          <cell r="M55" t="str">
            <v>-</v>
          </cell>
          <cell r="N55" t="str">
            <v>INHIL</v>
          </cell>
        </row>
        <row r="56">
          <cell r="F56">
            <v>22</v>
          </cell>
          <cell r="J56" t="str">
            <v>-</v>
          </cell>
          <cell r="K56" t="str">
            <v>-</v>
          </cell>
          <cell r="L56" t="str">
            <v>-</v>
          </cell>
          <cell r="M56" t="str">
            <v>-</v>
          </cell>
          <cell r="N56" t="str">
            <v>INHIL</v>
          </cell>
        </row>
        <row r="57">
          <cell r="F57">
            <v>19</v>
          </cell>
          <cell r="J57" t="str">
            <v>-</v>
          </cell>
          <cell r="K57" t="str">
            <v>-</v>
          </cell>
          <cell r="L57" t="str">
            <v>-</v>
          </cell>
          <cell r="M57" t="str">
            <v>-</v>
          </cell>
          <cell r="N57" t="str">
            <v>No</v>
          </cell>
        </row>
        <row r="58">
          <cell r="F58">
            <v>29</v>
          </cell>
          <cell r="J58" t="str">
            <v>-</v>
          </cell>
          <cell r="K58" t="str">
            <v>-</v>
          </cell>
          <cell r="L58" t="str">
            <v>-</v>
          </cell>
          <cell r="M58" t="str">
            <v>-</v>
          </cell>
          <cell r="N58" t="str">
            <v>INHIL</v>
          </cell>
        </row>
        <row r="59">
          <cell r="F59">
            <v>31</v>
          </cell>
          <cell r="J59" t="str">
            <v>-</v>
          </cell>
          <cell r="K59" t="str">
            <v>-</v>
          </cell>
          <cell r="L59" t="str">
            <v>-</v>
          </cell>
          <cell r="M59" t="str">
            <v>-</v>
          </cell>
          <cell r="N59" t="str">
            <v>INHIL</v>
          </cell>
        </row>
        <row r="60">
          <cell r="F60">
            <v>28</v>
          </cell>
          <cell r="J60" t="str">
            <v>-</v>
          </cell>
          <cell r="K60" t="str">
            <v>-</v>
          </cell>
          <cell r="L60" t="str">
            <v>-</v>
          </cell>
          <cell r="M60" t="str">
            <v>-</v>
          </cell>
          <cell r="N60" t="str">
            <v>No</v>
          </cell>
        </row>
        <row r="61">
          <cell r="F61">
            <v>27</v>
          </cell>
          <cell r="J61" t="str">
            <v>-</v>
          </cell>
          <cell r="K61" t="str">
            <v>-</v>
          </cell>
          <cell r="L61" t="str">
            <v>-</v>
          </cell>
          <cell r="M61" t="str">
            <v>-</v>
          </cell>
          <cell r="N61" t="str">
            <v>INHIL</v>
          </cell>
        </row>
        <row r="62">
          <cell r="F62">
            <v>35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No</v>
          </cell>
        </row>
        <row r="63">
          <cell r="F63">
            <v>30</v>
          </cell>
          <cell r="J63" t="str">
            <v>-</v>
          </cell>
          <cell r="K63" t="str">
            <v>-</v>
          </cell>
          <cell r="L63" t="str">
            <v>-</v>
          </cell>
          <cell r="M63" t="str">
            <v>-</v>
          </cell>
          <cell r="N63" t="str">
            <v>INHIL</v>
          </cell>
        </row>
        <row r="64">
          <cell r="F64">
            <v>28</v>
          </cell>
          <cell r="J64" t="str">
            <v>-</v>
          </cell>
          <cell r="K64" t="str">
            <v>-</v>
          </cell>
          <cell r="L64" t="str">
            <v>-</v>
          </cell>
          <cell r="M64" t="str">
            <v>-</v>
          </cell>
          <cell r="N64" t="str">
            <v>INHIL</v>
          </cell>
        </row>
        <row r="65">
          <cell r="F65">
            <v>35</v>
          </cell>
          <cell r="J65" t="str">
            <v>-</v>
          </cell>
          <cell r="K65" t="str">
            <v>-</v>
          </cell>
          <cell r="L65" t="str">
            <v>-</v>
          </cell>
          <cell r="M65" t="str">
            <v>-</v>
          </cell>
          <cell r="N65" t="str">
            <v>INHIL</v>
          </cell>
        </row>
        <row r="66">
          <cell r="F66">
            <v>41</v>
          </cell>
          <cell r="J66" t="str">
            <v>-</v>
          </cell>
          <cell r="K66" t="str">
            <v>INHIL</v>
          </cell>
          <cell r="L66" t="str">
            <v>-</v>
          </cell>
          <cell r="M66" t="str">
            <v>-</v>
          </cell>
          <cell r="N66" t="str">
            <v>INHIL</v>
          </cell>
        </row>
        <row r="67">
          <cell r="F67">
            <v>30</v>
          </cell>
          <cell r="J67" t="str">
            <v>-</v>
          </cell>
          <cell r="K67" t="str">
            <v>-</v>
          </cell>
          <cell r="L67" t="str">
            <v>-</v>
          </cell>
          <cell r="M67" t="str">
            <v>-</v>
          </cell>
          <cell r="N67" t="str">
            <v>INHIL</v>
          </cell>
        </row>
        <row r="68">
          <cell r="F68">
            <v>30</v>
          </cell>
          <cell r="J68" t="str">
            <v>-</v>
          </cell>
          <cell r="K68" t="str">
            <v>-</v>
          </cell>
          <cell r="L68" t="str">
            <v>-</v>
          </cell>
          <cell r="M68" t="str">
            <v>-</v>
          </cell>
          <cell r="N68" t="str">
            <v>INHIL</v>
          </cell>
        </row>
        <row r="69">
          <cell r="F69">
            <v>31</v>
          </cell>
          <cell r="J69" t="str">
            <v>-</v>
          </cell>
          <cell r="K69" t="str">
            <v>-</v>
          </cell>
          <cell r="L69" t="str">
            <v>-</v>
          </cell>
          <cell r="M69" t="str">
            <v>-</v>
          </cell>
          <cell r="N69" t="str">
            <v>INHIL</v>
          </cell>
        </row>
        <row r="70">
          <cell r="F70">
            <v>28</v>
          </cell>
          <cell r="J70" t="str">
            <v>-</v>
          </cell>
          <cell r="K70" t="str">
            <v>-</v>
          </cell>
          <cell r="L70" t="str">
            <v>-</v>
          </cell>
          <cell r="M70" t="str">
            <v>-</v>
          </cell>
          <cell r="N70" t="str">
            <v>INHIL</v>
          </cell>
        </row>
        <row r="71">
          <cell r="F71">
            <v>31</v>
          </cell>
          <cell r="J71" t="str">
            <v>-</v>
          </cell>
          <cell r="K71" t="str">
            <v>-</v>
          </cell>
          <cell r="L71" t="str">
            <v>-</v>
          </cell>
          <cell r="M71" t="str">
            <v>-</v>
          </cell>
          <cell r="N71" t="str">
            <v>INHIL</v>
          </cell>
        </row>
        <row r="72">
          <cell r="F72">
            <v>25</v>
          </cell>
          <cell r="J72" t="str">
            <v>-</v>
          </cell>
          <cell r="K72" t="str">
            <v>-</v>
          </cell>
          <cell r="L72" t="str">
            <v>-</v>
          </cell>
          <cell r="M72" t="str">
            <v>-</v>
          </cell>
          <cell r="N72" t="str">
            <v>INHIL</v>
          </cell>
        </row>
        <row r="73">
          <cell r="F73">
            <v>22</v>
          </cell>
          <cell r="J73" t="str">
            <v>-</v>
          </cell>
          <cell r="K73" t="str">
            <v>-</v>
          </cell>
          <cell r="L73" t="str">
            <v>-</v>
          </cell>
          <cell r="M73" t="str">
            <v>-</v>
          </cell>
          <cell r="N73" t="str">
            <v>INHIL</v>
          </cell>
        </row>
        <row r="74">
          <cell r="F74">
            <v>25</v>
          </cell>
          <cell r="J74" t="str">
            <v>-</v>
          </cell>
          <cell r="K74" t="str">
            <v>-</v>
          </cell>
          <cell r="L74" t="str">
            <v>-</v>
          </cell>
          <cell r="M74" t="str">
            <v>-</v>
          </cell>
          <cell r="N74" t="str">
            <v>INHIL</v>
          </cell>
        </row>
        <row r="75">
          <cell r="F75">
            <v>28</v>
          </cell>
          <cell r="J75" t="str">
            <v>-</v>
          </cell>
          <cell r="K75" t="str">
            <v>-</v>
          </cell>
          <cell r="L75" t="str">
            <v>-</v>
          </cell>
          <cell r="M75" t="str">
            <v>-</v>
          </cell>
          <cell r="N75" t="str">
            <v>INHIL</v>
          </cell>
        </row>
        <row r="76">
          <cell r="F76">
            <v>23</v>
          </cell>
          <cell r="J76" t="str">
            <v>-</v>
          </cell>
          <cell r="K76" t="str">
            <v>-</v>
          </cell>
          <cell r="L76" t="str">
            <v>-</v>
          </cell>
          <cell r="M76" t="str">
            <v>-</v>
          </cell>
          <cell r="N76" t="str">
            <v>No</v>
          </cell>
        </row>
        <row r="77">
          <cell r="F77">
            <v>24</v>
          </cell>
          <cell r="J77" t="str">
            <v>-</v>
          </cell>
          <cell r="K77" t="str">
            <v>-</v>
          </cell>
          <cell r="L77" t="str">
            <v>-</v>
          </cell>
          <cell r="M77" t="str">
            <v>-</v>
          </cell>
          <cell r="N77" t="str">
            <v>No</v>
          </cell>
        </row>
        <row r="78">
          <cell r="F78">
            <v>20</v>
          </cell>
          <cell r="J78" t="str">
            <v>-</v>
          </cell>
          <cell r="K78" t="str">
            <v>-</v>
          </cell>
          <cell r="L78" t="str">
            <v>-</v>
          </cell>
          <cell r="M78" t="str">
            <v>-</v>
          </cell>
          <cell r="N78" t="str">
            <v>No</v>
          </cell>
        </row>
        <row r="79">
          <cell r="F79">
            <v>21</v>
          </cell>
          <cell r="J79" t="str">
            <v>-</v>
          </cell>
          <cell r="K79" t="str">
            <v>-</v>
          </cell>
          <cell r="L79" t="str">
            <v>-</v>
          </cell>
          <cell r="M79" t="str">
            <v>-</v>
          </cell>
          <cell r="N79" t="str">
            <v>No</v>
          </cell>
        </row>
        <row r="80">
          <cell r="F80">
            <v>24</v>
          </cell>
          <cell r="J80" t="str">
            <v>-</v>
          </cell>
          <cell r="K80" t="str">
            <v>INHIL</v>
          </cell>
          <cell r="L80" t="str">
            <v>-</v>
          </cell>
          <cell r="M80" t="str">
            <v>-</v>
          </cell>
          <cell r="N80" t="str">
            <v>INHIL</v>
          </cell>
        </row>
        <row r="81">
          <cell r="F81">
            <v>20</v>
          </cell>
          <cell r="J81" t="str">
            <v>-</v>
          </cell>
          <cell r="K81" t="str">
            <v>-</v>
          </cell>
          <cell r="L81" t="str">
            <v>-</v>
          </cell>
          <cell r="M81" t="str">
            <v>-</v>
          </cell>
          <cell r="N81" t="str">
            <v>No</v>
          </cell>
        </row>
        <row r="82">
          <cell r="F82">
            <v>23</v>
          </cell>
          <cell r="J82" t="str">
            <v>-</v>
          </cell>
          <cell r="K82" t="str">
            <v>INHIL</v>
          </cell>
          <cell r="L82" t="str">
            <v>-</v>
          </cell>
          <cell r="M82" t="str">
            <v>-</v>
          </cell>
          <cell r="N82" t="str">
            <v>INHIL</v>
          </cell>
        </row>
        <row r="83">
          <cell r="F83">
            <v>21</v>
          </cell>
          <cell r="J83" t="str">
            <v>-</v>
          </cell>
          <cell r="K83" t="str">
            <v>-</v>
          </cell>
          <cell r="L83" t="str">
            <v>-</v>
          </cell>
          <cell r="M83" t="str">
            <v>-</v>
          </cell>
          <cell r="N83" t="str">
            <v>INHIL</v>
          </cell>
        </row>
        <row r="84">
          <cell r="F84">
            <v>26</v>
          </cell>
          <cell r="J84" t="str">
            <v>-</v>
          </cell>
          <cell r="K84" t="str">
            <v>-</v>
          </cell>
          <cell r="L84" t="str">
            <v>-</v>
          </cell>
          <cell r="M84" t="str">
            <v>-</v>
          </cell>
          <cell r="N84" t="str">
            <v>No</v>
          </cell>
        </row>
        <row r="85">
          <cell r="F85">
            <v>23</v>
          </cell>
          <cell r="J85" t="str">
            <v>-</v>
          </cell>
          <cell r="K85" t="str">
            <v>-</v>
          </cell>
          <cell r="L85" t="str">
            <v>INHIL</v>
          </cell>
          <cell r="M85" t="str">
            <v>-</v>
          </cell>
          <cell r="N85" t="str">
            <v>INHIL</v>
          </cell>
        </row>
        <row r="86">
          <cell r="F86">
            <v>27</v>
          </cell>
          <cell r="J86" t="str">
            <v>-</v>
          </cell>
          <cell r="K86" t="str">
            <v>-</v>
          </cell>
          <cell r="L86" t="str">
            <v>-</v>
          </cell>
          <cell r="M86" t="str">
            <v>-</v>
          </cell>
          <cell r="N86" t="str">
            <v>No</v>
          </cell>
        </row>
        <row r="87">
          <cell r="F87">
            <v>25</v>
          </cell>
          <cell r="J87" t="str">
            <v>-</v>
          </cell>
          <cell r="K87" t="str">
            <v>-</v>
          </cell>
          <cell r="L87" t="str">
            <v>-</v>
          </cell>
          <cell r="M87" t="str">
            <v>-</v>
          </cell>
          <cell r="N87" t="str">
            <v>No</v>
          </cell>
        </row>
        <row r="88">
          <cell r="F88">
            <v>35</v>
          </cell>
          <cell r="J88" t="str">
            <v>-</v>
          </cell>
          <cell r="K88" t="str">
            <v>-</v>
          </cell>
          <cell r="L88" t="str">
            <v>-</v>
          </cell>
          <cell r="M88" t="str">
            <v>-</v>
          </cell>
          <cell r="N88" t="str">
            <v>INHIL</v>
          </cell>
        </row>
        <row r="89">
          <cell r="F89">
            <v>33</v>
          </cell>
          <cell r="J89" t="str">
            <v>INHIL</v>
          </cell>
          <cell r="K89" t="str">
            <v>-</v>
          </cell>
          <cell r="L89" t="str">
            <v>-</v>
          </cell>
          <cell r="M89" t="str">
            <v>-</v>
          </cell>
          <cell r="N89" t="str">
            <v>INHIL</v>
          </cell>
        </row>
        <row r="90">
          <cell r="F90">
            <v>34</v>
          </cell>
          <cell r="J90" t="str">
            <v>-</v>
          </cell>
          <cell r="K90" t="str">
            <v>-</v>
          </cell>
          <cell r="L90" t="str">
            <v>-</v>
          </cell>
          <cell r="M90" t="str">
            <v>-</v>
          </cell>
          <cell r="N90" t="str">
            <v>INHIL</v>
          </cell>
        </row>
        <row r="91">
          <cell r="F91">
            <v>32</v>
          </cell>
          <cell r="J91" t="str">
            <v>-</v>
          </cell>
          <cell r="K91" t="str">
            <v>-</v>
          </cell>
          <cell r="L91" t="str">
            <v>-</v>
          </cell>
          <cell r="M91" t="str">
            <v>-</v>
          </cell>
          <cell r="N91" t="str">
            <v>INHIL</v>
          </cell>
        </row>
        <row r="92">
          <cell r="F92">
            <v>32</v>
          </cell>
          <cell r="J92" t="str">
            <v>-</v>
          </cell>
          <cell r="K92" t="str">
            <v>-</v>
          </cell>
          <cell r="L92" t="str">
            <v>-</v>
          </cell>
          <cell r="M92" t="str">
            <v>-</v>
          </cell>
          <cell r="N92" t="str">
            <v>INHIL</v>
          </cell>
        </row>
        <row r="93">
          <cell r="F93">
            <v>32</v>
          </cell>
          <cell r="J93" t="str">
            <v>-</v>
          </cell>
          <cell r="K93" t="str">
            <v>-</v>
          </cell>
          <cell r="L93" t="str">
            <v>-</v>
          </cell>
          <cell r="M93" t="str">
            <v>-</v>
          </cell>
          <cell r="N93" t="str">
            <v>INHIL</v>
          </cell>
        </row>
        <row r="94">
          <cell r="F94">
            <v>31</v>
          </cell>
          <cell r="J94" t="str">
            <v>-</v>
          </cell>
          <cell r="K94" t="str">
            <v>-</v>
          </cell>
          <cell r="L94" t="str">
            <v>-</v>
          </cell>
          <cell r="M94" t="str">
            <v>-</v>
          </cell>
          <cell r="N94" t="str">
            <v>INHIL</v>
          </cell>
        </row>
        <row r="95">
          <cell r="F95">
            <v>29</v>
          </cell>
          <cell r="J95" t="str">
            <v>-</v>
          </cell>
          <cell r="K95" t="str">
            <v>-</v>
          </cell>
          <cell r="L95" t="str">
            <v>-</v>
          </cell>
          <cell r="M95" t="str">
            <v>-</v>
          </cell>
          <cell r="N95" t="str">
            <v>INHIL</v>
          </cell>
        </row>
        <row r="96">
          <cell r="F96">
            <v>24</v>
          </cell>
          <cell r="J96" t="str">
            <v>-</v>
          </cell>
          <cell r="K96" t="str">
            <v>-</v>
          </cell>
          <cell r="L96" t="str">
            <v>-</v>
          </cell>
          <cell r="M96" t="str">
            <v>-</v>
          </cell>
          <cell r="N96" t="str">
            <v>INHIL</v>
          </cell>
        </row>
        <row r="97">
          <cell r="F97">
            <v>26</v>
          </cell>
          <cell r="J97" t="str">
            <v>-</v>
          </cell>
          <cell r="K97" t="str">
            <v>-</v>
          </cell>
          <cell r="L97" t="str">
            <v>-</v>
          </cell>
          <cell r="M97" t="str">
            <v>-</v>
          </cell>
          <cell r="N97" t="str">
            <v>INHIL</v>
          </cell>
        </row>
        <row r="98">
          <cell r="F98">
            <v>26</v>
          </cell>
          <cell r="J98" t="str">
            <v>-</v>
          </cell>
          <cell r="K98" t="str">
            <v>-</v>
          </cell>
          <cell r="L98" t="str">
            <v>-</v>
          </cell>
          <cell r="M98" t="str">
            <v>-</v>
          </cell>
          <cell r="N98" t="str">
            <v>No</v>
          </cell>
        </row>
        <row r="99">
          <cell r="F99">
            <v>21</v>
          </cell>
          <cell r="J99" t="str">
            <v>-</v>
          </cell>
          <cell r="K99" t="str">
            <v>-</v>
          </cell>
          <cell r="L99" t="str">
            <v>-</v>
          </cell>
          <cell r="M99" t="str">
            <v>-</v>
          </cell>
          <cell r="N99" t="str">
            <v>No</v>
          </cell>
        </row>
        <row r="100">
          <cell r="F100">
            <v>23</v>
          </cell>
          <cell r="J100" t="str">
            <v>-</v>
          </cell>
          <cell r="K100" t="str">
            <v>-</v>
          </cell>
          <cell r="L100" t="str">
            <v>-</v>
          </cell>
          <cell r="M100" t="str">
            <v>-</v>
          </cell>
          <cell r="N100" t="str">
            <v>No</v>
          </cell>
        </row>
        <row r="101">
          <cell r="F101">
            <v>23</v>
          </cell>
          <cell r="J101" t="str">
            <v>-</v>
          </cell>
          <cell r="K101" t="str">
            <v>-</v>
          </cell>
          <cell r="L101" t="str">
            <v>-</v>
          </cell>
          <cell r="M101" t="str">
            <v>-</v>
          </cell>
          <cell r="N101" t="str">
            <v>No</v>
          </cell>
        </row>
        <row r="102">
          <cell r="F102">
            <v>26</v>
          </cell>
          <cell r="J102" t="str">
            <v>-</v>
          </cell>
          <cell r="K102" t="str">
            <v>-</v>
          </cell>
          <cell r="L102" t="str">
            <v>-</v>
          </cell>
          <cell r="M102" t="str">
            <v>-</v>
          </cell>
          <cell r="N102" t="str">
            <v>No</v>
          </cell>
        </row>
        <row r="103">
          <cell r="F103">
            <v>26</v>
          </cell>
          <cell r="J103" t="str">
            <v>-</v>
          </cell>
          <cell r="K103" t="str">
            <v>-</v>
          </cell>
          <cell r="L103" t="str">
            <v>-</v>
          </cell>
          <cell r="M103" t="str">
            <v>-</v>
          </cell>
          <cell r="N103" t="str">
            <v>No</v>
          </cell>
        </row>
        <row r="104">
          <cell r="F104">
            <v>33</v>
          </cell>
          <cell r="J104" t="str">
            <v>-</v>
          </cell>
          <cell r="K104" t="str">
            <v>-</v>
          </cell>
          <cell r="L104" t="str">
            <v>-</v>
          </cell>
          <cell r="M104" t="str">
            <v>-</v>
          </cell>
          <cell r="N104" t="str">
            <v>INHIL</v>
          </cell>
        </row>
        <row r="105">
          <cell r="F105">
            <v>29</v>
          </cell>
          <cell r="J105" t="str">
            <v>INHIL</v>
          </cell>
          <cell r="K105" t="str">
            <v>-</v>
          </cell>
          <cell r="L105" t="str">
            <v>-</v>
          </cell>
          <cell r="M105" t="str">
            <v>-</v>
          </cell>
          <cell r="N105" t="str">
            <v>INHIL</v>
          </cell>
        </row>
        <row r="106">
          <cell r="F106">
            <v>27</v>
          </cell>
          <cell r="J106" t="str">
            <v>-</v>
          </cell>
          <cell r="K106" t="str">
            <v>-</v>
          </cell>
          <cell r="L106" t="str">
            <v>-</v>
          </cell>
          <cell r="M106" t="str">
            <v>-</v>
          </cell>
          <cell r="N106" t="str">
            <v>INHIL</v>
          </cell>
        </row>
        <row r="107">
          <cell r="F107">
            <v>25</v>
          </cell>
          <cell r="J107" t="str">
            <v>-</v>
          </cell>
          <cell r="K107" t="str">
            <v>-</v>
          </cell>
          <cell r="L107" t="str">
            <v>-</v>
          </cell>
          <cell r="M107" t="str">
            <v>-</v>
          </cell>
          <cell r="N107" t="str">
            <v>INHIL</v>
          </cell>
        </row>
        <row r="108">
          <cell r="F108">
            <v>27</v>
          </cell>
          <cell r="J108" t="str">
            <v>-</v>
          </cell>
          <cell r="K108" t="str">
            <v>-</v>
          </cell>
          <cell r="L108" t="str">
            <v>-</v>
          </cell>
          <cell r="M108" t="str">
            <v>-</v>
          </cell>
          <cell r="N108" t="str">
            <v>INHIL</v>
          </cell>
        </row>
        <row r="109">
          <cell r="F109">
            <v>20</v>
          </cell>
          <cell r="J109" t="str">
            <v>-</v>
          </cell>
          <cell r="K109" t="str">
            <v>-</v>
          </cell>
          <cell r="L109" t="str">
            <v>INHIL</v>
          </cell>
          <cell r="M109" t="str">
            <v>-</v>
          </cell>
          <cell r="N109" t="str">
            <v>INHIL</v>
          </cell>
        </row>
        <row r="110">
          <cell r="F110">
            <v>23</v>
          </cell>
          <cell r="J110" t="str">
            <v>-</v>
          </cell>
          <cell r="K110" t="str">
            <v>-</v>
          </cell>
          <cell r="L110" t="str">
            <v>-</v>
          </cell>
          <cell r="M110" t="str">
            <v>-</v>
          </cell>
          <cell r="N110" t="str">
            <v>INHIL</v>
          </cell>
        </row>
        <row r="111">
          <cell r="F111">
            <v>23</v>
          </cell>
          <cell r="J111" t="str">
            <v>-</v>
          </cell>
          <cell r="K111" t="str">
            <v>-</v>
          </cell>
          <cell r="L111" t="str">
            <v>-</v>
          </cell>
          <cell r="M111" t="str">
            <v>-</v>
          </cell>
          <cell r="N111" t="str">
            <v>No</v>
          </cell>
        </row>
        <row r="112">
          <cell r="F112">
            <v>22</v>
          </cell>
          <cell r="J112" t="str">
            <v>-</v>
          </cell>
          <cell r="K112" t="str">
            <v>-</v>
          </cell>
          <cell r="L112" t="str">
            <v>-</v>
          </cell>
          <cell r="M112" t="str">
            <v>-</v>
          </cell>
          <cell r="N112" t="str">
            <v>No</v>
          </cell>
        </row>
        <row r="113">
          <cell r="F113">
            <v>20</v>
          </cell>
          <cell r="J113" t="str">
            <v>-</v>
          </cell>
          <cell r="K113" t="str">
            <v>-</v>
          </cell>
          <cell r="L113" t="str">
            <v>-</v>
          </cell>
          <cell r="M113" t="str">
            <v>-</v>
          </cell>
          <cell r="N113" t="str">
            <v>No</v>
          </cell>
        </row>
        <row r="114">
          <cell r="F114">
            <v>33</v>
          </cell>
          <cell r="J114" t="str">
            <v>-</v>
          </cell>
          <cell r="K114" t="str">
            <v>-</v>
          </cell>
          <cell r="L114" t="str">
            <v>-</v>
          </cell>
          <cell r="M114" t="str">
            <v>-</v>
          </cell>
          <cell r="N114" t="str">
            <v>INHIL</v>
          </cell>
        </row>
        <row r="115">
          <cell r="F115">
            <v>23</v>
          </cell>
          <cell r="J115" t="str">
            <v>-</v>
          </cell>
          <cell r="K115" t="str">
            <v>-</v>
          </cell>
          <cell r="L115" t="str">
            <v>-</v>
          </cell>
          <cell r="M115" t="str">
            <v>-</v>
          </cell>
          <cell r="N115" t="str">
            <v>No</v>
          </cell>
        </row>
        <row r="116">
          <cell r="F116">
            <v>34</v>
          </cell>
          <cell r="J116" t="str">
            <v>INHIL</v>
          </cell>
          <cell r="K116" t="str">
            <v>-</v>
          </cell>
          <cell r="L116" t="str">
            <v>-</v>
          </cell>
          <cell r="M116" t="str">
            <v>-</v>
          </cell>
          <cell r="N116" t="str">
            <v>INHIL</v>
          </cell>
        </row>
        <row r="117">
          <cell r="F117">
            <v>32</v>
          </cell>
          <cell r="J117" t="str">
            <v>-</v>
          </cell>
          <cell r="K117" t="str">
            <v>-</v>
          </cell>
          <cell r="L117" t="str">
            <v>-</v>
          </cell>
          <cell r="M117" t="str">
            <v>-</v>
          </cell>
          <cell r="N117" t="str">
            <v>INHIL</v>
          </cell>
        </row>
        <row r="118">
          <cell r="F118">
            <v>26</v>
          </cell>
          <cell r="J118" t="str">
            <v>INHIL</v>
          </cell>
          <cell r="K118" t="str">
            <v>-</v>
          </cell>
          <cell r="L118" t="str">
            <v>-</v>
          </cell>
          <cell r="M118" t="str">
            <v>-</v>
          </cell>
          <cell r="N118" t="str">
            <v>INHIL</v>
          </cell>
        </row>
        <row r="119">
          <cell r="F119">
            <v>21</v>
          </cell>
          <cell r="J119" t="str">
            <v>-</v>
          </cell>
          <cell r="K119" t="str">
            <v>-</v>
          </cell>
          <cell r="L119" t="str">
            <v>-</v>
          </cell>
          <cell r="M119" t="str">
            <v>-</v>
          </cell>
          <cell r="N119" t="str">
            <v>No</v>
          </cell>
        </row>
        <row r="120">
          <cell r="F120">
            <v>31</v>
          </cell>
          <cell r="J120" t="str">
            <v>-</v>
          </cell>
          <cell r="K120" t="str">
            <v>-</v>
          </cell>
          <cell r="L120" t="str">
            <v>-</v>
          </cell>
          <cell r="M120" t="str">
            <v>-</v>
          </cell>
          <cell r="N120" t="str">
            <v>No</v>
          </cell>
        </row>
        <row r="121">
          <cell r="F121">
            <v>21</v>
          </cell>
          <cell r="J121" t="str">
            <v>-</v>
          </cell>
          <cell r="K121" t="str">
            <v>-</v>
          </cell>
          <cell r="L121" t="str">
            <v>-</v>
          </cell>
          <cell r="M121" t="str">
            <v>-</v>
          </cell>
          <cell r="N121" t="str">
            <v>No</v>
          </cell>
        </row>
        <row r="122">
          <cell r="F122">
            <v>24</v>
          </cell>
          <cell r="J122" t="str">
            <v>-</v>
          </cell>
          <cell r="K122" t="str">
            <v>-</v>
          </cell>
          <cell r="L122" t="str">
            <v>-</v>
          </cell>
          <cell r="M122" t="str">
            <v>-</v>
          </cell>
          <cell r="N122" t="str">
            <v>No</v>
          </cell>
        </row>
        <row r="123">
          <cell r="F123">
            <v>28</v>
          </cell>
          <cell r="J123" t="str">
            <v>-</v>
          </cell>
          <cell r="K123" t="str">
            <v>-</v>
          </cell>
          <cell r="L123" t="str">
            <v>-</v>
          </cell>
          <cell r="M123" t="str">
            <v>-</v>
          </cell>
          <cell r="N123" t="str">
            <v>No</v>
          </cell>
        </row>
        <row r="124">
          <cell r="F124">
            <v>25</v>
          </cell>
          <cell r="J124" t="str">
            <v>-</v>
          </cell>
          <cell r="K124" t="str">
            <v>-</v>
          </cell>
          <cell r="L124" t="str">
            <v>-</v>
          </cell>
          <cell r="M124" t="str">
            <v>-</v>
          </cell>
          <cell r="N124" t="str">
            <v>No</v>
          </cell>
        </row>
        <row r="125">
          <cell r="F125">
            <v>21</v>
          </cell>
          <cell r="J125" t="str">
            <v>INHIL</v>
          </cell>
          <cell r="K125" t="str">
            <v>-</v>
          </cell>
          <cell r="L125" t="str">
            <v>-</v>
          </cell>
          <cell r="M125" t="str">
            <v>-</v>
          </cell>
          <cell r="N125" t="str">
            <v>INHIL</v>
          </cell>
        </row>
        <row r="126">
          <cell r="F126">
            <v>24</v>
          </cell>
          <cell r="J126" t="str">
            <v>-</v>
          </cell>
          <cell r="K126" t="str">
            <v>-</v>
          </cell>
          <cell r="L126" t="str">
            <v>-</v>
          </cell>
          <cell r="M126" t="str">
            <v>-</v>
          </cell>
          <cell r="N126" t="str">
            <v>No</v>
          </cell>
        </row>
        <row r="127">
          <cell r="F127">
            <v>29</v>
          </cell>
          <cell r="J127" t="str">
            <v>-</v>
          </cell>
          <cell r="K127" t="str">
            <v>-</v>
          </cell>
          <cell r="L127" t="str">
            <v>-</v>
          </cell>
          <cell r="M127" t="str">
            <v>-</v>
          </cell>
          <cell r="N127" t="str">
            <v>INHIL</v>
          </cell>
        </row>
        <row r="128">
          <cell r="F128">
            <v>24</v>
          </cell>
          <cell r="J128" t="str">
            <v>INHIL</v>
          </cell>
          <cell r="K128" t="str">
            <v>-</v>
          </cell>
          <cell r="L128" t="str">
            <v>-</v>
          </cell>
          <cell r="M128" t="str">
            <v>-</v>
          </cell>
          <cell r="N128" t="str">
            <v>INHIL</v>
          </cell>
        </row>
        <row r="129">
          <cell r="F129">
            <v>28</v>
          </cell>
          <cell r="J129" t="str">
            <v>-</v>
          </cell>
          <cell r="K129" t="str">
            <v>-</v>
          </cell>
          <cell r="L129" t="str">
            <v>-</v>
          </cell>
          <cell r="M129" t="str">
            <v>-</v>
          </cell>
          <cell r="N129" t="str">
            <v>INHIL</v>
          </cell>
        </row>
        <row r="130">
          <cell r="F130">
            <v>40</v>
          </cell>
          <cell r="J130" t="str">
            <v>-</v>
          </cell>
          <cell r="K130" t="str">
            <v>-</v>
          </cell>
          <cell r="L130" t="str">
            <v>-</v>
          </cell>
          <cell r="M130" t="str">
            <v>-</v>
          </cell>
          <cell r="N130" t="str">
            <v>INHIL</v>
          </cell>
        </row>
        <row r="131">
          <cell r="F131">
            <v>30</v>
          </cell>
          <cell r="J131" t="str">
            <v>-</v>
          </cell>
          <cell r="K131" t="str">
            <v>INHIL</v>
          </cell>
          <cell r="L131" t="str">
            <v>-</v>
          </cell>
          <cell r="M131" t="str">
            <v>-</v>
          </cell>
          <cell r="N131" t="str">
            <v>INHIL</v>
          </cell>
        </row>
        <row r="132">
          <cell r="F132">
            <v>30</v>
          </cell>
          <cell r="J132" t="str">
            <v>INHIL</v>
          </cell>
          <cell r="K132" t="str">
            <v>-</v>
          </cell>
          <cell r="L132" t="str">
            <v>-</v>
          </cell>
          <cell r="M132" t="str">
            <v>-</v>
          </cell>
          <cell r="N132" t="str">
            <v>INHIL</v>
          </cell>
        </row>
        <row r="133">
          <cell r="F133">
            <v>25</v>
          </cell>
          <cell r="J133" t="str">
            <v>INHIL</v>
          </cell>
          <cell r="K133" t="str">
            <v>-</v>
          </cell>
          <cell r="L133" t="str">
            <v>-</v>
          </cell>
          <cell r="M133" t="str">
            <v>-</v>
          </cell>
          <cell r="N133" t="str">
            <v>INHIL</v>
          </cell>
        </row>
        <row r="134">
          <cell r="F134">
            <v>27</v>
          </cell>
          <cell r="J134" t="str">
            <v>-</v>
          </cell>
          <cell r="K134" t="str">
            <v>-</v>
          </cell>
          <cell r="L134" t="str">
            <v>-</v>
          </cell>
          <cell r="M134" t="str">
            <v>-</v>
          </cell>
          <cell r="N134" t="str">
            <v>No</v>
          </cell>
        </row>
        <row r="135">
          <cell r="F135">
            <v>23</v>
          </cell>
          <cell r="J135" t="str">
            <v>-</v>
          </cell>
          <cell r="K135" t="str">
            <v>-</v>
          </cell>
          <cell r="L135" t="str">
            <v>-</v>
          </cell>
          <cell r="M135" t="str">
            <v>-</v>
          </cell>
          <cell r="N135" t="str">
            <v>INHIL</v>
          </cell>
        </row>
        <row r="136">
          <cell r="F136">
            <v>20</v>
          </cell>
          <cell r="J136" t="str">
            <v>-</v>
          </cell>
          <cell r="K136" t="str">
            <v>-</v>
          </cell>
          <cell r="L136" t="str">
            <v>-</v>
          </cell>
          <cell r="M136" t="str">
            <v>-</v>
          </cell>
          <cell r="N136" t="str">
            <v>No</v>
          </cell>
        </row>
        <row r="137">
          <cell r="F137">
            <v>22</v>
          </cell>
          <cell r="J137" t="str">
            <v>-</v>
          </cell>
          <cell r="K137" t="str">
            <v>-</v>
          </cell>
          <cell r="L137" t="str">
            <v>-</v>
          </cell>
          <cell r="M137" t="str">
            <v>-</v>
          </cell>
          <cell r="N137" t="str">
            <v>No</v>
          </cell>
        </row>
        <row r="138">
          <cell r="F138">
            <v>21</v>
          </cell>
          <cell r="J138" t="str">
            <v>-</v>
          </cell>
          <cell r="K138" t="str">
            <v>-</v>
          </cell>
          <cell r="L138" t="str">
            <v>INHIL</v>
          </cell>
          <cell r="M138" t="str">
            <v>-</v>
          </cell>
          <cell r="N138" t="str">
            <v>INHIL</v>
          </cell>
        </row>
        <row r="139">
          <cell r="F139">
            <v>27</v>
          </cell>
          <cell r="J139" t="str">
            <v>-</v>
          </cell>
          <cell r="K139" t="str">
            <v>-</v>
          </cell>
          <cell r="L139" t="str">
            <v>-</v>
          </cell>
          <cell r="M139" t="str">
            <v>-</v>
          </cell>
          <cell r="N139" t="str">
            <v>INHIL</v>
          </cell>
        </row>
        <row r="140">
          <cell r="F140">
            <v>32</v>
          </cell>
          <cell r="J140" t="str">
            <v>-</v>
          </cell>
          <cell r="K140" t="str">
            <v>-</v>
          </cell>
          <cell r="L140" t="str">
            <v>-</v>
          </cell>
          <cell r="M140" t="str">
            <v>-</v>
          </cell>
          <cell r="N140" t="str">
            <v>INHIL</v>
          </cell>
        </row>
        <row r="141">
          <cell r="F141">
            <v>33</v>
          </cell>
          <cell r="J141" t="str">
            <v>-</v>
          </cell>
          <cell r="K141" t="str">
            <v>-</v>
          </cell>
          <cell r="L141" t="str">
            <v>-</v>
          </cell>
          <cell r="M141" t="str">
            <v>-</v>
          </cell>
          <cell r="N141" t="str">
            <v>INHIL</v>
          </cell>
        </row>
        <row r="142">
          <cell r="F142">
            <v>38</v>
          </cell>
          <cell r="J142" t="str">
            <v>-</v>
          </cell>
          <cell r="K142" t="str">
            <v>-</v>
          </cell>
          <cell r="L142" t="str">
            <v>-</v>
          </cell>
          <cell r="M142" t="str">
            <v>-</v>
          </cell>
          <cell r="N142" t="str">
            <v>INHIL</v>
          </cell>
        </row>
        <row r="143">
          <cell r="F143">
            <v>27</v>
          </cell>
          <cell r="J143" t="str">
            <v>-</v>
          </cell>
          <cell r="K143" t="str">
            <v>-</v>
          </cell>
          <cell r="L143" t="str">
            <v>-</v>
          </cell>
          <cell r="M143" t="str">
            <v>-</v>
          </cell>
          <cell r="N143" t="str">
            <v>INHIL</v>
          </cell>
        </row>
        <row r="144">
          <cell r="F144">
            <v>30</v>
          </cell>
          <cell r="J144" t="str">
            <v>-</v>
          </cell>
          <cell r="K144" t="str">
            <v>-</v>
          </cell>
          <cell r="L144" t="str">
            <v>-</v>
          </cell>
          <cell r="M144" t="str">
            <v>-</v>
          </cell>
          <cell r="N144" t="str">
            <v>INHIL</v>
          </cell>
        </row>
        <row r="145">
          <cell r="F145">
            <v>35</v>
          </cell>
          <cell r="J145" t="str">
            <v>-</v>
          </cell>
          <cell r="K145" t="str">
            <v>-</v>
          </cell>
          <cell r="L145" t="str">
            <v>-</v>
          </cell>
          <cell r="M145" t="str">
            <v>-</v>
          </cell>
          <cell r="N145" t="str">
            <v>No</v>
          </cell>
        </row>
        <row r="146">
          <cell r="F146">
            <v>28</v>
          </cell>
          <cell r="J146" t="str">
            <v>-</v>
          </cell>
          <cell r="K146" t="str">
            <v>-</v>
          </cell>
          <cell r="L146" t="str">
            <v>-</v>
          </cell>
          <cell r="M146" t="str">
            <v>-</v>
          </cell>
          <cell r="N146" t="str">
            <v>INHIL</v>
          </cell>
        </row>
        <row r="147">
          <cell r="F147">
            <v>25</v>
          </cell>
          <cell r="J147" t="str">
            <v>-</v>
          </cell>
          <cell r="K147" t="str">
            <v>-</v>
          </cell>
          <cell r="L147" t="str">
            <v>-</v>
          </cell>
          <cell r="M147" t="str">
            <v>-</v>
          </cell>
          <cell r="N147" t="str">
            <v>No</v>
          </cell>
        </row>
        <row r="148">
          <cell r="F148">
            <v>27</v>
          </cell>
          <cell r="J148" t="str">
            <v>-</v>
          </cell>
          <cell r="K148" t="str">
            <v>-</v>
          </cell>
          <cell r="L148" t="str">
            <v>-</v>
          </cell>
          <cell r="M148" t="str">
            <v>-</v>
          </cell>
          <cell r="N148" t="str">
            <v>No</v>
          </cell>
        </row>
        <row r="149">
          <cell r="F149">
            <v>22</v>
          </cell>
          <cell r="J149" t="str">
            <v>-</v>
          </cell>
          <cell r="K149" t="str">
            <v>-</v>
          </cell>
          <cell r="L149" t="str">
            <v>-</v>
          </cell>
          <cell r="M149" t="str">
            <v>-</v>
          </cell>
          <cell r="N149" t="str">
            <v>No</v>
          </cell>
        </row>
        <row r="150">
          <cell r="F150">
            <v>19</v>
          </cell>
          <cell r="J150" t="str">
            <v>-</v>
          </cell>
          <cell r="K150" t="str">
            <v>-</v>
          </cell>
          <cell r="L150" t="str">
            <v>-</v>
          </cell>
          <cell r="M150" t="str">
            <v>-</v>
          </cell>
          <cell r="N150" t="str">
            <v>No</v>
          </cell>
        </row>
        <row r="151">
          <cell r="F151">
            <v>23</v>
          </cell>
          <cell r="J151" t="str">
            <v>-</v>
          </cell>
          <cell r="K151" t="str">
            <v>-</v>
          </cell>
          <cell r="L151" t="str">
            <v>-</v>
          </cell>
          <cell r="M151" t="str">
            <v>-</v>
          </cell>
          <cell r="N151" t="str">
            <v>No</v>
          </cell>
        </row>
        <row r="152">
          <cell r="F152">
            <v>24</v>
          </cell>
          <cell r="J152" t="str">
            <v>-</v>
          </cell>
          <cell r="K152" t="str">
            <v>-</v>
          </cell>
          <cell r="L152" t="str">
            <v>-</v>
          </cell>
          <cell r="M152" t="str">
            <v>-</v>
          </cell>
          <cell r="N152" t="str">
            <v>No</v>
          </cell>
        </row>
        <row r="153">
          <cell r="F153">
            <v>21</v>
          </cell>
          <cell r="J153" t="str">
            <v>-</v>
          </cell>
          <cell r="K153" t="str">
            <v>-</v>
          </cell>
          <cell r="L153" t="str">
            <v>-</v>
          </cell>
          <cell r="M153" t="str">
            <v>-</v>
          </cell>
          <cell r="N153" t="str">
            <v>No</v>
          </cell>
        </row>
        <row r="154">
          <cell r="F154">
            <v>20</v>
          </cell>
          <cell r="J154" t="str">
            <v>-</v>
          </cell>
          <cell r="K154" t="str">
            <v>-</v>
          </cell>
          <cell r="L154" t="str">
            <v>-</v>
          </cell>
          <cell r="M154" t="str">
            <v>-</v>
          </cell>
          <cell r="N154" t="str">
            <v>No</v>
          </cell>
        </row>
        <row r="155">
          <cell r="F155">
            <v>21</v>
          </cell>
          <cell r="J155" t="str">
            <v>-</v>
          </cell>
          <cell r="K155" t="str">
            <v>-</v>
          </cell>
          <cell r="L155" t="str">
            <v>-</v>
          </cell>
          <cell r="M155" t="str">
            <v>-</v>
          </cell>
          <cell r="N155" t="str">
            <v>No</v>
          </cell>
        </row>
        <row r="156">
          <cell r="F156">
            <v>19</v>
          </cell>
          <cell r="J156" t="str">
            <v>-</v>
          </cell>
          <cell r="K156" t="str">
            <v>-</v>
          </cell>
          <cell r="L156" t="str">
            <v>-</v>
          </cell>
          <cell r="M156" t="str">
            <v>-</v>
          </cell>
          <cell r="N156" t="str">
            <v>No</v>
          </cell>
        </row>
        <row r="157">
          <cell r="F157">
            <v>21</v>
          </cell>
          <cell r="J157" t="str">
            <v>-</v>
          </cell>
          <cell r="K157" t="str">
            <v>-</v>
          </cell>
          <cell r="L157" t="str">
            <v>-</v>
          </cell>
          <cell r="M157" t="str">
            <v>-</v>
          </cell>
          <cell r="N157" t="str">
            <v>No</v>
          </cell>
        </row>
        <row r="158">
          <cell r="F158">
            <v>19</v>
          </cell>
          <cell r="J158" t="str">
            <v>-</v>
          </cell>
          <cell r="K158" t="str">
            <v>-</v>
          </cell>
          <cell r="L158" t="str">
            <v>-</v>
          </cell>
          <cell r="M158" t="str">
            <v>-</v>
          </cell>
          <cell r="N158" t="str">
            <v>No</v>
          </cell>
        </row>
        <row r="159">
          <cell r="F159">
            <v>27</v>
          </cell>
          <cell r="J159" t="str">
            <v>-</v>
          </cell>
          <cell r="K159" t="str">
            <v>-</v>
          </cell>
          <cell r="L159" t="str">
            <v>-</v>
          </cell>
          <cell r="M159" t="str">
            <v>-</v>
          </cell>
          <cell r="N159" t="str">
            <v>No</v>
          </cell>
        </row>
        <row r="160">
          <cell r="F160">
            <v>23</v>
          </cell>
          <cell r="J160" t="str">
            <v>-</v>
          </cell>
          <cell r="K160" t="str">
            <v>-</v>
          </cell>
          <cell r="L160" t="str">
            <v>-</v>
          </cell>
          <cell r="M160" t="str">
            <v>-</v>
          </cell>
          <cell r="N160" t="str">
            <v>No</v>
          </cell>
        </row>
        <row r="161">
          <cell r="F161">
            <v>24</v>
          </cell>
          <cell r="J161" t="str">
            <v>-</v>
          </cell>
          <cell r="K161" t="str">
            <v>-</v>
          </cell>
          <cell r="L161" t="str">
            <v>-</v>
          </cell>
          <cell r="M161" t="str">
            <v>-</v>
          </cell>
          <cell r="N161" t="str">
            <v>No</v>
          </cell>
        </row>
        <row r="162">
          <cell r="F162">
            <v>24</v>
          </cell>
          <cell r="J162" t="str">
            <v>-</v>
          </cell>
          <cell r="K162" t="str">
            <v>-</v>
          </cell>
          <cell r="L162" t="str">
            <v>-</v>
          </cell>
          <cell r="M162" t="str">
            <v>-</v>
          </cell>
          <cell r="N162" t="str">
            <v>No</v>
          </cell>
        </row>
        <row r="163">
          <cell r="F163">
            <v>25</v>
          </cell>
          <cell r="J163" t="str">
            <v>-</v>
          </cell>
          <cell r="K163" t="str">
            <v>-</v>
          </cell>
          <cell r="L163" t="str">
            <v>-</v>
          </cell>
          <cell r="M163" t="str">
            <v>-</v>
          </cell>
          <cell r="N163" t="str">
            <v>No</v>
          </cell>
        </row>
        <row r="164">
          <cell r="F164">
            <v>23</v>
          </cell>
          <cell r="J164" t="str">
            <v>-</v>
          </cell>
          <cell r="K164" t="str">
            <v>-</v>
          </cell>
          <cell r="L164" t="str">
            <v>-</v>
          </cell>
          <cell r="M164" t="str">
            <v>-</v>
          </cell>
          <cell r="N164" t="str">
            <v>No</v>
          </cell>
        </row>
        <row r="165">
          <cell r="F165">
            <v>26</v>
          </cell>
          <cell r="J165" t="str">
            <v>-</v>
          </cell>
          <cell r="K165" t="str">
            <v>-</v>
          </cell>
          <cell r="L165" t="str">
            <v>-</v>
          </cell>
          <cell r="M165" t="str">
            <v>-</v>
          </cell>
          <cell r="N165" t="str">
            <v>No</v>
          </cell>
        </row>
        <row r="166">
          <cell r="F166">
            <v>26</v>
          </cell>
          <cell r="J166" t="str">
            <v>-</v>
          </cell>
          <cell r="K166" t="str">
            <v>-</v>
          </cell>
          <cell r="L166" t="str">
            <v>-</v>
          </cell>
          <cell r="M166" t="str">
            <v>-</v>
          </cell>
          <cell r="N166" t="str">
            <v>No</v>
          </cell>
        </row>
        <row r="167">
          <cell r="F167">
            <v>25</v>
          </cell>
          <cell r="J167" t="str">
            <v>-</v>
          </cell>
          <cell r="K167" t="str">
            <v>-</v>
          </cell>
          <cell r="L167" t="str">
            <v>-</v>
          </cell>
          <cell r="M167" t="str">
            <v>-</v>
          </cell>
          <cell r="N167" t="str">
            <v>No</v>
          </cell>
        </row>
        <row r="168">
          <cell r="F168">
            <v>25</v>
          </cell>
          <cell r="J168" t="str">
            <v>-</v>
          </cell>
          <cell r="K168" t="str">
            <v>-</v>
          </cell>
          <cell r="L168" t="str">
            <v>-</v>
          </cell>
          <cell r="M168" t="str">
            <v>-</v>
          </cell>
          <cell r="N168" t="e">
            <v>#REF!</v>
          </cell>
        </row>
        <row r="169">
          <cell r="F169">
            <v>22</v>
          </cell>
          <cell r="J169" t="str">
            <v>-</v>
          </cell>
          <cell r="K169" t="str">
            <v>-</v>
          </cell>
          <cell r="L169" t="str">
            <v>-</v>
          </cell>
          <cell r="M169" t="str">
            <v>-</v>
          </cell>
          <cell r="N169" t="str">
            <v>No</v>
          </cell>
        </row>
        <row r="170">
          <cell r="F170">
            <v>24</v>
          </cell>
          <cell r="J170" t="str">
            <v>-</v>
          </cell>
          <cell r="K170" t="str">
            <v>-</v>
          </cell>
          <cell r="L170" t="str">
            <v>-</v>
          </cell>
          <cell r="M170" t="str">
            <v>-</v>
          </cell>
          <cell r="N170" t="str">
            <v>No</v>
          </cell>
        </row>
        <row r="171">
          <cell r="F171">
            <v>23</v>
          </cell>
          <cell r="J171" t="str">
            <v>-</v>
          </cell>
          <cell r="K171" t="str">
            <v>-</v>
          </cell>
          <cell r="L171" t="str">
            <v>-</v>
          </cell>
          <cell r="M171" t="str">
            <v>-</v>
          </cell>
          <cell r="N171" t="str">
            <v>No</v>
          </cell>
        </row>
        <row r="172">
          <cell r="F172">
            <v>23</v>
          </cell>
          <cell r="J172" t="str">
            <v>-</v>
          </cell>
          <cell r="K172" t="str">
            <v>-</v>
          </cell>
          <cell r="L172" t="str">
            <v>-</v>
          </cell>
          <cell r="M172" t="str">
            <v>-</v>
          </cell>
          <cell r="N172" t="str">
            <v>No</v>
          </cell>
        </row>
        <row r="173">
          <cell r="F173">
            <v>21</v>
          </cell>
          <cell r="J173" t="str">
            <v>-</v>
          </cell>
          <cell r="K173" t="str">
            <v>-</v>
          </cell>
          <cell r="L173" t="str">
            <v>-</v>
          </cell>
          <cell r="M173" t="str">
            <v>-</v>
          </cell>
          <cell r="N173" t="str">
            <v>No</v>
          </cell>
        </row>
        <row r="174">
          <cell r="F174">
            <v>24</v>
          </cell>
          <cell r="J174" t="str">
            <v>-</v>
          </cell>
          <cell r="K174" t="str">
            <v>-</v>
          </cell>
          <cell r="L174" t="str">
            <v>-</v>
          </cell>
          <cell r="M174" t="str">
            <v>-</v>
          </cell>
          <cell r="N174" t="str">
            <v>No</v>
          </cell>
        </row>
        <row r="175">
          <cell r="F175">
            <v>20</v>
          </cell>
          <cell r="J175" t="str">
            <v>-</v>
          </cell>
          <cell r="K175" t="str">
            <v>-</v>
          </cell>
          <cell r="L175" t="str">
            <v>-</v>
          </cell>
          <cell r="M175" t="str">
            <v>-</v>
          </cell>
          <cell r="N175" t="str">
            <v>No</v>
          </cell>
        </row>
        <row r="176">
          <cell r="F176">
            <v>24</v>
          </cell>
          <cell r="J176" t="str">
            <v>-</v>
          </cell>
          <cell r="K176" t="str">
            <v>-</v>
          </cell>
          <cell r="L176" t="str">
            <v>-</v>
          </cell>
          <cell r="M176" t="str">
            <v>-</v>
          </cell>
          <cell r="N176" t="str">
            <v>No</v>
          </cell>
        </row>
        <row r="177">
          <cell r="F177">
            <v>20</v>
          </cell>
          <cell r="J177" t="str">
            <v>-</v>
          </cell>
          <cell r="K177" t="str">
            <v>-</v>
          </cell>
          <cell r="L177" t="str">
            <v>-</v>
          </cell>
          <cell r="M177" t="str">
            <v>-</v>
          </cell>
          <cell r="N177" t="str">
            <v>No</v>
          </cell>
        </row>
        <row r="178">
          <cell r="F178">
            <v>22</v>
          </cell>
          <cell r="J178" t="str">
            <v>-</v>
          </cell>
          <cell r="K178" t="str">
            <v>-</v>
          </cell>
          <cell r="L178" t="str">
            <v>-</v>
          </cell>
          <cell r="M178" t="str">
            <v>-</v>
          </cell>
          <cell r="N178" t="str">
            <v>No</v>
          </cell>
        </row>
        <row r="179">
          <cell r="F179">
            <v>18</v>
          </cell>
          <cell r="J179" t="str">
            <v>-</v>
          </cell>
          <cell r="K179" t="str">
            <v>-</v>
          </cell>
          <cell r="L179" t="str">
            <v>-</v>
          </cell>
          <cell r="M179" t="str">
            <v>-</v>
          </cell>
          <cell r="N179" t="str">
            <v>No</v>
          </cell>
        </row>
        <row r="180">
          <cell r="F180">
            <v>18</v>
          </cell>
          <cell r="J180" t="str">
            <v>-</v>
          </cell>
          <cell r="K180" t="str">
            <v>-</v>
          </cell>
          <cell r="L180" t="str">
            <v>-</v>
          </cell>
          <cell r="M180" t="str">
            <v>-</v>
          </cell>
          <cell r="N180" t="str">
            <v>No</v>
          </cell>
        </row>
        <row r="181">
          <cell r="F181">
            <v>21</v>
          </cell>
          <cell r="J181" t="str">
            <v>-</v>
          </cell>
          <cell r="K181" t="str">
            <v>-</v>
          </cell>
          <cell r="L181" t="str">
            <v>-</v>
          </cell>
          <cell r="M181" t="str">
            <v>-</v>
          </cell>
          <cell r="N181" t="str">
            <v>No</v>
          </cell>
        </row>
        <row r="182">
          <cell r="F182">
            <v>21</v>
          </cell>
          <cell r="J182" t="str">
            <v>-</v>
          </cell>
          <cell r="K182" t="str">
            <v>-</v>
          </cell>
          <cell r="L182" t="str">
            <v>INHIL</v>
          </cell>
          <cell r="M182" t="str">
            <v>-</v>
          </cell>
          <cell r="N182" t="str">
            <v>INHIL</v>
          </cell>
        </row>
        <row r="183">
          <cell r="F183">
            <v>19</v>
          </cell>
          <cell r="J183" t="str">
            <v>-</v>
          </cell>
          <cell r="K183" t="str">
            <v>-</v>
          </cell>
          <cell r="L183" t="str">
            <v>-</v>
          </cell>
          <cell r="M183" t="str">
            <v>-</v>
          </cell>
          <cell r="N183" t="str">
            <v>No</v>
          </cell>
        </row>
        <row r="184">
          <cell r="F184">
            <v>19</v>
          </cell>
          <cell r="J184" t="str">
            <v>-</v>
          </cell>
          <cell r="K184" t="str">
            <v>-</v>
          </cell>
          <cell r="L184" t="str">
            <v>-</v>
          </cell>
          <cell r="M184" t="str">
            <v>-</v>
          </cell>
          <cell r="N184" t="str">
            <v>No</v>
          </cell>
        </row>
        <row r="185">
          <cell r="F185">
            <v>18</v>
          </cell>
          <cell r="J185" t="str">
            <v>-</v>
          </cell>
          <cell r="K185" t="str">
            <v>-</v>
          </cell>
          <cell r="L185" t="str">
            <v>-</v>
          </cell>
          <cell r="M185" t="str">
            <v>-</v>
          </cell>
          <cell r="N185" t="str">
            <v>No</v>
          </cell>
        </row>
        <row r="186">
          <cell r="F186">
            <v>19</v>
          </cell>
          <cell r="J186" t="str">
            <v>-</v>
          </cell>
          <cell r="K186" t="str">
            <v>-</v>
          </cell>
          <cell r="L186" t="str">
            <v>-</v>
          </cell>
          <cell r="M186" t="str">
            <v>-</v>
          </cell>
          <cell r="N186" t="str">
            <v>No</v>
          </cell>
        </row>
        <row r="187">
          <cell r="F187">
            <v>18</v>
          </cell>
          <cell r="J187" t="str">
            <v>-</v>
          </cell>
          <cell r="K187" t="str">
            <v>-</v>
          </cell>
          <cell r="L187" t="str">
            <v>-</v>
          </cell>
          <cell r="M187" t="str">
            <v>-</v>
          </cell>
          <cell r="N187" t="str">
            <v>No</v>
          </cell>
        </row>
        <row r="188">
          <cell r="F188">
            <v>20</v>
          </cell>
          <cell r="J188" t="str">
            <v>-</v>
          </cell>
          <cell r="K188" t="str">
            <v>-</v>
          </cell>
          <cell r="L188" t="str">
            <v>-</v>
          </cell>
          <cell r="M188" t="str">
            <v>-</v>
          </cell>
          <cell r="N188" t="str">
            <v>No</v>
          </cell>
        </row>
        <row r="189">
          <cell r="F189">
            <v>18</v>
          </cell>
          <cell r="J189" t="str">
            <v>-</v>
          </cell>
          <cell r="K189" t="str">
            <v>-</v>
          </cell>
          <cell r="L189" t="str">
            <v>-</v>
          </cell>
          <cell r="M189" t="str">
            <v>-</v>
          </cell>
          <cell r="N189" t="str">
            <v>No</v>
          </cell>
        </row>
        <row r="190">
          <cell r="F190">
            <v>19</v>
          </cell>
          <cell r="J190" t="str">
            <v>-</v>
          </cell>
          <cell r="K190" t="str">
            <v>-</v>
          </cell>
          <cell r="L190" t="str">
            <v>-</v>
          </cell>
          <cell r="M190" t="str">
            <v>-</v>
          </cell>
          <cell r="N190" t="str">
            <v>No</v>
          </cell>
        </row>
        <row r="191">
          <cell r="F191">
            <v>20</v>
          </cell>
          <cell r="J191" t="str">
            <v>-</v>
          </cell>
          <cell r="K191" t="str">
            <v>-</v>
          </cell>
          <cell r="L191" t="str">
            <v>-</v>
          </cell>
          <cell r="M191" t="str">
            <v>-</v>
          </cell>
          <cell r="N191" t="str">
            <v>No</v>
          </cell>
        </row>
        <row r="192">
          <cell r="F192">
            <v>19</v>
          </cell>
          <cell r="J192" t="str">
            <v>-</v>
          </cell>
          <cell r="K192" t="str">
            <v>-</v>
          </cell>
          <cell r="L192" t="str">
            <v>-</v>
          </cell>
          <cell r="M192" t="str">
            <v>-</v>
          </cell>
          <cell r="N192" t="str">
            <v>No</v>
          </cell>
        </row>
        <row r="193">
          <cell r="F193">
            <v>20</v>
          </cell>
          <cell r="J193" t="str">
            <v>-</v>
          </cell>
          <cell r="K193" t="str">
            <v>-</v>
          </cell>
          <cell r="L193" t="str">
            <v>-</v>
          </cell>
          <cell r="M193" t="str">
            <v>-</v>
          </cell>
          <cell r="N193" t="str">
            <v>No</v>
          </cell>
        </row>
        <row r="194">
          <cell r="F194">
            <v>21</v>
          </cell>
          <cell r="J194" t="str">
            <v>-</v>
          </cell>
          <cell r="K194" t="str">
            <v>-</v>
          </cell>
          <cell r="L194" t="str">
            <v>-</v>
          </cell>
          <cell r="M194" t="str">
            <v>-</v>
          </cell>
          <cell r="N194" t="str">
            <v>No</v>
          </cell>
        </row>
        <row r="195">
          <cell r="F195">
            <v>18</v>
          </cell>
          <cell r="J195" t="str">
            <v>-</v>
          </cell>
          <cell r="K195" t="str">
            <v>-</v>
          </cell>
          <cell r="L195" t="str">
            <v>-</v>
          </cell>
          <cell r="M195" t="str">
            <v>-</v>
          </cell>
          <cell r="N195" t="str">
            <v>No</v>
          </cell>
        </row>
        <row r="196">
          <cell r="F196">
            <v>19</v>
          </cell>
          <cell r="J196" t="str">
            <v>-</v>
          </cell>
          <cell r="K196" t="str">
            <v>-</v>
          </cell>
          <cell r="L196" t="str">
            <v>-</v>
          </cell>
          <cell r="M196" t="str">
            <v>-</v>
          </cell>
          <cell r="N196" t="str">
            <v>No</v>
          </cell>
        </row>
        <row r="197">
          <cell r="F197">
            <v>18</v>
          </cell>
          <cell r="J197" t="str">
            <v>-</v>
          </cell>
          <cell r="K197" t="str">
            <v>-</v>
          </cell>
          <cell r="L197" t="str">
            <v>-</v>
          </cell>
          <cell r="M197" t="str">
            <v>-</v>
          </cell>
          <cell r="N197" t="str">
            <v>No</v>
          </cell>
        </row>
        <row r="198">
          <cell r="F198">
            <v>18</v>
          </cell>
          <cell r="J198" t="str">
            <v>-</v>
          </cell>
          <cell r="K198" t="str">
            <v>-</v>
          </cell>
          <cell r="L198" t="str">
            <v>-</v>
          </cell>
          <cell r="M198" t="str">
            <v>-</v>
          </cell>
          <cell r="N198" t="str">
            <v>No</v>
          </cell>
        </row>
        <row r="199">
          <cell r="F199">
            <v>20</v>
          </cell>
          <cell r="J199" t="str">
            <v>-</v>
          </cell>
          <cell r="K199" t="str">
            <v>-</v>
          </cell>
          <cell r="L199" t="str">
            <v>-</v>
          </cell>
          <cell r="M199" t="str">
            <v>-</v>
          </cell>
          <cell r="N199" t="str">
            <v>No</v>
          </cell>
        </row>
        <row r="200">
          <cell r="F200">
            <v>23</v>
          </cell>
          <cell r="J200" t="str">
            <v>-</v>
          </cell>
          <cell r="K200" t="str">
            <v>-</v>
          </cell>
          <cell r="L200" t="str">
            <v>-</v>
          </cell>
          <cell r="M200" t="str">
            <v>-</v>
          </cell>
          <cell r="N200" t="str">
            <v>No</v>
          </cell>
        </row>
        <row r="201">
          <cell r="F201">
            <v>18</v>
          </cell>
          <cell r="J201" t="str">
            <v>-</v>
          </cell>
          <cell r="K201" t="str">
            <v>-</v>
          </cell>
          <cell r="L201" t="str">
            <v>-</v>
          </cell>
          <cell r="M201" t="str">
            <v>-</v>
          </cell>
          <cell r="N201" t="str">
            <v>No</v>
          </cell>
        </row>
        <row r="202">
          <cell r="F202">
            <v>19</v>
          </cell>
          <cell r="J202" t="str">
            <v>-</v>
          </cell>
          <cell r="K202" t="str">
            <v>-</v>
          </cell>
          <cell r="L202" t="str">
            <v>-</v>
          </cell>
          <cell r="M202" t="str">
            <v>-</v>
          </cell>
          <cell r="N202" t="str">
            <v>No</v>
          </cell>
        </row>
        <row r="203">
          <cell r="F203">
            <v>18</v>
          </cell>
          <cell r="J203" t="str">
            <v>-</v>
          </cell>
          <cell r="K203" t="str">
            <v>-</v>
          </cell>
          <cell r="L203" t="str">
            <v>-</v>
          </cell>
          <cell r="M203" t="str">
            <v>-</v>
          </cell>
          <cell r="N203" t="str">
            <v>No</v>
          </cell>
        </row>
      </sheetData>
      <sheetData sheetId="20" refreshError="1">
        <row r="3">
          <cell r="F3" t="str">
            <v>THN</v>
          </cell>
        </row>
        <row r="4">
          <cell r="F4">
            <v>20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No</v>
          </cell>
        </row>
        <row r="5">
          <cell r="F5">
            <v>21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No</v>
          </cell>
        </row>
        <row r="6">
          <cell r="F6">
            <v>25</v>
          </cell>
          <cell r="J6" t="str">
            <v>INHIL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INHIL</v>
          </cell>
        </row>
        <row r="7">
          <cell r="F7">
            <v>26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No</v>
          </cell>
        </row>
        <row r="8">
          <cell r="F8">
            <v>26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No</v>
          </cell>
        </row>
        <row r="9">
          <cell r="F9">
            <v>23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No</v>
          </cell>
        </row>
        <row r="10">
          <cell r="F10">
            <v>24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No</v>
          </cell>
        </row>
        <row r="11">
          <cell r="F11">
            <v>25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42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No</v>
          </cell>
        </row>
        <row r="13">
          <cell r="F13">
            <v>35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32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INHIL</v>
          </cell>
        </row>
        <row r="15">
          <cell r="F15">
            <v>35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INHIL</v>
          </cell>
        </row>
        <row r="16">
          <cell r="F16">
            <v>27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INHIL</v>
          </cell>
        </row>
        <row r="17">
          <cell r="F17">
            <v>21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No</v>
          </cell>
        </row>
        <row r="18">
          <cell r="F18">
            <v>34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INHIL</v>
          </cell>
        </row>
        <row r="19">
          <cell r="F19">
            <v>36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INHIL</v>
          </cell>
        </row>
        <row r="20">
          <cell r="F20">
            <v>28</v>
          </cell>
          <cell r="J20" t="str">
            <v>-</v>
          </cell>
          <cell r="K20" t="str">
            <v>-</v>
          </cell>
          <cell r="L20" t="str">
            <v>-</v>
          </cell>
          <cell r="M20" t="str">
            <v>-</v>
          </cell>
          <cell r="N20" t="str">
            <v>INHIL</v>
          </cell>
        </row>
        <row r="21">
          <cell r="F21">
            <v>23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No</v>
          </cell>
        </row>
        <row r="22">
          <cell r="F22">
            <v>30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INHIL</v>
          </cell>
        </row>
        <row r="23">
          <cell r="F23">
            <v>44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INHIL</v>
          </cell>
        </row>
        <row r="24">
          <cell r="F24">
            <v>35</v>
          </cell>
          <cell r="J24" t="str">
            <v>-</v>
          </cell>
          <cell r="K24" t="str">
            <v>INHIL</v>
          </cell>
          <cell r="L24" t="str">
            <v>-</v>
          </cell>
          <cell r="M24" t="str">
            <v>-</v>
          </cell>
          <cell r="N24" t="str">
            <v>INHIL</v>
          </cell>
        </row>
        <row r="25">
          <cell r="F25">
            <v>35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INHIL</v>
          </cell>
        </row>
        <row r="26">
          <cell r="F26">
            <v>31</v>
          </cell>
          <cell r="J26" t="str">
            <v>-</v>
          </cell>
          <cell r="K26" t="str">
            <v>INHIL</v>
          </cell>
          <cell r="L26" t="str">
            <v>-</v>
          </cell>
          <cell r="M26" t="str">
            <v>-</v>
          </cell>
          <cell r="N26" t="str">
            <v>INHIL</v>
          </cell>
        </row>
        <row r="27">
          <cell r="F27">
            <v>29</v>
          </cell>
          <cell r="J27" t="str">
            <v>-</v>
          </cell>
          <cell r="K27" t="str">
            <v>-</v>
          </cell>
          <cell r="L27" t="str">
            <v>-</v>
          </cell>
          <cell r="M27" t="str">
            <v>-</v>
          </cell>
          <cell r="N27" t="str">
            <v>INHIL</v>
          </cell>
        </row>
        <row r="28">
          <cell r="F28">
            <v>26</v>
          </cell>
          <cell r="J28" t="str">
            <v>-</v>
          </cell>
          <cell r="K28" t="str">
            <v>-</v>
          </cell>
          <cell r="L28" t="str">
            <v>-</v>
          </cell>
          <cell r="M28" t="str">
            <v>-</v>
          </cell>
          <cell r="N28" t="str">
            <v>No</v>
          </cell>
        </row>
        <row r="29">
          <cell r="F29">
            <v>32</v>
          </cell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N29" t="str">
            <v>INHIL</v>
          </cell>
        </row>
        <row r="30">
          <cell r="F30">
            <v>40</v>
          </cell>
          <cell r="J30" t="str">
            <v>-</v>
          </cell>
          <cell r="K30" t="str">
            <v>-</v>
          </cell>
          <cell r="L30" t="str">
            <v>-</v>
          </cell>
          <cell r="M30" t="str">
            <v>-</v>
          </cell>
          <cell r="N30" t="str">
            <v>INHIL</v>
          </cell>
        </row>
        <row r="31">
          <cell r="F31">
            <v>29</v>
          </cell>
          <cell r="J31" t="str">
            <v>-</v>
          </cell>
          <cell r="K31" t="str">
            <v>-</v>
          </cell>
          <cell r="L31" t="str">
            <v>-</v>
          </cell>
          <cell r="M31" t="str">
            <v>-</v>
          </cell>
          <cell r="N31" t="str">
            <v>INHIL</v>
          </cell>
        </row>
        <row r="32">
          <cell r="F32">
            <v>24</v>
          </cell>
          <cell r="J32" t="str">
            <v>-</v>
          </cell>
          <cell r="K32" t="str">
            <v>-</v>
          </cell>
          <cell r="L32" t="str">
            <v>-</v>
          </cell>
          <cell r="M32" t="str">
            <v>-</v>
          </cell>
          <cell r="N32" t="str">
            <v>No</v>
          </cell>
        </row>
        <row r="33">
          <cell r="F33">
            <v>34</v>
          </cell>
          <cell r="J33" t="str">
            <v>-</v>
          </cell>
          <cell r="K33" t="str">
            <v>-</v>
          </cell>
          <cell r="L33" t="str">
            <v>-</v>
          </cell>
          <cell r="M33" t="str">
            <v>-</v>
          </cell>
          <cell r="N33" t="str">
            <v>No</v>
          </cell>
        </row>
        <row r="34">
          <cell r="F34">
            <v>34</v>
          </cell>
          <cell r="J34" t="str">
            <v>-</v>
          </cell>
          <cell r="K34" t="str">
            <v>-</v>
          </cell>
          <cell r="L34" t="str">
            <v>-</v>
          </cell>
          <cell r="M34" t="str">
            <v>-</v>
          </cell>
          <cell r="N34" t="str">
            <v>INHIL</v>
          </cell>
        </row>
        <row r="35">
          <cell r="F35">
            <v>28</v>
          </cell>
          <cell r="J35" t="str">
            <v>-</v>
          </cell>
          <cell r="K35" t="str">
            <v>-</v>
          </cell>
          <cell r="L35" t="str">
            <v>-</v>
          </cell>
          <cell r="M35" t="str">
            <v>-</v>
          </cell>
          <cell r="N35" t="str">
            <v>INHIL</v>
          </cell>
        </row>
        <row r="36">
          <cell r="F36">
            <v>41</v>
          </cell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 t="str">
            <v>INHIL</v>
          </cell>
        </row>
        <row r="37">
          <cell r="F37">
            <v>32</v>
          </cell>
          <cell r="J37" t="str">
            <v>INHIL</v>
          </cell>
          <cell r="K37" t="str">
            <v>-</v>
          </cell>
          <cell r="L37" t="str">
            <v>-</v>
          </cell>
          <cell r="M37" t="str">
            <v>-</v>
          </cell>
          <cell r="N37" t="str">
            <v>INHIL</v>
          </cell>
        </row>
        <row r="38">
          <cell r="F38">
            <v>37</v>
          </cell>
          <cell r="J38" t="str">
            <v>-</v>
          </cell>
          <cell r="K38" t="str">
            <v>-</v>
          </cell>
          <cell r="L38" t="str">
            <v>INHIL</v>
          </cell>
          <cell r="M38" t="str">
            <v>-</v>
          </cell>
          <cell r="N38" t="str">
            <v>INHIL</v>
          </cell>
        </row>
        <row r="39">
          <cell r="F39">
            <v>46</v>
          </cell>
          <cell r="J39" t="str">
            <v>-</v>
          </cell>
          <cell r="K39" t="str">
            <v>-</v>
          </cell>
          <cell r="L39" t="str">
            <v>-</v>
          </cell>
          <cell r="M39" t="str">
            <v>-</v>
          </cell>
          <cell r="N39" t="str">
            <v>INHIL</v>
          </cell>
        </row>
        <row r="40">
          <cell r="F40">
            <v>39</v>
          </cell>
          <cell r="J40" t="str">
            <v>-</v>
          </cell>
          <cell r="K40" t="str">
            <v>-</v>
          </cell>
          <cell r="L40" t="str">
            <v>-</v>
          </cell>
          <cell r="M40" t="str">
            <v>-</v>
          </cell>
          <cell r="N40" t="str">
            <v>INHIL</v>
          </cell>
        </row>
        <row r="41">
          <cell r="F41">
            <v>40</v>
          </cell>
          <cell r="J41" t="str">
            <v>-</v>
          </cell>
          <cell r="K41" t="str">
            <v>-</v>
          </cell>
          <cell r="L41" t="str">
            <v>-</v>
          </cell>
          <cell r="M41" t="str">
            <v>-</v>
          </cell>
          <cell r="N41" t="str">
            <v>INHIL</v>
          </cell>
        </row>
        <row r="42">
          <cell r="F42">
            <v>28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INHIL</v>
          </cell>
        </row>
        <row r="43">
          <cell r="F43">
            <v>29</v>
          </cell>
          <cell r="J43" t="str">
            <v>-</v>
          </cell>
          <cell r="K43" t="str">
            <v>-</v>
          </cell>
          <cell r="L43" t="str">
            <v>-</v>
          </cell>
          <cell r="M43" t="str">
            <v>-</v>
          </cell>
          <cell r="N43" t="str">
            <v>INHIL</v>
          </cell>
        </row>
        <row r="44">
          <cell r="F44">
            <v>24</v>
          </cell>
          <cell r="J44" t="str">
            <v>INHIL</v>
          </cell>
          <cell r="K44" t="str">
            <v>-</v>
          </cell>
          <cell r="L44" t="str">
            <v>-</v>
          </cell>
          <cell r="M44" t="str">
            <v>-</v>
          </cell>
          <cell r="N44" t="str">
            <v>INHIL</v>
          </cell>
        </row>
        <row r="45">
          <cell r="F45">
            <v>25</v>
          </cell>
          <cell r="J45" t="str">
            <v>-</v>
          </cell>
          <cell r="K45" t="str">
            <v>-</v>
          </cell>
          <cell r="L45" t="str">
            <v>-</v>
          </cell>
          <cell r="M45" t="str">
            <v>-</v>
          </cell>
          <cell r="N45" t="str">
            <v>No</v>
          </cell>
        </row>
        <row r="46">
          <cell r="F46">
            <v>27</v>
          </cell>
          <cell r="J46" t="str">
            <v>-</v>
          </cell>
          <cell r="K46" t="str">
            <v>-</v>
          </cell>
          <cell r="L46" t="str">
            <v>-</v>
          </cell>
          <cell r="M46" t="str">
            <v>-</v>
          </cell>
          <cell r="N46" t="str">
            <v>No</v>
          </cell>
        </row>
        <row r="47">
          <cell r="F47">
            <v>20</v>
          </cell>
          <cell r="J47" t="str">
            <v>-</v>
          </cell>
          <cell r="K47" t="str">
            <v>-</v>
          </cell>
          <cell r="L47" t="str">
            <v>-</v>
          </cell>
          <cell r="M47" t="str">
            <v>-</v>
          </cell>
          <cell r="N47" t="str">
            <v>No</v>
          </cell>
        </row>
        <row r="48">
          <cell r="F48">
            <v>21</v>
          </cell>
          <cell r="J48" t="str">
            <v>-</v>
          </cell>
          <cell r="K48" t="str">
            <v>-</v>
          </cell>
          <cell r="L48" t="str">
            <v>-</v>
          </cell>
          <cell r="M48" t="str">
            <v>-</v>
          </cell>
          <cell r="N48" t="str">
            <v>No</v>
          </cell>
        </row>
        <row r="49">
          <cell r="F49">
            <v>44</v>
          </cell>
          <cell r="J49" t="str">
            <v>-</v>
          </cell>
          <cell r="K49" t="str">
            <v>-</v>
          </cell>
          <cell r="L49" t="str">
            <v>-</v>
          </cell>
          <cell r="M49" t="str">
            <v>-</v>
          </cell>
          <cell r="N49" t="str">
            <v>No</v>
          </cell>
        </row>
        <row r="50">
          <cell r="J50" t="str">
            <v>-</v>
          </cell>
          <cell r="K50" t="str">
            <v>-</v>
          </cell>
          <cell r="L50" t="str">
            <v>-</v>
          </cell>
          <cell r="M50" t="str">
            <v>-</v>
          </cell>
          <cell r="N50" t="str">
            <v>INHIL</v>
          </cell>
        </row>
        <row r="51">
          <cell r="J51" t="str">
            <v>-</v>
          </cell>
          <cell r="K51" t="str">
            <v>-</v>
          </cell>
          <cell r="L51" t="str">
            <v>-</v>
          </cell>
          <cell r="M51" t="str">
            <v>-</v>
          </cell>
          <cell r="N51" t="str">
            <v>INHIL</v>
          </cell>
        </row>
        <row r="52">
          <cell r="J52" t="str">
            <v>-</v>
          </cell>
          <cell r="K52" t="str">
            <v>-</v>
          </cell>
          <cell r="L52" t="str">
            <v>-</v>
          </cell>
          <cell r="M52" t="str">
            <v>-</v>
          </cell>
          <cell r="N52" t="str">
            <v>No</v>
          </cell>
        </row>
        <row r="53">
          <cell r="J53" t="str">
            <v>-</v>
          </cell>
          <cell r="K53" t="str">
            <v>-</v>
          </cell>
          <cell r="L53" t="str">
            <v>-</v>
          </cell>
          <cell r="M53" t="str">
            <v>-</v>
          </cell>
          <cell r="N53" t="str">
            <v>INHIL</v>
          </cell>
        </row>
        <row r="54">
          <cell r="J54" t="str">
            <v>-</v>
          </cell>
          <cell r="K54" t="str">
            <v>-</v>
          </cell>
          <cell r="L54" t="str">
            <v>-</v>
          </cell>
          <cell r="M54" t="str">
            <v>-</v>
          </cell>
          <cell r="N54" t="str">
            <v>No</v>
          </cell>
        </row>
        <row r="55">
          <cell r="J55" t="str">
            <v>-</v>
          </cell>
          <cell r="K55" t="str">
            <v>-</v>
          </cell>
          <cell r="L55" t="str">
            <v>-</v>
          </cell>
          <cell r="M55" t="str">
            <v>-</v>
          </cell>
          <cell r="N55" t="str">
            <v>No</v>
          </cell>
        </row>
        <row r="56">
          <cell r="J56" t="str">
            <v>-</v>
          </cell>
          <cell r="K56" t="str">
            <v>-</v>
          </cell>
          <cell r="L56" t="str">
            <v>-</v>
          </cell>
          <cell r="M56" t="str">
            <v>-</v>
          </cell>
          <cell r="N56" t="str">
            <v>No</v>
          </cell>
        </row>
        <row r="57">
          <cell r="J57" t="str">
            <v>-</v>
          </cell>
          <cell r="K57" t="str">
            <v>-</v>
          </cell>
          <cell r="L57" t="str">
            <v>-</v>
          </cell>
          <cell r="M57" t="str">
            <v>-</v>
          </cell>
          <cell r="N57" t="str">
            <v>No</v>
          </cell>
        </row>
        <row r="58">
          <cell r="J58" t="str">
            <v>-</v>
          </cell>
          <cell r="K58" t="str">
            <v>-</v>
          </cell>
          <cell r="L58" t="str">
            <v>-</v>
          </cell>
          <cell r="M58" t="str">
            <v>-</v>
          </cell>
          <cell r="N58" t="str">
            <v>No</v>
          </cell>
        </row>
        <row r="59">
          <cell r="J59" t="str">
            <v>-</v>
          </cell>
          <cell r="K59" t="str">
            <v>-</v>
          </cell>
          <cell r="L59" t="str">
            <v>-</v>
          </cell>
          <cell r="M59" t="str">
            <v>-</v>
          </cell>
          <cell r="N59" t="str">
            <v>INHIL</v>
          </cell>
        </row>
        <row r="60">
          <cell r="J60" t="str">
            <v>-</v>
          </cell>
          <cell r="K60" t="str">
            <v>-</v>
          </cell>
          <cell r="L60" t="str">
            <v>-</v>
          </cell>
          <cell r="M60" t="str">
            <v>-</v>
          </cell>
          <cell r="N60" t="str">
            <v>INHIL</v>
          </cell>
        </row>
        <row r="61">
          <cell r="J61" t="str">
            <v>-</v>
          </cell>
          <cell r="K61" t="str">
            <v>-</v>
          </cell>
          <cell r="L61" t="str">
            <v>-</v>
          </cell>
          <cell r="M61" t="str">
            <v>-</v>
          </cell>
          <cell r="N61" t="str">
            <v>No</v>
          </cell>
        </row>
        <row r="62"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No</v>
          </cell>
        </row>
        <row r="63">
          <cell r="J63" t="str">
            <v>-</v>
          </cell>
          <cell r="K63" t="str">
            <v>-</v>
          </cell>
          <cell r="L63" t="str">
            <v>-</v>
          </cell>
          <cell r="M63" t="str">
            <v>-</v>
          </cell>
          <cell r="N63" t="str">
            <v>No</v>
          </cell>
        </row>
        <row r="64">
          <cell r="J64" t="str">
            <v>-</v>
          </cell>
          <cell r="K64" t="str">
            <v>-</v>
          </cell>
          <cell r="L64" t="str">
            <v>-</v>
          </cell>
          <cell r="M64" t="str">
            <v>-</v>
          </cell>
          <cell r="N64" t="str">
            <v>No</v>
          </cell>
        </row>
        <row r="65">
          <cell r="J65" t="str">
            <v>-</v>
          </cell>
          <cell r="K65" t="str">
            <v>-</v>
          </cell>
          <cell r="L65" t="str">
            <v>-</v>
          </cell>
          <cell r="M65" t="str">
            <v>-</v>
          </cell>
          <cell r="N65" t="str">
            <v>INHIL</v>
          </cell>
        </row>
        <row r="66">
          <cell r="J66" t="str">
            <v>-</v>
          </cell>
          <cell r="K66" t="str">
            <v>-</v>
          </cell>
          <cell r="L66" t="str">
            <v>-</v>
          </cell>
          <cell r="M66" t="str">
            <v>-</v>
          </cell>
          <cell r="N66" t="str">
            <v>No</v>
          </cell>
        </row>
        <row r="67">
          <cell r="J67" t="str">
            <v>-</v>
          </cell>
          <cell r="K67" t="str">
            <v>-</v>
          </cell>
          <cell r="L67" t="str">
            <v>-</v>
          </cell>
          <cell r="M67" t="str">
            <v>-</v>
          </cell>
          <cell r="N67" t="str">
            <v>No</v>
          </cell>
        </row>
        <row r="68">
          <cell r="J68" t="str">
            <v>-</v>
          </cell>
          <cell r="K68" t="str">
            <v>-</v>
          </cell>
          <cell r="L68" t="str">
            <v>-</v>
          </cell>
          <cell r="M68" t="str">
            <v>-</v>
          </cell>
          <cell r="N68" t="str">
            <v>No</v>
          </cell>
        </row>
        <row r="69">
          <cell r="J69" t="str">
            <v>-</v>
          </cell>
          <cell r="K69" t="str">
            <v>-</v>
          </cell>
          <cell r="L69" t="str">
            <v>-</v>
          </cell>
          <cell r="M69" t="str">
            <v>-</v>
          </cell>
          <cell r="N69" t="str">
            <v>No</v>
          </cell>
        </row>
        <row r="70">
          <cell r="J70" t="str">
            <v>-</v>
          </cell>
          <cell r="K70" t="str">
            <v>-</v>
          </cell>
          <cell r="L70" t="str">
            <v>-</v>
          </cell>
          <cell r="M70" t="str">
            <v>-</v>
          </cell>
          <cell r="N70" t="str">
            <v>No</v>
          </cell>
        </row>
        <row r="71">
          <cell r="J71" t="str">
            <v>-</v>
          </cell>
          <cell r="K71" t="str">
            <v>-</v>
          </cell>
          <cell r="L71" t="str">
            <v>-</v>
          </cell>
          <cell r="M71" t="str">
            <v>-</v>
          </cell>
          <cell r="N71" t="str">
            <v>INHIL</v>
          </cell>
        </row>
        <row r="72">
          <cell r="J72" t="str">
            <v>-</v>
          </cell>
          <cell r="K72" t="str">
            <v>-</v>
          </cell>
          <cell r="L72" t="str">
            <v>-</v>
          </cell>
          <cell r="M72" t="str">
            <v>-</v>
          </cell>
          <cell r="N72" t="str">
            <v>INHIL</v>
          </cell>
        </row>
        <row r="73">
          <cell r="J73" t="str">
            <v>-</v>
          </cell>
          <cell r="K73" t="str">
            <v>-</v>
          </cell>
          <cell r="L73" t="str">
            <v>-</v>
          </cell>
          <cell r="M73" t="str">
            <v>-</v>
          </cell>
          <cell r="N73" t="str">
            <v>No</v>
          </cell>
        </row>
        <row r="74">
          <cell r="J74" t="str">
            <v>INHIL</v>
          </cell>
          <cell r="K74" t="str">
            <v>-</v>
          </cell>
          <cell r="L74" t="str">
            <v>-</v>
          </cell>
          <cell r="M74" t="str">
            <v>-</v>
          </cell>
          <cell r="N74" t="str">
            <v>INHIL</v>
          </cell>
        </row>
        <row r="75">
          <cell r="J75" t="str">
            <v>-</v>
          </cell>
          <cell r="K75" t="str">
            <v>-</v>
          </cell>
          <cell r="L75" t="str">
            <v>-</v>
          </cell>
          <cell r="M75" t="str">
            <v>-</v>
          </cell>
          <cell r="N75" t="str">
            <v>No</v>
          </cell>
        </row>
        <row r="76">
          <cell r="J76" t="str">
            <v>-</v>
          </cell>
          <cell r="K76" t="str">
            <v>-</v>
          </cell>
          <cell r="L76" t="str">
            <v>-</v>
          </cell>
          <cell r="M76" t="str">
            <v>-</v>
          </cell>
          <cell r="N76" t="str">
            <v>No</v>
          </cell>
        </row>
        <row r="77">
          <cell r="J77" t="str">
            <v>-</v>
          </cell>
          <cell r="K77" t="str">
            <v>-</v>
          </cell>
          <cell r="L77" t="str">
            <v>-</v>
          </cell>
          <cell r="M77" t="str">
            <v>-</v>
          </cell>
          <cell r="N77" t="str">
            <v>No</v>
          </cell>
        </row>
        <row r="78">
          <cell r="J78" t="str">
            <v>-</v>
          </cell>
          <cell r="K78" t="str">
            <v>-</v>
          </cell>
          <cell r="L78" t="str">
            <v>-</v>
          </cell>
          <cell r="M78" t="str">
            <v>-</v>
          </cell>
          <cell r="N78" t="str">
            <v>INHIL</v>
          </cell>
        </row>
        <row r="79">
          <cell r="J79" t="str">
            <v>-</v>
          </cell>
          <cell r="K79" t="str">
            <v>-</v>
          </cell>
          <cell r="L79" t="str">
            <v>-</v>
          </cell>
          <cell r="M79" t="str">
            <v>-</v>
          </cell>
          <cell r="N79" t="str">
            <v>INHIL</v>
          </cell>
        </row>
        <row r="80">
          <cell r="J80" t="str">
            <v>-</v>
          </cell>
          <cell r="K80" t="str">
            <v>-</v>
          </cell>
          <cell r="L80" t="str">
            <v>-</v>
          </cell>
          <cell r="M80" t="str">
            <v>-</v>
          </cell>
          <cell r="N80" t="str">
            <v>INHIL</v>
          </cell>
        </row>
        <row r="81">
          <cell r="J81" t="str">
            <v>-</v>
          </cell>
          <cell r="K81" t="str">
            <v>-</v>
          </cell>
          <cell r="L81" t="str">
            <v>-</v>
          </cell>
          <cell r="M81" t="str">
            <v>-</v>
          </cell>
          <cell r="N81" t="str">
            <v>No</v>
          </cell>
        </row>
        <row r="82">
          <cell r="J82" t="str">
            <v>-</v>
          </cell>
          <cell r="K82" t="str">
            <v>-</v>
          </cell>
          <cell r="L82" t="str">
            <v>-</v>
          </cell>
          <cell r="M82" t="str">
            <v>-</v>
          </cell>
          <cell r="N82" t="str">
            <v>INHIL</v>
          </cell>
        </row>
        <row r="83">
          <cell r="J83" t="str">
            <v>-</v>
          </cell>
          <cell r="K83" t="str">
            <v>-</v>
          </cell>
          <cell r="L83" t="str">
            <v>-</v>
          </cell>
          <cell r="M83" t="str">
            <v>-</v>
          </cell>
          <cell r="N83" t="str">
            <v>INHIL</v>
          </cell>
        </row>
        <row r="84">
          <cell r="J84" t="str">
            <v>-</v>
          </cell>
          <cell r="K84" t="str">
            <v>-</v>
          </cell>
          <cell r="L84" t="str">
            <v>-</v>
          </cell>
          <cell r="M84" t="str">
            <v>-</v>
          </cell>
          <cell r="N84" t="str">
            <v>No</v>
          </cell>
        </row>
        <row r="85">
          <cell r="J85" t="str">
            <v>-</v>
          </cell>
          <cell r="K85" t="str">
            <v>-</v>
          </cell>
          <cell r="L85" t="str">
            <v>-</v>
          </cell>
          <cell r="M85" t="str">
            <v>-</v>
          </cell>
          <cell r="N85" t="str">
            <v>No</v>
          </cell>
        </row>
        <row r="86">
          <cell r="J86" t="str">
            <v>-</v>
          </cell>
          <cell r="K86" t="str">
            <v>-</v>
          </cell>
          <cell r="L86" t="str">
            <v>-</v>
          </cell>
          <cell r="M86" t="str">
            <v>-</v>
          </cell>
          <cell r="N86" t="str">
            <v>INHIL</v>
          </cell>
        </row>
        <row r="87">
          <cell r="J87" t="str">
            <v>-</v>
          </cell>
          <cell r="K87" t="str">
            <v>-</v>
          </cell>
          <cell r="L87" t="str">
            <v>-</v>
          </cell>
          <cell r="M87" t="str">
            <v>-</v>
          </cell>
          <cell r="N87" t="str">
            <v>INHIL</v>
          </cell>
        </row>
        <row r="88">
          <cell r="J88" t="str">
            <v>-</v>
          </cell>
          <cell r="K88" t="str">
            <v>-</v>
          </cell>
          <cell r="L88" t="str">
            <v>-</v>
          </cell>
          <cell r="M88" t="str">
            <v>-</v>
          </cell>
          <cell r="N88" t="str">
            <v>No</v>
          </cell>
        </row>
        <row r="89">
          <cell r="J89" t="str">
            <v>-</v>
          </cell>
          <cell r="K89" t="str">
            <v>-</v>
          </cell>
          <cell r="L89" t="str">
            <v>-</v>
          </cell>
          <cell r="M89" t="str">
            <v>-</v>
          </cell>
          <cell r="N89" t="str">
            <v>No</v>
          </cell>
        </row>
        <row r="91">
          <cell r="J91" t="str">
            <v>-</v>
          </cell>
          <cell r="K91" t="str">
            <v>-</v>
          </cell>
          <cell r="L91" t="str">
            <v>-</v>
          </cell>
          <cell r="M91" t="str">
            <v>-</v>
          </cell>
          <cell r="N91" t="str">
            <v>No</v>
          </cell>
        </row>
        <row r="92">
          <cell r="J92" t="str">
            <v>-</v>
          </cell>
          <cell r="K92" t="str">
            <v>-</v>
          </cell>
          <cell r="L92" t="str">
            <v>-</v>
          </cell>
          <cell r="M92" t="str">
            <v>-</v>
          </cell>
          <cell r="N92" t="str">
            <v>No</v>
          </cell>
        </row>
        <row r="93">
          <cell r="J93" t="str">
            <v>-</v>
          </cell>
          <cell r="K93" t="str">
            <v>-</v>
          </cell>
          <cell r="L93" t="str">
            <v>-</v>
          </cell>
          <cell r="M93" t="str">
            <v>-</v>
          </cell>
          <cell r="N93" t="str">
            <v>No</v>
          </cell>
        </row>
        <row r="94">
          <cell r="N94" t="str">
            <v>No</v>
          </cell>
        </row>
        <row r="95">
          <cell r="J95" t="str">
            <v>-</v>
          </cell>
          <cell r="K95" t="str">
            <v>-</v>
          </cell>
          <cell r="L95" t="str">
            <v>-</v>
          </cell>
          <cell r="M95" t="str">
            <v>-</v>
          </cell>
          <cell r="N95" t="str">
            <v>No</v>
          </cell>
        </row>
      </sheetData>
      <sheetData sheetId="21" refreshError="1">
        <row r="1">
          <cell r="A1" t="str">
            <v>F: E-PSN2\REKAP\Data-Kry</v>
          </cell>
        </row>
        <row r="2">
          <cell r="A2" t="str">
            <v>No</v>
          </cell>
          <cell r="B2" t="str">
            <v>NIK</v>
          </cell>
          <cell r="C2" t="str">
            <v>NAMA</v>
          </cell>
        </row>
        <row r="3">
          <cell r="F3" t="str">
            <v>THN</v>
          </cell>
        </row>
        <row r="4">
          <cell r="A4">
            <v>1</v>
          </cell>
          <cell r="B4">
            <v>11808</v>
          </cell>
          <cell r="C4" t="str">
            <v>DARMANTO S</v>
          </cell>
          <cell r="F4">
            <v>30</v>
          </cell>
          <cell r="J4" t="str">
            <v>-</v>
          </cell>
          <cell r="L4" t="str">
            <v>-</v>
          </cell>
          <cell r="M4" t="str">
            <v>-</v>
          </cell>
          <cell r="N4" t="str">
            <v>No</v>
          </cell>
        </row>
        <row r="5">
          <cell r="A5">
            <v>2</v>
          </cell>
          <cell r="B5">
            <v>13284</v>
          </cell>
          <cell r="C5" t="str">
            <v>HARJITO</v>
          </cell>
          <cell r="F5">
            <v>30</v>
          </cell>
          <cell r="J5" t="str">
            <v>INHIL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44</v>
          </cell>
          <cell r="J6" t="str">
            <v>-</v>
          </cell>
          <cell r="L6" t="str">
            <v>-</v>
          </cell>
          <cell r="M6" t="str">
            <v>-</v>
          </cell>
          <cell r="N6" t="str">
            <v>No</v>
          </cell>
        </row>
        <row r="7">
          <cell r="F7">
            <v>34</v>
          </cell>
          <cell r="J7" t="str">
            <v>-</v>
          </cell>
          <cell r="L7" t="str">
            <v>-</v>
          </cell>
          <cell r="M7" t="str">
            <v>-</v>
          </cell>
          <cell r="N7" t="str">
            <v>No</v>
          </cell>
        </row>
        <row r="8">
          <cell r="F8">
            <v>41</v>
          </cell>
          <cell r="J8" t="str">
            <v>-</v>
          </cell>
          <cell r="L8" t="str">
            <v>-</v>
          </cell>
          <cell r="M8" t="str">
            <v>-</v>
          </cell>
          <cell r="N8" t="str">
            <v>INHIL</v>
          </cell>
        </row>
        <row r="9">
          <cell r="F9">
            <v>37</v>
          </cell>
          <cell r="J9" t="str">
            <v>-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27</v>
          </cell>
          <cell r="J10" t="str">
            <v>-</v>
          </cell>
          <cell r="L10" t="str">
            <v>-</v>
          </cell>
          <cell r="M10" t="str">
            <v>-</v>
          </cell>
          <cell r="N10" t="str">
            <v>No</v>
          </cell>
        </row>
        <row r="11">
          <cell r="F11">
            <v>31</v>
          </cell>
          <cell r="J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35</v>
          </cell>
          <cell r="J12" t="str">
            <v>-</v>
          </cell>
          <cell r="L12" t="str">
            <v>-</v>
          </cell>
          <cell r="M12" t="str">
            <v>-</v>
          </cell>
          <cell r="N12" t="str">
            <v>INHIL</v>
          </cell>
        </row>
        <row r="13">
          <cell r="F13">
            <v>33</v>
          </cell>
          <cell r="J13" t="str">
            <v>INHIL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31</v>
          </cell>
          <cell r="J14" t="str">
            <v>-</v>
          </cell>
          <cell r="L14" t="str">
            <v>-</v>
          </cell>
          <cell r="M14" t="str">
            <v>-</v>
          </cell>
          <cell r="N14" t="str">
            <v>INHIL</v>
          </cell>
        </row>
        <row r="15">
          <cell r="F15">
            <v>44</v>
          </cell>
          <cell r="J15" t="str">
            <v>-</v>
          </cell>
          <cell r="L15" t="str">
            <v>-</v>
          </cell>
          <cell r="M15" t="str">
            <v>-</v>
          </cell>
          <cell r="N15" t="str">
            <v>No</v>
          </cell>
        </row>
        <row r="16">
          <cell r="F16">
            <v>32</v>
          </cell>
          <cell r="J16" t="str">
            <v>-</v>
          </cell>
          <cell r="L16" t="str">
            <v>-</v>
          </cell>
          <cell r="M16" t="str">
            <v>-</v>
          </cell>
          <cell r="N16" t="str">
            <v>INHIL</v>
          </cell>
        </row>
        <row r="17">
          <cell r="F17">
            <v>31</v>
          </cell>
          <cell r="J17" t="str">
            <v>-</v>
          </cell>
          <cell r="L17" t="str">
            <v>-</v>
          </cell>
          <cell r="M17" t="str">
            <v>-</v>
          </cell>
          <cell r="N17" t="str">
            <v>INHIL</v>
          </cell>
        </row>
        <row r="18">
          <cell r="F18">
            <v>27</v>
          </cell>
          <cell r="J18" t="str">
            <v>-</v>
          </cell>
          <cell r="L18" t="str">
            <v>-</v>
          </cell>
          <cell r="M18" t="str">
            <v>-</v>
          </cell>
          <cell r="N18" t="str">
            <v>INHIL</v>
          </cell>
        </row>
        <row r="19">
          <cell r="F19">
            <v>34</v>
          </cell>
          <cell r="J19" t="str">
            <v>-</v>
          </cell>
          <cell r="L19" t="str">
            <v>-</v>
          </cell>
          <cell r="M19" t="str">
            <v>-</v>
          </cell>
          <cell r="N19" t="str">
            <v>INHIL</v>
          </cell>
        </row>
        <row r="20">
          <cell r="F20">
            <v>31</v>
          </cell>
          <cell r="J20" t="str">
            <v>-</v>
          </cell>
          <cell r="L20" t="str">
            <v>-</v>
          </cell>
          <cell r="M20" t="str">
            <v>-</v>
          </cell>
          <cell r="N20" t="str">
            <v>No</v>
          </cell>
        </row>
        <row r="21">
          <cell r="F21">
            <v>24</v>
          </cell>
          <cell r="J21" t="str">
            <v>-</v>
          </cell>
          <cell r="L21" t="str">
            <v>-</v>
          </cell>
          <cell r="M21" t="str">
            <v>-</v>
          </cell>
          <cell r="N21" t="str">
            <v>INHIL</v>
          </cell>
        </row>
        <row r="22">
          <cell r="F22">
            <v>21</v>
          </cell>
          <cell r="J22" t="str">
            <v>-</v>
          </cell>
          <cell r="L22" t="str">
            <v>-</v>
          </cell>
          <cell r="M22" t="str">
            <v>-</v>
          </cell>
          <cell r="N22" t="str">
            <v>No</v>
          </cell>
        </row>
        <row r="23">
          <cell r="F23">
            <v>21</v>
          </cell>
          <cell r="J23" t="str">
            <v>-</v>
          </cell>
          <cell r="L23" t="str">
            <v>-</v>
          </cell>
          <cell r="M23" t="str">
            <v>-</v>
          </cell>
          <cell r="N23" t="str">
            <v>No</v>
          </cell>
        </row>
        <row r="24">
          <cell r="F24">
            <v>32</v>
          </cell>
          <cell r="J24" t="str">
            <v>-</v>
          </cell>
          <cell r="L24" t="str">
            <v>-</v>
          </cell>
          <cell r="M24" t="str">
            <v>-</v>
          </cell>
          <cell r="N24" t="str">
            <v>INHIL</v>
          </cell>
        </row>
        <row r="25">
          <cell r="F25">
            <v>26</v>
          </cell>
          <cell r="J25" t="str">
            <v>-</v>
          </cell>
          <cell r="L25" t="str">
            <v>-</v>
          </cell>
          <cell r="M25" t="str">
            <v>-</v>
          </cell>
          <cell r="N25" t="str">
            <v>No</v>
          </cell>
        </row>
        <row r="26">
          <cell r="F26">
            <v>24</v>
          </cell>
          <cell r="J26" t="str">
            <v>INHIL</v>
          </cell>
          <cell r="L26" t="str">
            <v>-</v>
          </cell>
          <cell r="M26" t="str">
            <v>-</v>
          </cell>
          <cell r="N26" t="str">
            <v>INHIL</v>
          </cell>
        </row>
        <row r="27">
          <cell r="F27">
            <v>20</v>
          </cell>
          <cell r="J27" t="str">
            <v>-</v>
          </cell>
          <cell r="L27" t="str">
            <v>-</v>
          </cell>
          <cell r="M27" t="str">
            <v>-</v>
          </cell>
          <cell r="N27" t="str">
            <v>No</v>
          </cell>
        </row>
        <row r="28">
          <cell r="F28">
            <v>32</v>
          </cell>
          <cell r="J28" t="str">
            <v>-</v>
          </cell>
          <cell r="L28" t="str">
            <v>-</v>
          </cell>
          <cell r="M28" t="str">
            <v>-</v>
          </cell>
          <cell r="N28" t="str">
            <v>INHIL</v>
          </cell>
        </row>
        <row r="29">
          <cell r="F29">
            <v>26</v>
          </cell>
          <cell r="J29" t="str">
            <v>-</v>
          </cell>
          <cell r="L29" t="str">
            <v>-</v>
          </cell>
          <cell r="M29" t="str">
            <v>-</v>
          </cell>
          <cell r="N29" t="str">
            <v>INHIL</v>
          </cell>
        </row>
        <row r="30">
          <cell r="F30">
            <v>25</v>
          </cell>
          <cell r="J30" t="str">
            <v>-</v>
          </cell>
          <cell r="L30" t="str">
            <v>-</v>
          </cell>
          <cell r="M30" t="str">
            <v>-</v>
          </cell>
          <cell r="N30" t="str">
            <v>No</v>
          </cell>
        </row>
        <row r="31">
          <cell r="F31">
            <v>25</v>
          </cell>
          <cell r="J31" t="str">
            <v>-</v>
          </cell>
          <cell r="L31" t="str">
            <v>-</v>
          </cell>
          <cell r="M31" t="str">
            <v>-</v>
          </cell>
          <cell r="N31" t="str">
            <v>INHIL</v>
          </cell>
        </row>
        <row r="32">
          <cell r="F32">
            <v>32</v>
          </cell>
          <cell r="J32" t="str">
            <v>-</v>
          </cell>
          <cell r="L32" t="str">
            <v>-</v>
          </cell>
          <cell r="M32" t="str">
            <v>-</v>
          </cell>
          <cell r="N32" t="str">
            <v>INHIL</v>
          </cell>
        </row>
        <row r="33">
          <cell r="F33">
            <v>29</v>
          </cell>
          <cell r="J33" t="str">
            <v>-</v>
          </cell>
          <cell r="L33" t="str">
            <v>-</v>
          </cell>
          <cell r="M33" t="str">
            <v>-</v>
          </cell>
          <cell r="N33" t="str">
            <v>INHIL</v>
          </cell>
        </row>
        <row r="34">
          <cell r="F34">
            <v>31</v>
          </cell>
          <cell r="J34" t="str">
            <v>-</v>
          </cell>
          <cell r="L34" t="str">
            <v>-</v>
          </cell>
          <cell r="M34" t="str">
            <v>-</v>
          </cell>
          <cell r="N34" t="str">
            <v>No</v>
          </cell>
        </row>
        <row r="35">
          <cell r="F35">
            <v>30</v>
          </cell>
          <cell r="J35" t="str">
            <v>-</v>
          </cell>
          <cell r="L35" t="str">
            <v>-</v>
          </cell>
          <cell r="M35" t="str">
            <v>-</v>
          </cell>
          <cell r="N35" t="str">
            <v>INHIL</v>
          </cell>
        </row>
        <row r="36">
          <cell r="F36">
            <v>32</v>
          </cell>
          <cell r="J36" t="str">
            <v>-</v>
          </cell>
          <cell r="L36" t="str">
            <v>-</v>
          </cell>
          <cell r="M36" t="str">
            <v>-</v>
          </cell>
          <cell r="N36" t="str">
            <v>INHIL</v>
          </cell>
        </row>
        <row r="37">
          <cell r="F37">
            <v>21</v>
          </cell>
          <cell r="J37" t="str">
            <v>-</v>
          </cell>
          <cell r="L37" t="str">
            <v>-</v>
          </cell>
          <cell r="M37" t="str">
            <v>-</v>
          </cell>
          <cell r="N37" t="str">
            <v>No</v>
          </cell>
        </row>
        <row r="38">
          <cell r="F38">
            <v>24</v>
          </cell>
          <cell r="J38" t="str">
            <v>-</v>
          </cell>
          <cell r="L38" t="str">
            <v>-</v>
          </cell>
          <cell r="M38" t="str">
            <v>-</v>
          </cell>
          <cell r="N38" t="str">
            <v>No</v>
          </cell>
        </row>
        <row r="39">
          <cell r="F39">
            <v>20</v>
          </cell>
          <cell r="J39" t="str">
            <v>-</v>
          </cell>
          <cell r="L39" t="str">
            <v>-</v>
          </cell>
          <cell r="M39" t="str">
            <v>-</v>
          </cell>
          <cell r="N39" t="str">
            <v>No</v>
          </cell>
        </row>
        <row r="40">
          <cell r="F40">
            <v>29</v>
          </cell>
          <cell r="J40" t="str">
            <v>-</v>
          </cell>
          <cell r="L40" t="str">
            <v>-</v>
          </cell>
          <cell r="M40" t="str">
            <v>-</v>
          </cell>
          <cell r="N40" t="str">
            <v>INHIL</v>
          </cell>
        </row>
        <row r="41">
          <cell r="F41">
            <v>21</v>
          </cell>
          <cell r="J41" t="str">
            <v>-</v>
          </cell>
          <cell r="L41" t="str">
            <v>-</v>
          </cell>
          <cell r="M41" t="str">
            <v>-</v>
          </cell>
          <cell r="N41" t="str">
            <v>No</v>
          </cell>
        </row>
        <row r="42">
          <cell r="F42">
            <v>21</v>
          </cell>
          <cell r="J42" t="str">
            <v>-</v>
          </cell>
          <cell r="L42" t="str">
            <v>-</v>
          </cell>
          <cell r="M42" t="str">
            <v>-</v>
          </cell>
          <cell r="N42" t="str">
            <v>No</v>
          </cell>
        </row>
        <row r="43">
          <cell r="F43">
            <v>35</v>
          </cell>
          <cell r="J43" t="str">
            <v>-</v>
          </cell>
          <cell r="L43" t="str">
            <v>-</v>
          </cell>
          <cell r="M43" t="str">
            <v>-</v>
          </cell>
          <cell r="N43" t="str">
            <v>INHIL</v>
          </cell>
        </row>
        <row r="44">
          <cell r="F44">
            <v>40</v>
          </cell>
          <cell r="J44" t="str">
            <v>-</v>
          </cell>
          <cell r="L44" t="str">
            <v>-</v>
          </cell>
          <cell r="M44" t="str">
            <v>-</v>
          </cell>
          <cell r="N44" t="str">
            <v>INHIL</v>
          </cell>
        </row>
        <row r="45">
          <cell r="F45">
            <v>26</v>
          </cell>
          <cell r="J45" t="str">
            <v>-</v>
          </cell>
          <cell r="L45" t="str">
            <v>-</v>
          </cell>
          <cell r="M45" t="str">
            <v>-</v>
          </cell>
          <cell r="N45" t="str">
            <v>No</v>
          </cell>
        </row>
        <row r="46">
          <cell r="F46">
            <v>23</v>
          </cell>
          <cell r="J46" t="str">
            <v>INHIL</v>
          </cell>
          <cell r="L46" t="str">
            <v>-</v>
          </cell>
          <cell r="M46" t="str">
            <v>-</v>
          </cell>
          <cell r="N46" t="str">
            <v>INHIL</v>
          </cell>
        </row>
        <row r="47">
          <cell r="F47">
            <v>25</v>
          </cell>
          <cell r="J47" t="str">
            <v>-</v>
          </cell>
          <cell r="L47" t="str">
            <v>-</v>
          </cell>
          <cell r="M47" t="str">
            <v>-</v>
          </cell>
          <cell r="N47" t="str">
            <v>No</v>
          </cell>
        </row>
        <row r="48">
          <cell r="F48">
            <v>22</v>
          </cell>
          <cell r="J48" t="str">
            <v>-</v>
          </cell>
          <cell r="L48" t="str">
            <v>-</v>
          </cell>
          <cell r="M48" t="str">
            <v>-</v>
          </cell>
          <cell r="N48" t="str">
            <v>No</v>
          </cell>
        </row>
        <row r="49">
          <cell r="F49">
            <v>30</v>
          </cell>
          <cell r="J49" t="str">
            <v>-</v>
          </cell>
          <cell r="L49" t="str">
            <v>-</v>
          </cell>
          <cell r="M49" t="str">
            <v>-</v>
          </cell>
          <cell r="N49" t="str">
            <v>INHIL</v>
          </cell>
        </row>
        <row r="50">
          <cell r="F50">
            <v>22</v>
          </cell>
          <cell r="J50" t="str">
            <v>-</v>
          </cell>
          <cell r="L50" t="str">
            <v>-</v>
          </cell>
          <cell r="M50" t="str">
            <v>-</v>
          </cell>
          <cell r="N50" t="str">
            <v>No</v>
          </cell>
        </row>
        <row r="51">
          <cell r="F51">
            <v>28</v>
          </cell>
          <cell r="J51" t="str">
            <v>-</v>
          </cell>
          <cell r="L51" t="str">
            <v>-</v>
          </cell>
          <cell r="M51" t="str">
            <v>-</v>
          </cell>
          <cell r="N51" t="str">
            <v>No</v>
          </cell>
        </row>
        <row r="52">
          <cell r="F52">
            <v>31</v>
          </cell>
          <cell r="J52" t="str">
            <v>-</v>
          </cell>
          <cell r="L52" t="str">
            <v>-</v>
          </cell>
          <cell r="M52" t="str">
            <v>-</v>
          </cell>
          <cell r="N52" t="str">
            <v>INHIL</v>
          </cell>
        </row>
        <row r="53">
          <cell r="F53">
            <v>30</v>
          </cell>
          <cell r="J53" t="str">
            <v>-</v>
          </cell>
          <cell r="L53" t="str">
            <v>-</v>
          </cell>
          <cell r="M53" t="str">
            <v>-</v>
          </cell>
          <cell r="N53" t="str">
            <v>INHIL</v>
          </cell>
        </row>
        <row r="54">
          <cell r="F54">
            <v>29</v>
          </cell>
          <cell r="J54" t="str">
            <v>-</v>
          </cell>
          <cell r="L54" t="str">
            <v>-</v>
          </cell>
          <cell r="M54" t="str">
            <v>-</v>
          </cell>
          <cell r="N54" t="str">
            <v>INHIL</v>
          </cell>
        </row>
        <row r="55">
          <cell r="F55">
            <v>30</v>
          </cell>
          <cell r="J55" t="str">
            <v>-</v>
          </cell>
          <cell r="L55" t="str">
            <v>-</v>
          </cell>
          <cell r="M55" t="str">
            <v>-</v>
          </cell>
          <cell r="N55" t="str">
            <v>INHIL</v>
          </cell>
        </row>
        <row r="56">
          <cell r="F56">
            <v>20</v>
          </cell>
          <cell r="J56" t="str">
            <v>-</v>
          </cell>
          <cell r="L56" t="str">
            <v>-</v>
          </cell>
          <cell r="M56" t="str">
            <v>-</v>
          </cell>
          <cell r="N56" t="str">
            <v>No</v>
          </cell>
        </row>
        <row r="57">
          <cell r="F57">
            <v>21</v>
          </cell>
          <cell r="J57" t="str">
            <v>-</v>
          </cell>
          <cell r="L57" t="str">
            <v>-</v>
          </cell>
          <cell r="M57" t="str">
            <v>-</v>
          </cell>
          <cell r="N57" t="str">
            <v>No</v>
          </cell>
        </row>
        <row r="58">
          <cell r="F58">
            <v>28</v>
          </cell>
          <cell r="J58" t="str">
            <v>-</v>
          </cell>
          <cell r="L58" t="str">
            <v>-</v>
          </cell>
          <cell r="M58" t="str">
            <v>-</v>
          </cell>
          <cell r="N58" t="str">
            <v>INHIL</v>
          </cell>
        </row>
        <row r="59">
          <cell r="F59">
            <v>21</v>
          </cell>
          <cell r="J59" t="str">
            <v>-</v>
          </cell>
          <cell r="L59" t="str">
            <v>-</v>
          </cell>
          <cell r="M59" t="str">
            <v>-</v>
          </cell>
          <cell r="N59" t="str">
            <v>No</v>
          </cell>
        </row>
        <row r="60">
          <cell r="F60">
            <v>23</v>
          </cell>
          <cell r="J60" t="str">
            <v>-</v>
          </cell>
          <cell r="L60" t="str">
            <v>-</v>
          </cell>
          <cell r="M60" t="str">
            <v>-</v>
          </cell>
          <cell r="N60" t="str">
            <v>INHIL</v>
          </cell>
        </row>
        <row r="61">
          <cell r="F61">
            <v>19</v>
          </cell>
          <cell r="J61" t="str">
            <v>-</v>
          </cell>
          <cell r="L61" t="str">
            <v>-</v>
          </cell>
          <cell r="M61" t="str">
            <v>-</v>
          </cell>
          <cell r="N61" t="str">
            <v>No</v>
          </cell>
        </row>
        <row r="62">
          <cell r="F62">
            <v>28</v>
          </cell>
          <cell r="J62" t="str">
            <v>-</v>
          </cell>
          <cell r="L62" t="str">
            <v>-</v>
          </cell>
          <cell r="M62" t="str">
            <v>-</v>
          </cell>
          <cell r="N62" t="str">
            <v>INHIL</v>
          </cell>
        </row>
        <row r="63">
          <cell r="F63">
            <v>20</v>
          </cell>
          <cell r="J63" t="str">
            <v>-</v>
          </cell>
          <cell r="L63" t="str">
            <v>-</v>
          </cell>
          <cell r="M63" t="str">
            <v>-</v>
          </cell>
          <cell r="N63" t="str">
            <v>No</v>
          </cell>
        </row>
        <row r="64">
          <cell r="F64">
            <v>26</v>
          </cell>
          <cell r="J64" t="str">
            <v>-</v>
          </cell>
          <cell r="L64" t="str">
            <v>-</v>
          </cell>
          <cell r="M64" t="str">
            <v>-</v>
          </cell>
          <cell r="N64" t="str">
            <v>No</v>
          </cell>
        </row>
        <row r="65">
          <cell r="F65">
            <v>30</v>
          </cell>
          <cell r="J65" t="str">
            <v>-</v>
          </cell>
          <cell r="L65" t="str">
            <v>-</v>
          </cell>
          <cell r="M65" t="str">
            <v>-</v>
          </cell>
          <cell r="N65" t="str">
            <v>No</v>
          </cell>
        </row>
        <row r="66">
          <cell r="F66">
            <v>22</v>
          </cell>
          <cell r="J66" t="str">
            <v>-</v>
          </cell>
          <cell r="L66" t="str">
            <v>-</v>
          </cell>
          <cell r="M66" t="str">
            <v>-</v>
          </cell>
          <cell r="N66" t="str">
            <v>No</v>
          </cell>
        </row>
        <row r="67">
          <cell r="F67">
            <v>21</v>
          </cell>
          <cell r="J67" t="str">
            <v>-</v>
          </cell>
          <cell r="L67" t="str">
            <v>-</v>
          </cell>
          <cell r="M67" t="str">
            <v>-</v>
          </cell>
          <cell r="N67" t="str">
            <v>INHIL</v>
          </cell>
        </row>
        <row r="68">
          <cell r="F68">
            <v>23</v>
          </cell>
          <cell r="J68" t="str">
            <v>-</v>
          </cell>
          <cell r="L68" t="str">
            <v>-</v>
          </cell>
          <cell r="M68" t="str">
            <v>-</v>
          </cell>
          <cell r="N68" t="str">
            <v>No</v>
          </cell>
        </row>
        <row r="69">
          <cell r="F69">
            <v>23</v>
          </cell>
          <cell r="J69" t="str">
            <v>-</v>
          </cell>
          <cell r="L69" t="str">
            <v>-</v>
          </cell>
          <cell r="M69" t="str">
            <v>-</v>
          </cell>
          <cell r="N69" t="str">
            <v>No</v>
          </cell>
        </row>
        <row r="70">
          <cell r="F70">
            <v>22</v>
          </cell>
          <cell r="J70" t="str">
            <v>INHIL</v>
          </cell>
          <cell r="L70" t="str">
            <v>-</v>
          </cell>
          <cell r="M70" t="str">
            <v>-</v>
          </cell>
          <cell r="N70" t="str">
            <v>INHIL</v>
          </cell>
        </row>
        <row r="71">
          <cell r="F71">
            <v>24</v>
          </cell>
          <cell r="J71" t="str">
            <v>-</v>
          </cell>
          <cell r="L71" t="str">
            <v>-</v>
          </cell>
          <cell r="M71" t="str">
            <v>-</v>
          </cell>
          <cell r="N71" t="str">
            <v>INHIL</v>
          </cell>
        </row>
        <row r="72">
          <cell r="F72">
            <v>21</v>
          </cell>
          <cell r="J72" t="str">
            <v>-</v>
          </cell>
          <cell r="L72" t="str">
            <v>-</v>
          </cell>
          <cell r="M72" t="str">
            <v>-</v>
          </cell>
          <cell r="N72" t="str">
            <v>INHIL</v>
          </cell>
        </row>
        <row r="73">
          <cell r="F73">
            <v>21</v>
          </cell>
          <cell r="J73" t="str">
            <v>-</v>
          </cell>
          <cell r="L73" t="str">
            <v>-</v>
          </cell>
          <cell r="M73" t="str">
            <v>-</v>
          </cell>
          <cell r="N73" t="str">
            <v>INHIL</v>
          </cell>
        </row>
        <row r="74">
          <cell r="F74">
            <v>23</v>
          </cell>
          <cell r="J74" t="str">
            <v>-</v>
          </cell>
          <cell r="L74" t="str">
            <v>-</v>
          </cell>
          <cell r="M74" t="str">
            <v>-</v>
          </cell>
          <cell r="N74" t="str">
            <v>INHIL</v>
          </cell>
        </row>
        <row r="75">
          <cell r="F75">
            <v>23</v>
          </cell>
          <cell r="J75" t="str">
            <v>-</v>
          </cell>
          <cell r="L75" t="str">
            <v>-</v>
          </cell>
          <cell r="M75" t="str">
            <v>-</v>
          </cell>
          <cell r="N75" t="str">
            <v>INHIL</v>
          </cell>
        </row>
        <row r="76">
          <cell r="F76">
            <v>24</v>
          </cell>
          <cell r="J76" t="str">
            <v>INHIL</v>
          </cell>
          <cell r="L76" t="str">
            <v>-</v>
          </cell>
          <cell r="M76" t="str">
            <v>-</v>
          </cell>
          <cell r="N76" t="str">
            <v>INHIL</v>
          </cell>
        </row>
        <row r="77">
          <cell r="F77">
            <v>27</v>
          </cell>
          <cell r="J77" t="str">
            <v>-</v>
          </cell>
          <cell r="L77" t="str">
            <v>-</v>
          </cell>
          <cell r="M77" t="str">
            <v>-</v>
          </cell>
          <cell r="N77" t="str">
            <v>No</v>
          </cell>
        </row>
        <row r="78">
          <cell r="F78">
            <v>27</v>
          </cell>
          <cell r="J78" t="str">
            <v>-</v>
          </cell>
          <cell r="L78" t="str">
            <v>-</v>
          </cell>
          <cell r="M78" t="str">
            <v>-</v>
          </cell>
          <cell r="N78" t="str">
            <v>INHIL</v>
          </cell>
        </row>
        <row r="79">
          <cell r="F79">
            <v>25</v>
          </cell>
          <cell r="J79" t="str">
            <v>-</v>
          </cell>
          <cell r="L79" t="str">
            <v>-</v>
          </cell>
          <cell r="M79" t="str">
            <v>-</v>
          </cell>
          <cell r="N79" t="str">
            <v>INHIL</v>
          </cell>
        </row>
        <row r="80">
          <cell r="F80">
            <v>26</v>
          </cell>
          <cell r="J80" t="str">
            <v>-</v>
          </cell>
          <cell r="L80" t="str">
            <v>-</v>
          </cell>
          <cell r="M80" t="str">
            <v>-</v>
          </cell>
          <cell r="N80" t="str">
            <v>INHIL</v>
          </cell>
        </row>
        <row r="81">
          <cell r="F81">
            <v>22</v>
          </cell>
          <cell r="J81" t="str">
            <v>-</v>
          </cell>
          <cell r="L81" t="str">
            <v>-</v>
          </cell>
          <cell r="M81" t="str">
            <v>-</v>
          </cell>
          <cell r="N81" t="str">
            <v>INHIL</v>
          </cell>
        </row>
        <row r="82">
          <cell r="F82">
            <v>22</v>
          </cell>
          <cell r="J82" t="str">
            <v>INHIL</v>
          </cell>
          <cell r="L82" t="str">
            <v>-</v>
          </cell>
          <cell r="M82" t="str">
            <v>-</v>
          </cell>
          <cell r="N82" t="str">
            <v>INHIL</v>
          </cell>
        </row>
        <row r="83">
          <cell r="F83">
            <v>21</v>
          </cell>
          <cell r="J83" t="str">
            <v>-</v>
          </cell>
          <cell r="L83" t="str">
            <v>-</v>
          </cell>
          <cell r="M83" t="str">
            <v>-</v>
          </cell>
          <cell r="N83" t="str">
            <v>INHIL</v>
          </cell>
        </row>
        <row r="84">
          <cell r="F84">
            <v>26</v>
          </cell>
          <cell r="J84" t="str">
            <v>-</v>
          </cell>
          <cell r="L84" t="str">
            <v>-</v>
          </cell>
          <cell r="M84" t="str">
            <v>-</v>
          </cell>
          <cell r="N84" t="str">
            <v>No</v>
          </cell>
        </row>
        <row r="85">
          <cell r="F85">
            <v>24</v>
          </cell>
          <cell r="J85" t="str">
            <v>-</v>
          </cell>
          <cell r="L85" t="str">
            <v>-</v>
          </cell>
          <cell r="M85" t="str">
            <v>-</v>
          </cell>
          <cell r="N85" t="str">
            <v>No</v>
          </cell>
        </row>
        <row r="86">
          <cell r="F86">
            <v>21</v>
          </cell>
          <cell r="J86" t="str">
            <v>-</v>
          </cell>
          <cell r="L86" t="str">
            <v>-</v>
          </cell>
          <cell r="M86" t="str">
            <v>-</v>
          </cell>
          <cell r="N86" t="str">
            <v>No</v>
          </cell>
        </row>
        <row r="87">
          <cell r="F87">
            <v>20</v>
          </cell>
          <cell r="J87" t="str">
            <v>-</v>
          </cell>
          <cell r="L87" t="str">
            <v>-</v>
          </cell>
          <cell r="M87" t="str">
            <v>-</v>
          </cell>
          <cell r="N87" t="str">
            <v>INHIL</v>
          </cell>
        </row>
        <row r="88">
          <cell r="F88">
            <v>22</v>
          </cell>
          <cell r="J88" t="str">
            <v>-</v>
          </cell>
          <cell r="L88" t="str">
            <v>-</v>
          </cell>
          <cell r="M88" t="str">
            <v>-</v>
          </cell>
          <cell r="N88" t="str">
            <v>No</v>
          </cell>
        </row>
        <row r="89">
          <cell r="F89">
            <v>24</v>
          </cell>
          <cell r="J89" t="str">
            <v>-</v>
          </cell>
          <cell r="L89" t="str">
            <v>-</v>
          </cell>
          <cell r="M89" t="str">
            <v>-</v>
          </cell>
          <cell r="N89" t="str">
            <v>No</v>
          </cell>
        </row>
        <row r="90">
          <cell r="F90">
            <v>24</v>
          </cell>
          <cell r="J90" t="str">
            <v>-</v>
          </cell>
          <cell r="L90" t="str">
            <v>-</v>
          </cell>
          <cell r="M90" t="str">
            <v>-</v>
          </cell>
          <cell r="N90" t="str">
            <v>INHIL</v>
          </cell>
        </row>
        <row r="91">
          <cell r="F91">
            <v>29</v>
          </cell>
          <cell r="J91" t="str">
            <v>-</v>
          </cell>
          <cell r="L91" t="str">
            <v>-</v>
          </cell>
          <cell r="M91" t="str">
            <v>-</v>
          </cell>
          <cell r="N91" t="str">
            <v>INHIL</v>
          </cell>
        </row>
        <row r="92">
          <cell r="F92">
            <v>23</v>
          </cell>
          <cell r="J92" t="str">
            <v>-</v>
          </cell>
          <cell r="L92" t="str">
            <v>-</v>
          </cell>
          <cell r="M92" t="str">
            <v>-</v>
          </cell>
          <cell r="N92" t="str">
            <v>INHIL</v>
          </cell>
        </row>
        <row r="93">
          <cell r="F93">
            <v>30</v>
          </cell>
          <cell r="J93" t="str">
            <v>-</v>
          </cell>
          <cell r="L93" t="str">
            <v>-</v>
          </cell>
          <cell r="M93" t="str">
            <v>-</v>
          </cell>
          <cell r="N93" t="str">
            <v>INHIL</v>
          </cell>
        </row>
        <row r="94">
          <cell r="F94">
            <v>28</v>
          </cell>
          <cell r="J94" t="str">
            <v>-</v>
          </cell>
          <cell r="L94" t="str">
            <v>-</v>
          </cell>
          <cell r="M94" t="str">
            <v>-</v>
          </cell>
          <cell r="N94" t="str">
            <v>INHIL</v>
          </cell>
        </row>
        <row r="95">
          <cell r="F95">
            <v>27</v>
          </cell>
          <cell r="J95" t="str">
            <v>-</v>
          </cell>
          <cell r="L95" t="str">
            <v>-</v>
          </cell>
          <cell r="M95" t="str">
            <v>-</v>
          </cell>
          <cell r="N95" t="str">
            <v>INHIL</v>
          </cell>
        </row>
        <row r="96">
          <cell r="F96">
            <v>24</v>
          </cell>
          <cell r="J96" t="str">
            <v>-</v>
          </cell>
          <cell r="L96" t="str">
            <v>-</v>
          </cell>
          <cell r="M96" t="str">
            <v>-</v>
          </cell>
          <cell r="N96" t="str">
            <v>INHIL</v>
          </cell>
        </row>
        <row r="97">
          <cell r="F97">
            <v>21</v>
          </cell>
          <cell r="J97" t="str">
            <v>INHIL</v>
          </cell>
          <cell r="L97" t="str">
            <v>-</v>
          </cell>
          <cell r="M97" t="str">
            <v>-</v>
          </cell>
          <cell r="N97" t="str">
            <v>INHIL</v>
          </cell>
        </row>
        <row r="98">
          <cell r="F98">
            <v>25</v>
          </cell>
          <cell r="J98" t="str">
            <v>-</v>
          </cell>
          <cell r="L98" t="str">
            <v>-</v>
          </cell>
          <cell r="M98" t="str">
            <v>-</v>
          </cell>
          <cell r="N98" t="str">
            <v>INHIL</v>
          </cell>
        </row>
        <row r="99">
          <cell r="F99">
            <v>32</v>
          </cell>
          <cell r="J99" t="str">
            <v>-</v>
          </cell>
          <cell r="L99" t="str">
            <v>-</v>
          </cell>
          <cell r="M99" t="str">
            <v>-</v>
          </cell>
          <cell r="N99" t="str">
            <v>INHIL</v>
          </cell>
        </row>
        <row r="100">
          <cell r="F100">
            <v>29</v>
          </cell>
          <cell r="J100" t="str">
            <v>-</v>
          </cell>
          <cell r="L100" t="str">
            <v>-</v>
          </cell>
          <cell r="M100" t="str">
            <v>-</v>
          </cell>
          <cell r="N100" t="str">
            <v>No</v>
          </cell>
        </row>
        <row r="101">
          <cell r="F101">
            <v>25</v>
          </cell>
          <cell r="J101" t="str">
            <v>-</v>
          </cell>
          <cell r="L101" t="str">
            <v>-</v>
          </cell>
          <cell r="M101" t="str">
            <v>-</v>
          </cell>
          <cell r="N101" t="str">
            <v>No</v>
          </cell>
        </row>
        <row r="102">
          <cell r="F102">
            <v>32</v>
          </cell>
          <cell r="J102" t="str">
            <v>-</v>
          </cell>
          <cell r="L102" t="str">
            <v>-</v>
          </cell>
          <cell r="M102" t="str">
            <v>-</v>
          </cell>
          <cell r="N102" t="str">
            <v>INHIL</v>
          </cell>
        </row>
        <row r="103">
          <cell r="F103">
            <v>22</v>
          </cell>
          <cell r="J103" t="str">
            <v>-</v>
          </cell>
          <cell r="L103" t="str">
            <v>-</v>
          </cell>
          <cell r="M103" t="str">
            <v>-</v>
          </cell>
          <cell r="N103" t="str">
            <v>No</v>
          </cell>
        </row>
        <row r="104">
          <cell r="F104">
            <v>21</v>
          </cell>
          <cell r="J104" t="str">
            <v>-</v>
          </cell>
          <cell r="L104" t="str">
            <v>-</v>
          </cell>
          <cell r="M104" t="str">
            <v>-</v>
          </cell>
          <cell r="N104" t="str">
            <v>No</v>
          </cell>
        </row>
        <row r="105">
          <cell r="F105">
            <v>23</v>
          </cell>
          <cell r="J105" t="str">
            <v>-</v>
          </cell>
          <cell r="L105" t="str">
            <v>-</v>
          </cell>
          <cell r="M105" t="str">
            <v>-</v>
          </cell>
          <cell r="N105" t="str">
            <v>INHIL</v>
          </cell>
        </row>
        <row r="106">
          <cell r="F106">
            <v>25</v>
          </cell>
          <cell r="J106" t="str">
            <v>-</v>
          </cell>
          <cell r="L106" t="str">
            <v>-</v>
          </cell>
          <cell r="M106" t="str">
            <v>-</v>
          </cell>
          <cell r="N106" t="str">
            <v>INHIL</v>
          </cell>
        </row>
        <row r="107">
          <cell r="F107">
            <v>20</v>
          </cell>
          <cell r="J107" t="str">
            <v>-</v>
          </cell>
          <cell r="L107" t="str">
            <v>-</v>
          </cell>
          <cell r="M107" t="str">
            <v>-</v>
          </cell>
          <cell r="N107" t="str">
            <v>No</v>
          </cell>
        </row>
        <row r="108">
          <cell r="F108">
            <v>21</v>
          </cell>
          <cell r="J108" t="str">
            <v>-</v>
          </cell>
          <cell r="L108" t="str">
            <v>-</v>
          </cell>
          <cell r="M108" t="str">
            <v>-</v>
          </cell>
          <cell r="N108" t="str">
            <v>No</v>
          </cell>
        </row>
        <row r="109">
          <cell r="F109">
            <v>21</v>
          </cell>
          <cell r="J109" t="str">
            <v>-</v>
          </cell>
          <cell r="L109" t="str">
            <v>-</v>
          </cell>
          <cell r="M109" t="str">
            <v>-</v>
          </cell>
          <cell r="N109" t="str">
            <v>INHIL</v>
          </cell>
        </row>
        <row r="110">
          <cell r="F110">
            <v>30</v>
          </cell>
          <cell r="J110" t="str">
            <v>-</v>
          </cell>
          <cell r="L110" t="str">
            <v>-</v>
          </cell>
          <cell r="M110" t="str">
            <v>-</v>
          </cell>
          <cell r="N110" t="str">
            <v>INHIL</v>
          </cell>
        </row>
        <row r="111">
          <cell r="F111">
            <v>32</v>
          </cell>
          <cell r="J111" t="str">
            <v>INHIL</v>
          </cell>
          <cell r="L111" t="str">
            <v>-</v>
          </cell>
          <cell r="M111" t="str">
            <v>-</v>
          </cell>
          <cell r="N111" t="str">
            <v>INHIL</v>
          </cell>
        </row>
        <row r="112">
          <cell r="F112">
            <v>33</v>
          </cell>
          <cell r="J112" t="str">
            <v>INHIL</v>
          </cell>
          <cell r="L112" t="str">
            <v>-</v>
          </cell>
          <cell r="M112" t="str">
            <v>-</v>
          </cell>
          <cell r="N112" t="str">
            <v>INHIL</v>
          </cell>
        </row>
        <row r="113">
          <cell r="F113">
            <v>20</v>
          </cell>
          <cell r="J113" t="str">
            <v>-</v>
          </cell>
          <cell r="L113" t="str">
            <v>-</v>
          </cell>
          <cell r="M113" t="str">
            <v>-</v>
          </cell>
          <cell r="N113" t="str">
            <v>No</v>
          </cell>
        </row>
        <row r="114">
          <cell r="F114">
            <v>20</v>
          </cell>
          <cell r="J114" t="str">
            <v>-</v>
          </cell>
          <cell r="L114" t="str">
            <v>-</v>
          </cell>
          <cell r="M114" t="str">
            <v>-</v>
          </cell>
          <cell r="N114" t="str">
            <v>No</v>
          </cell>
        </row>
        <row r="115">
          <cell r="F115">
            <v>22</v>
          </cell>
          <cell r="J115" t="str">
            <v>-</v>
          </cell>
          <cell r="L115" t="str">
            <v>-</v>
          </cell>
          <cell r="M115" t="str">
            <v>-</v>
          </cell>
          <cell r="N115" t="str">
            <v>No</v>
          </cell>
        </row>
        <row r="116">
          <cell r="F116">
            <v>25</v>
          </cell>
          <cell r="J116" t="str">
            <v>-</v>
          </cell>
          <cell r="L116" t="str">
            <v>-</v>
          </cell>
          <cell r="M116" t="str">
            <v>-</v>
          </cell>
          <cell r="N116" t="str">
            <v>No</v>
          </cell>
        </row>
        <row r="117">
          <cell r="F117">
            <v>26</v>
          </cell>
          <cell r="J117" t="str">
            <v>-</v>
          </cell>
          <cell r="L117" t="str">
            <v>-</v>
          </cell>
          <cell r="M117" t="str">
            <v>-</v>
          </cell>
          <cell r="N117" t="str">
            <v>No</v>
          </cell>
        </row>
        <row r="118">
          <cell r="F118">
            <v>22</v>
          </cell>
          <cell r="J118" t="str">
            <v>-</v>
          </cell>
          <cell r="L118" t="str">
            <v>-</v>
          </cell>
          <cell r="M118" t="str">
            <v>-</v>
          </cell>
          <cell r="N118" t="str">
            <v>No</v>
          </cell>
        </row>
        <row r="119">
          <cell r="F119">
            <v>20</v>
          </cell>
          <cell r="J119" t="str">
            <v>-</v>
          </cell>
          <cell r="L119" t="str">
            <v>-</v>
          </cell>
          <cell r="M119" t="str">
            <v>-</v>
          </cell>
          <cell r="N119" t="str">
            <v>No</v>
          </cell>
        </row>
        <row r="120">
          <cell r="F120">
            <v>21</v>
          </cell>
          <cell r="J120" t="str">
            <v>-</v>
          </cell>
          <cell r="L120" t="str">
            <v>-</v>
          </cell>
          <cell r="M120" t="str">
            <v>-</v>
          </cell>
          <cell r="N120" t="str">
            <v>No</v>
          </cell>
        </row>
        <row r="121">
          <cell r="F121">
            <v>19</v>
          </cell>
          <cell r="J121" t="str">
            <v>-</v>
          </cell>
          <cell r="L121" t="str">
            <v>-</v>
          </cell>
          <cell r="M121" t="str">
            <v>-</v>
          </cell>
          <cell r="N121" t="str">
            <v>No</v>
          </cell>
        </row>
        <row r="122">
          <cell r="F122">
            <v>19</v>
          </cell>
          <cell r="J122" t="str">
            <v>-</v>
          </cell>
          <cell r="L122" t="str">
            <v>-</v>
          </cell>
          <cell r="M122" t="str">
            <v>-</v>
          </cell>
          <cell r="N122" t="str">
            <v>No</v>
          </cell>
        </row>
        <row r="123">
          <cell r="F123">
            <v>22</v>
          </cell>
          <cell r="J123" t="str">
            <v>-</v>
          </cell>
          <cell r="L123" t="str">
            <v>-</v>
          </cell>
          <cell r="M123" t="str">
            <v>-</v>
          </cell>
          <cell r="N123" t="str">
            <v>No</v>
          </cell>
        </row>
        <row r="124">
          <cell r="F124">
            <v>29</v>
          </cell>
          <cell r="J124" t="str">
            <v>-</v>
          </cell>
          <cell r="L124" t="str">
            <v>-</v>
          </cell>
          <cell r="M124" t="str">
            <v>-</v>
          </cell>
          <cell r="N124" t="str">
            <v>No</v>
          </cell>
        </row>
        <row r="125">
          <cell r="F125">
            <v>21</v>
          </cell>
          <cell r="J125" t="str">
            <v>-</v>
          </cell>
          <cell r="L125" t="str">
            <v>-</v>
          </cell>
          <cell r="M125" t="str">
            <v>-</v>
          </cell>
          <cell r="N125" t="str">
            <v>No</v>
          </cell>
        </row>
        <row r="126">
          <cell r="F126">
            <v>24</v>
          </cell>
          <cell r="J126" t="str">
            <v>-</v>
          </cell>
          <cell r="L126" t="str">
            <v>-</v>
          </cell>
          <cell r="M126" t="str">
            <v>-</v>
          </cell>
          <cell r="N126" t="str">
            <v>No</v>
          </cell>
        </row>
        <row r="127">
          <cell r="F127">
            <v>21</v>
          </cell>
          <cell r="J127" t="str">
            <v>-</v>
          </cell>
          <cell r="L127" t="str">
            <v>-</v>
          </cell>
          <cell r="M127" t="str">
            <v>-</v>
          </cell>
          <cell r="N127" t="str">
            <v>No</v>
          </cell>
        </row>
        <row r="128">
          <cell r="F128">
            <v>20</v>
          </cell>
          <cell r="J128" t="str">
            <v>-</v>
          </cell>
          <cell r="L128" t="str">
            <v>-</v>
          </cell>
          <cell r="M128" t="str">
            <v>-</v>
          </cell>
          <cell r="N128" t="str">
            <v>No</v>
          </cell>
        </row>
        <row r="129">
          <cell r="F129">
            <v>19</v>
          </cell>
          <cell r="J129" t="str">
            <v>-</v>
          </cell>
          <cell r="L129" t="str">
            <v>-</v>
          </cell>
          <cell r="M129" t="str">
            <v>-</v>
          </cell>
          <cell r="N129" t="str">
            <v>No</v>
          </cell>
        </row>
        <row r="130">
          <cell r="F130">
            <v>20</v>
          </cell>
          <cell r="J130" t="str">
            <v>-</v>
          </cell>
          <cell r="L130" t="str">
            <v>-</v>
          </cell>
          <cell r="M130" t="str">
            <v>-</v>
          </cell>
          <cell r="N130" t="str">
            <v>No</v>
          </cell>
        </row>
        <row r="131">
          <cell r="F131">
            <v>21</v>
          </cell>
          <cell r="J131" t="str">
            <v>-</v>
          </cell>
          <cell r="L131" t="str">
            <v>-</v>
          </cell>
          <cell r="M131" t="str">
            <v>-</v>
          </cell>
          <cell r="N131" t="str">
            <v>No</v>
          </cell>
        </row>
        <row r="132">
          <cell r="F132">
            <v>20</v>
          </cell>
          <cell r="J132" t="str">
            <v>-</v>
          </cell>
          <cell r="L132" t="str">
            <v>-</v>
          </cell>
          <cell r="M132" t="str">
            <v>-</v>
          </cell>
          <cell r="N132" t="str">
            <v>No</v>
          </cell>
        </row>
        <row r="133">
          <cell r="F133">
            <v>19</v>
          </cell>
          <cell r="J133" t="str">
            <v>-</v>
          </cell>
          <cell r="L133" t="str">
            <v>-</v>
          </cell>
          <cell r="M133" t="str">
            <v>-</v>
          </cell>
          <cell r="N133" t="str">
            <v>No</v>
          </cell>
        </row>
        <row r="134">
          <cell r="F134">
            <v>20</v>
          </cell>
          <cell r="J134" t="str">
            <v>-</v>
          </cell>
          <cell r="L134" t="str">
            <v>-</v>
          </cell>
          <cell r="M134" t="str">
            <v>-</v>
          </cell>
          <cell r="N134" t="str">
            <v>No</v>
          </cell>
        </row>
        <row r="135">
          <cell r="F135">
            <v>22</v>
          </cell>
          <cell r="J135" t="str">
            <v>-</v>
          </cell>
          <cell r="L135" t="str">
            <v>-</v>
          </cell>
          <cell r="M135" t="str">
            <v>-</v>
          </cell>
          <cell r="N135" t="str">
            <v>No</v>
          </cell>
        </row>
        <row r="136">
          <cell r="F136">
            <v>19</v>
          </cell>
          <cell r="J136" t="str">
            <v>-</v>
          </cell>
          <cell r="L136" t="str">
            <v>-</v>
          </cell>
          <cell r="M136" t="str">
            <v>-</v>
          </cell>
          <cell r="N136" t="str">
            <v>No</v>
          </cell>
        </row>
        <row r="137">
          <cell r="F137">
            <v>22</v>
          </cell>
          <cell r="J137" t="str">
            <v>-</v>
          </cell>
          <cell r="L137" t="str">
            <v>-</v>
          </cell>
          <cell r="M137" t="str">
            <v>-</v>
          </cell>
          <cell r="N137" t="str">
            <v>No</v>
          </cell>
        </row>
        <row r="138">
          <cell r="F138">
            <v>21</v>
          </cell>
          <cell r="J138" t="str">
            <v>-</v>
          </cell>
          <cell r="L138" t="str">
            <v>-</v>
          </cell>
          <cell r="M138" t="str">
            <v>-</v>
          </cell>
          <cell r="N138" t="str">
            <v>No</v>
          </cell>
        </row>
        <row r="139">
          <cell r="F139">
            <v>20</v>
          </cell>
          <cell r="J139" t="str">
            <v>-</v>
          </cell>
          <cell r="L139" t="str">
            <v>-</v>
          </cell>
          <cell r="M139" t="str">
            <v>-</v>
          </cell>
          <cell r="N139" t="str">
            <v>INHIL</v>
          </cell>
        </row>
        <row r="140">
          <cell r="F140">
            <v>21</v>
          </cell>
          <cell r="J140" t="str">
            <v>-</v>
          </cell>
          <cell r="L140" t="str">
            <v>-</v>
          </cell>
          <cell r="M140" t="str">
            <v>-</v>
          </cell>
          <cell r="N140" t="str">
            <v>No</v>
          </cell>
        </row>
        <row r="141">
          <cell r="F141">
            <v>24</v>
          </cell>
          <cell r="J141" t="str">
            <v>-</v>
          </cell>
          <cell r="L141" t="str">
            <v>-</v>
          </cell>
          <cell r="M141" t="str">
            <v>-</v>
          </cell>
          <cell r="N141" t="str">
            <v>No</v>
          </cell>
        </row>
        <row r="142">
          <cell r="F142">
            <v>18</v>
          </cell>
          <cell r="J142" t="str">
            <v>-</v>
          </cell>
          <cell r="L142" t="str">
            <v>-</v>
          </cell>
          <cell r="M142" t="str">
            <v>-</v>
          </cell>
          <cell r="N142" t="str">
            <v>No</v>
          </cell>
        </row>
        <row r="143">
          <cell r="F143">
            <v>20</v>
          </cell>
          <cell r="J143" t="str">
            <v>-</v>
          </cell>
          <cell r="L143" t="str">
            <v>-</v>
          </cell>
          <cell r="M143" t="str">
            <v>-</v>
          </cell>
          <cell r="N143" t="str">
            <v>No</v>
          </cell>
        </row>
        <row r="144">
          <cell r="F144">
            <v>19</v>
          </cell>
          <cell r="J144" t="str">
            <v>-</v>
          </cell>
          <cell r="L144" t="str">
            <v>-</v>
          </cell>
          <cell r="M144" t="str">
            <v>-</v>
          </cell>
          <cell r="N144" t="str">
            <v>INHIL</v>
          </cell>
        </row>
        <row r="145">
          <cell r="F145">
            <v>23</v>
          </cell>
          <cell r="J145" t="str">
            <v>-</v>
          </cell>
          <cell r="L145" t="str">
            <v>-</v>
          </cell>
          <cell r="M145" t="str">
            <v>-</v>
          </cell>
          <cell r="N145" t="str">
            <v>No</v>
          </cell>
        </row>
        <row r="146">
          <cell r="F146">
            <v>19</v>
          </cell>
          <cell r="J146" t="str">
            <v>-</v>
          </cell>
          <cell r="L146" t="str">
            <v>-</v>
          </cell>
          <cell r="M146" t="str">
            <v>-</v>
          </cell>
          <cell r="N146" t="str">
            <v>No</v>
          </cell>
        </row>
        <row r="147">
          <cell r="F147">
            <v>24</v>
          </cell>
          <cell r="J147" t="str">
            <v>-</v>
          </cell>
          <cell r="L147" t="str">
            <v>-</v>
          </cell>
          <cell r="M147" t="str">
            <v>-</v>
          </cell>
          <cell r="N147" t="str">
            <v>No</v>
          </cell>
        </row>
        <row r="148">
          <cell r="F148">
            <v>25</v>
          </cell>
          <cell r="J148" t="str">
            <v>-</v>
          </cell>
          <cell r="L148" t="str">
            <v>-</v>
          </cell>
          <cell r="M148" t="str">
            <v>-</v>
          </cell>
          <cell r="N148" t="str">
            <v>No</v>
          </cell>
        </row>
        <row r="149">
          <cell r="F149">
            <v>24</v>
          </cell>
          <cell r="J149" t="str">
            <v>-</v>
          </cell>
          <cell r="L149" t="str">
            <v>-</v>
          </cell>
          <cell r="M149" t="str">
            <v>-</v>
          </cell>
          <cell r="N149" t="str">
            <v>No</v>
          </cell>
        </row>
        <row r="150">
          <cell r="F150">
            <v>25</v>
          </cell>
          <cell r="J150" t="str">
            <v>INHIL</v>
          </cell>
          <cell r="L150" t="str">
            <v>-</v>
          </cell>
          <cell r="M150" t="str">
            <v>-</v>
          </cell>
          <cell r="N150" t="str">
            <v>INHIL</v>
          </cell>
        </row>
        <row r="151">
          <cell r="F151">
            <v>23</v>
          </cell>
          <cell r="J151" t="str">
            <v>INHIL</v>
          </cell>
          <cell r="L151" t="str">
            <v>-</v>
          </cell>
          <cell r="M151" t="str">
            <v>-</v>
          </cell>
          <cell r="N151" t="str">
            <v>INHIL</v>
          </cell>
        </row>
        <row r="152">
          <cell r="F152">
            <v>21</v>
          </cell>
          <cell r="J152" t="str">
            <v>-</v>
          </cell>
          <cell r="L152" t="str">
            <v>-</v>
          </cell>
          <cell r="M152" t="str">
            <v>-</v>
          </cell>
          <cell r="N152" t="str">
            <v>No</v>
          </cell>
        </row>
        <row r="153">
          <cell r="F153">
            <v>23</v>
          </cell>
          <cell r="J153" t="str">
            <v>-</v>
          </cell>
          <cell r="L153" t="str">
            <v>-</v>
          </cell>
          <cell r="M153" t="str">
            <v>-</v>
          </cell>
          <cell r="N153" t="str">
            <v>No</v>
          </cell>
        </row>
        <row r="154">
          <cell r="F154">
            <v>21</v>
          </cell>
          <cell r="J154" t="str">
            <v>-</v>
          </cell>
          <cell r="L154" t="str">
            <v>-</v>
          </cell>
          <cell r="M154" t="str">
            <v>-</v>
          </cell>
          <cell r="N154" t="str">
            <v>INHIL</v>
          </cell>
        </row>
        <row r="155">
          <cell r="F155">
            <v>21</v>
          </cell>
          <cell r="J155" t="str">
            <v>-</v>
          </cell>
          <cell r="L155" t="str">
            <v>-</v>
          </cell>
          <cell r="M155" t="str">
            <v>-</v>
          </cell>
          <cell r="N155" t="str">
            <v>INHIL</v>
          </cell>
        </row>
        <row r="156">
          <cell r="F156">
            <v>19</v>
          </cell>
          <cell r="J156" t="str">
            <v>-</v>
          </cell>
          <cell r="L156" t="str">
            <v>-</v>
          </cell>
          <cell r="M156" t="str">
            <v>-</v>
          </cell>
          <cell r="N156" t="str">
            <v>INHIL</v>
          </cell>
        </row>
        <row r="157">
          <cell r="F157">
            <v>22</v>
          </cell>
          <cell r="J157" t="str">
            <v>-</v>
          </cell>
          <cell r="L157" t="str">
            <v>-</v>
          </cell>
          <cell r="M157" t="str">
            <v>-</v>
          </cell>
          <cell r="N157" t="str">
            <v>INHIL</v>
          </cell>
        </row>
        <row r="158">
          <cell r="F158">
            <v>25</v>
          </cell>
          <cell r="J158" t="str">
            <v>-</v>
          </cell>
          <cell r="L158" t="str">
            <v>-</v>
          </cell>
          <cell r="M158" t="str">
            <v>-</v>
          </cell>
          <cell r="N158" t="str">
            <v>No</v>
          </cell>
        </row>
        <row r="159">
          <cell r="F159">
            <v>23</v>
          </cell>
          <cell r="J159" t="str">
            <v>-</v>
          </cell>
          <cell r="L159" t="str">
            <v>-</v>
          </cell>
          <cell r="M159" t="str">
            <v>-</v>
          </cell>
          <cell r="N159" t="str">
            <v>No</v>
          </cell>
        </row>
        <row r="160">
          <cell r="F160">
            <v>20</v>
          </cell>
          <cell r="J160" t="str">
            <v>-</v>
          </cell>
          <cell r="L160" t="str">
            <v>-</v>
          </cell>
          <cell r="M160" t="str">
            <v>-</v>
          </cell>
          <cell r="N160" t="str">
            <v>No</v>
          </cell>
        </row>
        <row r="161">
          <cell r="F161">
            <v>24</v>
          </cell>
          <cell r="J161" t="str">
            <v>-</v>
          </cell>
          <cell r="L161" t="str">
            <v>-</v>
          </cell>
          <cell r="M161" t="str">
            <v>-</v>
          </cell>
          <cell r="N161" t="str">
            <v>INHIL</v>
          </cell>
        </row>
        <row r="162">
          <cell r="F162">
            <v>20</v>
          </cell>
          <cell r="J162" t="str">
            <v>-</v>
          </cell>
          <cell r="L162" t="str">
            <v>-</v>
          </cell>
          <cell r="M162" t="str">
            <v>INHIL</v>
          </cell>
          <cell r="N162" t="str">
            <v>INHIL</v>
          </cell>
        </row>
        <row r="163">
          <cell r="F163">
            <v>20</v>
          </cell>
          <cell r="J163" t="str">
            <v>-</v>
          </cell>
          <cell r="L163" t="str">
            <v>-</v>
          </cell>
          <cell r="M163" t="str">
            <v>-</v>
          </cell>
          <cell r="N163" t="str">
            <v>INHIL</v>
          </cell>
        </row>
        <row r="164">
          <cell r="F164">
            <v>20</v>
          </cell>
          <cell r="J164" t="str">
            <v>-</v>
          </cell>
          <cell r="L164" t="str">
            <v>-</v>
          </cell>
          <cell r="M164" t="str">
            <v>-</v>
          </cell>
          <cell r="N164" t="str">
            <v>No</v>
          </cell>
        </row>
        <row r="165">
          <cell r="F165">
            <v>21</v>
          </cell>
          <cell r="J165" t="str">
            <v>-</v>
          </cell>
          <cell r="L165" t="str">
            <v>-</v>
          </cell>
          <cell r="M165" t="str">
            <v>-</v>
          </cell>
          <cell r="N165" t="str">
            <v>No</v>
          </cell>
        </row>
        <row r="166">
          <cell r="F166">
            <v>19</v>
          </cell>
          <cell r="J166" t="str">
            <v>-</v>
          </cell>
          <cell r="L166" t="str">
            <v>-</v>
          </cell>
          <cell r="M166" t="str">
            <v>-</v>
          </cell>
          <cell r="N166" t="str">
            <v>No</v>
          </cell>
        </row>
        <row r="167">
          <cell r="F167">
            <v>18</v>
          </cell>
          <cell r="J167" t="str">
            <v>-</v>
          </cell>
          <cell r="L167" t="str">
            <v>-</v>
          </cell>
          <cell r="M167" t="str">
            <v>-</v>
          </cell>
          <cell r="N167" t="str">
            <v>No</v>
          </cell>
        </row>
        <row r="168">
          <cell r="F168">
            <v>18</v>
          </cell>
          <cell r="J168" t="str">
            <v>-</v>
          </cell>
          <cell r="L168" t="str">
            <v>-</v>
          </cell>
          <cell r="M168" t="str">
            <v>-</v>
          </cell>
          <cell r="N168" t="str">
            <v>No</v>
          </cell>
        </row>
        <row r="169">
          <cell r="F169">
            <v>19</v>
          </cell>
          <cell r="J169" t="str">
            <v>-</v>
          </cell>
          <cell r="L169" t="str">
            <v>-</v>
          </cell>
          <cell r="M169" t="str">
            <v>-</v>
          </cell>
          <cell r="N169" t="str">
            <v>No</v>
          </cell>
        </row>
        <row r="170">
          <cell r="F170">
            <v>18</v>
          </cell>
          <cell r="J170" t="str">
            <v>-</v>
          </cell>
          <cell r="L170" t="str">
            <v>-</v>
          </cell>
          <cell r="M170" t="str">
            <v>-</v>
          </cell>
          <cell r="N170" t="str">
            <v>No</v>
          </cell>
        </row>
        <row r="171">
          <cell r="F171">
            <v>19</v>
          </cell>
          <cell r="J171" t="str">
            <v>-</v>
          </cell>
          <cell r="L171" t="str">
            <v>-</v>
          </cell>
          <cell r="M171" t="str">
            <v>-</v>
          </cell>
          <cell r="N171" t="str">
            <v>No</v>
          </cell>
        </row>
        <row r="172">
          <cell r="F172">
            <v>18</v>
          </cell>
          <cell r="J172" t="str">
            <v>-</v>
          </cell>
          <cell r="L172" t="str">
            <v>-</v>
          </cell>
          <cell r="M172" t="str">
            <v>-</v>
          </cell>
          <cell r="N172" t="str">
            <v>No</v>
          </cell>
        </row>
        <row r="173">
          <cell r="F173">
            <v>18</v>
          </cell>
          <cell r="J173" t="str">
            <v>-</v>
          </cell>
          <cell r="L173" t="str">
            <v>-</v>
          </cell>
          <cell r="M173" t="str">
            <v>-</v>
          </cell>
          <cell r="N173" t="str">
            <v>No</v>
          </cell>
        </row>
        <row r="174">
          <cell r="F174">
            <v>19</v>
          </cell>
          <cell r="J174" t="str">
            <v>-</v>
          </cell>
          <cell r="L174" t="str">
            <v>-</v>
          </cell>
          <cell r="M174" t="str">
            <v>-</v>
          </cell>
          <cell r="N174" t="str">
            <v>No</v>
          </cell>
        </row>
        <row r="175">
          <cell r="F175">
            <v>18</v>
          </cell>
          <cell r="J175" t="str">
            <v>-</v>
          </cell>
          <cell r="L175" t="str">
            <v>-</v>
          </cell>
          <cell r="M175" t="str">
            <v>-</v>
          </cell>
          <cell r="N175" t="str">
            <v>No</v>
          </cell>
        </row>
        <row r="176">
          <cell r="F176">
            <v>20</v>
          </cell>
          <cell r="J176" t="str">
            <v>-</v>
          </cell>
          <cell r="L176" t="str">
            <v>-</v>
          </cell>
          <cell r="M176" t="str">
            <v>-</v>
          </cell>
          <cell r="N176" t="str">
            <v>No</v>
          </cell>
        </row>
        <row r="177">
          <cell r="F177">
            <v>24</v>
          </cell>
          <cell r="J177" t="str">
            <v>-</v>
          </cell>
          <cell r="L177" t="str">
            <v>-</v>
          </cell>
          <cell r="M177" t="str">
            <v>-</v>
          </cell>
          <cell r="N177" t="str">
            <v>No</v>
          </cell>
        </row>
        <row r="178">
          <cell r="F178">
            <v>18</v>
          </cell>
          <cell r="J178" t="str">
            <v>-</v>
          </cell>
          <cell r="L178" t="str">
            <v>-</v>
          </cell>
          <cell r="M178" t="str">
            <v>-</v>
          </cell>
          <cell r="N178" t="str">
            <v>No</v>
          </cell>
        </row>
        <row r="179">
          <cell r="F179">
            <v>19</v>
          </cell>
          <cell r="J179" t="str">
            <v>-</v>
          </cell>
          <cell r="L179" t="str">
            <v>-</v>
          </cell>
          <cell r="M179" t="str">
            <v>-</v>
          </cell>
          <cell r="N179" t="str">
            <v>No</v>
          </cell>
        </row>
        <row r="180">
          <cell r="F180">
            <v>25</v>
          </cell>
          <cell r="J180" t="str">
            <v>-</v>
          </cell>
          <cell r="L180" t="str">
            <v>-</v>
          </cell>
          <cell r="M180" t="str">
            <v>-</v>
          </cell>
          <cell r="N180" t="str">
            <v>No</v>
          </cell>
        </row>
        <row r="181">
          <cell r="F181">
            <v>19</v>
          </cell>
          <cell r="J181" t="str">
            <v>-</v>
          </cell>
          <cell r="L181" t="str">
            <v>-</v>
          </cell>
          <cell r="M181" t="str">
            <v>-</v>
          </cell>
          <cell r="N181" t="str">
            <v>No</v>
          </cell>
        </row>
        <row r="182">
          <cell r="F182">
            <v>19</v>
          </cell>
          <cell r="J182" t="str">
            <v>-</v>
          </cell>
          <cell r="L182" t="str">
            <v>-</v>
          </cell>
          <cell r="M182" t="str">
            <v>-</v>
          </cell>
          <cell r="N182" t="str">
            <v>No</v>
          </cell>
        </row>
        <row r="183">
          <cell r="F183">
            <v>21</v>
          </cell>
          <cell r="J183" t="str">
            <v>-</v>
          </cell>
          <cell r="L183" t="str">
            <v>-</v>
          </cell>
          <cell r="M183" t="str">
            <v>-</v>
          </cell>
          <cell r="N183" t="str">
            <v>No</v>
          </cell>
        </row>
        <row r="184">
          <cell r="F184">
            <v>17</v>
          </cell>
          <cell r="J184" t="str">
            <v>-</v>
          </cell>
          <cell r="L184" t="str">
            <v>-</v>
          </cell>
          <cell r="M184" t="str">
            <v>-</v>
          </cell>
          <cell r="N184" t="str">
            <v>INHIL</v>
          </cell>
        </row>
        <row r="185">
          <cell r="F185">
            <v>18</v>
          </cell>
          <cell r="J185" t="str">
            <v>-</v>
          </cell>
          <cell r="L185" t="str">
            <v>-</v>
          </cell>
          <cell r="M185" t="str">
            <v>-</v>
          </cell>
          <cell r="N185" t="str">
            <v>No</v>
          </cell>
        </row>
        <row r="186">
          <cell r="F186">
            <v>22</v>
          </cell>
          <cell r="J186" t="str">
            <v>-</v>
          </cell>
          <cell r="L186" t="str">
            <v>-</v>
          </cell>
          <cell r="M186" t="str">
            <v>-</v>
          </cell>
          <cell r="N186" t="str">
            <v>No</v>
          </cell>
        </row>
        <row r="187">
          <cell r="F187">
            <v>19</v>
          </cell>
          <cell r="J187" t="str">
            <v>INHIL</v>
          </cell>
          <cell r="L187" t="str">
            <v>-</v>
          </cell>
          <cell r="M187" t="str">
            <v>-</v>
          </cell>
          <cell r="N187" t="str">
            <v>INHIL</v>
          </cell>
        </row>
        <row r="188">
          <cell r="F188">
            <v>19</v>
          </cell>
          <cell r="J188" t="str">
            <v>-</v>
          </cell>
          <cell r="L188" t="str">
            <v>-</v>
          </cell>
          <cell r="M188" t="str">
            <v>-</v>
          </cell>
          <cell r="N188" t="str">
            <v>No</v>
          </cell>
        </row>
        <row r="189">
          <cell r="F189">
            <v>18</v>
          </cell>
          <cell r="J189" t="str">
            <v>-</v>
          </cell>
          <cell r="L189" t="str">
            <v>-</v>
          </cell>
          <cell r="M189" t="str">
            <v>-</v>
          </cell>
          <cell r="N189" t="str">
            <v>No</v>
          </cell>
        </row>
        <row r="190">
          <cell r="F190">
            <v>23</v>
          </cell>
          <cell r="J190" t="str">
            <v>-</v>
          </cell>
          <cell r="L190" t="str">
            <v>NHIL</v>
          </cell>
          <cell r="M190" t="str">
            <v>-</v>
          </cell>
          <cell r="N190" t="str">
            <v>INHIL</v>
          </cell>
        </row>
        <row r="191">
          <cell r="F191">
            <v>21</v>
          </cell>
          <cell r="J191" t="str">
            <v>-</v>
          </cell>
          <cell r="L191" t="str">
            <v>-</v>
          </cell>
          <cell r="M191" t="str">
            <v>-</v>
          </cell>
          <cell r="N191" t="str">
            <v>No</v>
          </cell>
        </row>
        <row r="192">
          <cell r="F192">
            <v>23</v>
          </cell>
          <cell r="J192" t="str">
            <v>-</v>
          </cell>
          <cell r="L192" t="str">
            <v>-</v>
          </cell>
          <cell r="M192" t="str">
            <v>-</v>
          </cell>
          <cell r="N192" t="str">
            <v>No</v>
          </cell>
        </row>
        <row r="193">
          <cell r="F193">
            <v>28</v>
          </cell>
          <cell r="J193" t="str">
            <v>-</v>
          </cell>
          <cell r="L193" t="str">
            <v>-</v>
          </cell>
          <cell r="M193" t="str">
            <v>-</v>
          </cell>
          <cell r="N193" t="str">
            <v>No</v>
          </cell>
        </row>
        <row r="194">
          <cell r="F194">
            <v>20</v>
          </cell>
          <cell r="J194" t="str">
            <v>-</v>
          </cell>
          <cell r="L194" t="str">
            <v>-</v>
          </cell>
          <cell r="M194" t="str">
            <v>-</v>
          </cell>
          <cell r="N194" t="str">
            <v>No</v>
          </cell>
        </row>
        <row r="195">
          <cell r="F195">
            <v>19</v>
          </cell>
          <cell r="J195" t="str">
            <v>-</v>
          </cell>
          <cell r="L195" t="str">
            <v>-</v>
          </cell>
          <cell r="M195" t="str">
            <v>-</v>
          </cell>
          <cell r="N195" t="str">
            <v>No</v>
          </cell>
        </row>
        <row r="196">
          <cell r="F196">
            <v>19</v>
          </cell>
          <cell r="J196" t="str">
            <v>-</v>
          </cell>
          <cell r="L196" t="str">
            <v>-</v>
          </cell>
          <cell r="M196" t="str">
            <v>-</v>
          </cell>
          <cell r="N196" t="str">
            <v>INHIL</v>
          </cell>
        </row>
      </sheetData>
      <sheetData sheetId="22" refreshError="1">
        <row r="1">
          <cell r="A1" t="str">
            <v>F: E-PSN2\REKAP\Data-Kry</v>
          </cell>
        </row>
        <row r="2">
          <cell r="A2" t="str">
            <v>No</v>
          </cell>
          <cell r="B2" t="str">
            <v>NIK</v>
          </cell>
          <cell r="C2" t="str">
            <v>NAMA</v>
          </cell>
        </row>
        <row r="3">
          <cell r="F3" t="str">
            <v>THN</v>
          </cell>
        </row>
        <row r="4">
          <cell r="A4">
            <v>1</v>
          </cell>
          <cell r="B4">
            <v>30153</v>
          </cell>
          <cell r="C4" t="str">
            <v>SUWANDI</v>
          </cell>
          <cell r="F4">
            <v>26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No</v>
          </cell>
        </row>
        <row r="5">
          <cell r="A5">
            <v>2</v>
          </cell>
          <cell r="B5">
            <v>30017</v>
          </cell>
          <cell r="C5" t="str">
            <v>TUNGGUL Y</v>
          </cell>
          <cell r="F5">
            <v>25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No</v>
          </cell>
        </row>
        <row r="6">
          <cell r="F6">
            <v>27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No</v>
          </cell>
        </row>
        <row r="7">
          <cell r="F7">
            <v>21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No</v>
          </cell>
        </row>
        <row r="8">
          <cell r="F8">
            <v>36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INHIL</v>
          </cell>
        </row>
        <row r="9">
          <cell r="F9">
            <v>43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31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INHIL</v>
          </cell>
        </row>
        <row r="11">
          <cell r="F11">
            <v>34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20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No</v>
          </cell>
        </row>
        <row r="13">
          <cell r="F13">
            <v>32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33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INHIL</v>
          </cell>
        </row>
        <row r="15">
          <cell r="F15">
            <v>26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No</v>
          </cell>
        </row>
        <row r="16">
          <cell r="F16">
            <v>27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INHIL</v>
          </cell>
        </row>
        <row r="17">
          <cell r="F17">
            <v>32</v>
          </cell>
          <cell r="J17" t="str">
            <v>INHIL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INHIL</v>
          </cell>
        </row>
        <row r="18">
          <cell r="F18">
            <v>38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INHIL</v>
          </cell>
        </row>
        <row r="19">
          <cell r="F19">
            <v>24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INHIL</v>
          </cell>
        </row>
        <row r="20">
          <cell r="F20">
            <v>30</v>
          </cell>
          <cell r="J20" t="str">
            <v>-</v>
          </cell>
          <cell r="K20" t="str">
            <v>-</v>
          </cell>
          <cell r="L20" t="str">
            <v>-</v>
          </cell>
          <cell r="M20" t="str">
            <v>-</v>
          </cell>
          <cell r="N20" t="str">
            <v>INHIL</v>
          </cell>
        </row>
        <row r="21">
          <cell r="F21">
            <v>28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INHIL</v>
          </cell>
        </row>
        <row r="22">
          <cell r="F22">
            <v>25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INHIL</v>
          </cell>
        </row>
        <row r="23">
          <cell r="F23">
            <v>27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INHIL</v>
          </cell>
        </row>
        <row r="24">
          <cell r="F24">
            <v>29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INHIL</v>
          </cell>
        </row>
        <row r="25">
          <cell r="F25">
            <v>27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INHIL</v>
          </cell>
        </row>
        <row r="26">
          <cell r="F26">
            <v>30</v>
          </cell>
          <cell r="J26" t="str">
            <v>-</v>
          </cell>
          <cell r="K26" t="str">
            <v>-</v>
          </cell>
          <cell r="L26" t="str">
            <v>-</v>
          </cell>
          <cell r="M26" t="str">
            <v>-</v>
          </cell>
          <cell r="N26" t="str">
            <v>INHIL</v>
          </cell>
        </row>
        <row r="27">
          <cell r="F27">
            <v>26</v>
          </cell>
          <cell r="J27" t="str">
            <v>-</v>
          </cell>
          <cell r="K27" t="str">
            <v>-</v>
          </cell>
          <cell r="L27" t="str">
            <v>-</v>
          </cell>
          <cell r="M27" t="str">
            <v>-</v>
          </cell>
          <cell r="N27" t="str">
            <v>INHIL</v>
          </cell>
        </row>
        <row r="28">
          <cell r="F28">
            <v>31</v>
          </cell>
          <cell r="J28" t="str">
            <v>-</v>
          </cell>
          <cell r="K28" t="str">
            <v>-</v>
          </cell>
          <cell r="L28" t="str">
            <v>-</v>
          </cell>
          <cell r="M28" t="str">
            <v>-</v>
          </cell>
          <cell r="N28" t="str">
            <v>INHIL</v>
          </cell>
        </row>
        <row r="29">
          <cell r="F29">
            <v>23</v>
          </cell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N29" t="str">
            <v>INHIL</v>
          </cell>
        </row>
        <row r="30">
          <cell r="F30">
            <v>20</v>
          </cell>
          <cell r="J30" t="str">
            <v>-</v>
          </cell>
          <cell r="K30" t="str">
            <v>-</v>
          </cell>
          <cell r="L30" t="str">
            <v>-</v>
          </cell>
          <cell r="M30" t="str">
            <v>-</v>
          </cell>
          <cell r="N30" t="str">
            <v>No</v>
          </cell>
        </row>
        <row r="31">
          <cell r="F31">
            <v>25</v>
          </cell>
          <cell r="J31" t="str">
            <v>-</v>
          </cell>
          <cell r="K31" t="str">
            <v>-</v>
          </cell>
          <cell r="L31" t="str">
            <v>-</v>
          </cell>
          <cell r="M31" t="str">
            <v>-</v>
          </cell>
          <cell r="N31" t="str">
            <v>INHIL</v>
          </cell>
        </row>
        <row r="32">
          <cell r="F32">
            <v>27</v>
          </cell>
          <cell r="J32" t="str">
            <v>-</v>
          </cell>
          <cell r="K32" t="str">
            <v>-</v>
          </cell>
          <cell r="L32" t="str">
            <v>-</v>
          </cell>
          <cell r="M32" t="str">
            <v>-</v>
          </cell>
          <cell r="N32" t="str">
            <v>INHIL</v>
          </cell>
        </row>
        <row r="33">
          <cell r="F33">
            <v>50</v>
          </cell>
          <cell r="J33" t="str">
            <v>-</v>
          </cell>
          <cell r="K33" t="str">
            <v>-</v>
          </cell>
          <cell r="L33" t="str">
            <v>-</v>
          </cell>
          <cell r="M33" t="str">
            <v>-</v>
          </cell>
          <cell r="N33" t="str">
            <v>INHIL</v>
          </cell>
        </row>
        <row r="34">
          <cell r="F34">
            <v>28</v>
          </cell>
          <cell r="J34" t="str">
            <v>-</v>
          </cell>
          <cell r="K34" t="str">
            <v>-</v>
          </cell>
          <cell r="L34" t="str">
            <v>-</v>
          </cell>
          <cell r="M34" t="str">
            <v>-</v>
          </cell>
          <cell r="N34" t="str">
            <v>No</v>
          </cell>
        </row>
        <row r="35">
          <cell r="F35">
            <v>34</v>
          </cell>
          <cell r="J35" t="str">
            <v>-</v>
          </cell>
          <cell r="K35" t="str">
            <v>-</v>
          </cell>
          <cell r="L35" t="str">
            <v>-</v>
          </cell>
          <cell r="M35" t="str">
            <v>-</v>
          </cell>
          <cell r="N35" t="str">
            <v>INHIL</v>
          </cell>
        </row>
        <row r="36">
          <cell r="F36">
            <v>28</v>
          </cell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 t="str">
            <v>No</v>
          </cell>
        </row>
        <row r="37">
          <cell r="F37">
            <v>28</v>
          </cell>
          <cell r="J37" t="str">
            <v>-</v>
          </cell>
          <cell r="K37" t="str">
            <v>-</v>
          </cell>
          <cell r="L37" t="str">
            <v>-</v>
          </cell>
          <cell r="M37" t="str">
            <v>-</v>
          </cell>
          <cell r="N37" t="str">
            <v>No</v>
          </cell>
        </row>
        <row r="38">
          <cell r="F38">
            <v>49</v>
          </cell>
          <cell r="J38" t="str">
            <v>-</v>
          </cell>
          <cell r="K38" t="str">
            <v>-</v>
          </cell>
          <cell r="L38" t="str">
            <v>-</v>
          </cell>
          <cell r="M38" t="str">
            <v>-</v>
          </cell>
          <cell r="N38" t="str">
            <v>INHIL</v>
          </cell>
        </row>
        <row r="39">
          <cell r="F39">
            <v>26</v>
          </cell>
          <cell r="J39" t="str">
            <v>-</v>
          </cell>
          <cell r="K39" t="str">
            <v>-</v>
          </cell>
          <cell r="L39" t="str">
            <v>-</v>
          </cell>
          <cell r="M39" t="str">
            <v>-</v>
          </cell>
          <cell r="N39" t="str">
            <v>No</v>
          </cell>
        </row>
        <row r="40">
          <cell r="F40">
            <v>24</v>
          </cell>
          <cell r="J40" t="str">
            <v>-</v>
          </cell>
          <cell r="K40" t="str">
            <v>-</v>
          </cell>
          <cell r="L40" t="str">
            <v>-</v>
          </cell>
          <cell r="M40" t="str">
            <v>-</v>
          </cell>
          <cell r="N40" t="str">
            <v>No</v>
          </cell>
        </row>
        <row r="41">
          <cell r="F41">
            <v>27</v>
          </cell>
          <cell r="J41" t="str">
            <v>-</v>
          </cell>
          <cell r="K41" t="str">
            <v>-</v>
          </cell>
          <cell r="L41" t="str">
            <v>-</v>
          </cell>
          <cell r="M41" t="str">
            <v>-</v>
          </cell>
          <cell r="N41" t="str">
            <v>No</v>
          </cell>
        </row>
        <row r="42">
          <cell r="F42">
            <v>19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No</v>
          </cell>
        </row>
        <row r="43">
          <cell r="F43">
            <v>24</v>
          </cell>
          <cell r="J43" t="str">
            <v>-</v>
          </cell>
          <cell r="K43" t="str">
            <v>-</v>
          </cell>
          <cell r="L43" t="str">
            <v>-</v>
          </cell>
          <cell r="M43" t="str">
            <v>-</v>
          </cell>
          <cell r="N43" t="str">
            <v>No</v>
          </cell>
        </row>
        <row r="44">
          <cell r="F44">
            <v>24</v>
          </cell>
          <cell r="J44" t="str">
            <v>-</v>
          </cell>
          <cell r="K44" t="str">
            <v>-</v>
          </cell>
          <cell r="L44" t="str">
            <v>-</v>
          </cell>
          <cell r="M44" t="str">
            <v>-</v>
          </cell>
          <cell r="N44" t="str">
            <v>No</v>
          </cell>
        </row>
        <row r="45">
          <cell r="F45">
            <v>28</v>
          </cell>
          <cell r="J45" t="str">
            <v>-</v>
          </cell>
          <cell r="K45" t="str">
            <v>-</v>
          </cell>
          <cell r="L45" t="str">
            <v>-</v>
          </cell>
          <cell r="M45" t="str">
            <v>-</v>
          </cell>
          <cell r="N45" t="str">
            <v>No</v>
          </cell>
        </row>
        <row r="46">
          <cell r="F46">
            <v>29</v>
          </cell>
          <cell r="J46" t="str">
            <v>-</v>
          </cell>
          <cell r="K46" t="str">
            <v>-</v>
          </cell>
          <cell r="L46" t="str">
            <v>-</v>
          </cell>
          <cell r="M46" t="str">
            <v>-</v>
          </cell>
          <cell r="N46" t="str">
            <v>No</v>
          </cell>
        </row>
        <row r="47">
          <cell r="F47">
            <v>21</v>
          </cell>
          <cell r="J47" t="str">
            <v>INHIL</v>
          </cell>
          <cell r="K47" t="str">
            <v>-</v>
          </cell>
          <cell r="L47" t="str">
            <v>-</v>
          </cell>
          <cell r="M47" t="str">
            <v>-</v>
          </cell>
          <cell r="N47" t="str">
            <v>INHIL</v>
          </cell>
        </row>
        <row r="48">
          <cell r="F48">
            <v>29</v>
          </cell>
          <cell r="J48" t="str">
            <v>-</v>
          </cell>
          <cell r="K48" t="str">
            <v>-</v>
          </cell>
          <cell r="L48" t="str">
            <v>-</v>
          </cell>
          <cell r="M48" t="str">
            <v>-</v>
          </cell>
          <cell r="N48" t="str">
            <v>No</v>
          </cell>
        </row>
        <row r="49">
          <cell r="F49">
            <v>28</v>
          </cell>
          <cell r="J49" t="str">
            <v>-</v>
          </cell>
          <cell r="K49" t="str">
            <v>-</v>
          </cell>
          <cell r="L49" t="str">
            <v>-</v>
          </cell>
          <cell r="M49" t="str">
            <v>-</v>
          </cell>
          <cell r="N49" t="str">
            <v>INHIL</v>
          </cell>
        </row>
        <row r="50">
          <cell r="F50">
            <v>20</v>
          </cell>
          <cell r="J50" t="str">
            <v>-</v>
          </cell>
          <cell r="K50" t="str">
            <v>-</v>
          </cell>
          <cell r="L50" t="str">
            <v>-</v>
          </cell>
          <cell r="M50" t="str">
            <v>-</v>
          </cell>
          <cell r="N50" t="str">
            <v>No</v>
          </cell>
        </row>
        <row r="51">
          <cell r="F51">
            <v>25</v>
          </cell>
          <cell r="J51" t="str">
            <v>-</v>
          </cell>
          <cell r="K51" t="str">
            <v>-</v>
          </cell>
          <cell r="L51" t="str">
            <v>-</v>
          </cell>
          <cell r="M51" t="str">
            <v>-</v>
          </cell>
          <cell r="N51" t="str">
            <v>No</v>
          </cell>
        </row>
        <row r="52">
          <cell r="F52">
            <v>28</v>
          </cell>
          <cell r="J52" t="str">
            <v>-</v>
          </cell>
          <cell r="K52" t="str">
            <v>-</v>
          </cell>
          <cell r="L52" t="str">
            <v>-</v>
          </cell>
          <cell r="M52" t="str">
            <v>-</v>
          </cell>
          <cell r="N52" t="str">
            <v>No</v>
          </cell>
        </row>
        <row r="53">
          <cell r="F53">
            <v>32</v>
          </cell>
          <cell r="J53" t="str">
            <v>-</v>
          </cell>
          <cell r="K53" t="str">
            <v>-</v>
          </cell>
          <cell r="L53" t="str">
            <v>-</v>
          </cell>
          <cell r="M53" t="str">
            <v>-</v>
          </cell>
          <cell r="N53" t="str">
            <v>INHIL</v>
          </cell>
        </row>
        <row r="54">
          <cell r="F54">
            <v>34</v>
          </cell>
          <cell r="J54" t="str">
            <v>INHIL</v>
          </cell>
          <cell r="K54" t="str">
            <v>-</v>
          </cell>
          <cell r="L54" t="str">
            <v>-</v>
          </cell>
          <cell r="M54" t="str">
            <v>-</v>
          </cell>
          <cell r="N54" t="str">
            <v>INHIL</v>
          </cell>
        </row>
        <row r="55">
          <cell r="F55">
            <v>31</v>
          </cell>
          <cell r="J55" t="str">
            <v>-</v>
          </cell>
          <cell r="K55" t="str">
            <v>-</v>
          </cell>
          <cell r="L55" t="str">
            <v>-</v>
          </cell>
          <cell r="M55" t="str">
            <v>-</v>
          </cell>
          <cell r="N55" t="str">
            <v>INHIL</v>
          </cell>
        </row>
        <row r="56">
          <cell r="F56">
            <v>28</v>
          </cell>
          <cell r="J56" t="str">
            <v>-</v>
          </cell>
          <cell r="K56" t="str">
            <v>-</v>
          </cell>
          <cell r="L56" t="str">
            <v>-</v>
          </cell>
          <cell r="M56" t="str">
            <v>-</v>
          </cell>
          <cell r="N56" t="str">
            <v>No</v>
          </cell>
        </row>
        <row r="57">
          <cell r="F57">
            <v>18</v>
          </cell>
          <cell r="J57" t="str">
            <v>-</v>
          </cell>
          <cell r="K57" t="str">
            <v>-</v>
          </cell>
          <cell r="L57" t="str">
            <v>-</v>
          </cell>
          <cell r="M57" t="str">
            <v>-</v>
          </cell>
          <cell r="N57" t="str">
            <v>No</v>
          </cell>
        </row>
        <row r="58">
          <cell r="F58">
            <v>20</v>
          </cell>
          <cell r="J58" t="str">
            <v>-</v>
          </cell>
          <cell r="K58" t="str">
            <v>-</v>
          </cell>
          <cell r="L58" t="str">
            <v>-</v>
          </cell>
          <cell r="M58" t="str">
            <v>-</v>
          </cell>
          <cell r="N58" t="str">
            <v>No</v>
          </cell>
        </row>
        <row r="59">
          <cell r="F59">
            <v>29</v>
          </cell>
          <cell r="J59" t="str">
            <v>-</v>
          </cell>
          <cell r="K59" t="str">
            <v>-</v>
          </cell>
          <cell r="L59" t="str">
            <v>-</v>
          </cell>
          <cell r="M59" t="str">
            <v>-</v>
          </cell>
          <cell r="N59" t="str">
            <v>INHIL</v>
          </cell>
        </row>
        <row r="60">
          <cell r="F60">
            <v>24</v>
          </cell>
          <cell r="J60" t="str">
            <v>-</v>
          </cell>
          <cell r="K60" t="str">
            <v>-</v>
          </cell>
          <cell r="L60" t="str">
            <v>-</v>
          </cell>
          <cell r="M60" t="str">
            <v>-</v>
          </cell>
          <cell r="N60" t="str">
            <v>No</v>
          </cell>
        </row>
        <row r="61">
          <cell r="F61">
            <v>21</v>
          </cell>
          <cell r="J61" t="str">
            <v>-</v>
          </cell>
          <cell r="K61" t="str">
            <v>INHIL</v>
          </cell>
          <cell r="L61" t="str">
            <v>-</v>
          </cell>
          <cell r="M61" t="str">
            <v>-</v>
          </cell>
          <cell r="N61" t="str">
            <v>INHIL</v>
          </cell>
        </row>
        <row r="62">
          <cell r="F62">
            <v>22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No</v>
          </cell>
        </row>
        <row r="63">
          <cell r="F63">
            <v>18</v>
          </cell>
          <cell r="J63" t="str">
            <v>-</v>
          </cell>
          <cell r="K63" t="str">
            <v>-</v>
          </cell>
          <cell r="L63" t="str">
            <v>-</v>
          </cell>
          <cell r="M63" t="str">
            <v>-</v>
          </cell>
          <cell r="N63" t="str">
            <v>No</v>
          </cell>
        </row>
      </sheetData>
      <sheetData sheetId="23" refreshError="1">
        <row r="1">
          <cell r="A1" t="str">
            <v>F: E-PSN2\REKAP\Data-Kry</v>
          </cell>
        </row>
        <row r="2">
          <cell r="A2" t="str">
            <v>No</v>
          </cell>
          <cell r="B2" t="str">
            <v>NIK</v>
          </cell>
          <cell r="C2" t="str">
            <v>NAMA</v>
          </cell>
        </row>
        <row r="3">
          <cell r="F3" t="str">
            <v>THN</v>
          </cell>
        </row>
        <row r="4">
          <cell r="F4">
            <v>20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No</v>
          </cell>
        </row>
        <row r="5">
          <cell r="F5">
            <v>22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No</v>
          </cell>
        </row>
        <row r="6">
          <cell r="F6">
            <v>21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No</v>
          </cell>
        </row>
        <row r="7">
          <cell r="F7">
            <v>20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No</v>
          </cell>
        </row>
        <row r="8">
          <cell r="F8">
            <v>20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No</v>
          </cell>
        </row>
        <row r="9">
          <cell r="F9">
            <v>26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No</v>
          </cell>
        </row>
        <row r="10">
          <cell r="F10">
            <v>26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No</v>
          </cell>
        </row>
        <row r="11">
          <cell r="F11">
            <v>22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No</v>
          </cell>
        </row>
        <row r="12">
          <cell r="F12">
            <v>23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No</v>
          </cell>
        </row>
        <row r="13">
          <cell r="F13">
            <v>43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33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INHIL</v>
          </cell>
        </row>
        <row r="15">
          <cell r="F15">
            <v>33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INHIL</v>
          </cell>
        </row>
        <row r="16">
          <cell r="F16">
            <v>34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INHIL</v>
          </cell>
        </row>
        <row r="17">
          <cell r="F17">
            <v>29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No</v>
          </cell>
        </row>
        <row r="18">
          <cell r="F18">
            <v>34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INHIL</v>
          </cell>
        </row>
        <row r="19">
          <cell r="F19">
            <v>20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No</v>
          </cell>
        </row>
        <row r="20">
          <cell r="F20">
            <v>32</v>
          </cell>
          <cell r="J20" t="str">
            <v>-</v>
          </cell>
          <cell r="K20" t="str">
            <v>-</v>
          </cell>
          <cell r="L20" t="str">
            <v>-</v>
          </cell>
          <cell r="M20" t="str">
            <v>-</v>
          </cell>
          <cell r="N20" t="str">
            <v>INHIL</v>
          </cell>
        </row>
        <row r="21">
          <cell r="F21">
            <v>32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INHIL</v>
          </cell>
        </row>
        <row r="22">
          <cell r="F22">
            <v>26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INHIL</v>
          </cell>
        </row>
        <row r="23">
          <cell r="F23">
            <v>34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INHIL</v>
          </cell>
        </row>
        <row r="24">
          <cell r="F24">
            <v>24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No</v>
          </cell>
        </row>
        <row r="25">
          <cell r="F25">
            <v>23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INHIL</v>
          </cell>
        </row>
        <row r="26">
          <cell r="F26">
            <v>27</v>
          </cell>
          <cell r="J26" t="str">
            <v>-</v>
          </cell>
          <cell r="K26" t="str">
            <v>-</v>
          </cell>
          <cell r="L26" t="str">
            <v>-</v>
          </cell>
          <cell r="M26" t="str">
            <v>-</v>
          </cell>
          <cell r="N26" t="str">
            <v>INHIL</v>
          </cell>
        </row>
        <row r="27">
          <cell r="F27">
            <v>23</v>
          </cell>
          <cell r="J27" t="str">
            <v>-</v>
          </cell>
          <cell r="K27" t="str">
            <v>-</v>
          </cell>
          <cell r="L27" t="str">
            <v>-</v>
          </cell>
          <cell r="M27" t="str">
            <v>-</v>
          </cell>
          <cell r="N27" t="str">
            <v>No</v>
          </cell>
        </row>
        <row r="28">
          <cell r="F28">
            <v>21</v>
          </cell>
          <cell r="J28" t="str">
            <v>-</v>
          </cell>
          <cell r="K28" t="str">
            <v>-</v>
          </cell>
          <cell r="L28" t="str">
            <v>-</v>
          </cell>
          <cell r="M28" t="str">
            <v>-</v>
          </cell>
          <cell r="N28" t="str">
            <v>No</v>
          </cell>
        </row>
        <row r="29">
          <cell r="F29">
            <v>45</v>
          </cell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N29" t="str">
            <v>INHIL</v>
          </cell>
        </row>
        <row r="30">
          <cell r="F30">
            <v>44</v>
          </cell>
          <cell r="J30" t="str">
            <v>-</v>
          </cell>
          <cell r="K30" t="str">
            <v>-</v>
          </cell>
          <cell r="L30" t="str">
            <v>-</v>
          </cell>
          <cell r="M30" t="str">
            <v>-</v>
          </cell>
          <cell r="N30" t="str">
            <v>INHIL</v>
          </cell>
        </row>
        <row r="31">
          <cell r="F31">
            <v>41</v>
          </cell>
          <cell r="J31" t="str">
            <v>-</v>
          </cell>
          <cell r="K31" t="str">
            <v>-</v>
          </cell>
          <cell r="L31" t="str">
            <v>-</v>
          </cell>
          <cell r="M31" t="str">
            <v>-</v>
          </cell>
          <cell r="N31" t="str">
            <v>No</v>
          </cell>
        </row>
        <row r="32">
          <cell r="F32">
            <v>28</v>
          </cell>
          <cell r="J32" t="str">
            <v>-</v>
          </cell>
          <cell r="K32" t="str">
            <v>-</v>
          </cell>
          <cell r="L32" t="str">
            <v>-</v>
          </cell>
          <cell r="M32" t="str">
            <v>-</v>
          </cell>
          <cell r="N32" t="str">
            <v>No</v>
          </cell>
        </row>
        <row r="33">
          <cell r="F33">
            <v>21</v>
          </cell>
          <cell r="J33" t="str">
            <v>-</v>
          </cell>
          <cell r="K33" t="str">
            <v>-</v>
          </cell>
          <cell r="L33" t="str">
            <v>-</v>
          </cell>
          <cell r="M33" t="str">
            <v>-</v>
          </cell>
          <cell r="N33" t="str">
            <v>No</v>
          </cell>
        </row>
        <row r="34">
          <cell r="F34">
            <v>20</v>
          </cell>
          <cell r="J34" t="str">
            <v>-</v>
          </cell>
          <cell r="K34" t="str">
            <v>-</v>
          </cell>
          <cell r="L34" t="str">
            <v>-</v>
          </cell>
          <cell r="M34" t="str">
            <v>-</v>
          </cell>
          <cell r="N34" t="str">
            <v>INHIL</v>
          </cell>
        </row>
      </sheetData>
      <sheetData sheetId="24" refreshError="1">
        <row r="1">
          <cell r="A1" t="str">
            <v>F: E-PSN2\REKAP\Data-Kry</v>
          </cell>
        </row>
        <row r="2">
          <cell r="A2" t="str">
            <v>No</v>
          </cell>
          <cell r="B2" t="str">
            <v>NIK</v>
          </cell>
          <cell r="C2" t="str">
            <v>NAMA</v>
          </cell>
        </row>
        <row r="3">
          <cell r="F3" t="str">
            <v>THN</v>
          </cell>
        </row>
        <row r="4">
          <cell r="F4">
            <v>35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F5">
            <v>31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35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INHIL</v>
          </cell>
        </row>
        <row r="7">
          <cell r="F7">
            <v>35</v>
          </cell>
          <cell r="J7" t="str">
            <v>INHIL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INHIL</v>
          </cell>
        </row>
        <row r="8">
          <cell r="F8">
            <v>33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INHIL</v>
          </cell>
        </row>
        <row r="9">
          <cell r="F9">
            <v>29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35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INHIL</v>
          </cell>
        </row>
        <row r="11">
          <cell r="F11">
            <v>25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32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INHIL</v>
          </cell>
        </row>
        <row r="13">
          <cell r="F13">
            <v>29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No</v>
          </cell>
        </row>
        <row r="14">
          <cell r="F14">
            <v>23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INHIL</v>
          </cell>
        </row>
        <row r="15">
          <cell r="F15">
            <v>31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INHIL</v>
          </cell>
        </row>
        <row r="16">
          <cell r="F16">
            <v>30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No</v>
          </cell>
        </row>
        <row r="17">
          <cell r="F17">
            <v>21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No</v>
          </cell>
        </row>
        <row r="18">
          <cell r="F18">
            <v>29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INHIL</v>
          </cell>
        </row>
        <row r="19">
          <cell r="F19">
            <v>40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INHIL</v>
          </cell>
        </row>
        <row r="20">
          <cell r="F20">
            <v>24</v>
          </cell>
          <cell r="J20" t="str">
            <v>-</v>
          </cell>
          <cell r="K20" t="str">
            <v>-</v>
          </cell>
          <cell r="L20" t="str">
            <v>-</v>
          </cell>
          <cell r="M20" t="str">
            <v>-</v>
          </cell>
          <cell r="N20" t="str">
            <v>INHIL</v>
          </cell>
        </row>
        <row r="21">
          <cell r="F21">
            <v>28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INHIL</v>
          </cell>
        </row>
        <row r="22">
          <cell r="F22">
            <v>25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No</v>
          </cell>
        </row>
        <row r="23">
          <cell r="F23">
            <v>32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INHIL</v>
          </cell>
        </row>
        <row r="24">
          <cell r="F24">
            <v>29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INHIL</v>
          </cell>
        </row>
        <row r="25">
          <cell r="F25">
            <v>24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INHIL</v>
          </cell>
        </row>
        <row r="26">
          <cell r="F26">
            <v>22</v>
          </cell>
          <cell r="J26" t="str">
            <v>-</v>
          </cell>
          <cell r="K26" t="str">
            <v>-</v>
          </cell>
          <cell r="L26" t="str">
            <v>-</v>
          </cell>
          <cell r="M26" t="str">
            <v>-</v>
          </cell>
          <cell r="N26" t="str">
            <v>No</v>
          </cell>
        </row>
        <row r="27">
          <cell r="F27">
            <v>27</v>
          </cell>
          <cell r="J27" t="str">
            <v>-</v>
          </cell>
          <cell r="K27" t="str">
            <v>-</v>
          </cell>
          <cell r="L27" t="str">
            <v>-</v>
          </cell>
          <cell r="M27" t="str">
            <v>-</v>
          </cell>
          <cell r="N27" t="str">
            <v>INHIL</v>
          </cell>
        </row>
        <row r="28">
          <cell r="F28">
            <v>31</v>
          </cell>
          <cell r="J28" t="str">
            <v>-</v>
          </cell>
          <cell r="K28" t="str">
            <v>-</v>
          </cell>
          <cell r="L28" t="str">
            <v>-</v>
          </cell>
          <cell r="M28" t="str">
            <v>-</v>
          </cell>
          <cell r="N28" t="str">
            <v>INHIL</v>
          </cell>
        </row>
        <row r="29">
          <cell r="F29">
            <v>30</v>
          </cell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N29" t="str">
            <v>No</v>
          </cell>
        </row>
        <row r="30">
          <cell r="F30">
            <v>35</v>
          </cell>
          <cell r="J30" t="str">
            <v>-</v>
          </cell>
          <cell r="K30" t="str">
            <v>-</v>
          </cell>
          <cell r="L30" t="str">
            <v>-</v>
          </cell>
          <cell r="M30" t="str">
            <v>-</v>
          </cell>
          <cell r="N30" t="str">
            <v>INHIL</v>
          </cell>
        </row>
        <row r="31">
          <cell r="F31">
            <v>27</v>
          </cell>
          <cell r="J31" t="str">
            <v>-</v>
          </cell>
          <cell r="K31" t="str">
            <v>-</v>
          </cell>
          <cell r="L31" t="str">
            <v>-</v>
          </cell>
          <cell r="M31" t="str">
            <v>-</v>
          </cell>
          <cell r="N31" t="str">
            <v>INHIL</v>
          </cell>
        </row>
        <row r="32">
          <cell r="F32">
            <v>27</v>
          </cell>
          <cell r="J32" t="str">
            <v>-</v>
          </cell>
          <cell r="K32" t="str">
            <v>-</v>
          </cell>
          <cell r="L32" t="str">
            <v>-</v>
          </cell>
          <cell r="M32" t="str">
            <v>-</v>
          </cell>
          <cell r="N32" t="str">
            <v>No</v>
          </cell>
        </row>
        <row r="33">
          <cell r="F33">
            <v>32</v>
          </cell>
          <cell r="J33" t="str">
            <v>-</v>
          </cell>
          <cell r="K33" t="str">
            <v>-</v>
          </cell>
          <cell r="L33" t="str">
            <v>-</v>
          </cell>
          <cell r="M33" t="str">
            <v>-</v>
          </cell>
          <cell r="N33" t="str">
            <v>No</v>
          </cell>
        </row>
        <row r="34">
          <cell r="F34">
            <v>34</v>
          </cell>
          <cell r="J34" t="str">
            <v>-</v>
          </cell>
          <cell r="K34" t="str">
            <v>-</v>
          </cell>
          <cell r="L34" t="str">
            <v>-</v>
          </cell>
          <cell r="M34" t="str">
            <v>-</v>
          </cell>
          <cell r="N34" t="str">
            <v>INHIL</v>
          </cell>
        </row>
        <row r="35">
          <cell r="F35">
            <v>23</v>
          </cell>
          <cell r="J35" t="str">
            <v>-</v>
          </cell>
          <cell r="K35" t="str">
            <v>-</v>
          </cell>
          <cell r="L35" t="str">
            <v>-</v>
          </cell>
          <cell r="M35" t="str">
            <v>-</v>
          </cell>
          <cell r="N35" t="str">
            <v>INHIL</v>
          </cell>
        </row>
        <row r="36">
          <cell r="F36">
            <v>25</v>
          </cell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 t="str">
            <v>No</v>
          </cell>
        </row>
        <row r="37">
          <cell r="F37">
            <v>29</v>
          </cell>
          <cell r="J37" t="str">
            <v>-</v>
          </cell>
          <cell r="K37" t="str">
            <v>-</v>
          </cell>
          <cell r="L37" t="str">
            <v>-</v>
          </cell>
          <cell r="M37" t="str">
            <v>-</v>
          </cell>
          <cell r="N37" t="str">
            <v>No</v>
          </cell>
        </row>
        <row r="38">
          <cell r="F38">
            <v>23</v>
          </cell>
          <cell r="J38" t="str">
            <v>-</v>
          </cell>
          <cell r="K38" t="str">
            <v>-</v>
          </cell>
          <cell r="L38" t="str">
            <v>-</v>
          </cell>
          <cell r="M38" t="str">
            <v>-</v>
          </cell>
          <cell r="N38" t="str">
            <v>INHIL</v>
          </cell>
        </row>
        <row r="39">
          <cell r="F39">
            <v>21</v>
          </cell>
          <cell r="J39" t="str">
            <v>-</v>
          </cell>
          <cell r="K39" t="str">
            <v>-</v>
          </cell>
          <cell r="L39" t="str">
            <v>-</v>
          </cell>
          <cell r="M39" t="str">
            <v>-</v>
          </cell>
          <cell r="N39" t="str">
            <v>No</v>
          </cell>
        </row>
        <row r="40">
          <cell r="F40">
            <v>21</v>
          </cell>
          <cell r="J40" t="str">
            <v>-</v>
          </cell>
          <cell r="K40" t="str">
            <v>-</v>
          </cell>
          <cell r="L40" t="str">
            <v>-</v>
          </cell>
          <cell r="M40" t="str">
            <v>-</v>
          </cell>
          <cell r="N40" t="str">
            <v>No</v>
          </cell>
        </row>
        <row r="41">
          <cell r="F41">
            <v>27</v>
          </cell>
          <cell r="J41" t="str">
            <v>-</v>
          </cell>
          <cell r="K41" t="str">
            <v>-</v>
          </cell>
          <cell r="L41" t="str">
            <v>-</v>
          </cell>
          <cell r="M41" t="str">
            <v>-</v>
          </cell>
          <cell r="N41" t="str">
            <v>INHIL</v>
          </cell>
        </row>
        <row r="42">
          <cell r="F42">
            <v>21</v>
          </cell>
          <cell r="J42" t="str">
            <v>-</v>
          </cell>
          <cell r="K42" t="str">
            <v>-</v>
          </cell>
          <cell r="L42" t="str">
            <v>INHIL</v>
          </cell>
          <cell r="M42" t="str">
            <v>-</v>
          </cell>
          <cell r="N42" t="str">
            <v>INHIL</v>
          </cell>
        </row>
        <row r="43">
          <cell r="F43">
            <v>35</v>
          </cell>
          <cell r="J43" t="str">
            <v>-</v>
          </cell>
          <cell r="K43" t="str">
            <v>-</v>
          </cell>
          <cell r="L43" t="str">
            <v>-</v>
          </cell>
          <cell r="M43" t="str">
            <v>-</v>
          </cell>
          <cell r="N43" t="str">
            <v>INHIL</v>
          </cell>
        </row>
        <row r="44">
          <cell r="F44">
            <v>33</v>
          </cell>
          <cell r="J44" t="str">
            <v>-</v>
          </cell>
          <cell r="K44" t="str">
            <v>-</v>
          </cell>
          <cell r="L44" t="str">
            <v>-</v>
          </cell>
          <cell r="M44" t="str">
            <v>-</v>
          </cell>
          <cell r="N44" t="str">
            <v>INHIL</v>
          </cell>
        </row>
        <row r="45">
          <cell r="F45">
            <v>28</v>
          </cell>
          <cell r="J45" t="str">
            <v>-</v>
          </cell>
          <cell r="K45" t="str">
            <v>-</v>
          </cell>
          <cell r="L45" t="str">
            <v>-</v>
          </cell>
          <cell r="M45" t="str">
            <v>-</v>
          </cell>
          <cell r="N45" t="str">
            <v>INHIL</v>
          </cell>
        </row>
        <row r="46">
          <cell r="F46">
            <v>25</v>
          </cell>
          <cell r="J46" t="str">
            <v>-</v>
          </cell>
          <cell r="K46" t="str">
            <v>-</v>
          </cell>
          <cell r="L46" t="str">
            <v>-</v>
          </cell>
          <cell r="M46" t="str">
            <v>-</v>
          </cell>
          <cell r="N46" t="str">
            <v>No</v>
          </cell>
        </row>
        <row r="47">
          <cell r="F47">
            <v>32</v>
          </cell>
          <cell r="J47" t="str">
            <v>-</v>
          </cell>
          <cell r="K47" t="str">
            <v>-</v>
          </cell>
          <cell r="L47" t="str">
            <v>-</v>
          </cell>
          <cell r="M47" t="str">
            <v>-</v>
          </cell>
          <cell r="N47" t="str">
            <v>INHIL</v>
          </cell>
        </row>
        <row r="48">
          <cell r="F48">
            <v>26</v>
          </cell>
          <cell r="J48" t="str">
            <v>-</v>
          </cell>
          <cell r="K48" t="str">
            <v>-</v>
          </cell>
          <cell r="L48" t="str">
            <v>-</v>
          </cell>
          <cell r="M48" t="str">
            <v>-</v>
          </cell>
          <cell r="N48" t="str">
            <v>INHIL</v>
          </cell>
        </row>
        <row r="49">
          <cell r="F49">
            <v>26</v>
          </cell>
          <cell r="J49" t="str">
            <v>-</v>
          </cell>
          <cell r="K49" t="str">
            <v>-</v>
          </cell>
          <cell r="L49" t="str">
            <v>-</v>
          </cell>
          <cell r="M49" t="str">
            <v>-</v>
          </cell>
          <cell r="N49" t="str">
            <v>INHIL</v>
          </cell>
        </row>
        <row r="50">
          <cell r="F50">
            <v>24</v>
          </cell>
          <cell r="J50" t="str">
            <v>-</v>
          </cell>
          <cell r="K50" t="str">
            <v>-</v>
          </cell>
          <cell r="L50" t="str">
            <v>-</v>
          </cell>
          <cell r="M50" t="str">
            <v>-</v>
          </cell>
          <cell r="N50" t="str">
            <v>No</v>
          </cell>
        </row>
        <row r="51">
          <cell r="F51">
            <v>24</v>
          </cell>
          <cell r="J51" t="str">
            <v>-</v>
          </cell>
          <cell r="K51" t="str">
            <v>-</v>
          </cell>
          <cell r="L51" t="str">
            <v>-</v>
          </cell>
          <cell r="M51" t="str">
            <v>-</v>
          </cell>
          <cell r="N51" t="str">
            <v>No</v>
          </cell>
        </row>
        <row r="52">
          <cell r="F52">
            <v>29</v>
          </cell>
          <cell r="J52" t="str">
            <v>-</v>
          </cell>
          <cell r="K52" t="str">
            <v>-</v>
          </cell>
          <cell r="L52" t="str">
            <v>-</v>
          </cell>
          <cell r="M52" t="str">
            <v>-</v>
          </cell>
          <cell r="N52" t="str">
            <v>INHIL</v>
          </cell>
        </row>
        <row r="53">
          <cell r="F53">
            <v>25</v>
          </cell>
          <cell r="J53" t="str">
            <v>-</v>
          </cell>
          <cell r="K53" t="str">
            <v>-</v>
          </cell>
          <cell r="L53" t="str">
            <v>-</v>
          </cell>
          <cell r="M53" t="str">
            <v>-</v>
          </cell>
          <cell r="N53" t="str">
            <v>INHIL</v>
          </cell>
        </row>
        <row r="54">
          <cell r="F54">
            <v>22</v>
          </cell>
          <cell r="J54" t="str">
            <v>-</v>
          </cell>
          <cell r="K54" t="str">
            <v>-</v>
          </cell>
          <cell r="L54" t="str">
            <v>-</v>
          </cell>
          <cell r="M54" t="str">
            <v>-</v>
          </cell>
          <cell r="N54" t="str">
            <v>No</v>
          </cell>
        </row>
        <row r="55">
          <cell r="F55">
            <v>28</v>
          </cell>
          <cell r="J55" t="str">
            <v>-</v>
          </cell>
          <cell r="K55" t="str">
            <v>-</v>
          </cell>
          <cell r="L55" t="str">
            <v>-</v>
          </cell>
          <cell r="M55" t="str">
            <v>-</v>
          </cell>
          <cell r="N55" t="str">
            <v>INHIL</v>
          </cell>
        </row>
        <row r="56">
          <cell r="F56">
            <v>27</v>
          </cell>
          <cell r="J56" t="str">
            <v>-</v>
          </cell>
          <cell r="K56" t="str">
            <v>-</v>
          </cell>
          <cell r="L56" t="str">
            <v>-</v>
          </cell>
          <cell r="M56" t="str">
            <v>-</v>
          </cell>
          <cell r="N56" t="str">
            <v>No</v>
          </cell>
        </row>
        <row r="57">
          <cell r="F57">
            <v>38</v>
          </cell>
          <cell r="J57" t="str">
            <v>-</v>
          </cell>
          <cell r="K57" t="str">
            <v>-</v>
          </cell>
          <cell r="L57" t="str">
            <v>-</v>
          </cell>
          <cell r="M57" t="str">
            <v>-</v>
          </cell>
          <cell r="N57" t="str">
            <v>No</v>
          </cell>
        </row>
        <row r="58">
          <cell r="F58">
            <v>38</v>
          </cell>
          <cell r="J58" t="str">
            <v>-</v>
          </cell>
          <cell r="K58" t="str">
            <v>INHIL</v>
          </cell>
          <cell r="L58" t="str">
            <v>-</v>
          </cell>
          <cell r="M58" t="str">
            <v>-</v>
          </cell>
          <cell r="N58" t="str">
            <v>INHIL</v>
          </cell>
        </row>
        <row r="59">
          <cell r="F59">
            <v>24</v>
          </cell>
          <cell r="J59" t="str">
            <v>-</v>
          </cell>
          <cell r="K59" t="str">
            <v>-</v>
          </cell>
          <cell r="L59" t="str">
            <v>-</v>
          </cell>
          <cell r="M59" t="str">
            <v>-</v>
          </cell>
          <cell r="N59" t="str">
            <v>No</v>
          </cell>
        </row>
        <row r="60">
          <cell r="F60">
            <v>38</v>
          </cell>
          <cell r="J60" t="str">
            <v>-</v>
          </cell>
          <cell r="K60" t="str">
            <v>-</v>
          </cell>
          <cell r="L60" t="str">
            <v>-</v>
          </cell>
          <cell r="M60" t="str">
            <v>-</v>
          </cell>
          <cell r="N60" t="str">
            <v>INHIL</v>
          </cell>
        </row>
        <row r="61">
          <cell r="F61">
            <v>38</v>
          </cell>
          <cell r="J61" t="str">
            <v>-</v>
          </cell>
          <cell r="K61" t="str">
            <v>-</v>
          </cell>
          <cell r="L61" t="str">
            <v>-</v>
          </cell>
          <cell r="M61" t="str">
            <v>-</v>
          </cell>
          <cell r="N61" t="str">
            <v>INHIL</v>
          </cell>
        </row>
        <row r="62">
          <cell r="F62">
            <v>27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No</v>
          </cell>
        </row>
        <row r="63">
          <cell r="F63">
            <v>30</v>
          </cell>
          <cell r="J63" t="str">
            <v>-</v>
          </cell>
          <cell r="K63" t="str">
            <v>-</v>
          </cell>
          <cell r="L63" t="str">
            <v>-</v>
          </cell>
          <cell r="M63" t="str">
            <v>-</v>
          </cell>
          <cell r="N63" t="str">
            <v>No</v>
          </cell>
        </row>
        <row r="65">
          <cell r="F65">
            <v>23</v>
          </cell>
          <cell r="N65" t="str">
            <v>No</v>
          </cell>
        </row>
      </sheetData>
      <sheetData sheetId="25" refreshError="1">
        <row r="1">
          <cell r="A1" t="str">
            <v>F: E-PSN2\REKAP\Data-Kry</v>
          </cell>
        </row>
        <row r="2">
          <cell r="A2" t="str">
            <v>No</v>
          </cell>
          <cell r="B2" t="str">
            <v>NIK</v>
          </cell>
          <cell r="C2" t="str">
            <v>NAMA</v>
          </cell>
        </row>
        <row r="3">
          <cell r="F3" t="str">
            <v>THN</v>
          </cell>
        </row>
        <row r="4">
          <cell r="A4">
            <v>1</v>
          </cell>
          <cell r="B4">
            <v>30124</v>
          </cell>
          <cell r="C4" t="str">
            <v>HARI SISWOYO</v>
          </cell>
          <cell r="F4">
            <v>20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No</v>
          </cell>
        </row>
        <row r="5">
          <cell r="F5">
            <v>22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No</v>
          </cell>
        </row>
        <row r="6">
          <cell r="F6">
            <v>21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No</v>
          </cell>
        </row>
        <row r="7">
          <cell r="F7">
            <v>23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No</v>
          </cell>
        </row>
        <row r="8">
          <cell r="F8">
            <v>21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No</v>
          </cell>
        </row>
        <row r="9">
          <cell r="F9">
            <v>29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23</v>
          </cell>
          <cell r="J10" t="str">
            <v>-</v>
          </cell>
          <cell r="K10" t="str">
            <v>INHIL</v>
          </cell>
          <cell r="L10" t="str">
            <v>-</v>
          </cell>
          <cell r="M10" t="str">
            <v>-</v>
          </cell>
          <cell r="N10" t="str">
            <v>INHIL</v>
          </cell>
        </row>
        <row r="11">
          <cell r="F11">
            <v>26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27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INHIL</v>
          </cell>
        </row>
        <row r="13">
          <cell r="F13">
            <v>25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30</v>
          </cell>
          <cell r="J14" t="str">
            <v>INHIL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INHIL</v>
          </cell>
        </row>
        <row r="15">
          <cell r="F15">
            <v>27</v>
          </cell>
          <cell r="J15" t="str">
            <v>-</v>
          </cell>
          <cell r="K15" t="str">
            <v>INHIL</v>
          </cell>
          <cell r="L15" t="str">
            <v>-</v>
          </cell>
          <cell r="M15" t="str">
            <v>-</v>
          </cell>
          <cell r="N15" t="str">
            <v>INHIL</v>
          </cell>
        </row>
        <row r="16">
          <cell r="F16">
            <v>32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INHIL</v>
          </cell>
        </row>
        <row r="17">
          <cell r="F17">
            <v>40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INHIL</v>
          </cell>
        </row>
        <row r="18">
          <cell r="F18">
            <v>23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No</v>
          </cell>
        </row>
        <row r="19">
          <cell r="F19">
            <v>17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No</v>
          </cell>
        </row>
        <row r="20">
          <cell r="F20">
            <v>19</v>
          </cell>
          <cell r="N20" t="str">
            <v>No</v>
          </cell>
        </row>
        <row r="21">
          <cell r="F21">
            <v>23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No</v>
          </cell>
        </row>
        <row r="22">
          <cell r="F22">
            <v>19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No</v>
          </cell>
        </row>
        <row r="23">
          <cell r="F23">
            <v>19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No</v>
          </cell>
        </row>
        <row r="24">
          <cell r="F24">
            <v>19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No</v>
          </cell>
        </row>
        <row r="25">
          <cell r="F25">
            <v>21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No</v>
          </cell>
        </row>
        <row r="26">
          <cell r="F26">
            <v>18</v>
          </cell>
          <cell r="N26" t="str">
            <v>No</v>
          </cell>
        </row>
        <row r="27">
          <cell r="F27">
            <v>20</v>
          </cell>
          <cell r="N27" t="str">
            <v>No</v>
          </cell>
        </row>
      </sheetData>
      <sheetData sheetId="26" refreshError="1">
        <row r="1">
          <cell r="A1" t="str">
            <v>F: E-PSN2\REKAP\Data-Kry</v>
          </cell>
        </row>
        <row r="2">
          <cell r="A2" t="str">
            <v>No</v>
          </cell>
          <cell r="B2" t="str">
            <v>NIK</v>
          </cell>
          <cell r="C2" t="str">
            <v>NAMA</v>
          </cell>
        </row>
        <row r="3">
          <cell r="F3" t="str">
            <v>THN</v>
          </cell>
        </row>
        <row r="4">
          <cell r="F4">
            <v>27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No</v>
          </cell>
        </row>
        <row r="5">
          <cell r="F5">
            <v>27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27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INHIL</v>
          </cell>
        </row>
        <row r="7">
          <cell r="F7">
            <v>27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INHIL</v>
          </cell>
        </row>
        <row r="8">
          <cell r="F8">
            <v>25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INHIL</v>
          </cell>
        </row>
        <row r="9">
          <cell r="F9">
            <v>26</v>
          </cell>
          <cell r="J9" t="str">
            <v>-</v>
          </cell>
          <cell r="K9" t="str">
            <v>INHIL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32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No</v>
          </cell>
        </row>
        <row r="11">
          <cell r="F11">
            <v>28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41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INHIL</v>
          </cell>
        </row>
        <row r="13">
          <cell r="F13">
            <v>23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No</v>
          </cell>
        </row>
        <row r="14">
          <cell r="F14">
            <v>25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INHIL</v>
          </cell>
        </row>
        <row r="15">
          <cell r="F15">
            <v>25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INHIL</v>
          </cell>
        </row>
        <row r="16">
          <cell r="F16">
            <v>31</v>
          </cell>
          <cell r="J16" t="str">
            <v>INHIL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INHIL</v>
          </cell>
        </row>
        <row r="17">
          <cell r="F17">
            <v>30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INHIL</v>
          </cell>
        </row>
        <row r="18">
          <cell r="F18">
            <v>20</v>
          </cell>
          <cell r="J18" t="str">
            <v>INHIL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INHIL</v>
          </cell>
        </row>
        <row r="19">
          <cell r="F19">
            <v>34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INHIL</v>
          </cell>
        </row>
        <row r="20">
          <cell r="F20">
            <v>18</v>
          </cell>
          <cell r="J20" t="str">
            <v>-</v>
          </cell>
          <cell r="K20" t="str">
            <v>-</v>
          </cell>
          <cell r="L20" t="str">
            <v>-</v>
          </cell>
          <cell r="M20" t="str">
            <v>-</v>
          </cell>
          <cell r="N20" t="str">
            <v>No</v>
          </cell>
        </row>
        <row r="21">
          <cell r="F21">
            <v>36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INHIL</v>
          </cell>
        </row>
        <row r="22">
          <cell r="F22">
            <v>31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INHIL</v>
          </cell>
        </row>
        <row r="23">
          <cell r="F23">
            <v>36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INHIL</v>
          </cell>
        </row>
        <row r="24">
          <cell r="F24">
            <v>28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No</v>
          </cell>
        </row>
        <row r="25">
          <cell r="F25">
            <v>23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INHIL</v>
          </cell>
        </row>
        <row r="26">
          <cell r="F26">
            <v>23</v>
          </cell>
          <cell r="J26" t="str">
            <v>-</v>
          </cell>
          <cell r="K26" t="str">
            <v>-</v>
          </cell>
          <cell r="L26" t="str">
            <v>-</v>
          </cell>
          <cell r="M26" t="str">
            <v>-</v>
          </cell>
          <cell r="N26" t="str">
            <v>INHIL</v>
          </cell>
        </row>
        <row r="27">
          <cell r="F27">
            <v>30</v>
          </cell>
          <cell r="J27" t="str">
            <v>-</v>
          </cell>
          <cell r="K27" t="str">
            <v>INHIL</v>
          </cell>
          <cell r="L27" t="str">
            <v>-</v>
          </cell>
          <cell r="M27" t="str">
            <v>-</v>
          </cell>
          <cell r="N27" t="str">
            <v>INHIL</v>
          </cell>
        </row>
        <row r="28">
          <cell r="F28">
            <v>25</v>
          </cell>
          <cell r="J28" t="str">
            <v>-</v>
          </cell>
          <cell r="K28" t="str">
            <v>-</v>
          </cell>
          <cell r="L28" t="str">
            <v>-</v>
          </cell>
          <cell r="M28" t="str">
            <v>-</v>
          </cell>
          <cell r="N28" t="str">
            <v>INHIL</v>
          </cell>
        </row>
        <row r="29">
          <cell r="F29">
            <v>33</v>
          </cell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N29" t="str">
            <v>INHIL</v>
          </cell>
        </row>
        <row r="30">
          <cell r="F30">
            <v>33</v>
          </cell>
          <cell r="J30" t="str">
            <v>-</v>
          </cell>
          <cell r="K30" t="str">
            <v>-</v>
          </cell>
          <cell r="L30" t="str">
            <v>-</v>
          </cell>
          <cell r="M30" t="str">
            <v>-</v>
          </cell>
          <cell r="N30" t="str">
            <v>INHIL</v>
          </cell>
        </row>
        <row r="31">
          <cell r="F31">
            <v>36</v>
          </cell>
          <cell r="J31" t="str">
            <v>-</v>
          </cell>
          <cell r="K31" t="str">
            <v>-</v>
          </cell>
          <cell r="L31" t="str">
            <v>-</v>
          </cell>
          <cell r="M31" t="str">
            <v>-</v>
          </cell>
          <cell r="N31" t="str">
            <v>INHIL</v>
          </cell>
        </row>
        <row r="32">
          <cell r="F32">
            <v>40</v>
          </cell>
          <cell r="J32" t="str">
            <v>-</v>
          </cell>
          <cell r="K32" t="str">
            <v>-</v>
          </cell>
          <cell r="L32" t="str">
            <v>-</v>
          </cell>
          <cell r="M32" t="str">
            <v>-</v>
          </cell>
          <cell r="N32" t="str">
            <v>INHIL</v>
          </cell>
        </row>
        <row r="33">
          <cell r="F33">
            <v>40</v>
          </cell>
          <cell r="J33" t="str">
            <v>INHIL</v>
          </cell>
          <cell r="K33" t="str">
            <v>-</v>
          </cell>
          <cell r="L33" t="str">
            <v>-</v>
          </cell>
          <cell r="M33" t="str">
            <v>-</v>
          </cell>
          <cell r="N33" t="str">
            <v>INHIL</v>
          </cell>
        </row>
        <row r="34">
          <cell r="F34">
            <v>47</v>
          </cell>
          <cell r="J34" t="str">
            <v>-</v>
          </cell>
          <cell r="K34" t="str">
            <v>-</v>
          </cell>
          <cell r="L34" t="str">
            <v>-</v>
          </cell>
          <cell r="M34" t="str">
            <v>-</v>
          </cell>
          <cell r="N34" t="str">
            <v>INHIL</v>
          </cell>
        </row>
        <row r="35">
          <cell r="F35">
            <v>26</v>
          </cell>
          <cell r="J35" t="str">
            <v>-</v>
          </cell>
          <cell r="K35" t="str">
            <v>-</v>
          </cell>
          <cell r="L35" t="str">
            <v>-</v>
          </cell>
          <cell r="M35" t="str">
            <v>-</v>
          </cell>
          <cell r="N35" t="str">
            <v>INHIL</v>
          </cell>
        </row>
        <row r="36">
          <cell r="F36">
            <v>29</v>
          </cell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 t="str">
            <v>INHIL</v>
          </cell>
        </row>
        <row r="37">
          <cell r="F37">
            <v>31</v>
          </cell>
          <cell r="J37" t="str">
            <v>-</v>
          </cell>
          <cell r="K37" t="str">
            <v>-</v>
          </cell>
          <cell r="L37" t="str">
            <v>-</v>
          </cell>
          <cell r="M37" t="str">
            <v>-</v>
          </cell>
          <cell r="N37" t="str">
            <v>INHIL</v>
          </cell>
        </row>
        <row r="38">
          <cell r="F38">
            <v>30</v>
          </cell>
          <cell r="J38" t="str">
            <v>-</v>
          </cell>
          <cell r="K38" t="str">
            <v>-</v>
          </cell>
          <cell r="L38" t="str">
            <v>-</v>
          </cell>
          <cell r="M38" t="str">
            <v>-</v>
          </cell>
          <cell r="N38" t="str">
            <v>INHIL</v>
          </cell>
        </row>
        <row r="39">
          <cell r="F39">
            <v>37</v>
          </cell>
          <cell r="J39" t="str">
            <v>-</v>
          </cell>
          <cell r="K39" t="str">
            <v>-</v>
          </cell>
          <cell r="L39" t="str">
            <v>-</v>
          </cell>
          <cell r="M39" t="str">
            <v>-</v>
          </cell>
          <cell r="N39" t="str">
            <v>INHIL</v>
          </cell>
        </row>
        <row r="40">
          <cell r="F40">
            <v>53</v>
          </cell>
          <cell r="J40" t="str">
            <v>-</v>
          </cell>
          <cell r="K40" t="str">
            <v>-</v>
          </cell>
          <cell r="L40" t="str">
            <v>-</v>
          </cell>
          <cell r="M40" t="str">
            <v>-</v>
          </cell>
          <cell r="N40" t="str">
            <v>INHIL</v>
          </cell>
        </row>
        <row r="41">
          <cell r="F41">
            <v>26</v>
          </cell>
          <cell r="J41" t="str">
            <v>INHIL</v>
          </cell>
          <cell r="K41" t="str">
            <v>-</v>
          </cell>
          <cell r="L41" t="str">
            <v>-</v>
          </cell>
          <cell r="M41" t="str">
            <v>-</v>
          </cell>
          <cell r="N41" t="str">
            <v>INHIL</v>
          </cell>
        </row>
        <row r="42">
          <cell r="F42">
            <v>48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INHIL</v>
          </cell>
        </row>
        <row r="43">
          <cell r="F43">
            <v>25</v>
          </cell>
          <cell r="J43" t="str">
            <v>-</v>
          </cell>
          <cell r="K43" t="str">
            <v>-</v>
          </cell>
          <cell r="L43" t="str">
            <v>-</v>
          </cell>
          <cell r="M43" t="str">
            <v>-</v>
          </cell>
          <cell r="N43" t="str">
            <v>INHIL</v>
          </cell>
        </row>
        <row r="44">
          <cell r="F44">
            <v>34</v>
          </cell>
          <cell r="J44" t="str">
            <v>-</v>
          </cell>
          <cell r="K44" t="str">
            <v>-</v>
          </cell>
          <cell r="L44" t="str">
            <v>-</v>
          </cell>
          <cell r="M44" t="str">
            <v>-</v>
          </cell>
          <cell r="N44" t="str">
            <v>INHIL</v>
          </cell>
        </row>
        <row r="45">
          <cell r="F45">
            <v>37</v>
          </cell>
          <cell r="J45" t="str">
            <v>-</v>
          </cell>
          <cell r="K45" t="str">
            <v>-</v>
          </cell>
          <cell r="L45" t="str">
            <v>-</v>
          </cell>
          <cell r="M45" t="str">
            <v>INHIL</v>
          </cell>
          <cell r="N45" t="str">
            <v>INHIL</v>
          </cell>
        </row>
        <row r="46">
          <cell r="F46">
            <v>22</v>
          </cell>
          <cell r="J46" t="str">
            <v>-</v>
          </cell>
          <cell r="K46" t="str">
            <v>-</v>
          </cell>
          <cell r="L46" t="str">
            <v>-</v>
          </cell>
          <cell r="M46" t="str">
            <v>-</v>
          </cell>
          <cell r="N46" t="str">
            <v>INHIL</v>
          </cell>
        </row>
        <row r="47">
          <cell r="F47">
            <v>40</v>
          </cell>
          <cell r="J47" t="str">
            <v>-</v>
          </cell>
          <cell r="K47" t="str">
            <v>-</v>
          </cell>
          <cell r="L47" t="str">
            <v>-</v>
          </cell>
          <cell r="M47" t="str">
            <v>-</v>
          </cell>
          <cell r="N47" t="str">
            <v>INHIL</v>
          </cell>
        </row>
        <row r="48">
          <cell r="F48">
            <v>28</v>
          </cell>
          <cell r="J48" t="str">
            <v>-</v>
          </cell>
          <cell r="K48" t="str">
            <v>-</v>
          </cell>
          <cell r="L48" t="str">
            <v>-</v>
          </cell>
          <cell r="M48" t="str">
            <v>-</v>
          </cell>
          <cell r="N48" t="str">
            <v>INHIL</v>
          </cell>
        </row>
        <row r="49">
          <cell r="F49">
            <v>26</v>
          </cell>
          <cell r="J49" t="str">
            <v>-</v>
          </cell>
          <cell r="K49" t="str">
            <v>-</v>
          </cell>
          <cell r="L49" t="str">
            <v>-</v>
          </cell>
          <cell r="M49" t="str">
            <v>-</v>
          </cell>
          <cell r="N49" t="str">
            <v>INHIL</v>
          </cell>
        </row>
        <row r="50">
          <cell r="F50">
            <v>44</v>
          </cell>
          <cell r="J50" t="str">
            <v>-</v>
          </cell>
          <cell r="K50" t="str">
            <v>-</v>
          </cell>
          <cell r="L50" t="str">
            <v>-</v>
          </cell>
          <cell r="M50" t="str">
            <v>-</v>
          </cell>
          <cell r="N50" t="str">
            <v>INHIL</v>
          </cell>
        </row>
        <row r="51">
          <cell r="F51">
            <v>42</v>
          </cell>
          <cell r="J51" t="str">
            <v>-</v>
          </cell>
          <cell r="K51" t="str">
            <v>-</v>
          </cell>
          <cell r="L51" t="str">
            <v>-</v>
          </cell>
          <cell r="M51" t="str">
            <v>-</v>
          </cell>
          <cell r="N51" t="str">
            <v>INHIL</v>
          </cell>
        </row>
        <row r="52">
          <cell r="F52">
            <v>25</v>
          </cell>
          <cell r="J52" t="str">
            <v>-</v>
          </cell>
          <cell r="K52" t="str">
            <v>-</v>
          </cell>
          <cell r="L52" t="str">
            <v>-</v>
          </cell>
          <cell r="M52" t="str">
            <v>-</v>
          </cell>
          <cell r="N52" t="str">
            <v>INHIL</v>
          </cell>
        </row>
        <row r="53">
          <cell r="F53">
            <v>29</v>
          </cell>
          <cell r="J53" t="str">
            <v>-</v>
          </cell>
          <cell r="K53" t="str">
            <v>-</v>
          </cell>
          <cell r="L53" t="str">
            <v>-</v>
          </cell>
          <cell r="M53" t="str">
            <v>-</v>
          </cell>
          <cell r="N53" t="str">
            <v>INHIL</v>
          </cell>
        </row>
        <row r="54">
          <cell r="F54">
            <v>48</v>
          </cell>
          <cell r="J54" t="str">
            <v>-</v>
          </cell>
          <cell r="K54" t="str">
            <v>-</v>
          </cell>
          <cell r="L54" t="str">
            <v>-</v>
          </cell>
          <cell r="M54" t="str">
            <v>-</v>
          </cell>
          <cell r="N54" t="str">
            <v>INHIL</v>
          </cell>
        </row>
        <row r="55">
          <cell r="F55">
            <v>28</v>
          </cell>
          <cell r="J55" t="str">
            <v>-</v>
          </cell>
          <cell r="K55" t="str">
            <v>-</v>
          </cell>
          <cell r="L55" t="str">
            <v>-</v>
          </cell>
          <cell r="M55" t="str">
            <v>-</v>
          </cell>
          <cell r="N55" t="str">
            <v>INHIL</v>
          </cell>
        </row>
        <row r="56">
          <cell r="F56">
            <v>26</v>
          </cell>
          <cell r="J56" t="str">
            <v>-</v>
          </cell>
          <cell r="K56" t="str">
            <v>-</v>
          </cell>
          <cell r="L56" t="str">
            <v>-</v>
          </cell>
          <cell r="M56" t="str">
            <v>-</v>
          </cell>
          <cell r="N56" t="str">
            <v>INHIL</v>
          </cell>
        </row>
        <row r="57">
          <cell r="F57">
            <v>21</v>
          </cell>
          <cell r="J57" t="str">
            <v>-</v>
          </cell>
          <cell r="K57" t="str">
            <v>-</v>
          </cell>
          <cell r="L57" t="str">
            <v>-</v>
          </cell>
          <cell r="M57" t="str">
            <v>-</v>
          </cell>
          <cell r="N57" t="str">
            <v>No</v>
          </cell>
        </row>
        <row r="58">
          <cell r="F58">
            <v>37</v>
          </cell>
          <cell r="J58" t="str">
            <v>-</v>
          </cell>
          <cell r="K58" t="str">
            <v>-</v>
          </cell>
          <cell r="L58" t="str">
            <v>-</v>
          </cell>
          <cell r="M58" t="str">
            <v>-</v>
          </cell>
          <cell r="N58" t="str">
            <v>No</v>
          </cell>
        </row>
        <row r="59">
          <cell r="F59">
            <v>26</v>
          </cell>
          <cell r="J59" t="str">
            <v>-</v>
          </cell>
          <cell r="K59" t="str">
            <v>-</v>
          </cell>
          <cell r="L59" t="str">
            <v>-</v>
          </cell>
          <cell r="M59" t="str">
            <v>-</v>
          </cell>
          <cell r="N59" t="str">
            <v>No</v>
          </cell>
        </row>
        <row r="60">
          <cell r="F60">
            <v>20</v>
          </cell>
          <cell r="J60" t="str">
            <v>-</v>
          </cell>
          <cell r="K60" t="str">
            <v>-</v>
          </cell>
          <cell r="L60" t="str">
            <v>-</v>
          </cell>
          <cell r="M60" t="str">
            <v>-</v>
          </cell>
          <cell r="N60" t="str">
            <v>No</v>
          </cell>
        </row>
        <row r="61">
          <cell r="F61">
            <v>18</v>
          </cell>
          <cell r="J61" t="str">
            <v>-</v>
          </cell>
          <cell r="K61" t="str">
            <v>-</v>
          </cell>
          <cell r="L61" t="str">
            <v>-</v>
          </cell>
          <cell r="M61" t="str">
            <v>-</v>
          </cell>
          <cell r="N61" t="str">
            <v>INHIL</v>
          </cell>
        </row>
        <row r="62">
          <cell r="F62">
            <v>17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INHIL</v>
          </cell>
        </row>
        <row r="63">
          <cell r="F63">
            <v>18</v>
          </cell>
          <cell r="J63" t="str">
            <v>-</v>
          </cell>
          <cell r="K63" t="str">
            <v>-</v>
          </cell>
          <cell r="L63" t="str">
            <v>-</v>
          </cell>
          <cell r="M63" t="str">
            <v>-</v>
          </cell>
          <cell r="N63" t="str">
            <v>INHIL</v>
          </cell>
        </row>
        <row r="64">
          <cell r="F64">
            <v>18</v>
          </cell>
          <cell r="J64" t="str">
            <v>-</v>
          </cell>
          <cell r="K64" t="str">
            <v>-</v>
          </cell>
          <cell r="L64" t="str">
            <v>-</v>
          </cell>
          <cell r="M64" t="str">
            <v>-</v>
          </cell>
          <cell r="N64" t="str">
            <v>No</v>
          </cell>
        </row>
        <row r="65">
          <cell r="F65">
            <v>24</v>
          </cell>
          <cell r="J65" t="str">
            <v>-</v>
          </cell>
          <cell r="K65" t="str">
            <v>INHIL</v>
          </cell>
          <cell r="L65" t="str">
            <v>-</v>
          </cell>
          <cell r="M65" t="str">
            <v>-</v>
          </cell>
          <cell r="N65" t="str">
            <v>INHIL</v>
          </cell>
        </row>
        <row r="66">
          <cell r="F66">
            <v>25</v>
          </cell>
          <cell r="J66" t="str">
            <v>-</v>
          </cell>
          <cell r="K66" t="str">
            <v>-</v>
          </cell>
          <cell r="L66" t="str">
            <v>-</v>
          </cell>
          <cell r="M66" t="str">
            <v>-</v>
          </cell>
          <cell r="N66" t="str">
            <v>No</v>
          </cell>
        </row>
        <row r="67">
          <cell r="F67">
            <v>20</v>
          </cell>
          <cell r="J67" t="str">
            <v>-</v>
          </cell>
          <cell r="K67" t="str">
            <v>-</v>
          </cell>
          <cell r="L67" t="str">
            <v>-</v>
          </cell>
          <cell r="M67" t="str">
            <v>-</v>
          </cell>
          <cell r="N67" t="str">
            <v>No</v>
          </cell>
        </row>
        <row r="68">
          <cell r="F68">
            <v>25</v>
          </cell>
          <cell r="J68" t="str">
            <v>-</v>
          </cell>
          <cell r="K68" t="str">
            <v>-</v>
          </cell>
          <cell r="L68" t="str">
            <v>-</v>
          </cell>
          <cell r="M68" t="str">
            <v>-</v>
          </cell>
          <cell r="N68" t="str">
            <v>No</v>
          </cell>
        </row>
        <row r="69">
          <cell r="F69">
            <v>25</v>
          </cell>
          <cell r="J69" t="str">
            <v>-</v>
          </cell>
          <cell r="K69" t="str">
            <v>-</v>
          </cell>
          <cell r="L69" t="str">
            <v>-</v>
          </cell>
          <cell r="M69" t="str">
            <v>-</v>
          </cell>
          <cell r="N69" t="str">
            <v>No</v>
          </cell>
        </row>
        <row r="70">
          <cell r="F70">
            <v>20</v>
          </cell>
          <cell r="J70" t="str">
            <v>-</v>
          </cell>
          <cell r="K70" t="str">
            <v>-</v>
          </cell>
          <cell r="L70" t="str">
            <v>-</v>
          </cell>
          <cell r="M70" t="str">
            <v>-</v>
          </cell>
          <cell r="N70" t="str">
            <v>INHIL</v>
          </cell>
        </row>
        <row r="71">
          <cell r="F71">
            <v>30</v>
          </cell>
          <cell r="J71" t="str">
            <v>-</v>
          </cell>
          <cell r="K71" t="str">
            <v>-</v>
          </cell>
          <cell r="L71" t="str">
            <v>-</v>
          </cell>
          <cell r="M71" t="str">
            <v>-</v>
          </cell>
          <cell r="N71" t="str">
            <v>INHIL</v>
          </cell>
        </row>
        <row r="72">
          <cell r="F72">
            <v>30</v>
          </cell>
          <cell r="J72" t="str">
            <v>-</v>
          </cell>
          <cell r="K72" t="str">
            <v>-</v>
          </cell>
          <cell r="L72" t="str">
            <v>-</v>
          </cell>
          <cell r="M72" t="str">
            <v>-</v>
          </cell>
          <cell r="N72" t="str">
            <v>INHIL</v>
          </cell>
        </row>
        <row r="73">
          <cell r="F73">
            <v>27</v>
          </cell>
          <cell r="J73" t="str">
            <v>-</v>
          </cell>
          <cell r="K73" t="str">
            <v>-</v>
          </cell>
          <cell r="L73" t="str">
            <v>-</v>
          </cell>
          <cell r="M73" t="str">
            <v>-</v>
          </cell>
          <cell r="N73" t="str">
            <v>INHIL</v>
          </cell>
        </row>
        <row r="74">
          <cell r="F74">
            <v>25</v>
          </cell>
          <cell r="J74" t="str">
            <v>-</v>
          </cell>
          <cell r="K74" t="str">
            <v>-</v>
          </cell>
          <cell r="L74" t="str">
            <v>-</v>
          </cell>
          <cell r="M74" t="str">
            <v>-</v>
          </cell>
          <cell r="N74" t="str">
            <v>INHIL</v>
          </cell>
        </row>
        <row r="75">
          <cell r="F75">
            <v>97</v>
          </cell>
          <cell r="J75" t="str">
            <v>-</v>
          </cell>
          <cell r="K75" t="str">
            <v>-</v>
          </cell>
          <cell r="L75" t="str">
            <v>-</v>
          </cell>
          <cell r="M75" t="str">
            <v>-</v>
          </cell>
          <cell r="N75" t="str">
            <v>INHIL</v>
          </cell>
        </row>
        <row r="76">
          <cell r="F76">
            <v>42</v>
          </cell>
          <cell r="J76" t="str">
            <v>-</v>
          </cell>
          <cell r="K76" t="str">
            <v>-</v>
          </cell>
          <cell r="L76" t="str">
            <v>-</v>
          </cell>
          <cell r="M76" t="str">
            <v>-</v>
          </cell>
          <cell r="N76" t="str">
            <v>INHIL</v>
          </cell>
        </row>
        <row r="77">
          <cell r="F77">
            <v>29</v>
          </cell>
          <cell r="J77" t="str">
            <v>INHIL</v>
          </cell>
          <cell r="K77" t="str">
            <v>-</v>
          </cell>
          <cell r="L77" t="str">
            <v>-</v>
          </cell>
          <cell r="M77" t="str">
            <v>-</v>
          </cell>
          <cell r="N77" t="str">
            <v>INHIL</v>
          </cell>
        </row>
        <row r="78">
          <cell r="F78">
            <v>26</v>
          </cell>
          <cell r="J78" t="str">
            <v>-</v>
          </cell>
          <cell r="K78" t="str">
            <v>-</v>
          </cell>
          <cell r="L78" t="str">
            <v>-</v>
          </cell>
          <cell r="M78" t="str">
            <v>-</v>
          </cell>
          <cell r="N78" t="str">
            <v>INHIL</v>
          </cell>
        </row>
        <row r="79">
          <cell r="F79">
            <v>30</v>
          </cell>
          <cell r="J79" t="str">
            <v>INHIL</v>
          </cell>
          <cell r="K79" t="str">
            <v>-</v>
          </cell>
          <cell r="L79" t="str">
            <v>-</v>
          </cell>
          <cell r="M79" t="str">
            <v>-</v>
          </cell>
          <cell r="N79" t="str">
            <v>INHIL</v>
          </cell>
        </row>
        <row r="80">
          <cell r="F80">
            <v>28</v>
          </cell>
          <cell r="J80" t="str">
            <v>-</v>
          </cell>
          <cell r="K80" t="str">
            <v>-</v>
          </cell>
          <cell r="L80" t="str">
            <v>-</v>
          </cell>
          <cell r="M80" t="str">
            <v>-</v>
          </cell>
          <cell r="N80" t="str">
            <v>INHIL</v>
          </cell>
        </row>
        <row r="81">
          <cell r="F81">
            <v>26</v>
          </cell>
          <cell r="J81" t="str">
            <v>INHIL</v>
          </cell>
          <cell r="K81" t="str">
            <v>-</v>
          </cell>
          <cell r="L81" t="str">
            <v>-</v>
          </cell>
          <cell r="M81" t="str">
            <v>-</v>
          </cell>
          <cell r="N81" t="str">
            <v>INHIL</v>
          </cell>
        </row>
        <row r="82">
          <cell r="F82">
            <v>32</v>
          </cell>
          <cell r="J82" t="str">
            <v>-</v>
          </cell>
          <cell r="K82" t="str">
            <v>-</v>
          </cell>
          <cell r="L82" t="str">
            <v>-</v>
          </cell>
          <cell r="M82" t="str">
            <v>-</v>
          </cell>
          <cell r="N82" t="str">
            <v>INHIL</v>
          </cell>
        </row>
        <row r="83">
          <cell r="F83">
            <v>30</v>
          </cell>
          <cell r="J83" t="str">
            <v>-</v>
          </cell>
          <cell r="K83" t="str">
            <v>-</v>
          </cell>
          <cell r="L83" t="str">
            <v>-</v>
          </cell>
          <cell r="M83" t="str">
            <v>-</v>
          </cell>
          <cell r="N83" t="str">
            <v>INHIL</v>
          </cell>
        </row>
        <row r="84">
          <cell r="F84">
            <v>29</v>
          </cell>
          <cell r="J84" t="str">
            <v>INHIL</v>
          </cell>
          <cell r="K84" t="str">
            <v>-</v>
          </cell>
          <cell r="L84" t="str">
            <v>-</v>
          </cell>
          <cell r="M84" t="str">
            <v>-</v>
          </cell>
          <cell r="N84" t="str">
            <v>INHIL</v>
          </cell>
        </row>
        <row r="85">
          <cell r="F85">
            <v>40</v>
          </cell>
          <cell r="J85" t="str">
            <v>-</v>
          </cell>
          <cell r="K85" t="str">
            <v>-</v>
          </cell>
          <cell r="L85" t="str">
            <v>-</v>
          </cell>
          <cell r="M85" t="str">
            <v>-</v>
          </cell>
          <cell r="N85" t="str">
            <v>INHIL</v>
          </cell>
        </row>
        <row r="86">
          <cell r="F86">
            <v>30</v>
          </cell>
          <cell r="J86" t="str">
            <v>INHIL</v>
          </cell>
          <cell r="K86" t="str">
            <v>-</v>
          </cell>
          <cell r="L86" t="str">
            <v>-</v>
          </cell>
          <cell r="M86" t="str">
            <v>-</v>
          </cell>
          <cell r="N86" t="str">
            <v>INHIL</v>
          </cell>
        </row>
        <row r="87">
          <cell r="F87">
            <v>27</v>
          </cell>
          <cell r="J87" t="str">
            <v>-</v>
          </cell>
          <cell r="K87" t="str">
            <v>INHIL</v>
          </cell>
          <cell r="L87" t="str">
            <v>-</v>
          </cell>
          <cell r="M87" t="str">
            <v>-</v>
          </cell>
          <cell r="N87" t="str">
            <v>INHIL</v>
          </cell>
        </row>
        <row r="88">
          <cell r="F88">
            <v>32</v>
          </cell>
          <cell r="J88" t="str">
            <v>-</v>
          </cell>
          <cell r="K88" t="str">
            <v>-</v>
          </cell>
          <cell r="L88" t="str">
            <v>-</v>
          </cell>
          <cell r="M88" t="str">
            <v>-</v>
          </cell>
          <cell r="N88" t="str">
            <v>INHIL</v>
          </cell>
        </row>
        <row r="89">
          <cell r="F89">
            <v>32</v>
          </cell>
          <cell r="J89" t="str">
            <v>-</v>
          </cell>
          <cell r="K89" t="str">
            <v>-</v>
          </cell>
          <cell r="L89" t="str">
            <v>-</v>
          </cell>
          <cell r="M89" t="str">
            <v>-</v>
          </cell>
          <cell r="N89" t="str">
            <v>INHIL</v>
          </cell>
        </row>
        <row r="90">
          <cell r="F90">
            <v>32</v>
          </cell>
          <cell r="J90" t="str">
            <v>-</v>
          </cell>
          <cell r="K90" t="str">
            <v>-</v>
          </cell>
          <cell r="L90" t="str">
            <v>-</v>
          </cell>
          <cell r="M90" t="str">
            <v>-</v>
          </cell>
          <cell r="N90" t="str">
            <v>INHIL</v>
          </cell>
        </row>
        <row r="91">
          <cell r="F91">
            <v>31</v>
          </cell>
          <cell r="J91" t="str">
            <v>-</v>
          </cell>
          <cell r="K91" t="str">
            <v>-</v>
          </cell>
          <cell r="L91" t="str">
            <v>-</v>
          </cell>
          <cell r="M91" t="str">
            <v>-</v>
          </cell>
          <cell r="N91" t="str">
            <v>INHIL</v>
          </cell>
        </row>
        <row r="92">
          <cell r="F92">
            <v>28</v>
          </cell>
          <cell r="J92" t="str">
            <v>-</v>
          </cell>
          <cell r="K92" t="str">
            <v>-</v>
          </cell>
          <cell r="L92" t="str">
            <v>-</v>
          </cell>
          <cell r="M92" t="str">
            <v>-</v>
          </cell>
          <cell r="N92" t="str">
            <v>INHIL</v>
          </cell>
        </row>
        <row r="93">
          <cell r="F93">
            <v>32</v>
          </cell>
          <cell r="J93" t="str">
            <v>-</v>
          </cell>
          <cell r="K93" t="str">
            <v>-</v>
          </cell>
          <cell r="L93" t="str">
            <v>-</v>
          </cell>
          <cell r="M93" t="str">
            <v>-</v>
          </cell>
          <cell r="N93" t="str">
            <v>INHIL</v>
          </cell>
        </row>
        <row r="94">
          <cell r="F94">
            <v>28</v>
          </cell>
          <cell r="J94" t="str">
            <v>INHIL</v>
          </cell>
          <cell r="K94" t="str">
            <v>-</v>
          </cell>
          <cell r="L94" t="str">
            <v>-</v>
          </cell>
          <cell r="M94" t="str">
            <v>-</v>
          </cell>
          <cell r="N94" t="str">
            <v>INHIL</v>
          </cell>
        </row>
        <row r="95">
          <cell r="F95">
            <v>30</v>
          </cell>
          <cell r="J95" t="str">
            <v>-</v>
          </cell>
          <cell r="K95" t="str">
            <v>-</v>
          </cell>
          <cell r="L95" t="str">
            <v>-</v>
          </cell>
          <cell r="M95" t="str">
            <v>-</v>
          </cell>
          <cell r="N95" t="str">
            <v>INHIL</v>
          </cell>
        </row>
        <row r="96">
          <cell r="F96">
            <v>30</v>
          </cell>
          <cell r="J96" t="str">
            <v>-</v>
          </cell>
          <cell r="K96" t="str">
            <v>-</v>
          </cell>
          <cell r="L96" t="str">
            <v>-</v>
          </cell>
          <cell r="M96" t="str">
            <v>-</v>
          </cell>
          <cell r="N96" t="str">
            <v>INHIL</v>
          </cell>
        </row>
        <row r="97">
          <cell r="F97">
            <v>20</v>
          </cell>
          <cell r="J97" t="str">
            <v>INHIL</v>
          </cell>
          <cell r="K97" t="str">
            <v>-</v>
          </cell>
          <cell r="L97" t="str">
            <v>-</v>
          </cell>
          <cell r="M97" t="str">
            <v>-</v>
          </cell>
          <cell r="N97" t="str">
            <v>INHIL</v>
          </cell>
        </row>
        <row r="98">
          <cell r="F98">
            <v>21</v>
          </cell>
          <cell r="J98" t="str">
            <v>INHIL</v>
          </cell>
          <cell r="K98" t="str">
            <v>-</v>
          </cell>
          <cell r="L98" t="str">
            <v>-</v>
          </cell>
          <cell r="M98" t="str">
            <v>-</v>
          </cell>
          <cell r="N98" t="str">
            <v>INHIL</v>
          </cell>
        </row>
        <row r="99">
          <cell r="F99">
            <v>22</v>
          </cell>
          <cell r="J99" t="str">
            <v>-</v>
          </cell>
          <cell r="K99" t="str">
            <v>-</v>
          </cell>
          <cell r="L99" t="str">
            <v>-</v>
          </cell>
          <cell r="M99" t="str">
            <v>-</v>
          </cell>
          <cell r="N99" t="str">
            <v>No</v>
          </cell>
        </row>
        <row r="100">
          <cell r="F100">
            <v>22</v>
          </cell>
          <cell r="J100" t="str">
            <v>-</v>
          </cell>
          <cell r="K100" t="str">
            <v>-</v>
          </cell>
          <cell r="L100" t="str">
            <v>-</v>
          </cell>
          <cell r="M100" t="str">
            <v>-</v>
          </cell>
          <cell r="N100" t="str">
            <v>INHIL</v>
          </cell>
        </row>
        <row r="101">
          <cell r="F101">
            <v>19</v>
          </cell>
          <cell r="J101" t="str">
            <v>-</v>
          </cell>
          <cell r="K101" t="str">
            <v>INHIL</v>
          </cell>
          <cell r="L101" t="str">
            <v>-</v>
          </cell>
          <cell r="M101" t="str">
            <v>-</v>
          </cell>
          <cell r="N101" t="str">
            <v>INHIL</v>
          </cell>
        </row>
        <row r="102">
          <cell r="F102">
            <v>21</v>
          </cell>
          <cell r="J102" t="str">
            <v>-</v>
          </cell>
          <cell r="K102" t="str">
            <v>-</v>
          </cell>
          <cell r="L102" t="str">
            <v>-</v>
          </cell>
          <cell r="M102" t="str">
            <v>-</v>
          </cell>
          <cell r="N102" t="str">
            <v>INHIL</v>
          </cell>
        </row>
        <row r="103">
          <cell r="F103">
            <v>23</v>
          </cell>
          <cell r="J103" t="str">
            <v>-</v>
          </cell>
          <cell r="K103" t="str">
            <v>-</v>
          </cell>
          <cell r="L103" t="str">
            <v>-</v>
          </cell>
          <cell r="M103" t="str">
            <v>-</v>
          </cell>
          <cell r="N103" t="str">
            <v>INHIL</v>
          </cell>
        </row>
        <row r="104">
          <cell r="F104">
            <v>18</v>
          </cell>
          <cell r="J104" t="str">
            <v>-</v>
          </cell>
          <cell r="K104" t="str">
            <v>-</v>
          </cell>
          <cell r="L104" t="str">
            <v>-</v>
          </cell>
          <cell r="M104" t="str">
            <v>-</v>
          </cell>
          <cell r="N104" t="str">
            <v>No</v>
          </cell>
        </row>
        <row r="105">
          <cell r="F105">
            <v>22</v>
          </cell>
          <cell r="J105" t="str">
            <v>-</v>
          </cell>
          <cell r="K105" t="str">
            <v>-</v>
          </cell>
          <cell r="L105" t="str">
            <v>-</v>
          </cell>
          <cell r="M105" t="str">
            <v>-</v>
          </cell>
          <cell r="N105" t="str">
            <v>No</v>
          </cell>
        </row>
        <row r="106">
          <cell r="F106">
            <v>28</v>
          </cell>
          <cell r="J106" t="str">
            <v>-</v>
          </cell>
          <cell r="K106" t="str">
            <v>-</v>
          </cell>
          <cell r="L106" t="str">
            <v>-</v>
          </cell>
          <cell r="M106" t="str">
            <v>-</v>
          </cell>
          <cell r="N106" t="str">
            <v>INHIL</v>
          </cell>
        </row>
        <row r="107">
          <cell r="F107">
            <v>20</v>
          </cell>
          <cell r="J107" t="str">
            <v>-</v>
          </cell>
          <cell r="K107" t="str">
            <v>-</v>
          </cell>
          <cell r="L107" t="str">
            <v>-</v>
          </cell>
          <cell r="M107" t="str">
            <v>-</v>
          </cell>
          <cell r="N107" t="str">
            <v>No</v>
          </cell>
        </row>
        <row r="108">
          <cell r="F108">
            <v>25</v>
          </cell>
          <cell r="J108" t="str">
            <v>-</v>
          </cell>
          <cell r="K108" t="str">
            <v>-</v>
          </cell>
          <cell r="L108" t="str">
            <v>-</v>
          </cell>
          <cell r="M108" t="str">
            <v>-</v>
          </cell>
          <cell r="N108" t="str">
            <v>No</v>
          </cell>
        </row>
        <row r="109">
          <cell r="F109">
            <v>18</v>
          </cell>
          <cell r="J109" t="str">
            <v>-</v>
          </cell>
          <cell r="K109" t="str">
            <v>-</v>
          </cell>
          <cell r="L109" t="str">
            <v>-</v>
          </cell>
          <cell r="M109" t="str">
            <v>-</v>
          </cell>
          <cell r="N109" t="str">
            <v>No</v>
          </cell>
        </row>
        <row r="110">
          <cell r="F110">
            <v>21</v>
          </cell>
          <cell r="J110" t="str">
            <v>-</v>
          </cell>
          <cell r="K110" t="str">
            <v>-</v>
          </cell>
          <cell r="L110" t="str">
            <v>-</v>
          </cell>
          <cell r="M110" t="str">
            <v>-</v>
          </cell>
          <cell r="N110" t="str">
            <v>No</v>
          </cell>
        </row>
        <row r="111">
          <cell r="F111">
            <v>32</v>
          </cell>
          <cell r="J111" t="str">
            <v>-</v>
          </cell>
          <cell r="K111" t="str">
            <v>-</v>
          </cell>
          <cell r="L111" t="str">
            <v>-</v>
          </cell>
          <cell r="M111" t="str">
            <v>-</v>
          </cell>
          <cell r="N111" t="str">
            <v>No</v>
          </cell>
        </row>
        <row r="112">
          <cell r="F112">
            <v>21</v>
          </cell>
          <cell r="J112" t="str">
            <v>-</v>
          </cell>
          <cell r="K112" t="str">
            <v>-</v>
          </cell>
          <cell r="L112" t="str">
            <v>-</v>
          </cell>
          <cell r="M112" t="str">
            <v>-</v>
          </cell>
          <cell r="N112" t="str">
            <v>No</v>
          </cell>
        </row>
        <row r="113">
          <cell r="F113">
            <v>28</v>
          </cell>
          <cell r="J113" t="str">
            <v>-</v>
          </cell>
          <cell r="K113" t="str">
            <v>-</v>
          </cell>
          <cell r="L113" t="str">
            <v>-</v>
          </cell>
          <cell r="M113" t="str">
            <v>-</v>
          </cell>
          <cell r="N113" t="str">
            <v>No</v>
          </cell>
        </row>
        <row r="114">
          <cell r="F114">
            <v>24</v>
          </cell>
          <cell r="J114" t="str">
            <v>-</v>
          </cell>
          <cell r="K114" t="str">
            <v>-</v>
          </cell>
          <cell r="L114" t="str">
            <v>-</v>
          </cell>
          <cell r="M114" t="str">
            <v>-</v>
          </cell>
          <cell r="N114" t="str">
            <v>No</v>
          </cell>
        </row>
        <row r="115">
          <cell r="F115">
            <v>23</v>
          </cell>
          <cell r="J115" t="str">
            <v>INHIL</v>
          </cell>
          <cell r="K115" t="str">
            <v>-</v>
          </cell>
          <cell r="L115" t="str">
            <v>-</v>
          </cell>
          <cell r="M115" t="str">
            <v>-</v>
          </cell>
          <cell r="N115" t="str">
            <v>INHIL</v>
          </cell>
        </row>
        <row r="116">
          <cell r="F116">
            <v>21</v>
          </cell>
          <cell r="J116" t="str">
            <v>-</v>
          </cell>
          <cell r="K116" t="str">
            <v>-</v>
          </cell>
          <cell r="L116" t="str">
            <v>-</v>
          </cell>
          <cell r="M116" t="str">
            <v>-</v>
          </cell>
          <cell r="N116" t="str">
            <v>INHIL</v>
          </cell>
        </row>
        <row r="117">
          <cell r="F117">
            <v>21</v>
          </cell>
          <cell r="J117" t="str">
            <v>-</v>
          </cell>
          <cell r="K117" t="str">
            <v>-</v>
          </cell>
          <cell r="L117" t="str">
            <v>-</v>
          </cell>
          <cell r="M117" t="str">
            <v>-</v>
          </cell>
          <cell r="N117" t="str">
            <v>No</v>
          </cell>
        </row>
        <row r="118">
          <cell r="F118">
            <v>27</v>
          </cell>
          <cell r="J118" t="str">
            <v>-</v>
          </cell>
          <cell r="K118" t="str">
            <v>-</v>
          </cell>
          <cell r="L118" t="str">
            <v>-</v>
          </cell>
          <cell r="M118" t="str">
            <v>-</v>
          </cell>
          <cell r="N118" t="str">
            <v>INHIL</v>
          </cell>
        </row>
        <row r="119">
          <cell r="F119">
            <v>25</v>
          </cell>
          <cell r="J119" t="str">
            <v>-</v>
          </cell>
          <cell r="K119" t="str">
            <v>-</v>
          </cell>
          <cell r="L119" t="str">
            <v>INHIL</v>
          </cell>
          <cell r="M119" t="str">
            <v>-</v>
          </cell>
          <cell r="N119" t="str">
            <v>INHIL</v>
          </cell>
        </row>
        <row r="120">
          <cell r="F120">
            <v>31</v>
          </cell>
          <cell r="J120" t="str">
            <v>-</v>
          </cell>
          <cell r="K120" t="str">
            <v>-</v>
          </cell>
          <cell r="L120" t="str">
            <v>-</v>
          </cell>
          <cell r="M120" t="str">
            <v>-</v>
          </cell>
          <cell r="N120" t="str">
            <v>No</v>
          </cell>
        </row>
        <row r="121">
          <cell r="F121">
            <v>27</v>
          </cell>
          <cell r="J121" t="str">
            <v>-</v>
          </cell>
          <cell r="K121" t="str">
            <v>-</v>
          </cell>
          <cell r="L121" t="str">
            <v>-</v>
          </cell>
          <cell r="M121" t="str">
            <v>-</v>
          </cell>
          <cell r="N121" t="str">
            <v>No</v>
          </cell>
        </row>
        <row r="122">
          <cell r="F122">
            <v>19</v>
          </cell>
          <cell r="J122" t="str">
            <v>-</v>
          </cell>
          <cell r="K122" t="str">
            <v>-</v>
          </cell>
          <cell r="L122" t="str">
            <v>-</v>
          </cell>
          <cell r="M122" t="str">
            <v>-</v>
          </cell>
          <cell r="N122" t="str">
            <v>No</v>
          </cell>
        </row>
        <row r="123">
          <cell r="F123">
            <v>22</v>
          </cell>
          <cell r="J123" t="str">
            <v>-</v>
          </cell>
          <cell r="K123" t="str">
            <v>-</v>
          </cell>
          <cell r="L123" t="str">
            <v>-</v>
          </cell>
          <cell r="M123" t="str">
            <v>-</v>
          </cell>
          <cell r="N123" t="str">
            <v>No</v>
          </cell>
        </row>
        <row r="124">
          <cell r="F124">
            <v>21</v>
          </cell>
          <cell r="J124" t="str">
            <v>-</v>
          </cell>
          <cell r="K124" t="str">
            <v>-</v>
          </cell>
          <cell r="L124" t="str">
            <v>-</v>
          </cell>
          <cell r="M124" t="str">
            <v>-</v>
          </cell>
          <cell r="N124" t="str">
            <v>No</v>
          </cell>
        </row>
        <row r="125">
          <cell r="F125">
            <v>23</v>
          </cell>
          <cell r="J125" t="str">
            <v>-</v>
          </cell>
          <cell r="K125" t="str">
            <v>-</v>
          </cell>
          <cell r="L125" t="str">
            <v>-</v>
          </cell>
          <cell r="M125" t="str">
            <v>-</v>
          </cell>
          <cell r="N125" t="str">
            <v>No</v>
          </cell>
        </row>
        <row r="126">
          <cell r="F126">
            <v>26</v>
          </cell>
          <cell r="J126" t="str">
            <v>-</v>
          </cell>
          <cell r="K126" t="str">
            <v>-</v>
          </cell>
          <cell r="L126" t="str">
            <v>-</v>
          </cell>
          <cell r="M126" t="str">
            <v>-</v>
          </cell>
          <cell r="N126" t="str">
            <v>INHIL</v>
          </cell>
        </row>
        <row r="127">
          <cell r="F127">
            <v>26</v>
          </cell>
          <cell r="J127" t="str">
            <v>-</v>
          </cell>
          <cell r="K127" t="str">
            <v>-</v>
          </cell>
          <cell r="L127" t="str">
            <v>-</v>
          </cell>
          <cell r="M127" t="str">
            <v>-</v>
          </cell>
          <cell r="N127" t="str">
            <v>No</v>
          </cell>
        </row>
        <row r="128">
          <cell r="F128">
            <v>21</v>
          </cell>
          <cell r="J128" t="str">
            <v>-</v>
          </cell>
          <cell r="K128" t="str">
            <v>-</v>
          </cell>
          <cell r="L128" t="str">
            <v>-</v>
          </cell>
          <cell r="M128" t="str">
            <v>-</v>
          </cell>
          <cell r="N128" t="str">
            <v>No</v>
          </cell>
        </row>
        <row r="129">
          <cell r="F129">
            <v>25</v>
          </cell>
          <cell r="J129" t="str">
            <v>-</v>
          </cell>
          <cell r="K129" t="str">
            <v>-</v>
          </cell>
          <cell r="L129" t="str">
            <v>-</v>
          </cell>
          <cell r="M129" t="str">
            <v>-</v>
          </cell>
          <cell r="N129" t="str">
            <v>No</v>
          </cell>
        </row>
        <row r="130">
          <cell r="F130">
            <v>22</v>
          </cell>
          <cell r="J130" t="str">
            <v>-</v>
          </cell>
          <cell r="K130" t="str">
            <v>-</v>
          </cell>
          <cell r="L130" t="str">
            <v>-</v>
          </cell>
          <cell r="M130" t="str">
            <v>-</v>
          </cell>
          <cell r="N130" t="str">
            <v>No</v>
          </cell>
        </row>
        <row r="131">
          <cell r="F131">
            <v>25</v>
          </cell>
          <cell r="J131" t="str">
            <v>-</v>
          </cell>
          <cell r="K131" t="str">
            <v>-</v>
          </cell>
          <cell r="L131" t="str">
            <v>-</v>
          </cell>
          <cell r="M131" t="str">
            <v>-</v>
          </cell>
          <cell r="N131" t="str">
            <v>INHIL</v>
          </cell>
        </row>
        <row r="132">
          <cell r="F132">
            <v>29</v>
          </cell>
          <cell r="J132" t="str">
            <v>-</v>
          </cell>
          <cell r="K132" t="str">
            <v>-</v>
          </cell>
          <cell r="L132" t="str">
            <v>-</v>
          </cell>
          <cell r="M132" t="str">
            <v>-</v>
          </cell>
          <cell r="N132" t="str">
            <v>INHIL</v>
          </cell>
        </row>
        <row r="133">
          <cell r="F133">
            <v>27</v>
          </cell>
          <cell r="J133" t="str">
            <v>INHIL</v>
          </cell>
          <cell r="K133" t="str">
            <v>-</v>
          </cell>
          <cell r="L133" t="str">
            <v>-</v>
          </cell>
          <cell r="M133" t="str">
            <v>-</v>
          </cell>
          <cell r="N133" t="str">
            <v>INHIL</v>
          </cell>
        </row>
        <row r="134">
          <cell r="F134">
            <v>21</v>
          </cell>
          <cell r="J134" t="str">
            <v>-</v>
          </cell>
          <cell r="K134" t="str">
            <v>-</v>
          </cell>
          <cell r="L134" t="str">
            <v>-</v>
          </cell>
          <cell r="M134" t="str">
            <v>-</v>
          </cell>
          <cell r="N134" t="str">
            <v>No</v>
          </cell>
        </row>
        <row r="135">
          <cell r="F135">
            <v>21</v>
          </cell>
          <cell r="J135" t="str">
            <v>-</v>
          </cell>
          <cell r="K135" t="str">
            <v>-</v>
          </cell>
          <cell r="L135" t="str">
            <v>-</v>
          </cell>
          <cell r="M135" t="str">
            <v>-</v>
          </cell>
          <cell r="N135" t="str">
            <v>No</v>
          </cell>
        </row>
        <row r="136">
          <cell r="F136">
            <v>23</v>
          </cell>
          <cell r="J136" t="str">
            <v>-</v>
          </cell>
          <cell r="K136" t="str">
            <v>-</v>
          </cell>
          <cell r="L136" t="str">
            <v>-</v>
          </cell>
          <cell r="M136" t="str">
            <v>-</v>
          </cell>
          <cell r="N136" t="str">
            <v>INHIL</v>
          </cell>
        </row>
        <row r="137">
          <cell r="F137">
            <v>22</v>
          </cell>
          <cell r="J137" t="str">
            <v>-</v>
          </cell>
          <cell r="K137" t="str">
            <v>-</v>
          </cell>
          <cell r="L137" t="str">
            <v>-</v>
          </cell>
          <cell r="M137" t="str">
            <v>-</v>
          </cell>
          <cell r="N137" t="str">
            <v>No</v>
          </cell>
        </row>
        <row r="138">
          <cell r="F138">
            <v>21</v>
          </cell>
          <cell r="J138" t="str">
            <v>-</v>
          </cell>
          <cell r="K138" t="str">
            <v>-</v>
          </cell>
          <cell r="L138" t="str">
            <v>-</v>
          </cell>
          <cell r="M138" t="str">
            <v>-</v>
          </cell>
          <cell r="N138" t="str">
            <v>No</v>
          </cell>
        </row>
        <row r="139">
          <cell r="F139">
            <v>24</v>
          </cell>
          <cell r="J139" t="str">
            <v>-</v>
          </cell>
          <cell r="K139" t="str">
            <v>-</v>
          </cell>
          <cell r="L139" t="str">
            <v>-</v>
          </cell>
          <cell r="M139" t="str">
            <v>-</v>
          </cell>
          <cell r="N139" t="str">
            <v>No</v>
          </cell>
        </row>
        <row r="140">
          <cell r="F140">
            <v>35</v>
          </cell>
          <cell r="J140" t="str">
            <v>INHIL</v>
          </cell>
          <cell r="K140" t="str">
            <v>-</v>
          </cell>
          <cell r="L140" t="str">
            <v>-</v>
          </cell>
          <cell r="M140" t="str">
            <v>-</v>
          </cell>
          <cell r="N140" t="str">
            <v>INHIL</v>
          </cell>
        </row>
        <row r="141">
          <cell r="F141">
            <v>24</v>
          </cell>
          <cell r="J141" t="str">
            <v>-</v>
          </cell>
          <cell r="K141" t="str">
            <v>-</v>
          </cell>
          <cell r="L141" t="str">
            <v>-</v>
          </cell>
          <cell r="M141" t="str">
            <v>-</v>
          </cell>
          <cell r="N141" t="str">
            <v>INHIL</v>
          </cell>
        </row>
        <row r="142">
          <cell r="F142">
            <v>31</v>
          </cell>
          <cell r="J142" t="str">
            <v>-</v>
          </cell>
          <cell r="K142" t="str">
            <v>-</v>
          </cell>
          <cell r="L142" t="str">
            <v>-</v>
          </cell>
          <cell r="M142" t="str">
            <v>-</v>
          </cell>
          <cell r="N142" t="str">
            <v>INHIL</v>
          </cell>
        </row>
        <row r="143">
          <cell r="F143">
            <v>22</v>
          </cell>
          <cell r="J143" t="str">
            <v>-</v>
          </cell>
          <cell r="K143" t="str">
            <v>-</v>
          </cell>
          <cell r="L143" t="str">
            <v>-</v>
          </cell>
          <cell r="M143" t="str">
            <v>-</v>
          </cell>
          <cell r="N143" t="str">
            <v>INHIL</v>
          </cell>
        </row>
        <row r="144">
          <cell r="F144">
            <v>27</v>
          </cell>
          <cell r="J144" t="str">
            <v>-</v>
          </cell>
          <cell r="K144" t="str">
            <v>-</v>
          </cell>
          <cell r="L144" t="str">
            <v>-</v>
          </cell>
          <cell r="M144" t="str">
            <v>-</v>
          </cell>
          <cell r="N144" t="str">
            <v>No</v>
          </cell>
        </row>
        <row r="145">
          <cell r="F145">
            <v>23</v>
          </cell>
          <cell r="J145" t="str">
            <v>-</v>
          </cell>
          <cell r="K145" t="str">
            <v>-</v>
          </cell>
          <cell r="L145" t="str">
            <v>-</v>
          </cell>
          <cell r="M145" t="str">
            <v>-</v>
          </cell>
          <cell r="N145" t="str">
            <v>INHIL</v>
          </cell>
        </row>
        <row r="146">
          <cell r="F146">
            <v>28</v>
          </cell>
          <cell r="J146" t="str">
            <v>-</v>
          </cell>
          <cell r="K146" t="str">
            <v>-</v>
          </cell>
          <cell r="L146" t="str">
            <v>-</v>
          </cell>
          <cell r="M146" t="str">
            <v>-</v>
          </cell>
          <cell r="N146" t="str">
            <v>INHIL</v>
          </cell>
        </row>
        <row r="147">
          <cell r="F147">
            <v>26</v>
          </cell>
          <cell r="J147" t="str">
            <v>-</v>
          </cell>
          <cell r="K147" t="str">
            <v>-</v>
          </cell>
          <cell r="L147" t="str">
            <v>-</v>
          </cell>
          <cell r="M147" t="str">
            <v>-</v>
          </cell>
          <cell r="N147" t="str">
            <v>INHIL</v>
          </cell>
        </row>
        <row r="148">
          <cell r="F148">
            <v>24</v>
          </cell>
          <cell r="J148" t="str">
            <v>-</v>
          </cell>
          <cell r="K148" t="str">
            <v>-</v>
          </cell>
          <cell r="L148" t="str">
            <v>-</v>
          </cell>
          <cell r="M148" t="str">
            <v>-</v>
          </cell>
          <cell r="N148" t="str">
            <v>INHIL</v>
          </cell>
        </row>
        <row r="149">
          <cell r="F149">
            <v>20</v>
          </cell>
          <cell r="J149" t="str">
            <v>-</v>
          </cell>
          <cell r="K149" t="str">
            <v>-</v>
          </cell>
          <cell r="L149" t="str">
            <v>-</v>
          </cell>
          <cell r="M149" t="str">
            <v>-</v>
          </cell>
          <cell r="N149" t="str">
            <v>INHIL</v>
          </cell>
        </row>
        <row r="150">
          <cell r="F150">
            <v>24</v>
          </cell>
          <cell r="J150" t="str">
            <v>-</v>
          </cell>
          <cell r="K150" t="str">
            <v>-</v>
          </cell>
          <cell r="L150" t="str">
            <v>-</v>
          </cell>
          <cell r="M150" t="str">
            <v>-</v>
          </cell>
          <cell r="N150" t="str">
            <v>No</v>
          </cell>
        </row>
        <row r="151">
          <cell r="F151">
            <v>37</v>
          </cell>
          <cell r="J151" t="str">
            <v>INHIL</v>
          </cell>
          <cell r="K151" t="str">
            <v>-</v>
          </cell>
          <cell r="L151" t="str">
            <v>-</v>
          </cell>
          <cell r="M151" t="str">
            <v>-</v>
          </cell>
          <cell r="N151" t="str">
            <v>INHIL</v>
          </cell>
        </row>
        <row r="152">
          <cell r="F152">
            <v>34</v>
          </cell>
          <cell r="J152" t="str">
            <v>-</v>
          </cell>
          <cell r="K152" t="str">
            <v>-</v>
          </cell>
          <cell r="L152" t="str">
            <v>-</v>
          </cell>
          <cell r="M152" t="str">
            <v>-</v>
          </cell>
          <cell r="N152" t="str">
            <v>INHIL</v>
          </cell>
        </row>
        <row r="153">
          <cell r="F153">
            <v>21</v>
          </cell>
          <cell r="J153" t="str">
            <v>-</v>
          </cell>
          <cell r="K153" t="str">
            <v>-</v>
          </cell>
          <cell r="L153" t="str">
            <v>-</v>
          </cell>
          <cell r="M153" t="str">
            <v>-</v>
          </cell>
          <cell r="N153" t="str">
            <v>No</v>
          </cell>
        </row>
        <row r="154">
          <cell r="F154">
            <v>42</v>
          </cell>
          <cell r="J154" t="str">
            <v>-</v>
          </cell>
          <cell r="K154" t="str">
            <v>-</v>
          </cell>
          <cell r="L154" t="str">
            <v>-</v>
          </cell>
          <cell r="M154" t="str">
            <v>-</v>
          </cell>
          <cell r="N154" t="str">
            <v>INHIL</v>
          </cell>
        </row>
        <row r="155">
          <cell r="F155">
            <v>31</v>
          </cell>
          <cell r="J155" t="str">
            <v>-</v>
          </cell>
          <cell r="K155" t="str">
            <v>-</v>
          </cell>
          <cell r="L155" t="str">
            <v>-</v>
          </cell>
          <cell r="M155" t="str">
            <v>-</v>
          </cell>
          <cell r="N155" t="str">
            <v>No</v>
          </cell>
        </row>
        <row r="156">
          <cell r="F156">
            <v>35</v>
          </cell>
          <cell r="J156" t="str">
            <v>-</v>
          </cell>
          <cell r="K156" t="str">
            <v>-</v>
          </cell>
          <cell r="L156" t="str">
            <v>-</v>
          </cell>
          <cell r="M156" t="str">
            <v>-</v>
          </cell>
          <cell r="N156" t="str">
            <v>INHIL</v>
          </cell>
        </row>
        <row r="157">
          <cell r="F157">
            <v>19</v>
          </cell>
          <cell r="J157" t="str">
            <v>-</v>
          </cell>
          <cell r="K157" t="str">
            <v>-</v>
          </cell>
          <cell r="L157" t="str">
            <v>-</v>
          </cell>
          <cell r="M157" t="str">
            <v>-</v>
          </cell>
          <cell r="N157" t="str">
            <v>No</v>
          </cell>
        </row>
        <row r="158">
          <cell r="F158">
            <v>25</v>
          </cell>
          <cell r="J158" t="str">
            <v>-</v>
          </cell>
          <cell r="K158" t="str">
            <v>-</v>
          </cell>
          <cell r="L158" t="str">
            <v>-</v>
          </cell>
          <cell r="M158" t="str">
            <v>-</v>
          </cell>
          <cell r="N158" t="str">
            <v>INHIL</v>
          </cell>
        </row>
        <row r="159">
          <cell r="F159">
            <v>22</v>
          </cell>
          <cell r="J159" t="str">
            <v>-</v>
          </cell>
          <cell r="K159" t="str">
            <v>-</v>
          </cell>
          <cell r="L159" t="str">
            <v>-</v>
          </cell>
          <cell r="M159" t="str">
            <v>-</v>
          </cell>
          <cell r="N159" t="str">
            <v>No</v>
          </cell>
        </row>
        <row r="160">
          <cell r="F160">
            <v>34</v>
          </cell>
          <cell r="J160" t="str">
            <v>INHIL</v>
          </cell>
          <cell r="K160" t="str">
            <v>-</v>
          </cell>
          <cell r="L160" t="str">
            <v>-</v>
          </cell>
          <cell r="M160" t="str">
            <v>-</v>
          </cell>
          <cell r="N160" t="str">
            <v>INHIL</v>
          </cell>
        </row>
        <row r="161">
          <cell r="F161">
            <v>34</v>
          </cell>
          <cell r="J161" t="str">
            <v>-</v>
          </cell>
          <cell r="K161" t="str">
            <v>-</v>
          </cell>
          <cell r="L161" t="str">
            <v>-</v>
          </cell>
          <cell r="M161" t="str">
            <v>-</v>
          </cell>
          <cell r="N161" t="str">
            <v>INHIL</v>
          </cell>
        </row>
        <row r="162">
          <cell r="F162">
            <v>20</v>
          </cell>
          <cell r="J162" t="str">
            <v>-</v>
          </cell>
          <cell r="K162" t="str">
            <v>-</v>
          </cell>
          <cell r="L162" t="str">
            <v>-</v>
          </cell>
          <cell r="M162" t="str">
            <v>-</v>
          </cell>
          <cell r="N162" t="str">
            <v>INHIL</v>
          </cell>
        </row>
        <row r="163">
          <cell r="F163">
            <v>33</v>
          </cell>
          <cell r="J163" t="str">
            <v>-</v>
          </cell>
          <cell r="K163" t="str">
            <v>-</v>
          </cell>
          <cell r="L163" t="str">
            <v>-</v>
          </cell>
          <cell r="M163" t="str">
            <v>-</v>
          </cell>
          <cell r="N163" t="str">
            <v>No</v>
          </cell>
        </row>
        <row r="164">
          <cell r="F164">
            <v>19</v>
          </cell>
          <cell r="J164" t="str">
            <v>-</v>
          </cell>
          <cell r="K164" t="str">
            <v>-</v>
          </cell>
          <cell r="L164" t="str">
            <v>-</v>
          </cell>
          <cell r="M164" t="str">
            <v>-</v>
          </cell>
          <cell r="N164" t="str">
            <v>No</v>
          </cell>
        </row>
        <row r="165">
          <cell r="F165">
            <v>34</v>
          </cell>
          <cell r="J165" t="str">
            <v>-</v>
          </cell>
          <cell r="K165" t="str">
            <v>-</v>
          </cell>
          <cell r="L165" t="str">
            <v>-</v>
          </cell>
          <cell r="M165" t="str">
            <v>-</v>
          </cell>
          <cell r="N165" t="str">
            <v>INHIL</v>
          </cell>
        </row>
        <row r="166">
          <cell r="F166">
            <v>21</v>
          </cell>
          <cell r="J166" t="str">
            <v>-</v>
          </cell>
          <cell r="K166" t="str">
            <v>-</v>
          </cell>
          <cell r="L166" t="str">
            <v>-</v>
          </cell>
          <cell r="M166" t="str">
            <v>-</v>
          </cell>
          <cell r="N166" t="str">
            <v>No</v>
          </cell>
        </row>
        <row r="167">
          <cell r="F167">
            <v>19</v>
          </cell>
          <cell r="J167" t="str">
            <v>-</v>
          </cell>
          <cell r="K167" t="str">
            <v>-</v>
          </cell>
          <cell r="L167" t="str">
            <v>-</v>
          </cell>
          <cell r="M167" t="str">
            <v>-</v>
          </cell>
          <cell r="N167" t="str">
            <v>No</v>
          </cell>
        </row>
        <row r="168">
          <cell r="F168">
            <v>27</v>
          </cell>
          <cell r="J168" t="str">
            <v>INHIL</v>
          </cell>
          <cell r="K168" t="str">
            <v>-</v>
          </cell>
          <cell r="L168" t="str">
            <v>-</v>
          </cell>
          <cell r="M168" t="str">
            <v>-</v>
          </cell>
          <cell r="N168" t="str">
            <v>INHIL</v>
          </cell>
        </row>
        <row r="169">
          <cell r="F169">
            <v>35</v>
          </cell>
          <cell r="J169" t="str">
            <v>-</v>
          </cell>
          <cell r="K169" t="str">
            <v>-</v>
          </cell>
          <cell r="L169" t="str">
            <v>-</v>
          </cell>
          <cell r="M169" t="str">
            <v>-</v>
          </cell>
          <cell r="N169" t="str">
            <v>No</v>
          </cell>
        </row>
        <row r="170">
          <cell r="F170">
            <v>23</v>
          </cell>
          <cell r="J170" t="str">
            <v>-</v>
          </cell>
          <cell r="K170" t="str">
            <v>-</v>
          </cell>
          <cell r="L170" t="str">
            <v>-</v>
          </cell>
          <cell r="M170" t="str">
            <v>-</v>
          </cell>
          <cell r="N170" t="str">
            <v>INHIL</v>
          </cell>
        </row>
        <row r="171">
          <cell r="F171">
            <v>30</v>
          </cell>
          <cell r="J171" t="str">
            <v>-</v>
          </cell>
          <cell r="K171" t="str">
            <v>-</v>
          </cell>
          <cell r="L171" t="str">
            <v>-</v>
          </cell>
          <cell r="M171" t="str">
            <v>-</v>
          </cell>
          <cell r="N171" t="str">
            <v>No</v>
          </cell>
        </row>
        <row r="172">
          <cell r="F172">
            <v>22</v>
          </cell>
          <cell r="J172" t="str">
            <v>-</v>
          </cell>
          <cell r="K172" t="str">
            <v>-</v>
          </cell>
          <cell r="L172" t="str">
            <v>-</v>
          </cell>
          <cell r="M172" t="str">
            <v>-</v>
          </cell>
          <cell r="N172" t="str">
            <v>No</v>
          </cell>
        </row>
        <row r="173">
          <cell r="F173">
            <v>27</v>
          </cell>
          <cell r="J173" t="str">
            <v>-</v>
          </cell>
          <cell r="K173" t="str">
            <v>INHIL</v>
          </cell>
          <cell r="L173" t="str">
            <v>-</v>
          </cell>
          <cell r="M173" t="str">
            <v>-</v>
          </cell>
          <cell r="N173" t="str">
            <v>INHIL</v>
          </cell>
        </row>
        <row r="174">
          <cell r="F174">
            <v>29</v>
          </cell>
          <cell r="J174" t="str">
            <v>-</v>
          </cell>
          <cell r="K174" t="str">
            <v>-</v>
          </cell>
          <cell r="L174" t="str">
            <v>-</v>
          </cell>
          <cell r="M174" t="str">
            <v>-</v>
          </cell>
          <cell r="N174" t="str">
            <v>INHIL</v>
          </cell>
        </row>
        <row r="175">
          <cell r="F175">
            <v>26</v>
          </cell>
          <cell r="J175" t="str">
            <v>-</v>
          </cell>
          <cell r="K175" t="str">
            <v>-</v>
          </cell>
          <cell r="L175" t="str">
            <v>-</v>
          </cell>
          <cell r="M175" t="str">
            <v>-</v>
          </cell>
          <cell r="N175" t="str">
            <v>No</v>
          </cell>
        </row>
        <row r="176">
          <cell r="F176">
            <v>33</v>
          </cell>
          <cell r="J176" t="str">
            <v>-</v>
          </cell>
          <cell r="K176" t="str">
            <v>-</v>
          </cell>
          <cell r="L176" t="str">
            <v>-</v>
          </cell>
          <cell r="M176" t="str">
            <v>-</v>
          </cell>
          <cell r="N176" t="str">
            <v>INHIL</v>
          </cell>
        </row>
        <row r="177">
          <cell r="F177">
            <v>28</v>
          </cell>
          <cell r="J177" t="str">
            <v>-</v>
          </cell>
          <cell r="K177" t="str">
            <v>-</v>
          </cell>
          <cell r="L177" t="str">
            <v>-</v>
          </cell>
          <cell r="M177" t="str">
            <v>-</v>
          </cell>
          <cell r="N177" t="str">
            <v>No</v>
          </cell>
        </row>
        <row r="178">
          <cell r="F178">
            <v>45</v>
          </cell>
          <cell r="J178" t="str">
            <v>-</v>
          </cell>
          <cell r="K178" t="str">
            <v>-</v>
          </cell>
          <cell r="L178" t="str">
            <v>-</v>
          </cell>
          <cell r="M178" t="str">
            <v>-</v>
          </cell>
          <cell r="N178" t="str">
            <v>INHIL</v>
          </cell>
        </row>
        <row r="179">
          <cell r="F179">
            <v>35</v>
          </cell>
          <cell r="J179" t="str">
            <v>-</v>
          </cell>
          <cell r="K179" t="str">
            <v>-</v>
          </cell>
          <cell r="L179" t="str">
            <v>-</v>
          </cell>
          <cell r="M179" t="str">
            <v>-</v>
          </cell>
          <cell r="N179" t="str">
            <v>INHIL</v>
          </cell>
        </row>
        <row r="180">
          <cell r="F180">
            <v>22</v>
          </cell>
          <cell r="J180" t="str">
            <v>-</v>
          </cell>
          <cell r="K180" t="str">
            <v>INHIL</v>
          </cell>
          <cell r="L180" t="str">
            <v>-</v>
          </cell>
          <cell r="M180" t="str">
            <v>-</v>
          </cell>
          <cell r="N180" t="str">
            <v>INHIL</v>
          </cell>
        </row>
        <row r="181">
          <cell r="F181">
            <v>23</v>
          </cell>
          <cell r="J181" t="str">
            <v>-</v>
          </cell>
          <cell r="K181" t="str">
            <v>-</v>
          </cell>
          <cell r="L181" t="str">
            <v>-</v>
          </cell>
          <cell r="M181" t="str">
            <v>-</v>
          </cell>
          <cell r="N181" t="str">
            <v>No</v>
          </cell>
        </row>
        <row r="182">
          <cell r="F182">
            <v>46</v>
          </cell>
          <cell r="J182" t="str">
            <v>-</v>
          </cell>
          <cell r="K182" t="str">
            <v>-</v>
          </cell>
          <cell r="L182" t="str">
            <v>-</v>
          </cell>
          <cell r="M182" t="str">
            <v>-</v>
          </cell>
          <cell r="N182" t="str">
            <v>INHIL</v>
          </cell>
        </row>
        <row r="183">
          <cell r="F183">
            <v>22</v>
          </cell>
          <cell r="J183" t="str">
            <v>-</v>
          </cell>
          <cell r="K183" t="str">
            <v>INHIL</v>
          </cell>
          <cell r="L183" t="str">
            <v>-</v>
          </cell>
          <cell r="M183" t="str">
            <v>-</v>
          </cell>
          <cell r="N183" t="str">
            <v>INHIL</v>
          </cell>
        </row>
        <row r="184">
          <cell r="F184">
            <v>34</v>
          </cell>
          <cell r="J184" t="str">
            <v>-</v>
          </cell>
          <cell r="K184" t="str">
            <v>-</v>
          </cell>
          <cell r="L184" t="str">
            <v>-</v>
          </cell>
          <cell r="M184" t="str">
            <v>-</v>
          </cell>
          <cell r="N184" t="str">
            <v>INHIL</v>
          </cell>
        </row>
        <row r="185">
          <cell r="F185">
            <v>30</v>
          </cell>
          <cell r="J185" t="str">
            <v>-</v>
          </cell>
          <cell r="K185" t="str">
            <v>-</v>
          </cell>
          <cell r="L185" t="str">
            <v>-</v>
          </cell>
          <cell r="M185" t="str">
            <v>-</v>
          </cell>
          <cell r="N185" t="str">
            <v>INHIL</v>
          </cell>
        </row>
        <row r="186">
          <cell r="F186">
            <v>36</v>
          </cell>
          <cell r="J186" t="str">
            <v>-</v>
          </cell>
          <cell r="K186" t="str">
            <v>-</v>
          </cell>
          <cell r="L186" t="str">
            <v>-</v>
          </cell>
          <cell r="M186" t="str">
            <v>-</v>
          </cell>
          <cell r="N186" t="str">
            <v>INHIL</v>
          </cell>
        </row>
        <row r="187">
          <cell r="F187">
            <v>28</v>
          </cell>
          <cell r="J187" t="str">
            <v>-</v>
          </cell>
          <cell r="K187" t="str">
            <v>-</v>
          </cell>
          <cell r="L187" t="str">
            <v>-</v>
          </cell>
          <cell r="M187" t="str">
            <v>-</v>
          </cell>
          <cell r="N187" t="str">
            <v>No</v>
          </cell>
        </row>
        <row r="188">
          <cell r="F188">
            <v>26</v>
          </cell>
          <cell r="J188" t="str">
            <v>INHIL</v>
          </cell>
          <cell r="K188" t="str">
            <v>-</v>
          </cell>
          <cell r="L188" t="str">
            <v>-</v>
          </cell>
          <cell r="M188" t="str">
            <v>-</v>
          </cell>
          <cell r="N188" t="str">
            <v>INHIL</v>
          </cell>
        </row>
        <row r="189">
          <cell r="F189">
            <v>34</v>
          </cell>
          <cell r="J189" t="str">
            <v>-</v>
          </cell>
          <cell r="K189" t="str">
            <v>-</v>
          </cell>
          <cell r="L189" t="str">
            <v>-</v>
          </cell>
          <cell r="M189" t="str">
            <v>-</v>
          </cell>
          <cell r="N189" t="str">
            <v>INHIL</v>
          </cell>
        </row>
        <row r="190">
          <cell r="F190">
            <v>49</v>
          </cell>
          <cell r="J190" t="str">
            <v>-</v>
          </cell>
          <cell r="K190" t="str">
            <v>-</v>
          </cell>
          <cell r="L190" t="str">
            <v>-</v>
          </cell>
          <cell r="M190" t="str">
            <v>-</v>
          </cell>
          <cell r="N190" t="str">
            <v>No</v>
          </cell>
        </row>
        <row r="191">
          <cell r="F191">
            <v>23</v>
          </cell>
          <cell r="J191" t="str">
            <v>-</v>
          </cell>
          <cell r="K191" t="str">
            <v>-</v>
          </cell>
          <cell r="L191" t="str">
            <v>-</v>
          </cell>
          <cell r="M191" t="str">
            <v>-</v>
          </cell>
          <cell r="N191" t="str">
            <v>No</v>
          </cell>
        </row>
        <row r="192">
          <cell r="F192">
            <v>33</v>
          </cell>
          <cell r="J192" t="str">
            <v>-</v>
          </cell>
          <cell r="K192" t="str">
            <v>-</v>
          </cell>
          <cell r="L192" t="str">
            <v>-</v>
          </cell>
          <cell r="M192" t="str">
            <v>-</v>
          </cell>
          <cell r="N192" t="str">
            <v>No</v>
          </cell>
        </row>
        <row r="193">
          <cell r="F193">
            <v>52</v>
          </cell>
          <cell r="J193" t="str">
            <v>-</v>
          </cell>
          <cell r="K193" t="str">
            <v>-</v>
          </cell>
          <cell r="L193" t="str">
            <v>-</v>
          </cell>
          <cell r="M193" t="str">
            <v>-</v>
          </cell>
          <cell r="N193" t="str">
            <v>INHIL</v>
          </cell>
        </row>
        <row r="194">
          <cell r="F194">
            <v>25</v>
          </cell>
          <cell r="J194" t="str">
            <v>-</v>
          </cell>
          <cell r="K194" t="str">
            <v>-</v>
          </cell>
          <cell r="L194" t="str">
            <v>-</v>
          </cell>
          <cell r="M194" t="str">
            <v>-</v>
          </cell>
          <cell r="N194" t="str">
            <v>INHIL</v>
          </cell>
        </row>
        <row r="195">
          <cell r="F195">
            <v>20</v>
          </cell>
          <cell r="J195" t="str">
            <v>-</v>
          </cell>
          <cell r="K195" t="str">
            <v>INHIL</v>
          </cell>
          <cell r="L195" t="str">
            <v>-</v>
          </cell>
          <cell r="M195" t="str">
            <v>-</v>
          </cell>
          <cell r="N195" t="str">
            <v>INHIL</v>
          </cell>
        </row>
        <row r="196">
          <cell r="F196">
            <v>19</v>
          </cell>
          <cell r="J196" t="str">
            <v>-</v>
          </cell>
          <cell r="K196" t="str">
            <v>-</v>
          </cell>
          <cell r="L196" t="str">
            <v>-</v>
          </cell>
          <cell r="M196" t="str">
            <v>-</v>
          </cell>
          <cell r="N196" t="str">
            <v>INHIL</v>
          </cell>
        </row>
        <row r="197">
          <cell r="F197">
            <v>39</v>
          </cell>
          <cell r="J197" t="str">
            <v>-</v>
          </cell>
          <cell r="K197" t="str">
            <v>-</v>
          </cell>
          <cell r="L197" t="str">
            <v>-</v>
          </cell>
          <cell r="M197" t="str">
            <v>-</v>
          </cell>
          <cell r="N197" t="str">
            <v>No</v>
          </cell>
        </row>
        <row r="198">
          <cell r="F198">
            <v>26</v>
          </cell>
          <cell r="J198" t="str">
            <v>-</v>
          </cell>
          <cell r="K198" t="str">
            <v>INHIL</v>
          </cell>
          <cell r="L198" t="str">
            <v>-</v>
          </cell>
          <cell r="M198" t="str">
            <v>-</v>
          </cell>
          <cell r="N198" t="str">
            <v>INHIL</v>
          </cell>
        </row>
        <row r="199">
          <cell r="F199">
            <v>33</v>
          </cell>
          <cell r="J199" t="str">
            <v>-</v>
          </cell>
          <cell r="K199" t="str">
            <v>-</v>
          </cell>
          <cell r="L199" t="str">
            <v>-</v>
          </cell>
          <cell r="M199" t="str">
            <v>-</v>
          </cell>
          <cell r="N199" t="str">
            <v>INHIL</v>
          </cell>
        </row>
        <row r="200">
          <cell r="F200">
            <v>19</v>
          </cell>
          <cell r="J200" t="str">
            <v>-</v>
          </cell>
          <cell r="K200" t="str">
            <v>-</v>
          </cell>
          <cell r="L200" t="str">
            <v>-</v>
          </cell>
          <cell r="M200" t="str">
            <v>-</v>
          </cell>
          <cell r="N200" t="str">
            <v>No</v>
          </cell>
        </row>
        <row r="201">
          <cell r="F201">
            <v>30</v>
          </cell>
          <cell r="J201" t="str">
            <v>-</v>
          </cell>
          <cell r="K201" t="str">
            <v>-</v>
          </cell>
          <cell r="L201" t="str">
            <v>-</v>
          </cell>
          <cell r="M201" t="str">
            <v>-</v>
          </cell>
          <cell r="N201" t="str">
            <v>INHIL</v>
          </cell>
        </row>
        <row r="202">
          <cell r="F202">
            <v>21</v>
          </cell>
          <cell r="J202" t="str">
            <v>-</v>
          </cell>
          <cell r="K202" t="str">
            <v>-</v>
          </cell>
          <cell r="L202" t="str">
            <v>-</v>
          </cell>
          <cell r="M202" t="str">
            <v>-</v>
          </cell>
          <cell r="N202" t="str">
            <v>No</v>
          </cell>
        </row>
        <row r="203">
          <cell r="F203">
            <v>30</v>
          </cell>
          <cell r="J203" t="str">
            <v>-</v>
          </cell>
          <cell r="K203" t="str">
            <v>-</v>
          </cell>
          <cell r="L203" t="str">
            <v>-</v>
          </cell>
          <cell r="M203" t="str">
            <v>-</v>
          </cell>
          <cell r="N203" t="str">
            <v>INHIL</v>
          </cell>
        </row>
        <row r="204">
          <cell r="F204">
            <v>27</v>
          </cell>
          <cell r="J204" t="str">
            <v>-</v>
          </cell>
          <cell r="K204" t="str">
            <v>INHIL</v>
          </cell>
          <cell r="L204" t="str">
            <v>-</v>
          </cell>
          <cell r="M204" t="str">
            <v>-</v>
          </cell>
          <cell r="N204" t="str">
            <v>INHIL</v>
          </cell>
        </row>
        <row r="205">
          <cell r="F205">
            <v>29</v>
          </cell>
          <cell r="J205" t="str">
            <v>-</v>
          </cell>
          <cell r="K205" t="str">
            <v>-</v>
          </cell>
          <cell r="L205" t="str">
            <v>-</v>
          </cell>
          <cell r="M205" t="str">
            <v>-</v>
          </cell>
          <cell r="N205" t="str">
            <v>INHIL</v>
          </cell>
        </row>
        <row r="206">
          <cell r="F206">
            <v>19</v>
          </cell>
          <cell r="J206" t="str">
            <v>-</v>
          </cell>
          <cell r="K206" t="str">
            <v>-</v>
          </cell>
          <cell r="L206" t="str">
            <v>-</v>
          </cell>
          <cell r="M206" t="str">
            <v>-</v>
          </cell>
          <cell r="N206" t="str">
            <v>No</v>
          </cell>
        </row>
        <row r="207">
          <cell r="F207">
            <v>32</v>
          </cell>
          <cell r="J207" t="str">
            <v>INHIL</v>
          </cell>
          <cell r="K207" t="str">
            <v>-</v>
          </cell>
          <cell r="L207" t="str">
            <v>-</v>
          </cell>
          <cell r="M207" t="str">
            <v>-</v>
          </cell>
          <cell r="N207" t="str">
            <v>INHIL</v>
          </cell>
        </row>
        <row r="208">
          <cell r="F208">
            <v>27</v>
          </cell>
          <cell r="J208" t="str">
            <v>-</v>
          </cell>
          <cell r="K208" t="str">
            <v>-</v>
          </cell>
          <cell r="L208" t="str">
            <v>-</v>
          </cell>
          <cell r="M208" t="str">
            <v>-</v>
          </cell>
          <cell r="N208" t="str">
            <v>INHIL</v>
          </cell>
        </row>
        <row r="209">
          <cell r="F209">
            <v>20</v>
          </cell>
          <cell r="J209" t="str">
            <v>-</v>
          </cell>
          <cell r="K209" t="str">
            <v>-</v>
          </cell>
          <cell r="L209" t="str">
            <v>-</v>
          </cell>
          <cell r="M209" t="str">
            <v>-</v>
          </cell>
          <cell r="N209" t="str">
            <v>INHIL</v>
          </cell>
        </row>
        <row r="210">
          <cell r="F210">
            <v>34</v>
          </cell>
          <cell r="J210" t="str">
            <v>-</v>
          </cell>
          <cell r="K210" t="str">
            <v>-</v>
          </cell>
          <cell r="L210" t="str">
            <v>-</v>
          </cell>
          <cell r="M210" t="str">
            <v>-</v>
          </cell>
          <cell r="N210" t="str">
            <v>INHIL</v>
          </cell>
        </row>
        <row r="211">
          <cell r="F211">
            <v>32</v>
          </cell>
          <cell r="J211" t="str">
            <v>-</v>
          </cell>
          <cell r="K211" t="str">
            <v>-</v>
          </cell>
          <cell r="L211" t="str">
            <v>-</v>
          </cell>
          <cell r="M211" t="str">
            <v>-</v>
          </cell>
          <cell r="N211" t="str">
            <v>INHIL</v>
          </cell>
        </row>
        <row r="212">
          <cell r="F212">
            <v>20</v>
          </cell>
          <cell r="J212" t="str">
            <v>-</v>
          </cell>
          <cell r="K212" t="str">
            <v>-</v>
          </cell>
          <cell r="L212" t="str">
            <v>-</v>
          </cell>
          <cell r="M212" t="str">
            <v>-</v>
          </cell>
          <cell r="N212" t="str">
            <v>No</v>
          </cell>
        </row>
        <row r="213">
          <cell r="F213">
            <v>29</v>
          </cell>
          <cell r="J213" t="str">
            <v>-</v>
          </cell>
          <cell r="K213" t="str">
            <v>-</v>
          </cell>
          <cell r="L213" t="str">
            <v>-</v>
          </cell>
          <cell r="M213" t="str">
            <v>-</v>
          </cell>
          <cell r="N213" t="str">
            <v>No</v>
          </cell>
        </row>
        <row r="214">
          <cell r="F214">
            <v>25</v>
          </cell>
          <cell r="J214" t="str">
            <v>-</v>
          </cell>
          <cell r="K214" t="str">
            <v>-</v>
          </cell>
          <cell r="L214" t="str">
            <v>-</v>
          </cell>
          <cell r="M214" t="str">
            <v>-</v>
          </cell>
          <cell r="N214" t="str">
            <v>No</v>
          </cell>
        </row>
        <row r="215">
          <cell r="F215">
            <v>31</v>
          </cell>
          <cell r="J215" t="str">
            <v>-</v>
          </cell>
          <cell r="K215" t="str">
            <v>-</v>
          </cell>
          <cell r="L215" t="str">
            <v>-</v>
          </cell>
          <cell r="M215" t="str">
            <v>-</v>
          </cell>
          <cell r="N215" t="str">
            <v>INHIL</v>
          </cell>
        </row>
        <row r="216">
          <cell r="F216">
            <v>21</v>
          </cell>
          <cell r="J216" t="str">
            <v>-</v>
          </cell>
          <cell r="K216" t="str">
            <v>-</v>
          </cell>
          <cell r="L216" t="str">
            <v>-</v>
          </cell>
          <cell r="M216" t="str">
            <v>-</v>
          </cell>
          <cell r="N216" t="str">
            <v>INHIL</v>
          </cell>
        </row>
        <row r="217">
          <cell r="F217">
            <v>30</v>
          </cell>
          <cell r="J217" t="str">
            <v>-</v>
          </cell>
          <cell r="K217" t="str">
            <v>-</v>
          </cell>
          <cell r="L217" t="str">
            <v>-</v>
          </cell>
          <cell r="M217" t="str">
            <v>-</v>
          </cell>
          <cell r="N217" t="str">
            <v>INHIL</v>
          </cell>
        </row>
        <row r="218">
          <cell r="F218">
            <v>19</v>
          </cell>
          <cell r="J218" t="str">
            <v>INHIL</v>
          </cell>
          <cell r="K218" t="str">
            <v>-</v>
          </cell>
          <cell r="L218" t="str">
            <v>-</v>
          </cell>
          <cell r="M218" t="str">
            <v>-</v>
          </cell>
          <cell r="N218" t="str">
            <v>INHIL</v>
          </cell>
        </row>
        <row r="219">
          <cell r="F219">
            <v>44</v>
          </cell>
          <cell r="J219" t="str">
            <v>-</v>
          </cell>
          <cell r="K219" t="str">
            <v>-</v>
          </cell>
          <cell r="L219" t="str">
            <v>-</v>
          </cell>
          <cell r="M219" t="str">
            <v>-</v>
          </cell>
          <cell r="N219" t="str">
            <v>INHIL</v>
          </cell>
        </row>
        <row r="220">
          <cell r="F220">
            <v>27</v>
          </cell>
          <cell r="J220" t="str">
            <v>-</v>
          </cell>
          <cell r="K220" t="str">
            <v>-</v>
          </cell>
          <cell r="L220" t="str">
            <v>-</v>
          </cell>
          <cell r="M220" t="str">
            <v>-</v>
          </cell>
          <cell r="N220" t="str">
            <v>INHIL</v>
          </cell>
        </row>
        <row r="221">
          <cell r="F221">
            <v>25</v>
          </cell>
          <cell r="J221" t="str">
            <v>-</v>
          </cell>
          <cell r="K221" t="str">
            <v>-</v>
          </cell>
          <cell r="L221" t="str">
            <v>-</v>
          </cell>
          <cell r="M221" t="str">
            <v>-</v>
          </cell>
          <cell r="N221" t="str">
            <v>INHIL</v>
          </cell>
        </row>
        <row r="222">
          <cell r="F222">
            <v>31</v>
          </cell>
          <cell r="J222" t="str">
            <v>-</v>
          </cell>
          <cell r="K222" t="str">
            <v>-</v>
          </cell>
          <cell r="L222" t="str">
            <v>-</v>
          </cell>
          <cell r="M222" t="str">
            <v>-</v>
          </cell>
          <cell r="N222" t="str">
            <v>No</v>
          </cell>
        </row>
        <row r="223">
          <cell r="F223">
            <v>25</v>
          </cell>
          <cell r="J223" t="str">
            <v>-</v>
          </cell>
          <cell r="K223" t="str">
            <v>-</v>
          </cell>
          <cell r="L223" t="str">
            <v>-</v>
          </cell>
          <cell r="M223" t="str">
            <v>-</v>
          </cell>
          <cell r="N223" t="str">
            <v>INHIL</v>
          </cell>
        </row>
        <row r="224">
          <cell r="F224">
            <v>30</v>
          </cell>
          <cell r="J224" t="str">
            <v>-</v>
          </cell>
          <cell r="K224" t="str">
            <v>-</v>
          </cell>
          <cell r="L224" t="str">
            <v>-</v>
          </cell>
          <cell r="M224" t="str">
            <v>-</v>
          </cell>
          <cell r="N224" t="str">
            <v>No</v>
          </cell>
        </row>
        <row r="225">
          <cell r="F225">
            <v>32</v>
          </cell>
          <cell r="J225" t="str">
            <v>-</v>
          </cell>
          <cell r="K225" t="str">
            <v>-</v>
          </cell>
          <cell r="L225" t="str">
            <v>-</v>
          </cell>
          <cell r="M225" t="str">
            <v>-</v>
          </cell>
          <cell r="N225" t="str">
            <v>INHIL</v>
          </cell>
        </row>
        <row r="226">
          <cell r="F226">
            <v>19</v>
          </cell>
          <cell r="J226" t="str">
            <v>-</v>
          </cell>
          <cell r="K226" t="str">
            <v>-</v>
          </cell>
          <cell r="L226" t="str">
            <v>-</v>
          </cell>
          <cell r="M226" t="str">
            <v>-</v>
          </cell>
          <cell r="N226" t="str">
            <v>No</v>
          </cell>
        </row>
        <row r="227">
          <cell r="F227">
            <v>25</v>
          </cell>
          <cell r="J227" t="str">
            <v>-</v>
          </cell>
          <cell r="K227" t="str">
            <v>-</v>
          </cell>
          <cell r="L227" t="str">
            <v>-</v>
          </cell>
          <cell r="M227" t="str">
            <v>-</v>
          </cell>
          <cell r="N227" t="str">
            <v>INHIL</v>
          </cell>
        </row>
        <row r="228">
          <cell r="F228">
            <v>23</v>
          </cell>
          <cell r="J228" t="str">
            <v>-</v>
          </cell>
          <cell r="K228" t="str">
            <v>-</v>
          </cell>
          <cell r="L228" t="str">
            <v>-</v>
          </cell>
          <cell r="M228" t="str">
            <v>-</v>
          </cell>
          <cell r="N228" t="str">
            <v>INHIL</v>
          </cell>
        </row>
        <row r="229">
          <cell r="F229">
            <v>18</v>
          </cell>
          <cell r="J229" t="str">
            <v>-</v>
          </cell>
          <cell r="K229" t="str">
            <v>-</v>
          </cell>
          <cell r="L229" t="str">
            <v>-</v>
          </cell>
          <cell r="M229" t="str">
            <v>-</v>
          </cell>
          <cell r="N229" t="str">
            <v>No</v>
          </cell>
        </row>
        <row r="230">
          <cell r="F230">
            <v>35</v>
          </cell>
          <cell r="J230" t="str">
            <v>-</v>
          </cell>
          <cell r="K230" t="str">
            <v>-</v>
          </cell>
          <cell r="L230" t="str">
            <v>-</v>
          </cell>
          <cell r="M230" t="str">
            <v>-</v>
          </cell>
          <cell r="N230" t="str">
            <v>INHIL</v>
          </cell>
        </row>
        <row r="231">
          <cell r="F231">
            <v>22</v>
          </cell>
          <cell r="J231" t="str">
            <v>-</v>
          </cell>
          <cell r="K231" t="str">
            <v>-</v>
          </cell>
          <cell r="L231" t="str">
            <v>-</v>
          </cell>
          <cell r="M231" t="str">
            <v>-</v>
          </cell>
          <cell r="N231" t="str">
            <v>No</v>
          </cell>
        </row>
        <row r="232">
          <cell r="F232">
            <v>32</v>
          </cell>
          <cell r="J232" t="str">
            <v>-</v>
          </cell>
          <cell r="K232" t="str">
            <v>INHIL</v>
          </cell>
          <cell r="L232" t="str">
            <v>-</v>
          </cell>
          <cell r="M232" t="str">
            <v>-</v>
          </cell>
          <cell r="N232" t="str">
            <v>INHIL</v>
          </cell>
        </row>
        <row r="233">
          <cell r="F233">
            <v>28</v>
          </cell>
          <cell r="J233" t="str">
            <v>-</v>
          </cell>
          <cell r="K233" t="str">
            <v>-</v>
          </cell>
          <cell r="L233" t="str">
            <v>-</v>
          </cell>
          <cell r="M233" t="str">
            <v>-</v>
          </cell>
          <cell r="N233" t="str">
            <v>No</v>
          </cell>
        </row>
        <row r="234">
          <cell r="F234">
            <v>26</v>
          </cell>
          <cell r="J234" t="str">
            <v>-</v>
          </cell>
          <cell r="K234" t="str">
            <v>-</v>
          </cell>
          <cell r="L234" t="str">
            <v>-</v>
          </cell>
          <cell r="M234" t="str">
            <v>-</v>
          </cell>
          <cell r="N234" t="str">
            <v>INHIL</v>
          </cell>
        </row>
        <row r="235">
          <cell r="F235">
            <v>27</v>
          </cell>
          <cell r="J235" t="str">
            <v>-</v>
          </cell>
          <cell r="K235" t="str">
            <v>-</v>
          </cell>
          <cell r="L235" t="str">
            <v>-</v>
          </cell>
          <cell r="M235" t="str">
            <v>-</v>
          </cell>
          <cell r="N235" t="str">
            <v>INHIL</v>
          </cell>
        </row>
        <row r="236">
          <cell r="F236">
            <v>25</v>
          </cell>
          <cell r="J236" t="str">
            <v>-</v>
          </cell>
          <cell r="K236" t="str">
            <v>-</v>
          </cell>
          <cell r="L236" t="str">
            <v>-</v>
          </cell>
          <cell r="M236" t="str">
            <v>-</v>
          </cell>
          <cell r="N236" t="str">
            <v>No</v>
          </cell>
        </row>
        <row r="237">
          <cell r="F237">
            <v>20</v>
          </cell>
          <cell r="J237" t="str">
            <v>-</v>
          </cell>
          <cell r="K237" t="str">
            <v>-</v>
          </cell>
          <cell r="L237" t="str">
            <v>-</v>
          </cell>
          <cell r="M237" t="str">
            <v>-</v>
          </cell>
          <cell r="N237" t="str">
            <v>INHIL</v>
          </cell>
        </row>
        <row r="238">
          <cell r="F238">
            <v>25</v>
          </cell>
          <cell r="J238" t="str">
            <v>-</v>
          </cell>
          <cell r="K238" t="str">
            <v>-</v>
          </cell>
          <cell r="L238" t="str">
            <v>-</v>
          </cell>
          <cell r="M238" t="str">
            <v>-</v>
          </cell>
          <cell r="N238" t="str">
            <v>INHIL</v>
          </cell>
        </row>
        <row r="239">
          <cell r="F239">
            <v>23</v>
          </cell>
          <cell r="J239" t="str">
            <v>-</v>
          </cell>
          <cell r="K239" t="str">
            <v>-</v>
          </cell>
          <cell r="L239" t="str">
            <v>-</v>
          </cell>
          <cell r="M239" t="str">
            <v>-</v>
          </cell>
          <cell r="N239" t="str">
            <v>No</v>
          </cell>
        </row>
        <row r="240">
          <cell r="F240">
            <v>32</v>
          </cell>
          <cell r="J240" t="str">
            <v>-</v>
          </cell>
          <cell r="K240" t="str">
            <v>-</v>
          </cell>
          <cell r="L240" t="str">
            <v>-</v>
          </cell>
          <cell r="M240" t="str">
            <v>-</v>
          </cell>
          <cell r="N240" t="str">
            <v>INHIL</v>
          </cell>
        </row>
        <row r="241">
          <cell r="F241">
            <v>21</v>
          </cell>
          <cell r="J241" t="str">
            <v>-</v>
          </cell>
          <cell r="K241" t="str">
            <v>-</v>
          </cell>
          <cell r="L241" t="str">
            <v>-</v>
          </cell>
          <cell r="M241" t="str">
            <v>-</v>
          </cell>
          <cell r="N241" t="str">
            <v>No</v>
          </cell>
        </row>
        <row r="242">
          <cell r="F242">
            <v>24</v>
          </cell>
          <cell r="J242" t="str">
            <v>-</v>
          </cell>
          <cell r="K242" t="str">
            <v>-</v>
          </cell>
          <cell r="L242" t="str">
            <v>-</v>
          </cell>
          <cell r="M242" t="str">
            <v>-</v>
          </cell>
          <cell r="N242" t="str">
            <v>INHIL</v>
          </cell>
        </row>
        <row r="243">
          <cell r="F243">
            <v>29</v>
          </cell>
          <cell r="J243" t="str">
            <v>-</v>
          </cell>
          <cell r="K243" t="str">
            <v>-</v>
          </cell>
          <cell r="L243" t="str">
            <v>-</v>
          </cell>
          <cell r="M243" t="str">
            <v>-</v>
          </cell>
          <cell r="N243" t="str">
            <v>INHIL</v>
          </cell>
        </row>
        <row r="244">
          <cell r="F244">
            <v>23</v>
          </cell>
          <cell r="J244" t="str">
            <v>-</v>
          </cell>
          <cell r="K244" t="str">
            <v>-</v>
          </cell>
          <cell r="L244" t="str">
            <v>-</v>
          </cell>
          <cell r="M244" t="str">
            <v>-</v>
          </cell>
          <cell r="N244" t="str">
            <v>No</v>
          </cell>
        </row>
        <row r="245">
          <cell r="F245">
            <v>28</v>
          </cell>
          <cell r="J245" t="str">
            <v>-</v>
          </cell>
          <cell r="K245" t="str">
            <v>-</v>
          </cell>
          <cell r="L245" t="str">
            <v>-</v>
          </cell>
          <cell r="M245" t="str">
            <v>-</v>
          </cell>
          <cell r="N245" t="str">
            <v>No</v>
          </cell>
        </row>
        <row r="246">
          <cell r="F246">
            <v>19</v>
          </cell>
          <cell r="J246" t="str">
            <v>-</v>
          </cell>
          <cell r="K246" t="str">
            <v>-</v>
          </cell>
          <cell r="L246" t="str">
            <v>-</v>
          </cell>
          <cell r="M246" t="str">
            <v>-</v>
          </cell>
          <cell r="N246" t="str">
            <v>No</v>
          </cell>
        </row>
        <row r="247">
          <cell r="F247">
            <v>33</v>
          </cell>
          <cell r="J247" t="str">
            <v>-</v>
          </cell>
          <cell r="K247" t="str">
            <v>-</v>
          </cell>
          <cell r="L247" t="str">
            <v>-</v>
          </cell>
          <cell r="M247" t="str">
            <v>-</v>
          </cell>
          <cell r="N247" t="str">
            <v>No</v>
          </cell>
        </row>
        <row r="248">
          <cell r="F248">
            <v>21</v>
          </cell>
          <cell r="J248" t="str">
            <v>-</v>
          </cell>
          <cell r="K248" t="str">
            <v>-</v>
          </cell>
          <cell r="L248" t="str">
            <v>-</v>
          </cell>
          <cell r="M248" t="str">
            <v>-</v>
          </cell>
          <cell r="N248" t="str">
            <v>No</v>
          </cell>
        </row>
        <row r="249">
          <cell r="F249">
            <v>24</v>
          </cell>
          <cell r="J249" t="str">
            <v>INHIL</v>
          </cell>
          <cell r="K249" t="str">
            <v>-</v>
          </cell>
          <cell r="L249" t="str">
            <v>-</v>
          </cell>
          <cell r="M249" t="str">
            <v>-</v>
          </cell>
          <cell r="N249" t="str">
            <v>INHIL</v>
          </cell>
        </row>
        <row r="250">
          <cell r="F250">
            <v>20</v>
          </cell>
          <cell r="J250" t="str">
            <v>-</v>
          </cell>
          <cell r="K250" t="str">
            <v>-</v>
          </cell>
          <cell r="L250" t="str">
            <v>-</v>
          </cell>
          <cell r="M250" t="str">
            <v>-</v>
          </cell>
          <cell r="N250" t="str">
            <v>No</v>
          </cell>
        </row>
        <row r="251">
          <cell r="F251">
            <v>24</v>
          </cell>
          <cell r="J251" t="str">
            <v>-</v>
          </cell>
          <cell r="K251" t="str">
            <v>-</v>
          </cell>
          <cell r="L251" t="str">
            <v>-</v>
          </cell>
          <cell r="M251" t="str">
            <v>-</v>
          </cell>
          <cell r="N251" t="str">
            <v>No</v>
          </cell>
        </row>
        <row r="252">
          <cell r="F252">
            <v>22</v>
          </cell>
          <cell r="J252" t="str">
            <v>-</v>
          </cell>
          <cell r="K252" t="str">
            <v>-</v>
          </cell>
          <cell r="L252" t="str">
            <v>-</v>
          </cell>
          <cell r="M252" t="str">
            <v>-</v>
          </cell>
          <cell r="N252" t="str">
            <v>No</v>
          </cell>
        </row>
        <row r="253">
          <cell r="F253">
            <v>26</v>
          </cell>
          <cell r="J253" t="str">
            <v>-</v>
          </cell>
          <cell r="K253" t="str">
            <v>-</v>
          </cell>
          <cell r="L253" t="str">
            <v>-</v>
          </cell>
          <cell r="M253" t="str">
            <v>-</v>
          </cell>
          <cell r="N253" t="str">
            <v>No</v>
          </cell>
        </row>
        <row r="254">
          <cell r="F254">
            <v>21</v>
          </cell>
          <cell r="J254" t="str">
            <v>-</v>
          </cell>
          <cell r="K254" t="str">
            <v>-</v>
          </cell>
          <cell r="L254" t="str">
            <v>-</v>
          </cell>
          <cell r="M254" t="str">
            <v>-</v>
          </cell>
          <cell r="N254" t="str">
            <v>No</v>
          </cell>
        </row>
        <row r="255">
          <cell r="F255">
            <v>19</v>
          </cell>
          <cell r="J255" t="str">
            <v>-</v>
          </cell>
          <cell r="K255" t="str">
            <v>-</v>
          </cell>
          <cell r="L255" t="str">
            <v>-</v>
          </cell>
          <cell r="M255" t="str">
            <v>-</v>
          </cell>
          <cell r="N255" t="str">
            <v>No</v>
          </cell>
        </row>
        <row r="256">
          <cell r="F256">
            <v>27</v>
          </cell>
          <cell r="J256" t="str">
            <v>-</v>
          </cell>
          <cell r="K256" t="str">
            <v>-</v>
          </cell>
          <cell r="L256" t="str">
            <v>-</v>
          </cell>
          <cell r="M256" t="str">
            <v>-</v>
          </cell>
          <cell r="N256" t="str">
            <v>INHIL</v>
          </cell>
        </row>
        <row r="257">
          <cell r="F257">
            <v>19</v>
          </cell>
          <cell r="J257" t="str">
            <v>-</v>
          </cell>
          <cell r="K257" t="str">
            <v>-</v>
          </cell>
          <cell r="L257" t="str">
            <v>-</v>
          </cell>
          <cell r="M257" t="str">
            <v>-</v>
          </cell>
          <cell r="N257" t="str">
            <v>No</v>
          </cell>
        </row>
        <row r="258">
          <cell r="F258">
            <v>20</v>
          </cell>
          <cell r="J258" t="str">
            <v>-</v>
          </cell>
          <cell r="K258" t="str">
            <v>-</v>
          </cell>
          <cell r="L258" t="str">
            <v>-</v>
          </cell>
          <cell r="M258" t="str">
            <v>-</v>
          </cell>
          <cell r="N258" t="str">
            <v>No</v>
          </cell>
        </row>
        <row r="259">
          <cell r="F259">
            <v>31</v>
          </cell>
          <cell r="J259" t="str">
            <v>-</v>
          </cell>
          <cell r="K259" t="str">
            <v>-</v>
          </cell>
          <cell r="L259" t="str">
            <v>-</v>
          </cell>
          <cell r="M259" t="str">
            <v>-</v>
          </cell>
          <cell r="N259" t="str">
            <v>INHIL</v>
          </cell>
        </row>
        <row r="260">
          <cell r="F260">
            <v>22</v>
          </cell>
          <cell r="J260" t="str">
            <v>-</v>
          </cell>
          <cell r="K260" t="str">
            <v>-</v>
          </cell>
          <cell r="L260" t="str">
            <v>-</v>
          </cell>
          <cell r="M260" t="str">
            <v>-</v>
          </cell>
          <cell r="N260" t="str">
            <v>INHIL</v>
          </cell>
        </row>
        <row r="261">
          <cell r="F261">
            <v>23</v>
          </cell>
          <cell r="J261" t="str">
            <v>-</v>
          </cell>
          <cell r="K261" t="str">
            <v>-</v>
          </cell>
          <cell r="L261" t="str">
            <v>-</v>
          </cell>
          <cell r="M261" t="str">
            <v>-</v>
          </cell>
          <cell r="N261" t="str">
            <v>No</v>
          </cell>
        </row>
        <row r="262">
          <cell r="F262">
            <v>26</v>
          </cell>
          <cell r="J262" t="str">
            <v>-</v>
          </cell>
          <cell r="K262" t="str">
            <v>-</v>
          </cell>
          <cell r="L262" t="str">
            <v>-</v>
          </cell>
          <cell r="M262" t="str">
            <v>-</v>
          </cell>
          <cell r="N262" t="str">
            <v>No</v>
          </cell>
        </row>
        <row r="263">
          <cell r="F263">
            <v>44</v>
          </cell>
          <cell r="J263" t="str">
            <v>-</v>
          </cell>
          <cell r="K263" t="str">
            <v>-</v>
          </cell>
          <cell r="L263" t="str">
            <v>-</v>
          </cell>
          <cell r="M263" t="str">
            <v>-</v>
          </cell>
          <cell r="N263" t="str">
            <v>INHIL</v>
          </cell>
        </row>
        <row r="264">
          <cell r="F264">
            <v>30</v>
          </cell>
          <cell r="J264" t="str">
            <v>INHIL</v>
          </cell>
          <cell r="K264" t="str">
            <v>-</v>
          </cell>
          <cell r="L264" t="str">
            <v>-</v>
          </cell>
          <cell r="M264" t="str">
            <v>-</v>
          </cell>
          <cell r="N264" t="str">
            <v>INHIL</v>
          </cell>
        </row>
        <row r="265">
          <cell r="F265">
            <v>30</v>
          </cell>
          <cell r="J265" t="str">
            <v>-</v>
          </cell>
          <cell r="K265" t="str">
            <v>-</v>
          </cell>
          <cell r="L265" t="str">
            <v>-</v>
          </cell>
          <cell r="M265" t="str">
            <v>-</v>
          </cell>
          <cell r="N265" t="str">
            <v>INHIL</v>
          </cell>
        </row>
        <row r="266">
          <cell r="F266">
            <v>19</v>
          </cell>
          <cell r="J266" t="str">
            <v>INHIL</v>
          </cell>
          <cell r="K266" t="str">
            <v>-</v>
          </cell>
          <cell r="L266" t="str">
            <v>-</v>
          </cell>
          <cell r="M266" t="str">
            <v>-</v>
          </cell>
          <cell r="N266" t="str">
            <v>INHIL</v>
          </cell>
        </row>
        <row r="267">
          <cell r="F267">
            <v>22</v>
          </cell>
          <cell r="J267" t="str">
            <v>-</v>
          </cell>
          <cell r="K267" t="str">
            <v>-</v>
          </cell>
          <cell r="L267" t="str">
            <v>-</v>
          </cell>
          <cell r="M267" t="str">
            <v>-</v>
          </cell>
          <cell r="N267" t="str">
            <v>No</v>
          </cell>
        </row>
        <row r="268">
          <cell r="F268">
            <v>25</v>
          </cell>
          <cell r="J268" t="str">
            <v>-</v>
          </cell>
          <cell r="K268" t="str">
            <v>-</v>
          </cell>
          <cell r="L268" t="str">
            <v>-</v>
          </cell>
          <cell r="M268" t="str">
            <v>-</v>
          </cell>
          <cell r="N268" t="str">
            <v>No</v>
          </cell>
        </row>
        <row r="269">
          <cell r="F269">
            <v>20</v>
          </cell>
          <cell r="J269" t="str">
            <v>-</v>
          </cell>
          <cell r="K269" t="str">
            <v>-</v>
          </cell>
          <cell r="L269" t="str">
            <v>-</v>
          </cell>
          <cell r="M269" t="str">
            <v>-</v>
          </cell>
          <cell r="N269" t="str">
            <v>INHIL</v>
          </cell>
        </row>
        <row r="270">
          <cell r="F270">
            <v>20</v>
          </cell>
          <cell r="J270" t="str">
            <v>-</v>
          </cell>
          <cell r="K270" t="str">
            <v>-</v>
          </cell>
          <cell r="L270" t="str">
            <v>-</v>
          </cell>
          <cell r="M270" t="str">
            <v>-</v>
          </cell>
          <cell r="N270" t="str">
            <v>No</v>
          </cell>
        </row>
        <row r="271">
          <cell r="F271">
            <v>97</v>
          </cell>
          <cell r="J271" t="str">
            <v>-</v>
          </cell>
          <cell r="K271" t="str">
            <v>-</v>
          </cell>
          <cell r="L271" t="str">
            <v>-</v>
          </cell>
          <cell r="M271" t="str">
            <v>-</v>
          </cell>
          <cell r="N271" t="str">
            <v>INHIL</v>
          </cell>
        </row>
        <row r="272">
          <cell r="F272">
            <v>21</v>
          </cell>
          <cell r="J272" t="str">
            <v>-</v>
          </cell>
          <cell r="K272" t="str">
            <v>-</v>
          </cell>
          <cell r="L272" t="str">
            <v>-</v>
          </cell>
          <cell r="M272" t="str">
            <v>-</v>
          </cell>
          <cell r="N272" t="str">
            <v>INHIL</v>
          </cell>
        </row>
        <row r="273">
          <cell r="F273">
            <v>33</v>
          </cell>
          <cell r="J273" t="str">
            <v>-</v>
          </cell>
          <cell r="K273" t="str">
            <v>INHIL</v>
          </cell>
          <cell r="L273" t="str">
            <v>-</v>
          </cell>
          <cell r="M273" t="str">
            <v>-</v>
          </cell>
          <cell r="N273" t="str">
            <v>INHIL</v>
          </cell>
        </row>
        <row r="274">
          <cell r="F274">
            <v>19</v>
          </cell>
          <cell r="J274" t="str">
            <v>-</v>
          </cell>
          <cell r="K274" t="str">
            <v>-</v>
          </cell>
          <cell r="L274" t="str">
            <v>-</v>
          </cell>
          <cell r="M274" t="str">
            <v>-</v>
          </cell>
          <cell r="N274" t="str">
            <v>INHIL</v>
          </cell>
        </row>
        <row r="275">
          <cell r="F275">
            <v>31</v>
          </cell>
          <cell r="J275" t="str">
            <v>-</v>
          </cell>
          <cell r="K275" t="str">
            <v>-</v>
          </cell>
          <cell r="L275" t="str">
            <v>-</v>
          </cell>
          <cell r="M275" t="str">
            <v>-</v>
          </cell>
          <cell r="N275" t="str">
            <v>INHIL</v>
          </cell>
        </row>
        <row r="276">
          <cell r="F276">
            <v>21</v>
          </cell>
          <cell r="J276" t="str">
            <v>INHIL</v>
          </cell>
          <cell r="K276" t="str">
            <v>-</v>
          </cell>
          <cell r="L276" t="str">
            <v>-</v>
          </cell>
          <cell r="M276" t="str">
            <v>-</v>
          </cell>
          <cell r="N276" t="str">
            <v>INHIL</v>
          </cell>
        </row>
        <row r="277">
          <cell r="F277">
            <v>38</v>
          </cell>
          <cell r="J277" t="str">
            <v>-</v>
          </cell>
          <cell r="K277" t="str">
            <v>-</v>
          </cell>
          <cell r="L277" t="str">
            <v>-</v>
          </cell>
          <cell r="M277" t="str">
            <v>-</v>
          </cell>
          <cell r="N277" t="str">
            <v>INHIL</v>
          </cell>
        </row>
        <row r="278">
          <cell r="F278">
            <v>22</v>
          </cell>
          <cell r="J278" t="str">
            <v>INHIL</v>
          </cell>
          <cell r="K278" t="str">
            <v>-</v>
          </cell>
          <cell r="L278" t="str">
            <v>-</v>
          </cell>
          <cell r="M278" t="str">
            <v>-</v>
          </cell>
          <cell r="N278" t="str">
            <v>INHIL</v>
          </cell>
        </row>
        <row r="279">
          <cell r="F279">
            <v>21</v>
          </cell>
          <cell r="J279" t="str">
            <v>-</v>
          </cell>
          <cell r="K279" t="str">
            <v>-</v>
          </cell>
          <cell r="L279" t="str">
            <v>-</v>
          </cell>
          <cell r="M279" t="str">
            <v>-</v>
          </cell>
          <cell r="N279" t="str">
            <v>No</v>
          </cell>
        </row>
        <row r="280">
          <cell r="F280">
            <v>23</v>
          </cell>
          <cell r="J280" t="str">
            <v>-</v>
          </cell>
          <cell r="K280" t="str">
            <v>-</v>
          </cell>
          <cell r="L280" t="str">
            <v>-</v>
          </cell>
          <cell r="M280" t="str">
            <v>-</v>
          </cell>
          <cell r="N280" t="str">
            <v>No</v>
          </cell>
        </row>
        <row r="281">
          <cell r="F281">
            <v>20</v>
          </cell>
          <cell r="J281" t="str">
            <v>-</v>
          </cell>
          <cell r="K281" t="str">
            <v>-</v>
          </cell>
          <cell r="L281" t="str">
            <v>-</v>
          </cell>
          <cell r="M281" t="str">
            <v>-</v>
          </cell>
          <cell r="N281" t="str">
            <v>INHIL</v>
          </cell>
        </row>
        <row r="282">
          <cell r="F282">
            <v>25</v>
          </cell>
          <cell r="J282" t="str">
            <v>-</v>
          </cell>
          <cell r="K282" t="str">
            <v>-</v>
          </cell>
          <cell r="L282" t="str">
            <v>-</v>
          </cell>
          <cell r="M282" t="str">
            <v>-</v>
          </cell>
          <cell r="N282" t="str">
            <v>INHIL</v>
          </cell>
        </row>
        <row r="283">
          <cell r="F283">
            <v>25</v>
          </cell>
          <cell r="J283" t="str">
            <v>-</v>
          </cell>
          <cell r="K283" t="str">
            <v>-</v>
          </cell>
          <cell r="L283" t="str">
            <v>-</v>
          </cell>
          <cell r="M283" t="str">
            <v>-</v>
          </cell>
          <cell r="N283" t="str">
            <v>INHIL</v>
          </cell>
        </row>
        <row r="284">
          <cell r="F284">
            <v>21</v>
          </cell>
          <cell r="J284" t="str">
            <v>INHIL</v>
          </cell>
          <cell r="K284" t="str">
            <v>-</v>
          </cell>
          <cell r="L284" t="str">
            <v>-</v>
          </cell>
          <cell r="M284" t="str">
            <v>-</v>
          </cell>
          <cell r="N284" t="str">
            <v>INHIL</v>
          </cell>
        </row>
        <row r="285">
          <cell r="F285">
            <v>24</v>
          </cell>
          <cell r="J285" t="str">
            <v>-</v>
          </cell>
          <cell r="K285" t="str">
            <v>-</v>
          </cell>
          <cell r="L285" t="str">
            <v>-</v>
          </cell>
          <cell r="M285" t="str">
            <v>-</v>
          </cell>
          <cell r="N285" t="str">
            <v>INHIL</v>
          </cell>
        </row>
        <row r="286">
          <cell r="F286">
            <v>24</v>
          </cell>
          <cell r="J286" t="str">
            <v>-</v>
          </cell>
          <cell r="K286" t="str">
            <v>-</v>
          </cell>
          <cell r="L286" t="str">
            <v>-</v>
          </cell>
          <cell r="M286" t="str">
            <v>-</v>
          </cell>
          <cell r="N286" t="str">
            <v>No</v>
          </cell>
        </row>
        <row r="287">
          <cell r="F287">
            <v>27</v>
          </cell>
          <cell r="J287" t="str">
            <v>-</v>
          </cell>
          <cell r="K287" t="str">
            <v>-</v>
          </cell>
          <cell r="L287" t="str">
            <v>-</v>
          </cell>
          <cell r="M287" t="str">
            <v>-</v>
          </cell>
          <cell r="N287" t="str">
            <v>No</v>
          </cell>
        </row>
        <row r="289">
          <cell r="F289">
            <v>21</v>
          </cell>
          <cell r="J289" t="str">
            <v>-</v>
          </cell>
          <cell r="K289" t="str">
            <v>-</v>
          </cell>
          <cell r="L289" t="str">
            <v>-</v>
          </cell>
          <cell r="M289" t="str">
            <v>-</v>
          </cell>
          <cell r="N289" t="str">
            <v>No</v>
          </cell>
        </row>
        <row r="290">
          <cell r="F290">
            <v>46</v>
          </cell>
          <cell r="J290" t="str">
            <v>INHIL</v>
          </cell>
          <cell r="K290" t="str">
            <v>-</v>
          </cell>
          <cell r="L290" t="str">
            <v>-</v>
          </cell>
          <cell r="M290" t="str">
            <v>-</v>
          </cell>
          <cell r="N290" t="str">
            <v>INHIL</v>
          </cell>
        </row>
        <row r="291">
          <cell r="F291">
            <v>31</v>
          </cell>
          <cell r="J291" t="str">
            <v>-</v>
          </cell>
          <cell r="K291" t="str">
            <v>-</v>
          </cell>
          <cell r="L291" t="str">
            <v>-</v>
          </cell>
          <cell r="M291" t="str">
            <v>-</v>
          </cell>
          <cell r="N291" t="str">
            <v>INHIL</v>
          </cell>
        </row>
        <row r="292">
          <cell r="F292">
            <v>21</v>
          </cell>
          <cell r="J292" t="str">
            <v>-</v>
          </cell>
          <cell r="K292" t="str">
            <v>-</v>
          </cell>
          <cell r="L292" t="str">
            <v>-</v>
          </cell>
          <cell r="M292" t="str">
            <v>-</v>
          </cell>
          <cell r="N292" t="str">
            <v>INHIL</v>
          </cell>
        </row>
        <row r="293">
          <cell r="F293">
            <v>21</v>
          </cell>
          <cell r="J293" t="str">
            <v>-</v>
          </cell>
          <cell r="K293" t="str">
            <v>-</v>
          </cell>
          <cell r="L293" t="str">
            <v>-</v>
          </cell>
          <cell r="M293" t="str">
            <v>-</v>
          </cell>
          <cell r="N293" t="str">
            <v>INHIL</v>
          </cell>
        </row>
        <row r="294">
          <cell r="F294">
            <v>31</v>
          </cell>
          <cell r="J294" t="str">
            <v>-</v>
          </cell>
          <cell r="K294" t="str">
            <v>-</v>
          </cell>
          <cell r="L294" t="str">
            <v>-</v>
          </cell>
          <cell r="M294" t="str">
            <v>-</v>
          </cell>
          <cell r="N294" t="str">
            <v>INHIL</v>
          </cell>
        </row>
        <row r="295">
          <cell r="F295">
            <v>24</v>
          </cell>
          <cell r="J295" t="str">
            <v>-</v>
          </cell>
          <cell r="K295" t="str">
            <v>INHIL</v>
          </cell>
          <cell r="L295" t="str">
            <v>-</v>
          </cell>
          <cell r="M295" t="str">
            <v>-</v>
          </cell>
          <cell r="N295" t="str">
            <v>INHIL</v>
          </cell>
        </row>
        <row r="296">
          <cell r="F296">
            <v>28</v>
          </cell>
          <cell r="J296" t="str">
            <v>-</v>
          </cell>
          <cell r="K296" t="str">
            <v>-</v>
          </cell>
          <cell r="L296" t="str">
            <v>-</v>
          </cell>
          <cell r="M296" t="str">
            <v>-</v>
          </cell>
          <cell r="N296" t="str">
            <v>INHIL</v>
          </cell>
        </row>
        <row r="297">
          <cell r="F297">
            <v>25</v>
          </cell>
          <cell r="J297" t="str">
            <v>-</v>
          </cell>
          <cell r="K297" t="str">
            <v>-</v>
          </cell>
          <cell r="L297" t="str">
            <v>-</v>
          </cell>
          <cell r="M297" t="str">
            <v>-</v>
          </cell>
          <cell r="N297" t="str">
            <v>INHIL</v>
          </cell>
        </row>
        <row r="298">
          <cell r="F298">
            <v>42</v>
          </cell>
          <cell r="J298" t="str">
            <v>-</v>
          </cell>
          <cell r="K298" t="str">
            <v>-</v>
          </cell>
          <cell r="L298" t="str">
            <v>-</v>
          </cell>
          <cell r="M298" t="str">
            <v>-</v>
          </cell>
          <cell r="N298" t="str">
            <v>INHIL</v>
          </cell>
        </row>
        <row r="299">
          <cell r="F299">
            <v>39</v>
          </cell>
          <cell r="J299" t="str">
            <v>-</v>
          </cell>
          <cell r="K299" t="str">
            <v>-</v>
          </cell>
          <cell r="L299" t="str">
            <v>-</v>
          </cell>
          <cell r="M299" t="str">
            <v>-</v>
          </cell>
          <cell r="N299" t="str">
            <v>INHIL</v>
          </cell>
        </row>
        <row r="300">
          <cell r="F300">
            <v>31</v>
          </cell>
          <cell r="J300" t="str">
            <v>-</v>
          </cell>
          <cell r="K300" t="str">
            <v>-</v>
          </cell>
          <cell r="L300" t="str">
            <v>-</v>
          </cell>
          <cell r="M300" t="str">
            <v>-</v>
          </cell>
          <cell r="N300" t="str">
            <v>INHIL</v>
          </cell>
        </row>
        <row r="301">
          <cell r="F301">
            <v>26</v>
          </cell>
          <cell r="J301" t="str">
            <v>-</v>
          </cell>
          <cell r="K301" t="str">
            <v>-</v>
          </cell>
          <cell r="L301" t="str">
            <v>-</v>
          </cell>
          <cell r="M301" t="str">
            <v>-</v>
          </cell>
          <cell r="N301" t="str">
            <v>INHIL</v>
          </cell>
        </row>
        <row r="302">
          <cell r="F302">
            <v>20</v>
          </cell>
          <cell r="J302" t="str">
            <v>-</v>
          </cell>
          <cell r="K302" t="str">
            <v>-</v>
          </cell>
          <cell r="L302" t="str">
            <v>-</v>
          </cell>
          <cell r="M302" t="str">
            <v>-</v>
          </cell>
          <cell r="N302" t="str">
            <v>INHIL</v>
          </cell>
        </row>
        <row r="303">
          <cell r="F303">
            <v>34</v>
          </cell>
          <cell r="J303" t="str">
            <v>-</v>
          </cell>
          <cell r="K303" t="str">
            <v>-</v>
          </cell>
          <cell r="L303" t="str">
            <v>-</v>
          </cell>
          <cell r="M303" t="str">
            <v>-</v>
          </cell>
          <cell r="N303" t="str">
            <v>No</v>
          </cell>
        </row>
        <row r="304">
          <cell r="F304">
            <v>22</v>
          </cell>
          <cell r="J304" t="str">
            <v>-</v>
          </cell>
          <cell r="K304" t="str">
            <v>-</v>
          </cell>
          <cell r="L304" t="str">
            <v>-</v>
          </cell>
          <cell r="M304" t="str">
            <v>-</v>
          </cell>
          <cell r="N304" t="str">
            <v>INHIL</v>
          </cell>
        </row>
        <row r="305">
          <cell r="F305">
            <v>24</v>
          </cell>
          <cell r="J305" t="str">
            <v>-</v>
          </cell>
          <cell r="K305" t="str">
            <v>-</v>
          </cell>
          <cell r="L305" t="str">
            <v>-</v>
          </cell>
          <cell r="M305" t="str">
            <v>-</v>
          </cell>
          <cell r="N305" t="str">
            <v>INHIL</v>
          </cell>
        </row>
        <row r="306">
          <cell r="F306">
            <v>20</v>
          </cell>
          <cell r="J306" t="str">
            <v>INHIL</v>
          </cell>
          <cell r="K306" t="str">
            <v>-</v>
          </cell>
          <cell r="L306" t="str">
            <v>-</v>
          </cell>
          <cell r="M306" t="str">
            <v>-</v>
          </cell>
          <cell r="N306" t="str">
            <v>INHIL</v>
          </cell>
        </row>
        <row r="307">
          <cell r="F307">
            <v>22</v>
          </cell>
          <cell r="J307" t="str">
            <v>-</v>
          </cell>
          <cell r="K307" t="str">
            <v>-</v>
          </cell>
          <cell r="L307" t="str">
            <v>-</v>
          </cell>
          <cell r="M307" t="str">
            <v>-</v>
          </cell>
          <cell r="N307" t="str">
            <v>INHIL</v>
          </cell>
        </row>
        <row r="308">
          <cell r="F308">
            <v>23</v>
          </cell>
          <cell r="J308" t="str">
            <v>-</v>
          </cell>
          <cell r="K308" t="str">
            <v>-</v>
          </cell>
          <cell r="L308" t="str">
            <v>-</v>
          </cell>
          <cell r="M308" t="str">
            <v>-</v>
          </cell>
          <cell r="N308" t="str">
            <v>INHIL</v>
          </cell>
        </row>
        <row r="309">
          <cell r="F309">
            <v>28</v>
          </cell>
          <cell r="J309" t="str">
            <v>INHIL</v>
          </cell>
          <cell r="K309" t="str">
            <v>-</v>
          </cell>
          <cell r="L309" t="str">
            <v>-</v>
          </cell>
          <cell r="M309" t="str">
            <v>-</v>
          </cell>
          <cell r="N309" t="str">
            <v>INHIL</v>
          </cell>
        </row>
        <row r="310">
          <cell r="F310">
            <v>28</v>
          </cell>
          <cell r="J310" t="str">
            <v>-</v>
          </cell>
          <cell r="K310" t="str">
            <v>-</v>
          </cell>
          <cell r="L310" t="str">
            <v>-</v>
          </cell>
          <cell r="M310" t="str">
            <v>-</v>
          </cell>
          <cell r="N310" t="str">
            <v>INHIL</v>
          </cell>
        </row>
        <row r="311">
          <cell r="F311">
            <v>20</v>
          </cell>
          <cell r="J311" t="str">
            <v>-</v>
          </cell>
          <cell r="K311" t="str">
            <v>-</v>
          </cell>
          <cell r="L311" t="str">
            <v>-</v>
          </cell>
          <cell r="M311" t="str">
            <v>-</v>
          </cell>
          <cell r="N311" t="str">
            <v>No</v>
          </cell>
        </row>
        <row r="312">
          <cell r="F312">
            <v>31</v>
          </cell>
          <cell r="J312" t="str">
            <v>-</v>
          </cell>
          <cell r="K312" t="str">
            <v>-</v>
          </cell>
          <cell r="L312" t="str">
            <v>-</v>
          </cell>
          <cell r="M312" t="str">
            <v>-</v>
          </cell>
          <cell r="N312" t="str">
            <v>INHIL</v>
          </cell>
        </row>
        <row r="313">
          <cell r="F313">
            <v>23</v>
          </cell>
          <cell r="J313" t="str">
            <v>-</v>
          </cell>
          <cell r="K313" t="str">
            <v>-</v>
          </cell>
          <cell r="L313" t="str">
            <v>-</v>
          </cell>
          <cell r="M313" t="str">
            <v>-</v>
          </cell>
          <cell r="N313" t="str">
            <v>INHIL</v>
          </cell>
        </row>
        <row r="314">
          <cell r="F314">
            <v>21</v>
          </cell>
          <cell r="J314" t="str">
            <v>-</v>
          </cell>
          <cell r="K314" t="str">
            <v>-</v>
          </cell>
          <cell r="L314" t="str">
            <v>-</v>
          </cell>
          <cell r="M314" t="str">
            <v>-</v>
          </cell>
          <cell r="N314" t="str">
            <v>INHIL</v>
          </cell>
        </row>
        <row r="315">
          <cell r="F315">
            <v>31</v>
          </cell>
          <cell r="J315" t="str">
            <v>-</v>
          </cell>
          <cell r="K315" t="str">
            <v>-</v>
          </cell>
          <cell r="L315" t="str">
            <v>-</v>
          </cell>
          <cell r="M315" t="str">
            <v>-</v>
          </cell>
          <cell r="N315" t="str">
            <v>INHIL</v>
          </cell>
        </row>
        <row r="316">
          <cell r="F316">
            <v>25</v>
          </cell>
          <cell r="J316" t="str">
            <v>-</v>
          </cell>
          <cell r="K316" t="str">
            <v>-</v>
          </cell>
          <cell r="L316" t="str">
            <v>-</v>
          </cell>
          <cell r="M316" t="str">
            <v>-</v>
          </cell>
          <cell r="N316" t="str">
            <v>INHIL</v>
          </cell>
        </row>
        <row r="317">
          <cell r="F317">
            <v>32</v>
          </cell>
          <cell r="J317" t="str">
            <v>-</v>
          </cell>
          <cell r="K317" t="str">
            <v>-</v>
          </cell>
          <cell r="L317" t="str">
            <v>-</v>
          </cell>
          <cell r="M317" t="str">
            <v>-</v>
          </cell>
          <cell r="N317" t="str">
            <v>INHIL</v>
          </cell>
        </row>
        <row r="318">
          <cell r="F318">
            <v>29</v>
          </cell>
          <cell r="J318" t="str">
            <v>-</v>
          </cell>
          <cell r="K318" t="str">
            <v>-</v>
          </cell>
          <cell r="L318" t="str">
            <v>-</v>
          </cell>
          <cell r="M318" t="str">
            <v>-</v>
          </cell>
          <cell r="N318" t="str">
            <v>INHIL</v>
          </cell>
        </row>
        <row r="319">
          <cell r="F319">
            <v>20</v>
          </cell>
          <cell r="J319" t="str">
            <v>-</v>
          </cell>
          <cell r="K319" t="str">
            <v>-</v>
          </cell>
          <cell r="L319" t="str">
            <v>-</v>
          </cell>
          <cell r="M319" t="str">
            <v>-</v>
          </cell>
          <cell r="N319" t="str">
            <v>No</v>
          </cell>
        </row>
        <row r="320">
          <cell r="F320">
            <v>26</v>
          </cell>
          <cell r="J320" t="str">
            <v>-</v>
          </cell>
          <cell r="K320" t="str">
            <v>INHIL</v>
          </cell>
          <cell r="L320" t="str">
            <v>-</v>
          </cell>
          <cell r="M320" t="str">
            <v>-</v>
          </cell>
          <cell r="N320" t="str">
            <v>INHIL</v>
          </cell>
        </row>
        <row r="321">
          <cell r="F321">
            <v>19</v>
          </cell>
          <cell r="J321" t="str">
            <v>-</v>
          </cell>
          <cell r="K321" t="str">
            <v>INHIL</v>
          </cell>
          <cell r="L321" t="str">
            <v>-</v>
          </cell>
          <cell r="M321" t="str">
            <v>-</v>
          </cell>
          <cell r="N321" t="str">
            <v>INHIL</v>
          </cell>
        </row>
        <row r="322">
          <cell r="F322">
            <v>29</v>
          </cell>
          <cell r="J322" t="str">
            <v>-</v>
          </cell>
          <cell r="K322" t="str">
            <v>-</v>
          </cell>
          <cell r="L322" t="str">
            <v>-</v>
          </cell>
          <cell r="M322" t="str">
            <v>-</v>
          </cell>
          <cell r="N322" t="str">
            <v>INHIL</v>
          </cell>
        </row>
        <row r="323">
          <cell r="F323">
            <v>22</v>
          </cell>
          <cell r="J323" t="str">
            <v>-</v>
          </cell>
          <cell r="K323" t="str">
            <v>INHIL</v>
          </cell>
          <cell r="L323" t="str">
            <v>-</v>
          </cell>
          <cell r="M323" t="str">
            <v>-</v>
          </cell>
          <cell r="N323" t="str">
            <v>INHIL</v>
          </cell>
        </row>
        <row r="324">
          <cell r="F324">
            <v>24</v>
          </cell>
          <cell r="J324" t="str">
            <v>-</v>
          </cell>
          <cell r="K324" t="str">
            <v>-</v>
          </cell>
          <cell r="L324" t="str">
            <v>-</v>
          </cell>
          <cell r="M324" t="str">
            <v>-</v>
          </cell>
          <cell r="N324" t="str">
            <v>INHIL</v>
          </cell>
        </row>
        <row r="325">
          <cell r="F325">
            <v>32</v>
          </cell>
          <cell r="J325" t="str">
            <v>-</v>
          </cell>
          <cell r="K325" t="str">
            <v>-</v>
          </cell>
          <cell r="L325" t="str">
            <v>-</v>
          </cell>
          <cell r="M325" t="str">
            <v>-</v>
          </cell>
          <cell r="N325" t="str">
            <v>INHIL</v>
          </cell>
        </row>
        <row r="326">
          <cell r="F326">
            <v>23</v>
          </cell>
          <cell r="J326" t="str">
            <v>-</v>
          </cell>
          <cell r="K326" t="str">
            <v>-</v>
          </cell>
          <cell r="L326" t="str">
            <v>-</v>
          </cell>
          <cell r="M326" t="str">
            <v>-</v>
          </cell>
          <cell r="N326" t="str">
            <v>INHIL</v>
          </cell>
        </row>
        <row r="327">
          <cell r="F327">
            <v>21</v>
          </cell>
          <cell r="J327" t="str">
            <v>-</v>
          </cell>
          <cell r="K327" t="str">
            <v>-</v>
          </cell>
          <cell r="L327" t="str">
            <v>-</v>
          </cell>
          <cell r="M327" t="str">
            <v>-</v>
          </cell>
          <cell r="N327" t="str">
            <v>INHIL</v>
          </cell>
        </row>
        <row r="328">
          <cell r="F328">
            <v>32</v>
          </cell>
          <cell r="J328" t="str">
            <v>-</v>
          </cell>
          <cell r="K328" t="str">
            <v>-</v>
          </cell>
          <cell r="L328" t="str">
            <v>-</v>
          </cell>
          <cell r="M328" t="str">
            <v>-</v>
          </cell>
          <cell r="N328" t="str">
            <v>INHIL</v>
          </cell>
        </row>
        <row r="329">
          <cell r="F329">
            <v>28</v>
          </cell>
          <cell r="J329" t="str">
            <v>-</v>
          </cell>
          <cell r="K329" t="str">
            <v>-</v>
          </cell>
          <cell r="L329" t="str">
            <v>-</v>
          </cell>
          <cell r="M329" t="str">
            <v>-</v>
          </cell>
          <cell r="N329" t="str">
            <v>INHIL</v>
          </cell>
        </row>
        <row r="330">
          <cell r="F330">
            <v>22</v>
          </cell>
          <cell r="J330" t="str">
            <v>-</v>
          </cell>
          <cell r="K330" t="str">
            <v>-</v>
          </cell>
          <cell r="L330" t="str">
            <v>-</v>
          </cell>
          <cell r="M330" t="str">
            <v>-</v>
          </cell>
          <cell r="N330" t="str">
            <v>INHIL</v>
          </cell>
        </row>
        <row r="331">
          <cell r="F331">
            <v>24</v>
          </cell>
          <cell r="J331" t="str">
            <v>-</v>
          </cell>
          <cell r="K331" t="str">
            <v>-</v>
          </cell>
          <cell r="L331" t="str">
            <v>-</v>
          </cell>
          <cell r="M331" t="str">
            <v>-</v>
          </cell>
          <cell r="N331" t="str">
            <v>INHIL</v>
          </cell>
        </row>
        <row r="332">
          <cell r="F332">
            <v>25</v>
          </cell>
          <cell r="J332" t="str">
            <v>-</v>
          </cell>
          <cell r="K332" t="str">
            <v>-</v>
          </cell>
          <cell r="L332" t="str">
            <v>-</v>
          </cell>
          <cell r="M332" t="str">
            <v>-</v>
          </cell>
          <cell r="N332" t="str">
            <v>No</v>
          </cell>
        </row>
        <row r="333">
          <cell r="F333">
            <v>30</v>
          </cell>
          <cell r="J333" t="str">
            <v>INHIL</v>
          </cell>
          <cell r="K333" t="str">
            <v>-</v>
          </cell>
          <cell r="L333" t="str">
            <v>-</v>
          </cell>
          <cell r="M333" t="str">
            <v>-</v>
          </cell>
          <cell r="N333" t="str">
            <v>INHIL</v>
          </cell>
        </row>
        <row r="334">
          <cell r="F334">
            <v>22</v>
          </cell>
          <cell r="J334" t="str">
            <v>-</v>
          </cell>
          <cell r="K334" t="str">
            <v>-</v>
          </cell>
          <cell r="L334" t="str">
            <v>-</v>
          </cell>
          <cell r="M334" t="str">
            <v>-</v>
          </cell>
          <cell r="N334" t="str">
            <v>No</v>
          </cell>
        </row>
        <row r="335">
          <cell r="F335">
            <v>22</v>
          </cell>
          <cell r="J335" t="str">
            <v>-</v>
          </cell>
          <cell r="K335" t="str">
            <v>-</v>
          </cell>
          <cell r="L335" t="str">
            <v>-</v>
          </cell>
          <cell r="M335" t="str">
            <v>-</v>
          </cell>
          <cell r="N335" t="str">
            <v>No</v>
          </cell>
        </row>
        <row r="336">
          <cell r="F336">
            <v>28</v>
          </cell>
          <cell r="J336" t="str">
            <v>-</v>
          </cell>
          <cell r="K336" t="str">
            <v>-</v>
          </cell>
          <cell r="L336" t="str">
            <v>-</v>
          </cell>
          <cell r="M336" t="str">
            <v>-</v>
          </cell>
          <cell r="N336" t="str">
            <v>No</v>
          </cell>
        </row>
        <row r="337">
          <cell r="F337">
            <v>32</v>
          </cell>
          <cell r="J337" t="str">
            <v>-</v>
          </cell>
          <cell r="K337" t="str">
            <v>-</v>
          </cell>
          <cell r="L337" t="str">
            <v>-</v>
          </cell>
          <cell r="M337" t="str">
            <v>-</v>
          </cell>
          <cell r="N337" t="str">
            <v>INHIL</v>
          </cell>
        </row>
        <row r="338">
          <cell r="F338">
            <v>32</v>
          </cell>
          <cell r="J338" t="str">
            <v>-</v>
          </cell>
          <cell r="K338" t="str">
            <v>-</v>
          </cell>
          <cell r="L338" t="str">
            <v>-</v>
          </cell>
          <cell r="M338" t="str">
            <v>-</v>
          </cell>
          <cell r="N338" t="str">
            <v>No</v>
          </cell>
        </row>
        <row r="339">
          <cell r="F339">
            <v>34</v>
          </cell>
          <cell r="J339" t="str">
            <v>-</v>
          </cell>
          <cell r="K339" t="str">
            <v>-</v>
          </cell>
          <cell r="L339" t="str">
            <v>-</v>
          </cell>
          <cell r="M339" t="str">
            <v>-</v>
          </cell>
          <cell r="N339" t="str">
            <v>INHIL</v>
          </cell>
        </row>
        <row r="340">
          <cell r="F340">
            <v>34</v>
          </cell>
          <cell r="J340" t="str">
            <v>-</v>
          </cell>
          <cell r="K340" t="str">
            <v>-</v>
          </cell>
          <cell r="L340" t="str">
            <v>-</v>
          </cell>
          <cell r="M340" t="str">
            <v>-</v>
          </cell>
          <cell r="N340" t="str">
            <v>INHIL</v>
          </cell>
        </row>
        <row r="341">
          <cell r="F341">
            <v>21</v>
          </cell>
          <cell r="J341" t="str">
            <v>-</v>
          </cell>
          <cell r="K341" t="str">
            <v>-</v>
          </cell>
          <cell r="L341" t="str">
            <v>-</v>
          </cell>
          <cell r="M341" t="str">
            <v>-</v>
          </cell>
          <cell r="N341" t="str">
            <v>INHIL</v>
          </cell>
        </row>
        <row r="342">
          <cell r="F342">
            <v>21</v>
          </cell>
          <cell r="J342" t="str">
            <v>-</v>
          </cell>
          <cell r="K342" t="str">
            <v>-</v>
          </cell>
          <cell r="L342" t="str">
            <v>-</v>
          </cell>
          <cell r="M342" t="str">
            <v>-</v>
          </cell>
          <cell r="N342" t="str">
            <v>No</v>
          </cell>
        </row>
        <row r="343">
          <cell r="F343">
            <v>24</v>
          </cell>
          <cell r="J343" t="str">
            <v>-</v>
          </cell>
          <cell r="K343" t="str">
            <v>INHIL</v>
          </cell>
          <cell r="L343" t="str">
            <v>-</v>
          </cell>
          <cell r="M343" t="str">
            <v>-</v>
          </cell>
          <cell r="N343" t="str">
            <v>INHIL</v>
          </cell>
        </row>
        <row r="344">
          <cell r="F344">
            <v>20</v>
          </cell>
          <cell r="J344" t="str">
            <v>-</v>
          </cell>
          <cell r="K344" t="str">
            <v>-</v>
          </cell>
          <cell r="L344" t="str">
            <v>-</v>
          </cell>
          <cell r="M344" t="str">
            <v>-</v>
          </cell>
          <cell r="N344" t="str">
            <v>No</v>
          </cell>
        </row>
        <row r="345">
          <cell r="F345">
            <v>25</v>
          </cell>
          <cell r="J345" t="str">
            <v>-</v>
          </cell>
          <cell r="K345" t="str">
            <v>-</v>
          </cell>
          <cell r="L345" t="str">
            <v>-</v>
          </cell>
          <cell r="M345" t="str">
            <v>-</v>
          </cell>
          <cell r="N345" t="str">
            <v>No</v>
          </cell>
        </row>
        <row r="346">
          <cell r="F346">
            <v>33</v>
          </cell>
          <cell r="J346" t="str">
            <v>-</v>
          </cell>
          <cell r="K346" t="str">
            <v>INHIL</v>
          </cell>
          <cell r="L346" t="str">
            <v>-</v>
          </cell>
          <cell r="M346" t="str">
            <v>-</v>
          </cell>
          <cell r="N346" t="str">
            <v>INHIL</v>
          </cell>
        </row>
        <row r="347">
          <cell r="F347">
            <v>23</v>
          </cell>
          <cell r="J347" t="str">
            <v>INHIL</v>
          </cell>
          <cell r="K347" t="str">
            <v>-</v>
          </cell>
          <cell r="L347" t="str">
            <v>-</v>
          </cell>
          <cell r="M347" t="str">
            <v>-</v>
          </cell>
          <cell r="N347" t="str">
            <v>INHIL</v>
          </cell>
        </row>
        <row r="348">
          <cell r="F348">
            <v>30</v>
          </cell>
          <cell r="J348" t="str">
            <v>-</v>
          </cell>
          <cell r="K348" t="str">
            <v>-</v>
          </cell>
          <cell r="L348" t="str">
            <v>-</v>
          </cell>
          <cell r="M348" t="str">
            <v>-</v>
          </cell>
          <cell r="N348" t="str">
            <v>INHIL</v>
          </cell>
        </row>
        <row r="349">
          <cell r="F349">
            <v>22</v>
          </cell>
          <cell r="J349" t="str">
            <v>-</v>
          </cell>
          <cell r="K349" t="str">
            <v>-</v>
          </cell>
          <cell r="L349" t="str">
            <v>-</v>
          </cell>
          <cell r="M349" t="str">
            <v>-</v>
          </cell>
          <cell r="N349" t="str">
            <v>No</v>
          </cell>
        </row>
        <row r="350">
          <cell r="F350">
            <v>30</v>
          </cell>
          <cell r="J350" t="str">
            <v>-</v>
          </cell>
          <cell r="K350" t="str">
            <v>-</v>
          </cell>
          <cell r="L350" t="str">
            <v>-</v>
          </cell>
          <cell r="M350" t="str">
            <v>-</v>
          </cell>
          <cell r="N350" t="str">
            <v>INHIL</v>
          </cell>
        </row>
        <row r="351">
          <cell r="F351">
            <v>20</v>
          </cell>
          <cell r="J351" t="str">
            <v>-</v>
          </cell>
          <cell r="K351" t="str">
            <v>-</v>
          </cell>
          <cell r="L351" t="str">
            <v>-</v>
          </cell>
          <cell r="M351" t="str">
            <v>-</v>
          </cell>
          <cell r="N351" t="str">
            <v>No</v>
          </cell>
        </row>
        <row r="352">
          <cell r="F352">
            <v>33</v>
          </cell>
          <cell r="J352" t="str">
            <v>-</v>
          </cell>
          <cell r="K352" t="str">
            <v>-</v>
          </cell>
          <cell r="L352" t="str">
            <v>-</v>
          </cell>
          <cell r="M352" t="str">
            <v>-</v>
          </cell>
          <cell r="N352" t="str">
            <v>No</v>
          </cell>
        </row>
        <row r="353">
          <cell r="F353">
            <v>20</v>
          </cell>
          <cell r="J353" t="str">
            <v>-</v>
          </cell>
          <cell r="K353" t="str">
            <v>-</v>
          </cell>
          <cell r="L353" t="str">
            <v>-</v>
          </cell>
          <cell r="M353" t="str">
            <v>-</v>
          </cell>
          <cell r="N353" t="str">
            <v>INHIL</v>
          </cell>
        </row>
        <row r="354">
          <cell r="F354">
            <v>28</v>
          </cell>
          <cell r="J354" t="str">
            <v>-</v>
          </cell>
          <cell r="K354" t="str">
            <v>-</v>
          </cell>
          <cell r="L354" t="str">
            <v>-</v>
          </cell>
          <cell r="M354" t="str">
            <v>-</v>
          </cell>
          <cell r="N354" t="str">
            <v>INHIL</v>
          </cell>
        </row>
        <row r="355">
          <cell r="F355">
            <v>27</v>
          </cell>
          <cell r="J355" t="str">
            <v>INHIL</v>
          </cell>
          <cell r="K355" t="str">
            <v>-</v>
          </cell>
          <cell r="L355" t="str">
            <v>-</v>
          </cell>
          <cell r="M355" t="str">
            <v>-</v>
          </cell>
          <cell r="N355" t="str">
            <v>INHIL</v>
          </cell>
        </row>
        <row r="356">
          <cell r="F356">
            <v>21</v>
          </cell>
          <cell r="J356" t="str">
            <v>-</v>
          </cell>
          <cell r="K356" t="str">
            <v>-</v>
          </cell>
          <cell r="L356" t="str">
            <v>-</v>
          </cell>
          <cell r="M356" t="str">
            <v>-</v>
          </cell>
          <cell r="N356" t="str">
            <v>INHIL</v>
          </cell>
        </row>
        <row r="357">
          <cell r="F357">
            <v>20</v>
          </cell>
          <cell r="J357" t="str">
            <v>-</v>
          </cell>
          <cell r="K357" t="str">
            <v>-</v>
          </cell>
          <cell r="L357" t="str">
            <v>-</v>
          </cell>
          <cell r="M357" t="str">
            <v>-</v>
          </cell>
          <cell r="N357" t="str">
            <v>No</v>
          </cell>
        </row>
        <row r="358">
          <cell r="F358">
            <v>37</v>
          </cell>
          <cell r="J358" t="str">
            <v>-</v>
          </cell>
          <cell r="K358" t="str">
            <v>-</v>
          </cell>
          <cell r="L358" t="str">
            <v>-</v>
          </cell>
          <cell r="M358" t="str">
            <v>-</v>
          </cell>
          <cell r="N358" t="str">
            <v>INHIL</v>
          </cell>
        </row>
        <row r="359">
          <cell r="F359">
            <v>35</v>
          </cell>
          <cell r="J359" t="str">
            <v>-</v>
          </cell>
          <cell r="K359" t="str">
            <v>-</v>
          </cell>
          <cell r="L359" t="str">
            <v>-</v>
          </cell>
          <cell r="M359" t="str">
            <v>-</v>
          </cell>
          <cell r="N359" t="str">
            <v>INHIL</v>
          </cell>
        </row>
        <row r="360">
          <cell r="F360">
            <v>17</v>
          </cell>
          <cell r="J360" t="str">
            <v>-</v>
          </cell>
          <cell r="K360" t="str">
            <v>-</v>
          </cell>
          <cell r="L360" t="str">
            <v>-</v>
          </cell>
          <cell r="M360" t="str">
            <v>-</v>
          </cell>
          <cell r="N360" t="str">
            <v>No</v>
          </cell>
        </row>
        <row r="361">
          <cell r="F361">
            <v>39</v>
          </cell>
          <cell r="J361" t="str">
            <v>-</v>
          </cell>
          <cell r="K361" t="str">
            <v>-</v>
          </cell>
          <cell r="L361" t="str">
            <v>-</v>
          </cell>
          <cell r="M361" t="str">
            <v>-</v>
          </cell>
          <cell r="N361" t="str">
            <v>INHIL</v>
          </cell>
        </row>
        <row r="362">
          <cell r="F362">
            <v>21</v>
          </cell>
          <cell r="J362" t="str">
            <v>-</v>
          </cell>
          <cell r="K362" t="str">
            <v>-</v>
          </cell>
          <cell r="L362" t="str">
            <v>NHIL</v>
          </cell>
          <cell r="M362" t="str">
            <v>-</v>
          </cell>
          <cell r="N362" t="str">
            <v>INHIL</v>
          </cell>
        </row>
        <row r="363">
          <cell r="F363">
            <v>40</v>
          </cell>
          <cell r="J363" t="str">
            <v>-</v>
          </cell>
          <cell r="K363" t="str">
            <v>-</v>
          </cell>
          <cell r="L363" t="str">
            <v>-</v>
          </cell>
          <cell r="M363" t="str">
            <v>-</v>
          </cell>
          <cell r="N363" t="str">
            <v>No</v>
          </cell>
        </row>
        <row r="364">
          <cell r="F364">
            <v>42</v>
          </cell>
          <cell r="J364" t="str">
            <v>-</v>
          </cell>
          <cell r="K364" t="str">
            <v>-</v>
          </cell>
          <cell r="L364" t="str">
            <v>-</v>
          </cell>
          <cell r="M364" t="str">
            <v>-</v>
          </cell>
          <cell r="N364" t="str">
            <v>INHIL</v>
          </cell>
        </row>
        <row r="365">
          <cell r="F365">
            <v>25</v>
          </cell>
          <cell r="J365" t="str">
            <v>INHIL</v>
          </cell>
          <cell r="K365" t="str">
            <v>-</v>
          </cell>
          <cell r="L365" t="str">
            <v>-</v>
          </cell>
          <cell r="M365" t="str">
            <v>-</v>
          </cell>
          <cell r="N365" t="str">
            <v>INHIL</v>
          </cell>
        </row>
        <row r="366">
          <cell r="F366">
            <v>20</v>
          </cell>
          <cell r="J366" t="str">
            <v>-</v>
          </cell>
          <cell r="K366" t="str">
            <v>-</v>
          </cell>
          <cell r="L366" t="str">
            <v>-</v>
          </cell>
          <cell r="M366" t="str">
            <v>-</v>
          </cell>
          <cell r="N366" t="str">
            <v>No</v>
          </cell>
        </row>
        <row r="367">
          <cell r="F367">
            <v>20</v>
          </cell>
          <cell r="J367" t="str">
            <v>-</v>
          </cell>
          <cell r="K367" t="str">
            <v>-</v>
          </cell>
          <cell r="L367" t="str">
            <v>-</v>
          </cell>
          <cell r="M367" t="str">
            <v>-</v>
          </cell>
          <cell r="N367" t="str">
            <v>No</v>
          </cell>
        </row>
        <row r="368">
          <cell r="F368">
            <v>27</v>
          </cell>
          <cell r="J368" t="str">
            <v>-</v>
          </cell>
          <cell r="K368" t="str">
            <v>-</v>
          </cell>
          <cell r="L368" t="str">
            <v>-</v>
          </cell>
          <cell r="M368" t="str">
            <v>-</v>
          </cell>
          <cell r="N368" t="str">
            <v>INHIL</v>
          </cell>
        </row>
        <row r="369">
          <cell r="F369">
            <v>23</v>
          </cell>
          <cell r="J369" t="str">
            <v>-</v>
          </cell>
          <cell r="K369" t="str">
            <v>-</v>
          </cell>
          <cell r="L369" t="str">
            <v>-</v>
          </cell>
          <cell r="M369" t="str">
            <v>-</v>
          </cell>
          <cell r="N369" t="str">
            <v>No</v>
          </cell>
        </row>
        <row r="370">
          <cell r="F370">
            <v>26</v>
          </cell>
          <cell r="J370" t="str">
            <v>-</v>
          </cell>
          <cell r="K370" t="str">
            <v>INHIL</v>
          </cell>
          <cell r="L370" t="str">
            <v>-</v>
          </cell>
          <cell r="M370" t="str">
            <v>-</v>
          </cell>
          <cell r="N370" t="str">
            <v>INHIL</v>
          </cell>
        </row>
        <row r="371">
          <cell r="F371">
            <v>21</v>
          </cell>
          <cell r="J371" t="str">
            <v>-</v>
          </cell>
          <cell r="K371" t="str">
            <v>-</v>
          </cell>
          <cell r="L371" t="str">
            <v>-</v>
          </cell>
          <cell r="M371" t="str">
            <v>-</v>
          </cell>
          <cell r="N371" t="str">
            <v>No</v>
          </cell>
        </row>
        <row r="372">
          <cell r="F372">
            <v>22</v>
          </cell>
          <cell r="J372" t="str">
            <v>-</v>
          </cell>
          <cell r="K372" t="str">
            <v>-</v>
          </cell>
          <cell r="L372" t="str">
            <v>-</v>
          </cell>
          <cell r="M372" t="str">
            <v>-</v>
          </cell>
          <cell r="N372" t="str">
            <v>No</v>
          </cell>
        </row>
        <row r="373">
          <cell r="F373">
            <v>25</v>
          </cell>
          <cell r="J373" t="str">
            <v>-</v>
          </cell>
          <cell r="K373" t="str">
            <v>-</v>
          </cell>
          <cell r="L373" t="str">
            <v>-</v>
          </cell>
          <cell r="M373" t="str">
            <v>-</v>
          </cell>
          <cell r="N373" t="str">
            <v>No</v>
          </cell>
        </row>
        <row r="374">
          <cell r="F374">
            <v>29</v>
          </cell>
          <cell r="J374" t="str">
            <v>-</v>
          </cell>
          <cell r="K374" t="str">
            <v>-</v>
          </cell>
          <cell r="L374" t="str">
            <v>-</v>
          </cell>
          <cell r="M374" t="str">
            <v>-</v>
          </cell>
          <cell r="N374" t="str">
            <v>INHIL</v>
          </cell>
        </row>
        <row r="375">
          <cell r="F375">
            <v>23</v>
          </cell>
          <cell r="J375" t="str">
            <v>-</v>
          </cell>
          <cell r="K375" t="str">
            <v>-</v>
          </cell>
          <cell r="L375" t="str">
            <v>-</v>
          </cell>
          <cell r="M375" t="str">
            <v>-</v>
          </cell>
          <cell r="N375" t="str">
            <v>INHIL</v>
          </cell>
        </row>
        <row r="376">
          <cell r="F376">
            <v>33</v>
          </cell>
          <cell r="J376" t="str">
            <v>-</v>
          </cell>
          <cell r="K376" t="str">
            <v>-</v>
          </cell>
          <cell r="L376" t="str">
            <v>-</v>
          </cell>
          <cell r="M376" t="str">
            <v>-</v>
          </cell>
          <cell r="N376" t="str">
            <v>INHIL</v>
          </cell>
        </row>
        <row r="377">
          <cell r="F377">
            <v>24</v>
          </cell>
          <cell r="J377" t="str">
            <v>-</v>
          </cell>
          <cell r="K377" t="str">
            <v>-</v>
          </cell>
          <cell r="L377" t="str">
            <v>-</v>
          </cell>
          <cell r="M377" t="str">
            <v>-</v>
          </cell>
          <cell r="N377" t="str">
            <v>INHIL</v>
          </cell>
        </row>
        <row r="378">
          <cell r="F378">
            <v>22</v>
          </cell>
          <cell r="J378" t="str">
            <v>-</v>
          </cell>
          <cell r="K378" t="str">
            <v>-</v>
          </cell>
          <cell r="L378" t="str">
            <v>-</v>
          </cell>
          <cell r="M378" t="str">
            <v>-</v>
          </cell>
          <cell r="N378" t="str">
            <v>No</v>
          </cell>
        </row>
        <row r="379">
          <cell r="F379">
            <v>24</v>
          </cell>
          <cell r="J379" t="str">
            <v>-</v>
          </cell>
          <cell r="K379" t="str">
            <v>-</v>
          </cell>
          <cell r="L379" t="str">
            <v>-</v>
          </cell>
          <cell r="M379" t="str">
            <v>-</v>
          </cell>
          <cell r="N379" t="str">
            <v>No</v>
          </cell>
        </row>
        <row r="380">
          <cell r="F380">
            <v>28</v>
          </cell>
          <cell r="J380" t="str">
            <v>INHIL</v>
          </cell>
          <cell r="K380" t="str">
            <v>-</v>
          </cell>
          <cell r="L380" t="str">
            <v>-</v>
          </cell>
          <cell r="M380" t="str">
            <v>-</v>
          </cell>
          <cell r="N380" t="str">
            <v>INHIL</v>
          </cell>
        </row>
        <row r="381">
          <cell r="F381">
            <v>34</v>
          </cell>
          <cell r="J381" t="str">
            <v>-</v>
          </cell>
          <cell r="K381" t="str">
            <v>-</v>
          </cell>
          <cell r="L381" t="str">
            <v>-</v>
          </cell>
          <cell r="M381" t="str">
            <v>-</v>
          </cell>
          <cell r="N381" t="str">
            <v>INHIL</v>
          </cell>
        </row>
        <row r="382">
          <cell r="F382">
            <v>25</v>
          </cell>
          <cell r="J382" t="str">
            <v>-</v>
          </cell>
          <cell r="K382" t="str">
            <v>-</v>
          </cell>
          <cell r="L382" t="str">
            <v>-</v>
          </cell>
          <cell r="M382" t="str">
            <v>-</v>
          </cell>
          <cell r="N382" t="str">
            <v>No</v>
          </cell>
        </row>
        <row r="383">
          <cell r="F383">
            <v>28</v>
          </cell>
          <cell r="J383" t="str">
            <v>-</v>
          </cell>
          <cell r="K383" t="str">
            <v>-</v>
          </cell>
          <cell r="L383" t="str">
            <v>-</v>
          </cell>
          <cell r="M383" t="str">
            <v>-</v>
          </cell>
          <cell r="N383" t="str">
            <v>INHIL</v>
          </cell>
        </row>
        <row r="384">
          <cell r="F384">
            <v>28</v>
          </cell>
          <cell r="J384" t="str">
            <v>-</v>
          </cell>
          <cell r="K384" t="str">
            <v>-</v>
          </cell>
          <cell r="L384" t="str">
            <v>-</v>
          </cell>
          <cell r="M384" t="str">
            <v>-</v>
          </cell>
          <cell r="N384" t="str">
            <v>INHIL</v>
          </cell>
        </row>
        <row r="385">
          <cell r="F385">
            <v>25</v>
          </cell>
          <cell r="J385" t="str">
            <v>-</v>
          </cell>
          <cell r="K385" t="str">
            <v>-</v>
          </cell>
          <cell r="L385" t="str">
            <v>-</v>
          </cell>
          <cell r="M385" t="str">
            <v>-</v>
          </cell>
          <cell r="N385" t="str">
            <v>No</v>
          </cell>
        </row>
        <row r="386">
          <cell r="F386">
            <v>28</v>
          </cell>
          <cell r="J386" t="str">
            <v>-</v>
          </cell>
          <cell r="K386" t="str">
            <v>-</v>
          </cell>
          <cell r="L386" t="str">
            <v>-</v>
          </cell>
          <cell r="M386" t="str">
            <v>-</v>
          </cell>
          <cell r="N386" t="str">
            <v>INHIL</v>
          </cell>
        </row>
        <row r="387">
          <cell r="F387">
            <v>23</v>
          </cell>
          <cell r="J387" t="str">
            <v>-</v>
          </cell>
          <cell r="K387" t="str">
            <v>-</v>
          </cell>
          <cell r="L387" t="str">
            <v>-</v>
          </cell>
          <cell r="M387" t="str">
            <v>-</v>
          </cell>
          <cell r="N387" t="str">
            <v>INHIL</v>
          </cell>
        </row>
        <row r="388">
          <cell r="F388">
            <v>22</v>
          </cell>
          <cell r="J388" t="str">
            <v>-</v>
          </cell>
          <cell r="K388" t="str">
            <v>-</v>
          </cell>
          <cell r="L388" t="str">
            <v>-</v>
          </cell>
          <cell r="M388" t="str">
            <v>-</v>
          </cell>
          <cell r="N388" t="str">
            <v>No</v>
          </cell>
        </row>
        <row r="389">
          <cell r="F389">
            <v>31</v>
          </cell>
          <cell r="J389" t="str">
            <v>-</v>
          </cell>
          <cell r="K389" t="str">
            <v>-</v>
          </cell>
          <cell r="L389" t="str">
            <v>-</v>
          </cell>
          <cell r="M389" t="str">
            <v>-</v>
          </cell>
          <cell r="N389" t="str">
            <v>INHIL</v>
          </cell>
        </row>
        <row r="390">
          <cell r="F390">
            <v>26</v>
          </cell>
          <cell r="J390" t="str">
            <v>-</v>
          </cell>
          <cell r="K390" t="str">
            <v>-</v>
          </cell>
          <cell r="L390" t="str">
            <v>-</v>
          </cell>
          <cell r="M390" t="str">
            <v>-</v>
          </cell>
          <cell r="N390" t="str">
            <v>INHIL</v>
          </cell>
        </row>
        <row r="391">
          <cell r="F391">
            <v>29</v>
          </cell>
          <cell r="J391" t="str">
            <v>-</v>
          </cell>
          <cell r="K391" t="str">
            <v>-</v>
          </cell>
          <cell r="L391" t="str">
            <v>-</v>
          </cell>
          <cell r="M391" t="str">
            <v>-</v>
          </cell>
          <cell r="N391" t="str">
            <v>INHIL</v>
          </cell>
        </row>
        <row r="392">
          <cell r="F392">
            <v>32</v>
          </cell>
          <cell r="J392" t="str">
            <v>-</v>
          </cell>
          <cell r="K392" t="str">
            <v>-</v>
          </cell>
          <cell r="L392" t="str">
            <v>-</v>
          </cell>
          <cell r="M392" t="str">
            <v>-</v>
          </cell>
          <cell r="N392" t="str">
            <v>INHIL</v>
          </cell>
        </row>
        <row r="393">
          <cell r="F393">
            <v>32</v>
          </cell>
          <cell r="J393" t="str">
            <v>-</v>
          </cell>
          <cell r="K393" t="str">
            <v>-</v>
          </cell>
          <cell r="L393" t="str">
            <v>-</v>
          </cell>
          <cell r="M393" t="str">
            <v>-</v>
          </cell>
          <cell r="N393" t="str">
            <v>INHIL</v>
          </cell>
        </row>
        <row r="394">
          <cell r="F394">
            <v>23</v>
          </cell>
          <cell r="J394" t="str">
            <v>-</v>
          </cell>
          <cell r="K394" t="str">
            <v>-</v>
          </cell>
          <cell r="L394" t="str">
            <v>-</v>
          </cell>
          <cell r="M394" t="str">
            <v>-</v>
          </cell>
          <cell r="N394" t="str">
            <v>INHIL</v>
          </cell>
        </row>
        <row r="395">
          <cell r="F395">
            <v>28</v>
          </cell>
          <cell r="J395" t="str">
            <v>-</v>
          </cell>
          <cell r="K395" t="str">
            <v>-</v>
          </cell>
          <cell r="L395" t="str">
            <v>-</v>
          </cell>
          <cell r="M395" t="str">
            <v>-</v>
          </cell>
          <cell r="N395" t="str">
            <v>INHIL</v>
          </cell>
        </row>
        <row r="396">
          <cell r="F396">
            <v>20</v>
          </cell>
          <cell r="J396" t="str">
            <v>-</v>
          </cell>
          <cell r="K396" t="str">
            <v>-</v>
          </cell>
          <cell r="L396" t="str">
            <v>-</v>
          </cell>
          <cell r="M396" t="str">
            <v>-</v>
          </cell>
          <cell r="N396" t="str">
            <v>INHIL</v>
          </cell>
        </row>
        <row r="397">
          <cell r="F397">
            <v>29</v>
          </cell>
          <cell r="J397" t="str">
            <v>-</v>
          </cell>
          <cell r="K397" t="str">
            <v>-</v>
          </cell>
          <cell r="L397" t="str">
            <v>-</v>
          </cell>
          <cell r="M397" t="str">
            <v>-</v>
          </cell>
          <cell r="N397" t="str">
            <v>INHIL</v>
          </cell>
        </row>
        <row r="398">
          <cell r="F398">
            <v>35</v>
          </cell>
          <cell r="J398" t="str">
            <v>-</v>
          </cell>
          <cell r="K398" t="str">
            <v>-</v>
          </cell>
          <cell r="L398" t="str">
            <v>-</v>
          </cell>
          <cell r="M398" t="str">
            <v>-</v>
          </cell>
          <cell r="N398" t="str">
            <v>INHIL</v>
          </cell>
        </row>
        <row r="399">
          <cell r="F399">
            <v>40</v>
          </cell>
          <cell r="J399" t="str">
            <v>-</v>
          </cell>
          <cell r="K399" t="str">
            <v>-</v>
          </cell>
          <cell r="L399" t="str">
            <v>-</v>
          </cell>
          <cell r="M399" t="str">
            <v>-</v>
          </cell>
          <cell r="N399" t="str">
            <v>INHIL</v>
          </cell>
        </row>
        <row r="400">
          <cell r="F400">
            <v>27</v>
          </cell>
          <cell r="J400" t="str">
            <v>-</v>
          </cell>
          <cell r="K400" t="str">
            <v>INHIL</v>
          </cell>
          <cell r="L400" t="str">
            <v>-</v>
          </cell>
          <cell r="M400" t="str">
            <v>-</v>
          </cell>
          <cell r="N400" t="str">
            <v>INHIL</v>
          </cell>
        </row>
        <row r="401">
          <cell r="F401">
            <v>23</v>
          </cell>
          <cell r="J401" t="str">
            <v>-</v>
          </cell>
          <cell r="K401" t="str">
            <v>-</v>
          </cell>
          <cell r="L401" t="str">
            <v>-</v>
          </cell>
          <cell r="M401" t="str">
            <v>-</v>
          </cell>
          <cell r="N401" t="str">
            <v>INHIL</v>
          </cell>
        </row>
        <row r="402">
          <cell r="F402">
            <v>23</v>
          </cell>
          <cell r="J402" t="str">
            <v>-</v>
          </cell>
          <cell r="K402" t="str">
            <v>-</v>
          </cell>
          <cell r="L402" t="str">
            <v>-</v>
          </cell>
          <cell r="M402" t="str">
            <v>-</v>
          </cell>
          <cell r="N402" t="str">
            <v>INHIL</v>
          </cell>
        </row>
        <row r="403">
          <cell r="F403">
            <v>39</v>
          </cell>
          <cell r="J403" t="str">
            <v>-</v>
          </cell>
          <cell r="K403" t="str">
            <v>-</v>
          </cell>
          <cell r="L403" t="str">
            <v>-</v>
          </cell>
          <cell r="M403" t="str">
            <v>-</v>
          </cell>
          <cell r="N403" t="str">
            <v>INHIL</v>
          </cell>
        </row>
        <row r="404">
          <cell r="F404">
            <v>44</v>
          </cell>
          <cell r="J404" t="str">
            <v>-</v>
          </cell>
          <cell r="K404" t="str">
            <v>-</v>
          </cell>
          <cell r="L404" t="str">
            <v>-</v>
          </cell>
          <cell r="M404" t="str">
            <v>-</v>
          </cell>
          <cell r="N404" t="str">
            <v>INHIL</v>
          </cell>
        </row>
        <row r="405">
          <cell r="F405">
            <v>25</v>
          </cell>
          <cell r="J405" t="str">
            <v>-</v>
          </cell>
          <cell r="K405" t="str">
            <v>-</v>
          </cell>
          <cell r="L405" t="str">
            <v>-</v>
          </cell>
          <cell r="M405" t="str">
            <v>-</v>
          </cell>
          <cell r="N405" t="str">
            <v>No</v>
          </cell>
        </row>
        <row r="406">
          <cell r="F406">
            <v>31</v>
          </cell>
          <cell r="J406" t="str">
            <v>INHIL</v>
          </cell>
          <cell r="K406" t="str">
            <v>-</v>
          </cell>
          <cell r="L406" t="str">
            <v>-</v>
          </cell>
          <cell r="M406" t="str">
            <v>-</v>
          </cell>
          <cell r="N406" t="str">
            <v>INHIL</v>
          </cell>
        </row>
        <row r="407">
          <cell r="F407">
            <v>23</v>
          </cell>
          <cell r="J407" t="str">
            <v>-</v>
          </cell>
          <cell r="K407" t="str">
            <v>-</v>
          </cell>
          <cell r="L407" t="str">
            <v>-</v>
          </cell>
          <cell r="M407" t="str">
            <v>-</v>
          </cell>
          <cell r="N407" t="str">
            <v>No</v>
          </cell>
        </row>
        <row r="408">
          <cell r="F408">
            <v>31</v>
          </cell>
          <cell r="J408" t="str">
            <v>-</v>
          </cell>
          <cell r="K408" t="str">
            <v>-</v>
          </cell>
          <cell r="L408" t="str">
            <v>-</v>
          </cell>
          <cell r="M408" t="str">
            <v>-</v>
          </cell>
          <cell r="N408" t="str">
            <v>No</v>
          </cell>
        </row>
        <row r="409">
          <cell r="F409">
            <v>28</v>
          </cell>
          <cell r="J409" t="str">
            <v>-</v>
          </cell>
          <cell r="K409" t="str">
            <v>-</v>
          </cell>
          <cell r="L409" t="str">
            <v>-</v>
          </cell>
          <cell r="M409" t="str">
            <v>-</v>
          </cell>
          <cell r="N409" t="str">
            <v>No</v>
          </cell>
        </row>
        <row r="410">
          <cell r="F410">
            <v>23</v>
          </cell>
          <cell r="J410" t="str">
            <v>-</v>
          </cell>
          <cell r="K410" t="str">
            <v>-</v>
          </cell>
          <cell r="L410" t="str">
            <v>-</v>
          </cell>
          <cell r="M410" t="str">
            <v>-</v>
          </cell>
          <cell r="N410" t="str">
            <v>No</v>
          </cell>
        </row>
        <row r="411">
          <cell r="F411">
            <v>23</v>
          </cell>
          <cell r="J411" t="str">
            <v>-</v>
          </cell>
          <cell r="K411" t="str">
            <v>-</v>
          </cell>
          <cell r="L411" t="str">
            <v>-</v>
          </cell>
          <cell r="M411" t="str">
            <v>-</v>
          </cell>
          <cell r="N411" t="str">
            <v>No</v>
          </cell>
        </row>
        <row r="412">
          <cell r="F412">
            <v>27</v>
          </cell>
          <cell r="J412" t="str">
            <v>-</v>
          </cell>
          <cell r="K412" t="str">
            <v>-</v>
          </cell>
          <cell r="L412" t="str">
            <v>-</v>
          </cell>
          <cell r="M412" t="str">
            <v>-</v>
          </cell>
          <cell r="N412" t="str">
            <v>INHIL</v>
          </cell>
        </row>
        <row r="413">
          <cell r="F413">
            <v>21</v>
          </cell>
          <cell r="J413" t="str">
            <v>-</v>
          </cell>
          <cell r="K413" t="str">
            <v>-</v>
          </cell>
          <cell r="L413" t="str">
            <v>-</v>
          </cell>
          <cell r="M413" t="str">
            <v>-</v>
          </cell>
          <cell r="N413" t="str">
            <v>No</v>
          </cell>
        </row>
        <row r="414">
          <cell r="F414">
            <v>21</v>
          </cell>
          <cell r="J414" t="str">
            <v>-</v>
          </cell>
          <cell r="K414" t="str">
            <v>-</v>
          </cell>
          <cell r="L414" t="str">
            <v>-</v>
          </cell>
          <cell r="M414" t="str">
            <v>-</v>
          </cell>
          <cell r="N414" t="str">
            <v>INHIL</v>
          </cell>
        </row>
        <row r="415">
          <cell r="F415">
            <v>32</v>
          </cell>
          <cell r="J415" t="str">
            <v>-</v>
          </cell>
          <cell r="K415" t="str">
            <v>-</v>
          </cell>
          <cell r="L415" t="str">
            <v>-</v>
          </cell>
          <cell r="M415" t="str">
            <v>-</v>
          </cell>
          <cell r="N415" t="str">
            <v>INHIL</v>
          </cell>
        </row>
        <row r="416">
          <cell r="F416">
            <v>29</v>
          </cell>
          <cell r="J416" t="str">
            <v>-</v>
          </cell>
          <cell r="K416" t="str">
            <v>-</v>
          </cell>
          <cell r="L416" t="str">
            <v>-</v>
          </cell>
          <cell r="M416" t="str">
            <v>-</v>
          </cell>
          <cell r="N416" t="str">
            <v>INHIL</v>
          </cell>
        </row>
        <row r="417">
          <cell r="F417">
            <v>38</v>
          </cell>
          <cell r="J417" t="str">
            <v>-</v>
          </cell>
          <cell r="K417" t="str">
            <v>-</v>
          </cell>
          <cell r="L417" t="str">
            <v>-</v>
          </cell>
          <cell r="M417" t="str">
            <v>-</v>
          </cell>
          <cell r="N417" t="str">
            <v>INHIL</v>
          </cell>
        </row>
        <row r="418">
          <cell r="F418">
            <v>19</v>
          </cell>
          <cell r="J418" t="str">
            <v>-</v>
          </cell>
          <cell r="K418" t="str">
            <v>-</v>
          </cell>
          <cell r="L418" t="str">
            <v>-</v>
          </cell>
          <cell r="M418" t="str">
            <v>-</v>
          </cell>
          <cell r="N418" t="str">
            <v>No</v>
          </cell>
        </row>
        <row r="419">
          <cell r="F419">
            <v>21</v>
          </cell>
          <cell r="J419" t="str">
            <v>-</v>
          </cell>
          <cell r="K419" t="str">
            <v>INHIL</v>
          </cell>
          <cell r="L419" t="str">
            <v>-</v>
          </cell>
          <cell r="M419" t="str">
            <v>-</v>
          </cell>
          <cell r="N419" t="str">
            <v>INHIL</v>
          </cell>
        </row>
        <row r="420">
          <cell r="F420">
            <v>22</v>
          </cell>
          <cell r="J420" t="str">
            <v>-</v>
          </cell>
          <cell r="K420" t="str">
            <v>-</v>
          </cell>
          <cell r="L420" t="str">
            <v>-</v>
          </cell>
          <cell r="M420" t="str">
            <v>-</v>
          </cell>
          <cell r="N420" t="str">
            <v>INHIL</v>
          </cell>
        </row>
        <row r="421">
          <cell r="F421">
            <v>30</v>
          </cell>
          <cell r="J421" t="str">
            <v>-</v>
          </cell>
          <cell r="K421" t="str">
            <v>-</v>
          </cell>
          <cell r="L421" t="str">
            <v>-</v>
          </cell>
          <cell r="M421" t="str">
            <v>-</v>
          </cell>
          <cell r="N421" t="str">
            <v>INHIL</v>
          </cell>
        </row>
        <row r="422">
          <cell r="F422">
            <v>26</v>
          </cell>
          <cell r="J422" t="str">
            <v>-</v>
          </cell>
          <cell r="K422" t="str">
            <v>-</v>
          </cell>
          <cell r="L422" t="str">
            <v>INHIL</v>
          </cell>
          <cell r="M422" t="str">
            <v>-</v>
          </cell>
          <cell r="N422" t="str">
            <v>INHIL</v>
          </cell>
        </row>
        <row r="423">
          <cell r="F423">
            <v>24</v>
          </cell>
          <cell r="J423" t="str">
            <v>-</v>
          </cell>
          <cell r="K423" t="str">
            <v>-</v>
          </cell>
          <cell r="L423" t="str">
            <v>-</v>
          </cell>
          <cell r="M423" t="str">
            <v>-</v>
          </cell>
          <cell r="N423" t="str">
            <v>No</v>
          </cell>
        </row>
        <row r="424">
          <cell r="F424">
            <v>22</v>
          </cell>
          <cell r="J424" t="str">
            <v>-</v>
          </cell>
          <cell r="K424" t="str">
            <v>-</v>
          </cell>
          <cell r="L424" t="str">
            <v>-</v>
          </cell>
          <cell r="M424" t="str">
            <v>-</v>
          </cell>
          <cell r="N424" t="str">
            <v>No</v>
          </cell>
        </row>
        <row r="425">
          <cell r="F425">
            <v>32</v>
          </cell>
          <cell r="J425" t="str">
            <v>-</v>
          </cell>
          <cell r="K425" t="str">
            <v>-</v>
          </cell>
          <cell r="L425" t="str">
            <v>-</v>
          </cell>
          <cell r="M425" t="str">
            <v>-</v>
          </cell>
          <cell r="N425" t="str">
            <v>INHIL</v>
          </cell>
        </row>
        <row r="426">
          <cell r="F426">
            <v>23</v>
          </cell>
          <cell r="J426" t="str">
            <v>-</v>
          </cell>
          <cell r="K426" t="str">
            <v>-</v>
          </cell>
          <cell r="L426" t="str">
            <v>-</v>
          </cell>
          <cell r="M426" t="str">
            <v>-</v>
          </cell>
          <cell r="N426" t="str">
            <v>No</v>
          </cell>
        </row>
        <row r="427">
          <cell r="F427">
            <v>20</v>
          </cell>
          <cell r="J427" t="str">
            <v>-</v>
          </cell>
          <cell r="K427" t="str">
            <v>INHIL</v>
          </cell>
          <cell r="L427" t="str">
            <v>-</v>
          </cell>
          <cell r="M427" t="str">
            <v>-</v>
          </cell>
          <cell r="N427" t="str">
            <v>INHIL</v>
          </cell>
        </row>
        <row r="428">
          <cell r="F428">
            <v>22</v>
          </cell>
          <cell r="J428" t="str">
            <v>-</v>
          </cell>
          <cell r="K428" t="str">
            <v>-</v>
          </cell>
          <cell r="L428" t="str">
            <v>-</v>
          </cell>
          <cell r="M428" t="str">
            <v>-</v>
          </cell>
          <cell r="N428" t="str">
            <v>No</v>
          </cell>
        </row>
        <row r="429">
          <cell r="F429">
            <v>32</v>
          </cell>
          <cell r="J429" t="str">
            <v>-</v>
          </cell>
          <cell r="K429" t="str">
            <v>-</v>
          </cell>
          <cell r="L429" t="str">
            <v>-</v>
          </cell>
          <cell r="M429" t="str">
            <v>-</v>
          </cell>
          <cell r="N429" t="str">
            <v>No</v>
          </cell>
        </row>
        <row r="430">
          <cell r="F430">
            <v>26</v>
          </cell>
          <cell r="J430" t="str">
            <v>-</v>
          </cell>
          <cell r="K430" t="str">
            <v>-</v>
          </cell>
          <cell r="L430" t="str">
            <v>-</v>
          </cell>
          <cell r="M430" t="str">
            <v>-</v>
          </cell>
          <cell r="N430" t="str">
            <v>INHIL</v>
          </cell>
        </row>
        <row r="431">
          <cell r="F431">
            <v>23</v>
          </cell>
          <cell r="J431" t="str">
            <v>-</v>
          </cell>
          <cell r="K431" t="str">
            <v>-</v>
          </cell>
          <cell r="L431" t="str">
            <v>-</v>
          </cell>
          <cell r="M431" t="str">
            <v>-</v>
          </cell>
          <cell r="N431" t="str">
            <v>No</v>
          </cell>
        </row>
        <row r="432">
          <cell r="F432">
            <v>31</v>
          </cell>
          <cell r="J432" t="str">
            <v>-</v>
          </cell>
          <cell r="K432" t="str">
            <v>INHIL</v>
          </cell>
          <cell r="L432" t="str">
            <v>-</v>
          </cell>
          <cell r="M432" t="str">
            <v>-</v>
          </cell>
          <cell r="N432" t="str">
            <v>INHIL</v>
          </cell>
        </row>
        <row r="433">
          <cell r="F433">
            <v>37</v>
          </cell>
          <cell r="J433" t="str">
            <v>-</v>
          </cell>
          <cell r="K433" t="str">
            <v>-</v>
          </cell>
          <cell r="L433" t="str">
            <v>-</v>
          </cell>
          <cell r="M433" t="str">
            <v>-</v>
          </cell>
          <cell r="N433" t="str">
            <v>INHIL</v>
          </cell>
        </row>
        <row r="434">
          <cell r="F434">
            <v>34</v>
          </cell>
          <cell r="J434" t="str">
            <v>-</v>
          </cell>
          <cell r="K434" t="str">
            <v>-</v>
          </cell>
          <cell r="L434" t="str">
            <v>-</v>
          </cell>
          <cell r="M434" t="str">
            <v>-</v>
          </cell>
          <cell r="N434" t="str">
            <v>INHIL</v>
          </cell>
        </row>
        <row r="435">
          <cell r="F435">
            <v>35</v>
          </cell>
          <cell r="J435" t="str">
            <v>-</v>
          </cell>
          <cell r="K435" t="str">
            <v>-</v>
          </cell>
          <cell r="L435" t="str">
            <v>-</v>
          </cell>
          <cell r="M435" t="str">
            <v>-</v>
          </cell>
          <cell r="N435" t="str">
            <v>INHIL</v>
          </cell>
        </row>
        <row r="436">
          <cell r="F436">
            <v>33</v>
          </cell>
          <cell r="J436" t="str">
            <v>-</v>
          </cell>
          <cell r="K436" t="str">
            <v>-</v>
          </cell>
          <cell r="L436" t="str">
            <v>-</v>
          </cell>
          <cell r="M436" t="str">
            <v>-</v>
          </cell>
          <cell r="N436" t="str">
            <v>INHIL</v>
          </cell>
        </row>
        <row r="437">
          <cell r="F437">
            <v>38</v>
          </cell>
          <cell r="J437" t="str">
            <v>-</v>
          </cell>
          <cell r="K437" t="str">
            <v>INHIL</v>
          </cell>
          <cell r="L437" t="str">
            <v>-</v>
          </cell>
          <cell r="M437" t="str">
            <v>-</v>
          </cell>
          <cell r="N437" t="str">
            <v>INHIL</v>
          </cell>
        </row>
        <row r="438">
          <cell r="F438">
            <v>31</v>
          </cell>
          <cell r="J438" t="str">
            <v>-</v>
          </cell>
          <cell r="K438" t="str">
            <v>-</v>
          </cell>
          <cell r="L438" t="str">
            <v>-</v>
          </cell>
          <cell r="M438" t="str">
            <v>-</v>
          </cell>
          <cell r="N438" t="str">
            <v>INHIL</v>
          </cell>
        </row>
        <row r="439">
          <cell r="F439">
            <v>30</v>
          </cell>
          <cell r="J439" t="str">
            <v>-</v>
          </cell>
          <cell r="K439" t="str">
            <v>-</v>
          </cell>
          <cell r="L439" t="str">
            <v>-</v>
          </cell>
          <cell r="M439" t="str">
            <v>-</v>
          </cell>
          <cell r="N439" t="str">
            <v>INHIL</v>
          </cell>
        </row>
        <row r="440">
          <cell r="F440">
            <v>25</v>
          </cell>
          <cell r="J440" t="str">
            <v>-</v>
          </cell>
          <cell r="K440" t="str">
            <v>-</v>
          </cell>
          <cell r="L440" t="str">
            <v>-</v>
          </cell>
          <cell r="M440" t="str">
            <v>-</v>
          </cell>
          <cell r="N440" t="str">
            <v>INHIL</v>
          </cell>
        </row>
        <row r="441">
          <cell r="F441">
            <v>33</v>
          </cell>
          <cell r="J441" t="str">
            <v>-</v>
          </cell>
          <cell r="K441" t="str">
            <v>-</v>
          </cell>
          <cell r="L441" t="str">
            <v>-</v>
          </cell>
          <cell r="M441" t="str">
            <v>-</v>
          </cell>
          <cell r="N441" t="str">
            <v>INHIL</v>
          </cell>
        </row>
        <row r="442">
          <cell r="F442">
            <v>37</v>
          </cell>
          <cell r="J442" t="str">
            <v>-</v>
          </cell>
          <cell r="K442" t="str">
            <v>-</v>
          </cell>
          <cell r="L442" t="str">
            <v>-</v>
          </cell>
          <cell r="M442" t="str">
            <v>-</v>
          </cell>
          <cell r="N442" t="str">
            <v>INHIL</v>
          </cell>
        </row>
        <row r="443">
          <cell r="F443">
            <v>35</v>
          </cell>
          <cell r="J443" t="str">
            <v>-</v>
          </cell>
          <cell r="K443" t="str">
            <v>-</v>
          </cell>
          <cell r="L443" t="str">
            <v>-</v>
          </cell>
          <cell r="M443" t="str">
            <v>-</v>
          </cell>
          <cell r="N443" t="str">
            <v>INHIL</v>
          </cell>
        </row>
        <row r="444">
          <cell r="F444">
            <v>28</v>
          </cell>
          <cell r="J444" t="str">
            <v>-</v>
          </cell>
          <cell r="K444" t="str">
            <v>-</v>
          </cell>
          <cell r="L444" t="str">
            <v>-</v>
          </cell>
          <cell r="M444" t="str">
            <v>-</v>
          </cell>
          <cell r="N444" t="str">
            <v>INHIL</v>
          </cell>
        </row>
        <row r="445">
          <cell r="F445">
            <v>27</v>
          </cell>
          <cell r="J445" t="str">
            <v>-</v>
          </cell>
          <cell r="K445" t="str">
            <v>-</v>
          </cell>
          <cell r="L445" t="str">
            <v>-</v>
          </cell>
          <cell r="M445" t="str">
            <v>-</v>
          </cell>
          <cell r="N445" t="str">
            <v>INHIL</v>
          </cell>
        </row>
        <row r="446">
          <cell r="F446">
            <v>33</v>
          </cell>
          <cell r="J446" t="str">
            <v>INHIL</v>
          </cell>
          <cell r="K446" t="str">
            <v>-</v>
          </cell>
          <cell r="L446" t="str">
            <v>-</v>
          </cell>
          <cell r="M446" t="str">
            <v>-</v>
          </cell>
          <cell r="N446" t="str">
            <v>INHIL</v>
          </cell>
        </row>
        <row r="447">
          <cell r="F447">
            <v>35</v>
          </cell>
          <cell r="J447" t="str">
            <v>-</v>
          </cell>
          <cell r="K447" t="str">
            <v>-</v>
          </cell>
          <cell r="L447" t="str">
            <v>-</v>
          </cell>
          <cell r="M447" t="str">
            <v>-</v>
          </cell>
          <cell r="N447" t="str">
            <v>INHIL</v>
          </cell>
        </row>
        <row r="448">
          <cell r="F448">
            <v>35</v>
          </cell>
          <cell r="J448" t="str">
            <v>-</v>
          </cell>
          <cell r="K448" t="str">
            <v>-</v>
          </cell>
          <cell r="L448" t="str">
            <v>-</v>
          </cell>
          <cell r="M448" t="str">
            <v>-</v>
          </cell>
          <cell r="N448" t="str">
            <v>INHIL</v>
          </cell>
        </row>
        <row r="449">
          <cell r="F449">
            <v>32</v>
          </cell>
          <cell r="J449" t="str">
            <v>-</v>
          </cell>
          <cell r="K449" t="str">
            <v>-</v>
          </cell>
          <cell r="L449" t="str">
            <v>-</v>
          </cell>
          <cell r="M449" t="str">
            <v>-</v>
          </cell>
          <cell r="N449" t="str">
            <v>INHIL</v>
          </cell>
        </row>
        <row r="450">
          <cell r="F450">
            <v>33</v>
          </cell>
          <cell r="J450" t="str">
            <v>-</v>
          </cell>
          <cell r="K450" t="str">
            <v>-</v>
          </cell>
          <cell r="L450" t="str">
            <v>-</v>
          </cell>
          <cell r="M450" t="str">
            <v>-</v>
          </cell>
          <cell r="N450" t="str">
            <v>INHIL</v>
          </cell>
        </row>
        <row r="451">
          <cell r="F451">
            <v>33</v>
          </cell>
          <cell r="J451" t="str">
            <v>-</v>
          </cell>
          <cell r="K451" t="str">
            <v>-</v>
          </cell>
          <cell r="L451" t="str">
            <v>-</v>
          </cell>
          <cell r="M451" t="str">
            <v>-</v>
          </cell>
          <cell r="N451" t="str">
            <v>INHIL</v>
          </cell>
        </row>
        <row r="452">
          <cell r="F452">
            <v>33</v>
          </cell>
          <cell r="J452" t="str">
            <v>INHIL</v>
          </cell>
          <cell r="K452" t="str">
            <v>-</v>
          </cell>
          <cell r="L452" t="str">
            <v>-</v>
          </cell>
          <cell r="M452" t="str">
            <v>-</v>
          </cell>
          <cell r="N452" t="str">
            <v>INHIL</v>
          </cell>
        </row>
        <row r="453">
          <cell r="F453">
            <v>36</v>
          </cell>
          <cell r="J453" t="str">
            <v>-</v>
          </cell>
          <cell r="K453" t="str">
            <v>-</v>
          </cell>
          <cell r="L453" t="str">
            <v>-</v>
          </cell>
          <cell r="M453" t="str">
            <v>-</v>
          </cell>
          <cell r="N453" t="str">
            <v>INHIL</v>
          </cell>
        </row>
        <row r="454">
          <cell r="F454">
            <v>30</v>
          </cell>
          <cell r="J454" t="str">
            <v>-</v>
          </cell>
          <cell r="K454" t="str">
            <v>-</v>
          </cell>
          <cell r="L454" t="str">
            <v>-</v>
          </cell>
          <cell r="M454" t="str">
            <v>-</v>
          </cell>
          <cell r="N454" t="str">
            <v>INHIL</v>
          </cell>
        </row>
        <row r="455">
          <cell r="F455">
            <v>38</v>
          </cell>
          <cell r="J455" t="str">
            <v>-</v>
          </cell>
          <cell r="K455" t="str">
            <v>-</v>
          </cell>
          <cell r="L455" t="str">
            <v>-</v>
          </cell>
          <cell r="M455" t="str">
            <v>-</v>
          </cell>
          <cell r="N455" t="str">
            <v>INHIL</v>
          </cell>
        </row>
        <row r="456">
          <cell r="F456">
            <v>36</v>
          </cell>
          <cell r="J456" t="str">
            <v>-</v>
          </cell>
          <cell r="K456" t="str">
            <v>-</v>
          </cell>
          <cell r="L456" t="str">
            <v>-</v>
          </cell>
          <cell r="M456" t="str">
            <v>-</v>
          </cell>
          <cell r="N456" t="str">
            <v>INHIL</v>
          </cell>
        </row>
        <row r="457">
          <cell r="F457">
            <v>30</v>
          </cell>
          <cell r="J457" t="str">
            <v>-</v>
          </cell>
          <cell r="K457" t="str">
            <v>-</v>
          </cell>
          <cell r="L457" t="str">
            <v>-</v>
          </cell>
          <cell r="M457" t="str">
            <v>-</v>
          </cell>
          <cell r="N457" t="str">
            <v>INHIL</v>
          </cell>
        </row>
        <row r="458">
          <cell r="F458">
            <v>31</v>
          </cell>
          <cell r="J458" t="str">
            <v>-</v>
          </cell>
          <cell r="K458" t="str">
            <v>-</v>
          </cell>
          <cell r="L458" t="str">
            <v>-</v>
          </cell>
          <cell r="M458" t="str">
            <v>-</v>
          </cell>
          <cell r="N458" t="str">
            <v>INHIL</v>
          </cell>
        </row>
        <row r="459">
          <cell r="F459">
            <v>23</v>
          </cell>
          <cell r="J459" t="str">
            <v>-</v>
          </cell>
          <cell r="K459" t="str">
            <v>-</v>
          </cell>
          <cell r="L459" t="str">
            <v>-</v>
          </cell>
          <cell r="M459" t="str">
            <v>-</v>
          </cell>
          <cell r="N459" t="str">
            <v>INHIL</v>
          </cell>
        </row>
        <row r="460">
          <cell r="F460">
            <v>30</v>
          </cell>
          <cell r="J460" t="str">
            <v>-</v>
          </cell>
          <cell r="K460" t="str">
            <v>-</v>
          </cell>
          <cell r="L460" t="str">
            <v>-</v>
          </cell>
          <cell r="M460" t="str">
            <v>-</v>
          </cell>
          <cell r="N460" t="str">
            <v>INHIL</v>
          </cell>
        </row>
        <row r="461">
          <cell r="F461">
            <v>34</v>
          </cell>
          <cell r="J461" t="str">
            <v>-</v>
          </cell>
          <cell r="K461" t="str">
            <v>-</v>
          </cell>
          <cell r="L461" t="str">
            <v>-</v>
          </cell>
          <cell r="M461" t="str">
            <v>-</v>
          </cell>
          <cell r="N461" t="str">
            <v>INHIL</v>
          </cell>
        </row>
        <row r="462">
          <cell r="F462">
            <v>30</v>
          </cell>
          <cell r="J462" t="str">
            <v>-</v>
          </cell>
          <cell r="K462" t="str">
            <v>-</v>
          </cell>
          <cell r="L462" t="str">
            <v>-</v>
          </cell>
          <cell r="M462" t="str">
            <v>-</v>
          </cell>
          <cell r="N462" t="str">
            <v>INHIL</v>
          </cell>
        </row>
        <row r="463">
          <cell r="F463">
            <v>34</v>
          </cell>
          <cell r="J463" t="str">
            <v>-</v>
          </cell>
          <cell r="K463" t="str">
            <v>-</v>
          </cell>
          <cell r="L463" t="str">
            <v>-</v>
          </cell>
          <cell r="M463" t="str">
            <v>-</v>
          </cell>
          <cell r="N463" t="str">
            <v>INHIL</v>
          </cell>
        </row>
        <row r="464">
          <cell r="F464">
            <v>32</v>
          </cell>
          <cell r="J464" t="str">
            <v>-</v>
          </cell>
          <cell r="K464" t="str">
            <v>-</v>
          </cell>
          <cell r="L464" t="str">
            <v>-</v>
          </cell>
          <cell r="M464" t="str">
            <v>-</v>
          </cell>
          <cell r="N464" t="str">
            <v>INHIL</v>
          </cell>
        </row>
        <row r="465">
          <cell r="F465">
            <v>32</v>
          </cell>
          <cell r="J465" t="str">
            <v>-</v>
          </cell>
          <cell r="K465" t="str">
            <v>-</v>
          </cell>
          <cell r="L465" t="str">
            <v>-</v>
          </cell>
          <cell r="M465" t="str">
            <v>-</v>
          </cell>
          <cell r="N465" t="str">
            <v>INHIL</v>
          </cell>
        </row>
        <row r="466">
          <cell r="F466">
            <v>35</v>
          </cell>
          <cell r="J466" t="str">
            <v>-</v>
          </cell>
          <cell r="K466" t="str">
            <v>-</v>
          </cell>
          <cell r="L466" t="str">
            <v>-</v>
          </cell>
          <cell r="M466" t="str">
            <v>-</v>
          </cell>
          <cell r="N466" t="str">
            <v>INHIL</v>
          </cell>
        </row>
        <row r="467">
          <cell r="F467">
            <v>31</v>
          </cell>
          <cell r="J467" t="str">
            <v>-</v>
          </cell>
          <cell r="K467" t="str">
            <v>-</v>
          </cell>
          <cell r="L467" t="str">
            <v>-</v>
          </cell>
          <cell r="M467" t="str">
            <v>-</v>
          </cell>
          <cell r="N467" t="str">
            <v>INHIL</v>
          </cell>
        </row>
        <row r="468">
          <cell r="F468">
            <v>31</v>
          </cell>
          <cell r="J468" t="str">
            <v>INHIL</v>
          </cell>
          <cell r="K468" t="str">
            <v>-</v>
          </cell>
          <cell r="L468" t="str">
            <v>-</v>
          </cell>
          <cell r="M468" t="str">
            <v>-</v>
          </cell>
          <cell r="N468" t="str">
            <v>INHIL</v>
          </cell>
        </row>
        <row r="469">
          <cell r="F469">
            <v>32</v>
          </cell>
          <cell r="J469" t="str">
            <v>-</v>
          </cell>
          <cell r="K469" t="str">
            <v>-</v>
          </cell>
          <cell r="L469" t="str">
            <v>-</v>
          </cell>
          <cell r="M469" t="str">
            <v>-</v>
          </cell>
          <cell r="N469" t="str">
            <v>INHIL</v>
          </cell>
        </row>
        <row r="470">
          <cell r="F470">
            <v>33</v>
          </cell>
          <cell r="J470" t="str">
            <v>-</v>
          </cell>
          <cell r="K470" t="str">
            <v>-</v>
          </cell>
          <cell r="L470" t="str">
            <v>-</v>
          </cell>
          <cell r="M470" t="str">
            <v>-</v>
          </cell>
          <cell r="N470" t="str">
            <v>INHIL</v>
          </cell>
        </row>
        <row r="471">
          <cell r="F471">
            <v>30</v>
          </cell>
          <cell r="J471" t="str">
            <v>INHIL</v>
          </cell>
          <cell r="K471" t="str">
            <v>-</v>
          </cell>
          <cell r="L471" t="str">
            <v>-</v>
          </cell>
          <cell r="M471" t="str">
            <v>-</v>
          </cell>
          <cell r="N471" t="str">
            <v>INHIL</v>
          </cell>
        </row>
        <row r="472">
          <cell r="F472">
            <v>23</v>
          </cell>
          <cell r="J472" t="str">
            <v>-</v>
          </cell>
          <cell r="K472" t="str">
            <v>-</v>
          </cell>
          <cell r="L472" t="str">
            <v>-</v>
          </cell>
          <cell r="M472" t="str">
            <v>-</v>
          </cell>
          <cell r="N472" t="str">
            <v>INHIL</v>
          </cell>
        </row>
        <row r="473">
          <cell r="F473">
            <v>22</v>
          </cell>
          <cell r="J473" t="str">
            <v>-</v>
          </cell>
          <cell r="K473" t="str">
            <v>-</v>
          </cell>
          <cell r="L473" t="str">
            <v>-</v>
          </cell>
          <cell r="M473" t="str">
            <v>-</v>
          </cell>
          <cell r="N473" t="str">
            <v>No</v>
          </cell>
        </row>
        <row r="474">
          <cell r="F474">
            <v>23</v>
          </cell>
          <cell r="J474" t="str">
            <v>-</v>
          </cell>
          <cell r="K474" t="str">
            <v>-</v>
          </cell>
          <cell r="L474" t="str">
            <v>-</v>
          </cell>
          <cell r="M474" t="str">
            <v>-</v>
          </cell>
          <cell r="N474" t="str">
            <v>No</v>
          </cell>
        </row>
        <row r="475">
          <cell r="F475">
            <v>33</v>
          </cell>
          <cell r="J475" t="str">
            <v>-</v>
          </cell>
          <cell r="K475" t="str">
            <v>INHIL</v>
          </cell>
          <cell r="L475" t="str">
            <v>-</v>
          </cell>
          <cell r="M475" t="str">
            <v>-</v>
          </cell>
          <cell r="N475" t="str">
            <v>INHIL</v>
          </cell>
        </row>
        <row r="476">
          <cell r="F476">
            <v>22</v>
          </cell>
          <cell r="J476" t="str">
            <v>-</v>
          </cell>
          <cell r="K476" t="str">
            <v>-</v>
          </cell>
          <cell r="L476" t="str">
            <v>-</v>
          </cell>
          <cell r="M476" t="str">
            <v>-</v>
          </cell>
          <cell r="N476" t="str">
            <v>INHIL</v>
          </cell>
        </row>
        <row r="477">
          <cell r="F477">
            <v>23</v>
          </cell>
          <cell r="J477" t="str">
            <v>-</v>
          </cell>
          <cell r="K477" t="str">
            <v>-</v>
          </cell>
          <cell r="L477" t="str">
            <v>-</v>
          </cell>
          <cell r="M477" t="str">
            <v>-</v>
          </cell>
          <cell r="N477" t="str">
            <v>INHIL</v>
          </cell>
        </row>
        <row r="478">
          <cell r="F478">
            <v>26</v>
          </cell>
          <cell r="J478" t="str">
            <v>-</v>
          </cell>
          <cell r="K478" t="str">
            <v>-</v>
          </cell>
          <cell r="L478" t="str">
            <v>-</v>
          </cell>
          <cell r="M478" t="str">
            <v>-</v>
          </cell>
          <cell r="N478" t="str">
            <v>No</v>
          </cell>
        </row>
        <row r="479">
          <cell r="F479">
            <v>31</v>
          </cell>
          <cell r="J479" t="str">
            <v>-</v>
          </cell>
          <cell r="K479" t="str">
            <v>-</v>
          </cell>
          <cell r="L479" t="str">
            <v>-</v>
          </cell>
          <cell r="M479" t="str">
            <v>-</v>
          </cell>
          <cell r="N479" t="str">
            <v>INHIL</v>
          </cell>
        </row>
        <row r="480">
          <cell r="F480">
            <v>28</v>
          </cell>
          <cell r="J480" t="str">
            <v>-</v>
          </cell>
          <cell r="K480" t="str">
            <v>-</v>
          </cell>
          <cell r="L480" t="str">
            <v>-</v>
          </cell>
          <cell r="M480" t="str">
            <v>-</v>
          </cell>
          <cell r="N480" t="str">
            <v>INHIL</v>
          </cell>
        </row>
        <row r="481">
          <cell r="F481">
            <v>25</v>
          </cell>
          <cell r="J481" t="str">
            <v>INHIL</v>
          </cell>
          <cell r="K481" t="str">
            <v>-</v>
          </cell>
          <cell r="L481" t="str">
            <v>-</v>
          </cell>
          <cell r="M481" t="str">
            <v>-</v>
          </cell>
          <cell r="N481" t="str">
            <v>INHIL</v>
          </cell>
        </row>
        <row r="482">
          <cell r="F482">
            <v>31</v>
          </cell>
          <cell r="J482" t="str">
            <v>-</v>
          </cell>
          <cell r="K482" t="str">
            <v>-</v>
          </cell>
          <cell r="L482" t="str">
            <v>-</v>
          </cell>
          <cell r="M482" t="str">
            <v>-</v>
          </cell>
          <cell r="N482" t="str">
            <v>INHIL</v>
          </cell>
        </row>
        <row r="483">
          <cell r="F483">
            <v>30</v>
          </cell>
          <cell r="J483" t="str">
            <v>-</v>
          </cell>
          <cell r="K483" t="str">
            <v>-</v>
          </cell>
          <cell r="L483" t="str">
            <v>-</v>
          </cell>
          <cell r="M483" t="str">
            <v>-</v>
          </cell>
          <cell r="N483" t="str">
            <v>No</v>
          </cell>
        </row>
        <row r="484">
          <cell r="F484">
            <v>32</v>
          </cell>
          <cell r="J484" t="str">
            <v>-</v>
          </cell>
          <cell r="K484" t="str">
            <v>-</v>
          </cell>
          <cell r="L484" t="str">
            <v>-</v>
          </cell>
          <cell r="M484" t="str">
            <v>-</v>
          </cell>
          <cell r="N484" t="str">
            <v>INHIL</v>
          </cell>
        </row>
        <row r="485">
          <cell r="F485">
            <v>34</v>
          </cell>
          <cell r="J485" t="str">
            <v>-</v>
          </cell>
          <cell r="K485" t="str">
            <v>-</v>
          </cell>
          <cell r="L485" t="str">
            <v>-</v>
          </cell>
          <cell r="M485" t="str">
            <v>-</v>
          </cell>
          <cell r="N485" t="str">
            <v>INHIL</v>
          </cell>
        </row>
        <row r="486">
          <cell r="F486">
            <v>35</v>
          </cell>
          <cell r="J486" t="str">
            <v>-</v>
          </cell>
          <cell r="K486" t="str">
            <v>-</v>
          </cell>
          <cell r="L486" t="str">
            <v>-</v>
          </cell>
          <cell r="M486" t="str">
            <v>-</v>
          </cell>
          <cell r="N486" t="str">
            <v>INHIL</v>
          </cell>
        </row>
        <row r="487">
          <cell r="F487">
            <v>35</v>
          </cell>
          <cell r="J487" t="str">
            <v>-</v>
          </cell>
          <cell r="K487" t="str">
            <v>-</v>
          </cell>
          <cell r="L487" t="str">
            <v>-</v>
          </cell>
          <cell r="M487" t="str">
            <v>-</v>
          </cell>
          <cell r="N487" t="str">
            <v>INHIL</v>
          </cell>
        </row>
        <row r="488">
          <cell r="F488">
            <v>33</v>
          </cell>
          <cell r="J488" t="str">
            <v>-</v>
          </cell>
          <cell r="K488" t="str">
            <v>-</v>
          </cell>
          <cell r="L488" t="str">
            <v>-</v>
          </cell>
          <cell r="M488" t="str">
            <v>-</v>
          </cell>
          <cell r="N488" t="str">
            <v>INHIL</v>
          </cell>
        </row>
        <row r="489">
          <cell r="F489">
            <v>43</v>
          </cell>
          <cell r="J489" t="str">
            <v>-</v>
          </cell>
          <cell r="K489" t="str">
            <v>-</v>
          </cell>
          <cell r="L489" t="str">
            <v>-</v>
          </cell>
          <cell r="M489" t="str">
            <v>-</v>
          </cell>
          <cell r="N489" t="str">
            <v>INHIL</v>
          </cell>
        </row>
        <row r="490">
          <cell r="F490">
            <v>28</v>
          </cell>
          <cell r="J490" t="str">
            <v>-</v>
          </cell>
          <cell r="K490" t="str">
            <v>-</v>
          </cell>
          <cell r="L490" t="str">
            <v>-</v>
          </cell>
          <cell r="M490" t="str">
            <v>-</v>
          </cell>
          <cell r="N490" t="str">
            <v>INHIL</v>
          </cell>
        </row>
        <row r="491">
          <cell r="F491">
            <v>23</v>
          </cell>
          <cell r="J491" t="str">
            <v>-</v>
          </cell>
          <cell r="K491" t="str">
            <v>-</v>
          </cell>
          <cell r="L491" t="str">
            <v>INHIL</v>
          </cell>
          <cell r="M491" t="str">
            <v>-</v>
          </cell>
          <cell r="N491" t="str">
            <v>INHIL</v>
          </cell>
        </row>
        <row r="492">
          <cell r="F492">
            <v>24</v>
          </cell>
          <cell r="J492" t="str">
            <v>-</v>
          </cell>
          <cell r="K492" t="str">
            <v>-</v>
          </cell>
          <cell r="L492" t="str">
            <v>-</v>
          </cell>
          <cell r="M492" t="str">
            <v>-</v>
          </cell>
          <cell r="N492" t="str">
            <v>No</v>
          </cell>
        </row>
        <row r="493">
          <cell r="F493">
            <v>27</v>
          </cell>
          <cell r="J493" t="str">
            <v>-</v>
          </cell>
          <cell r="K493" t="str">
            <v>-</v>
          </cell>
          <cell r="L493" t="str">
            <v>-</v>
          </cell>
          <cell r="M493" t="str">
            <v>-</v>
          </cell>
          <cell r="N493" t="str">
            <v>No</v>
          </cell>
        </row>
        <row r="494">
          <cell r="F494">
            <v>31</v>
          </cell>
          <cell r="J494" t="str">
            <v>-</v>
          </cell>
          <cell r="K494" t="str">
            <v>-</v>
          </cell>
          <cell r="L494" t="str">
            <v>-</v>
          </cell>
          <cell r="M494" t="str">
            <v>-</v>
          </cell>
          <cell r="N494" t="str">
            <v>INHIL</v>
          </cell>
        </row>
        <row r="495">
          <cell r="F495">
            <v>31</v>
          </cell>
          <cell r="J495" t="str">
            <v>-</v>
          </cell>
          <cell r="K495" t="str">
            <v>-</v>
          </cell>
          <cell r="L495" t="str">
            <v>-</v>
          </cell>
          <cell r="M495" t="str">
            <v>-</v>
          </cell>
          <cell r="N495" t="str">
            <v>INHIL</v>
          </cell>
        </row>
        <row r="496">
          <cell r="F496">
            <v>34</v>
          </cell>
          <cell r="J496" t="str">
            <v>-</v>
          </cell>
          <cell r="K496" t="str">
            <v>-</v>
          </cell>
          <cell r="L496" t="str">
            <v>-</v>
          </cell>
          <cell r="M496" t="str">
            <v>-</v>
          </cell>
          <cell r="N496" t="str">
            <v>INHIL</v>
          </cell>
        </row>
        <row r="497">
          <cell r="F497">
            <v>35</v>
          </cell>
          <cell r="J497" t="str">
            <v>-</v>
          </cell>
          <cell r="K497" t="str">
            <v>-</v>
          </cell>
          <cell r="L497" t="str">
            <v>-</v>
          </cell>
          <cell r="M497" t="str">
            <v>-</v>
          </cell>
          <cell r="N497" t="str">
            <v>INHIL</v>
          </cell>
        </row>
        <row r="498">
          <cell r="F498">
            <v>31</v>
          </cell>
          <cell r="J498" t="str">
            <v>-</v>
          </cell>
          <cell r="K498" t="str">
            <v>-</v>
          </cell>
          <cell r="L498" t="str">
            <v>-</v>
          </cell>
          <cell r="M498" t="str">
            <v>-</v>
          </cell>
          <cell r="N498" t="str">
            <v>INHIL</v>
          </cell>
        </row>
        <row r="499">
          <cell r="F499">
            <v>30</v>
          </cell>
          <cell r="J499" t="str">
            <v>-</v>
          </cell>
          <cell r="K499" t="str">
            <v>-</v>
          </cell>
          <cell r="L499" t="str">
            <v>-</v>
          </cell>
          <cell r="M499" t="str">
            <v>-</v>
          </cell>
          <cell r="N499" t="str">
            <v>INHIL</v>
          </cell>
        </row>
        <row r="500">
          <cell r="F500">
            <v>37</v>
          </cell>
          <cell r="J500" t="str">
            <v>-</v>
          </cell>
          <cell r="K500" t="str">
            <v>-</v>
          </cell>
          <cell r="L500" t="str">
            <v>-</v>
          </cell>
          <cell r="M500" t="str">
            <v>-</v>
          </cell>
          <cell r="N500" t="str">
            <v>INHIL</v>
          </cell>
        </row>
        <row r="501">
          <cell r="F501">
            <v>28</v>
          </cell>
          <cell r="J501" t="str">
            <v>-</v>
          </cell>
          <cell r="K501" t="str">
            <v>-</v>
          </cell>
          <cell r="L501" t="str">
            <v>-</v>
          </cell>
          <cell r="M501" t="str">
            <v>-</v>
          </cell>
          <cell r="N501" t="str">
            <v>No</v>
          </cell>
        </row>
        <row r="502">
          <cell r="F502">
            <v>39</v>
          </cell>
          <cell r="J502" t="str">
            <v>-</v>
          </cell>
          <cell r="K502" t="str">
            <v>-</v>
          </cell>
          <cell r="L502" t="str">
            <v>-</v>
          </cell>
          <cell r="M502" t="str">
            <v>-</v>
          </cell>
          <cell r="N502" t="str">
            <v>INHIL</v>
          </cell>
        </row>
        <row r="503">
          <cell r="F503">
            <v>20</v>
          </cell>
          <cell r="J503" t="str">
            <v>-</v>
          </cell>
          <cell r="K503" t="str">
            <v>-</v>
          </cell>
          <cell r="L503" t="str">
            <v>-</v>
          </cell>
          <cell r="M503" t="str">
            <v>-</v>
          </cell>
          <cell r="N503" t="str">
            <v>No</v>
          </cell>
        </row>
        <row r="504">
          <cell r="F504">
            <v>19</v>
          </cell>
          <cell r="J504" t="str">
            <v>-</v>
          </cell>
          <cell r="K504" t="str">
            <v>-</v>
          </cell>
          <cell r="L504" t="str">
            <v>-</v>
          </cell>
          <cell r="M504" t="str">
            <v>-</v>
          </cell>
          <cell r="N504" t="str">
            <v>No</v>
          </cell>
        </row>
        <row r="505">
          <cell r="F505">
            <v>20</v>
          </cell>
          <cell r="J505" t="str">
            <v>-</v>
          </cell>
          <cell r="K505" t="str">
            <v>-</v>
          </cell>
          <cell r="L505" t="str">
            <v>-</v>
          </cell>
          <cell r="M505" t="str">
            <v>-</v>
          </cell>
          <cell r="N505" t="str">
            <v>No</v>
          </cell>
        </row>
        <row r="506">
          <cell r="F506">
            <v>19</v>
          </cell>
          <cell r="J506" t="str">
            <v>-</v>
          </cell>
          <cell r="K506" t="str">
            <v>-</v>
          </cell>
          <cell r="L506" t="str">
            <v>-</v>
          </cell>
          <cell r="M506" t="str">
            <v>-</v>
          </cell>
          <cell r="N506" t="str">
            <v>No</v>
          </cell>
        </row>
        <row r="507">
          <cell r="F507">
            <v>21</v>
          </cell>
          <cell r="J507" t="str">
            <v>-</v>
          </cell>
          <cell r="K507" t="str">
            <v>-</v>
          </cell>
          <cell r="L507" t="str">
            <v>-</v>
          </cell>
          <cell r="M507" t="str">
            <v>-</v>
          </cell>
          <cell r="N507" t="str">
            <v>No</v>
          </cell>
        </row>
        <row r="508">
          <cell r="F508">
            <v>20</v>
          </cell>
          <cell r="J508" t="str">
            <v>-</v>
          </cell>
          <cell r="K508" t="str">
            <v>-</v>
          </cell>
          <cell r="L508" t="str">
            <v>-</v>
          </cell>
          <cell r="M508" t="str">
            <v>-</v>
          </cell>
          <cell r="N508" t="str">
            <v>No</v>
          </cell>
        </row>
        <row r="509">
          <cell r="F509">
            <v>19</v>
          </cell>
          <cell r="J509" t="str">
            <v>-</v>
          </cell>
          <cell r="K509" t="str">
            <v>-</v>
          </cell>
          <cell r="L509" t="str">
            <v>-</v>
          </cell>
          <cell r="M509" t="str">
            <v>-</v>
          </cell>
          <cell r="N509" t="str">
            <v>No</v>
          </cell>
        </row>
        <row r="510">
          <cell r="F510">
            <v>21</v>
          </cell>
          <cell r="J510" t="str">
            <v>-</v>
          </cell>
          <cell r="K510" t="str">
            <v>-</v>
          </cell>
          <cell r="L510" t="str">
            <v>-</v>
          </cell>
          <cell r="M510" t="str">
            <v>-</v>
          </cell>
          <cell r="N510" t="str">
            <v>No</v>
          </cell>
        </row>
        <row r="511">
          <cell r="F511">
            <v>20</v>
          </cell>
          <cell r="J511" t="str">
            <v>-</v>
          </cell>
          <cell r="K511" t="str">
            <v>-</v>
          </cell>
          <cell r="L511" t="str">
            <v>-</v>
          </cell>
          <cell r="M511" t="str">
            <v>-</v>
          </cell>
          <cell r="N511" t="str">
            <v>No</v>
          </cell>
        </row>
        <row r="512">
          <cell r="F512">
            <v>21</v>
          </cell>
          <cell r="J512" t="str">
            <v>-</v>
          </cell>
          <cell r="K512" t="str">
            <v>-</v>
          </cell>
          <cell r="L512" t="str">
            <v>-</v>
          </cell>
          <cell r="M512" t="str">
            <v>-</v>
          </cell>
          <cell r="N512" t="str">
            <v>No</v>
          </cell>
        </row>
        <row r="513">
          <cell r="F513">
            <v>20</v>
          </cell>
          <cell r="J513" t="str">
            <v>-</v>
          </cell>
          <cell r="K513" t="str">
            <v>-</v>
          </cell>
          <cell r="L513" t="str">
            <v>-</v>
          </cell>
          <cell r="M513" t="str">
            <v>-</v>
          </cell>
          <cell r="N513" t="str">
            <v>No</v>
          </cell>
        </row>
        <row r="514">
          <cell r="F514">
            <v>21</v>
          </cell>
          <cell r="J514" t="str">
            <v>INHIL</v>
          </cell>
          <cell r="K514" t="str">
            <v>-</v>
          </cell>
          <cell r="L514" t="str">
            <v>-</v>
          </cell>
          <cell r="M514" t="str">
            <v>-</v>
          </cell>
          <cell r="N514" t="str">
            <v>INHIL</v>
          </cell>
        </row>
        <row r="515">
          <cell r="F515">
            <v>20</v>
          </cell>
          <cell r="J515" t="str">
            <v>INHIL</v>
          </cell>
          <cell r="K515" t="str">
            <v>-</v>
          </cell>
          <cell r="L515" t="str">
            <v>-</v>
          </cell>
          <cell r="M515" t="str">
            <v>-</v>
          </cell>
          <cell r="N515" t="str">
            <v>INHIL</v>
          </cell>
        </row>
        <row r="516">
          <cell r="F516">
            <v>22</v>
          </cell>
          <cell r="J516" t="str">
            <v>-</v>
          </cell>
          <cell r="K516" t="str">
            <v>-</v>
          </cell>
          <cell r="L516" t="str">
            <v>INHIL</v>
          </cell>
          <cell r="M516" t="str">
            <v>-</v>
          </cell>
          <cell r="N516" t="str">
            <v>INHIL</v>
          </cell>
        </row>
        <row r="517">
          <cell r="F517">
            <v>21</v>
          </cell>
          <cell r="J517" t="str">
            <v>-</v>
          </cell>
          <cell r="K517" t="str">
            <v>-</v>
          </cell>
          <cell r="L517" t="str">
            <v>-</v>
          </cell>
          <cell r="M517" t="str">
            <v>-</v>
          </cell>
          <cell r="N517" t="str">
            <v>No</v>
          </cell>
        </row>
        <row r="518">
          <cell r="F518">
            <v>23</v>
          </cell>
          <cell r="J518" t="str">
            <v>-</v>
          </cell>
          <cell r="K518" t="str">
            <v>-</v>
          </cell>
          <cell r="L518" t="str">
            <v>-</v>
          </cell>
          <cell r="M518" t="str">
            <v>-</v>
          </cell>
          <cell r="N518" t="str">
            <v>INHIL</v>
          </cell>
        </row>
        <row r="519">
          <cell r="F519">
            <v>22</v>
          </cell>
          <cell r="J519" t="str">
            <v>-</v>
          </cell>
          <cell r="K519" t="str">
            <v>-</v>
          </cell>
          <cell r="L519" t="str">
            <v>-</v>
          </cell>
          <cell r="M519" t="str">
            <v>-</v>
          </cell>
          <cell r="N519" t="str">
            <v>No</v>
          </cell>
        </row>
        <row r="520">
          <cell r="F520">
            <v>24</v>
          </cell>
          <cell r="J520" t="str">
            <v>-</v>
          </cell>
          <cell r="K520" t="str">
            <v>INHIL</v>
          </cell>
          <cell r="L520" t="str">
            <v>-</v>
          </cell>
          <cell r="M520" t="str">
            <v>-</v>
          </cell>
          <cell r="N520" t="str">
            <v>INHIL</v>
          </cell>
        </row>
        <row r="521">
          <cell r="F521">
            <v>25</v>
          </cell>
          <cell r="J521" t="str">
            <v>-</v>
          </cell>
          <cell r="K521" t="str">
            <v>-</v>
          </cell>
          <cell r="L521" t="str">
            <v>-</v>
          </cell>
          <cell r="M521" t="str">
            <v>-</v>
          </cell>
          <cell r="N521" t="str">
            <v>No</v>
          </cell>
        </row>
        <row r="522">
          <cell r="F522">
            <v>29</v>
          </cell>
          <cell r="J522" t="str">
            <v>-</v>
          </cell>
          <cell r="K522" t="str">
            <v>-</v>
          </cell>
          <cell r="L522" t="str">
            <v>-</v>
          </cell>
          <cell r="M522" t="str">
            <v>-</v>
          </cell>
          <cell r="N522" t="str">
            <v>No</v>
          </cell>
        </row>
        <row r="523">
          <cell r="F523">
            <v>23</v>
          </cell>
          <cell r="J523" t="str">
            <v>-</v>
          </cell>
          <cell r="K523" t="str">
            <v>-</v>
          </cell>
          <cell r="L523" t="str">
            <v>-</v>
          </cell>
          <cell r="M523" t="str">
            <v>-</v>
          </cell>
          <cell r="N523" t="str">
            <v>No</v>
          </cell>
        </row>
        <row r="524">
          <cell r="F524">
            <v>19</v>
          </cell>
          <cell r="J524" t="str">
            <v>-</v>
          </cell>
          <cell r="K524" t="str">
            <v>-</v>
          </cell>
          <cell r="L524" t="str">
            <v>-</v>
          </cell>
          <cell r="M524" t="str">
            <v>-</v>
          </cell>
          <cell r="N524" t="str">
            <v>No</v>
          </cell>
        </row>
        <row r="525">
          <cell r="F525">
            <v>18</v>
          </cell>
          <cell r="J525" t="str">
            <v>-</v>
          </cell>
          <cell r="K525" t="str">
            <v>-</v>
          </cell>
          <cell r="L525" t="str">
            <v>-</v>
          </cell>
          <cell r="M525" t="str">
            <v>-</v>
          </cell>
          <cell r="N525" t="str">
            <v>No</v>
          </cell>
        </row>
        <row r="526">
          <cell r="F526">
            <v>18</v>
          </cell>
          <cell r="J526" t="str">
            <v>-</v>
          </cell>
          <cell r="K526" t="str">
            <v>-</v>
          </cell>
          <cell r="L526" t="str">
            <v>-</v>
          </cell>
          <cell r="M526" t="str">
            <v>-</v>
          </cell>
          <cell r="N526" t="str">
            <v>No</v>
          </cell>
        </row>
        <row r="527">
          <cell r="F527">
            <v>18</v>
          </cell>
          <cell r="J527" t="str">
            <v>-</v>
          </cell>
          <cell r="K527" t="str">
            <v>-</v>
          </cell>
          <cell r="L527" t="str">
            <v>-</v>
          </cell>
          <cell r="M527" t="str">
            <v>-</v>
          </cell>
          <cell r="N527" t="str">
            <v>No</v>
          </cell>
        </row>
        <row r="528">
          <cell r="F528">
            <v>20</v>
          </cell>
          <cell r="J528" t="str">
            <v>-</v>
          </cell>
          <cell r="K528" t="str">
            <v>-</v>
          </cell>
          <cell r="L528" t="str">
            <v>-</v>
          </cell>
          <cell r="M528" t="str">
            <v>-</v>
          </cell>
          <cell r="N528" t="str">
            <v>No</v>
          </cell>
        </row>
        <row r="529">
          <cell r="F529">
            <v>19</v>
          </cell>
          <cell r="J529" t="str">
            <v>INHIL</v>
          </cell>
          <cell r="K529" t="str">
            <v>-</v>
          </cell>
          <cell r="L529" t="str">
            <v>-</v>
          </cell>
          <cell r="M529" t="str">
            <v>-</v>
          </cell>
          <cell r="N529" t="str">
            <v>INHIL</v>
          </cell>
        </row>
        <row r="530">
          <cell r="F530">
            <v>19</v>
          </cell>
          <cell r="J530" t="str">
            <v>-</v>
          </cell>
          <cell r="K530" t="str">
            <v>-</v>
          </cell>
          <cell r="L530" t="str">
            <v>-</v>
          </cell>
          <cell r="M530" t="str">
            <v>-</v>
          </cell>
          <cell r="N530" t="str">
            <v>No</v>
          </cell>
        </row>
        <row r="531">
          <cell r="F531">
            <v>18</v>
          </cell>
          <cell r="J531" t="str">
            <v>-</v>
          </cell>
          <cell r="K531" t="str">
            <v>-</v>
          </cell>
          <cell r="L531" t="str">
            <v>-</v>
          </cell>
          <cell r="M531" t="str">
            <v>-</v>
          </cell>
          <cell r="N531" t="str">
            <v>No</v>
          </cell>
        </row>
        <row r="532">
          <cell r="F532">
            <v>19</v>
          </cell>
          <cell r="J532" t="str">
            <v>-</v>
          </cell>
          <cell r="K532" t="str">
            <v>-</v>
          </cell>
          <cell r="L532" t="str">
            <v>-</v>
          </cell>
          <cell r="M532" t="str">
            <v>-</v>
          </cell>
          <cell r="N532" t="str">
            <v>No</v>
          </cell>
        </row>
        <row r="533">
          <cell r="F533">
            <v>18</v>
          </cell>
          <cell r="J533" t="str">
            <v>-</v>
          </cell>
          <cell r="K533" t="str">
            <v>-</v>
          </cell>
          <cell r="L533" t="str">
            <v>INHIL</v>
          </cell>
          <cell r="M533" t="str">
            <v>-</v>
          </cell>
          <cell r="N533" t="str">
            <v>INHIL</v>
          </cell>
        </row>
        <row r="534">
          <cell r="F534">
            <v>22</v>
          </cell>
          <cell r="J534" t="str">
            <v>-</v>
          </cell>
          <cell r="K534" t="str">
            <v>-</v>
          </cell>
          <cell r="L534" t="str">
            <v>-</v>
          </cell>
          <cell r="M534" t="str">
            <v>-</v>
          </cell>
          <cell r="N534" t="str">
            <v>No</v>
          </cell>
        </row>
        <row r="535">
          <cell r="F535">
            <v>26</v>
          </cell>
          <cell r="J535" t="str">
            <v>-</v>
          </cell>
          <cell r="K535" t="str">
            <v>-</v>
          </cell>
          <cell r="L535" t="str">
            <v>-</v>
          </cell>
          <cell r="M535" t="str">
            <v>-</v>
          </cell>
          <cell r="N535" t="str">
            <v>No</v>
          </cell>
        </row>
        <row r="536">
          <cell r="F536">
            <v>23</v>
          </cell>
          <cell r="J536" t="str">
            <v>-</v>
          </cell>
          <cell r="K536" t="str">
            <v>-</v>
          </cell>
          <cell r="L536" t="str">
            <v>-</v>
          </cell>
          <cell r="M536" t="str">
            <v>-</v>
          </cell>
          <cell r="N536" t="str">
            <v>No</v>
          </cell>
        </row>
        <row r="537">
          <cell r="F537">
            <v>24</v>
          </cell>
          <cell r="J537" t="str">
            <v>-</v>
          </cell>
          <cell r="K537" t="str">
            <v>-</v>
          </cell>
          <cell r="L537" t="str">
            <v>-</v>
          </cell>
          <cell r="M537" t="str">
            <v>-</v>
          </cell>
          <cell r="N537" t="str">
            <v>No</v>
          </cell>
        </row>
      </sheetData>
      <sheetData sheetId="27" refreshError="1">
        <row r="3">
          <cell r="F3" t="str">
            <v>THN</v>
          </cell>
        </row>
        <row r="4">
          <cell r="F4">
            <v>29</v>
          </cell>
          <cell r="J4" t="str">
            <v>-</v>
          </cell>
          <cell r="K4" t="str">
            <v>INHIL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F5">
            <v>33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No</v>
          </cell>
        </row>
        <row r="6">
          <cell r="F6">
            <v>30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No</v>
          </cell>
        </row>
        <row r="7">
          <cell r="F7">
            <v>25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INHIL</v>
          </cell>
        </row>
        <row r="8">
          <cell r="F8">
            <v>28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No</v>
          </cell>
        </row>
        <row r="9">
          <cell r="F9">
            <v>22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No</v>
          </cell>
        </row>
        <row r="10">
          <cell r="F10">
            <v>24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No</v>
          </cell>
        </row>
        <row r="11">
          <cell r="F11">
            <v>18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No</v>
          </cell>
        </row>
        <row r="12">
          <cell r="F12">
            <v>24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No</v>
          </cell>
        </row>
        <row r="13">
          <cell r="F13">
            <v>21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No</v>
          </cell>
        </row>
        <row r="14">
          <cell r="F14">
            <v>20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No</v>
          </cell>
        </row>
        <row r="15">
          <cell r="F15">
            <v>37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INHIL</v>
          </cell>
        </row>
        <row r="16">
          <cell r="F16">
            <v>24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No</v>
          </cell>
        </row>
        <row r="17">
          <cell r="F17">
            <v>22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INHIL</v>
          </cell>
        </row>
        <row r="18">
          <cell r="F18">
            <v>20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No</v>
          </cell>
        </row>
        <row r="19">
          <cell r="F19">
            <v>20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No</v>
          </cell>
        </row>
        <row r="20">
          <cell r="F20">
            <v>18</v>
          </cell>
          <cell r="J20" t="str">
            <v>-</v>
          </cell>
          <cell r="K20" t="str">
            <v>-</v>
          </cell>
          <cell r="L20" t="str">
            <v>-</v>
          </cell>
          <cell r="M20" t="str">
            <v>-</v>
          </cell>
          <cell r="N20" t="str">
            <v>No</v>
          </cell>
        </row>
        <row r="21">
          <cell r="F21">
            <v>22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No</v>
          </cell>
        </row>
        <row r="22">
          <cell r="F22">
            <v>19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No</v>
          </cell>
        </row>
        <row r="23">
          <cell r="F23">
            <v>18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No</v>
          </cell>
        </row>
        <row r="24">
          <cell r="F24">
            <v>19</v>
          </cell>
          <cell r="N24" t="str">
            <v>No</v>
          </cell>
        </row>
        <row r="25">
          <cell r="F25">
            <v>19</v>
          </cell>
          <cell r="N25" t="str">
            <v>No</v>
          </cell>
        </row>
        <row r="26">
          <cell r="F26">
            <v>20</v>
          </cell>
          <cell r="N26" t="str">
            <v>INHIL</v>
          </cell>
        </row>
      </sheetData>
      <sheetData sheetId="28" refreshError="1">
        <row r="3">
          <cell r="F3" t="str">
            <v>THN</v>
          </cell>
        </row>
        <row r="4">
          <cell r="F4">
            <v>33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INHIL</v>
          </cell>
          <cell r="N4" t="str">
            <v>INHIL</v>
          </cell>
        </row>
        <row r="5">
          <cell r="F5">
            <v>28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25</v>
          </cell>
          <cell r="J6" t="str">
            <v>-</v>
          </cell>
          <cell r="K6" t="str">
            <v>INHIL</v>
          </cell>
          <cell r="L6" t="str">
            <v>-</v>
          </cell>
          <cell r="M6" t="str">
            <v>-</v>
          </cell>
          <cell r="N6" t="str">
            <v>INHIL</v>
          </cell>
        </row>
        <row r="7">
          <cell r="F7">
            <v>37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INHIL</v>
          </cell>
        </row>
        <row r="8">
          <cell r="F8">
            <v>25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INHIL</v>
          </cell>
        </row>
        <row r="9">
          <cell r="F9">
            <v>31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32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INHIL</v>
          </cell>
        </row>
        <row r="11">
          <cell r="F11">
            <v>36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33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INHIL</v>
          </cell>
        </row>
        <row r="13">
          <cell r="F13">
            <v>30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20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No</v>
          </cell>
        </row>
        <row r="15">
          <cell r="F15">
            <v>56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INHIL</v>
          </cell>
        </row>
        <row r="16">
          <cell r="F16">
            <v>23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INHIL</v>
          </cell>
        </row>
        <row r="17">
          <cell r="F17">
            <v>32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INHIL</v>
          </cell>
        </row>
        <row r="18">
          <cell r="F18">
            <v>28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INHIL</v>
          </cell>
        </row>
        <row r="19">
          <cell r="F19">
            <v>24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INHIL</v>
          </cell>
        </row>
        <row r="20">
          <cell r="F20">
            <v>25</v>
          </cell>
          <cell r="J20" t="str">
            <v>-</v>
          </cell>
          <cell r="K20" t="str">
            <v>-</v>
          </cell>
          <cell r="L20" t="str">
            <v>-</v>
          </cell>
          <cell r="M20" t="str">
            <v>-</v>
          </cell>
          <cell r="N20" t="str">
            <v>INHIL</v>
          </cell>
        </row>
        <row r="21">
          <cell r="F21">
            <v>39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No</v>
          </cell>
        </row>
        <row r="22">
          <cell r="F22">
            <v>26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No</v>
          </cell>
        </row>
        <row r="23">
          <cell r="F23">
            <v>26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INHIL</v>
          </cell>
        </row>
        <row r="24">
          <cell r="F24">
            <v>30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No</v>
          </cell>
        </row>
        <row r="25">
          <cell r="F25">
            <v>37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INHIL</v>
          </cell>
        </row>
        <row r="26">
          <cell r="F26">
            <v>34</v>
          </cell>
          <cell r="J26" t="str">
            <v>-</v>
          </cell>
          <cell r="K26" t="str">
            <v>-</v>
          </cell>
          <cell r="L26" t="str">
            <v>-</v>
          </cell>
          <cell r="M26" t="str">
            <v>-</v>
          </cell>
          <cell r="N26" t="str">
            <v>INHIL</v>
          </cell>
        </row>
        <row r="27">
          <cell r="F27">
            <v>35</v>
          </cell>
          <cell r="J27" t="str">
            <v>-</v>
          </cell>
          <cell r="K27" t="str">
            <v>-</v>
          </cell>
          <cell r="L27" t="str">
            <v>-</v>
          </cell>
          <cell r="M27" t="str">
            <v>-</v>
          </cell>
          <cell r="N27" t="str">
            <v>INHIL</v>
          </cell>
        </row>
        <row r="28">
          <cell r="F28">
            <v>33</v>
          </cell>
          <cell r="J28" t="str">
            <v>-</v>
          </cell>
          <cell r="K28" t="str">
            <v>-</v>
          </cell>
          <cell r="L28" t="str">
            <v>-</v>
          </cell>
          <cell r="M28" t="str">
            <v>-</v>
          </cell>
          <cell r="N28" t="str">
            <v>INHIL</v>
          </cell>
        </row>
        <row r="29">
          <cell r="F29">
            <v>32</v>
          </cell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N29" t="str">
            <v>INHIL</v>
          </cell>
        </row>
        <row r="30">
          <cell r="F30">
            <v>38</v>
          </cell>
          <cell r="J30" t="str">
            <v>-</v>
          </cell>
          <cell r="K30" t="str">
            <v>-</v>
          </cell>
          <cell r="L30" t="str">
            <v>-</v>
          </cell>
          <cell r="M30" t="str">
            <v>-</v>
          </cell>
          <cell r="N30" t="str">
            <v>INHIL</v>
          </cell>
        </row>
        <row r="31">
          <cell r="F31">
            <v>26</v>
          </cell>
          <cell r="J31" t="str">
            <v>-</v>
          </cell>
          <cell r="K31" t="str">
            <v>-</v>
          </cell>
          <cell r="L31" t="str">
            <v>-</v>
          </cell>
          <cell r="M31" t="str">
            <v>-</v>
          </cell>
          <cell r="N31" t="str">
            <v>INHIL</v>
          </cell>
        </row>
        <row r="32">
          <cell r="F32">
            <v>25</v>
          </cell>
          <cell r="J32" t="str">
            <v>-</v>
          </cell>
          <cell r="K32" t="str">
            <v>-</v>
          </cell>
          <cell r="L32" t="str">
            <v>-</v>
          </cell>
          <cell r="M32" t="str">
            <v>-</v>
          </cell>
          <cell r="N32" t="str">
            <v>No</v>
          </cell>
        </row>
        <row r="33">
          <cell r="F33">
            <v>28</v>
          </cell>
          <cell r="J33" t="str">
            <v>-</v>
          </cell>
          <cell r="K33" t="str">
            <v>-</v>
          </cell>
          <cell r="L33" t="str">
            <v>-</v>
          </cell>
          <cell r="M33" t="str">
            <v>-</v>
          </cell>
          <cell r="N33" t="str">
            <v>INHIL</v>
          </cell>
        </row>
        <row r="34">
          <cell r="F34">
            <v>27</v>
          </cell>
          <cell r="J34" t="str">
            <v>-</v>
          </cell>
          <cell r="K34" t="str">
            <v>-</v>
          </cell>
          <cell r="L34" t="str">
            <v>-</v>
          </cell>
          <cell r="M34" t="str">
            <v>-</v>
          </cell>
          <cell r="N34" t="str">
            <v>INHIL</v>
          </cell>
        </row>
        <row r="35">
          <cell r="F35">
            <v>31</v>
          </cell>
          <cell r="J35" t="str">
            <v>-</v>
          </cell>
          <cell r="K35" t="str">
            <v>-</v>
          </cell>
          <cell r="L35" t="str">
            <v>-</v>
          </cell>
          <cell r="M35" t="str">
            <v>-</v>
          </cell>
          <cell r="N35" t="str">
            <v>INHIL</v>
          </cell>
        </row>
        <row r="36">
          <cell r="F36">
            <v>32</v>
          </cell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 t="str">
            <v>INHIL</v>
          </cell>
        </row>
        <row r="37">
          <cell r="F37">
            <v>32</v>
          </cell>
          <cell r="J37" t="str">
            <v>-</v>
          </cell>
          <cell r="K37" t="str">
            <v>-</v>
          </cell>
          <cell r="L37" t="str">
            <v>-</v>
          </cell>
          <cell r="M37" t="str">
            <v>-</v>
          </cell>
          <cell r="N37" t="str">
            <v>INHIL</v>
          </cell>
        </row>
        <row r="38">
          <cell r="F38">
            <v>27</v>
          </cell>
          <cell r="J38" t="str">
            <v>-</v>
          </cell>
          <cell r="K38" t="str">
            <v>-</v>
          </cell>
          <cell r="L38" t="str">
            <v>-</v>
          </cell>
          <cell r="M38" t="str">
            <v>-</v>
          </cell>
          <cell r="N38" t="str">
            <v>No</v>
          </cell>
        </row>
        <row r="39">
          <cell r="F39">
            <v>26</v>
          </cell>
          <cell r="J39" t="str">
            <v>-</v>
          </cell>
          <cell r="K39" t="str">
            <v>-</v>
          </cell>
          <cell r="L39" t="str">
            <v>-</v>
          </cell>
          <cell r="M39" t="str">
            <v>-</v>
          </cell>
          <cell r="N39" t="str">
            <v>INHIL</v>
          </cell>
        </row>
        <row r="40">
          <cell r="F40">
            <v>39</v>
          </cell>
          <cell r="J40" t="str">
            <v>-</v>
          </cell>
          <cell r="K40" t="str">
            <v>-</v>
          </cell>
          <cell r="L40" t="str">
            <v>-</v>
          </cell>
          <cell r="M40" t="str">
            <v>-</v>
          </cell>
          <cell r="N40" t="str">
            <v>INHIL</v>
          </cell>
        </row>
        <row r="41">
          <cell r="F41">
            <v>27</v>
          </cell>
          <cell r="J41" t="str">
            <v>-</v>
          </cell>
          <cell r="K41" t="str">
            <v>INHIL</v>
          </cell>
          <cell r="L41" t="str">
            <v>-</v>
          </cell>
          <cell r="M41" t="str">
            <v>-</v>
          </cell>
          <cell r="N41" t="str">
            <v>INHIL</v>
          </cell>
        </row>
        <row r="42">
          <cell r="F42">
            <v>23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No</v>
          </cell>
        </row>
        <row r="43">
          <cell r="F43">
            <v>19</v>
          </cell>
          <cell r="J43" t="str">
            <v>-</v>
          </cell>
          <cell r="K43" t="str">
            <v>-</v>
          </cell>
          <cell r="L43" t="str">
            <v>-</v>
          </cell>
          <cell r="M43" t="str">
            <v>-</v>
          </cell>
          <cell r="N43" t="str">
            <v>No</v>
          </cell>
        </row>
        <row r="44">
          <cell r="F44">
            <v>35</v>
          </cell>
          <cell r="J44" t="str">
            <v>-</v>
          </cell>
          <cell r="K44" t="str">
            <v>-</v>
          </cell>
          <cell r="L44" t="str">
            <v>-</v>
          </cell>
          <cell r="M44" t="str">
            <v>-</v>
          </cell>
          <cell r="N44" t="str">
            <v>INHIL</v>
          </cell>
        </row>
        <row r="45">
          <cell r="F45">
            <v>32</v>
          </cell>
          <cell r="J45" t="str">
            <v>-</v>
          </cell>
          <cell r="K45" t="str">
            <v>-</v>
          </cell>
          <cell r="L45" t="str">
            <v>-</v>
          </cell>
          <cell r="M45" t="str">
            <v>-</v>
          </cell>
          <cell r="N45" t="str">
            <v>INHIL</v>
          </cell>
        </row>
        <row r="46">
          <cell r="F46">
            <v>23</v>
          </cell>
          <cell r="J46" t="str">
            <v>-</v>
          </cell>
          <cell r="K46" t="str">
            <v>-</v>
          </cell>
          <cell r="L46" t="str">
            <v>-</v>
          </cell>
          <cell r="M46" t="str">
            <v>-</v>
          </cell>
          <cell r="N46" t="str">
            <v>No</v>
          </cell>
        </row>
        <row r="47">
          <cell r="F47">
            <v>19</v>
          </cell>
          <cell r="J47" t="str">
            <v>INHIL</v>
          </cell>
          <cell r="K47" t="str">
            <v>-</v>
          </cell>
          <cell r="L47" t="str">
            <v>-</v>
          </cell>
          <cell r="M47" t="str">
            <v>-</v>
          </cell>
          <cell r="N47" t="str">
            <v>INHIL</v>
          </cell>
        </row>
        <row r="48">
          <cell r="F48">
            <v>34</v>
          </cell>
          <cell r="J48" t="str">
            <v>-</v>
          </cell>
          <cell r="K48" t="str">
            <v>-</v>
          </cell>
          <cell r="L48" t="str">
            <v>-</v>
          </cell>
          <cell r="M48" t="str">
            <v>-</v>
          </cell>
          <cell r="N48" t="str">
            <v>No</v>
          </cell>
        </row>
        <row r="49">
          <cell r="F49">
            <v>23</v>
          </cell>
          <cell r="J49" t="str">
            <v>-</v>
          </cell>
          <cell r="K49" t="str">
            <v>-</v>
          </cell>
          <cell r="L49" t="str">
            <v>-</v>
          </cell>
          <cell r="M49" t="str">
            <v>-</v>
          </cell>
          <cell r="N49" t="str">
            <v>No</v>
          </cell>
        </row>
        <row r="50">
          <cell r="F50">
            <v>20</v>
          </cell>
          <cell r="J50" t="str">
            <v>-</v>
          </cell>
          <cell r="K50" t="str">
            <v>-</v>
          </cell>
          <cell r="L50" t="str">
            <v>-</v>
          </cell>
          <cell r="M50" t="str">
            <v>-</v>
          </cell>
          <cell r="N50" t="str">
            <v>No</v>
          </cell>
        </row>
        <row r="51">
          <cell r="F51">
            <v>25</v>
          </cell>
          <cell r="J51" t="str">
            <v>-</v>
          </cell>
          <cell r="K51" t="str">
            <v>-</v>
          </cell>
          <cell r="L51" t="str">
            <v>-</v>
          </cell>
          <cell r="M51" t="str">
            <v>-</v>
          </cell>
          <cell r="N51" t="str">
            <v>No</v>
          </cell>
        </row>
        <row r="52">
          <cell r="F52">
            <v>28</v>
          </cell>
          <cell r="J52" t="str">
            <v>-</v>
          </cell>
          <cell r="K52" t="str">
            <v>-</v>
          </cell>
          <cell r="L52" t="str">
            <v>-</v>
          </cell>
          <cell r="M52" t="str">
            <v>-</v>
          </cell>
          <cell r="N52" t="str">
            <v>No</v>
          </cell>
        </row>
        <row r="53">
          <cell r="F53">
            <v>32</v>
          </cell>
          <cell r="J53" t="str">
            <v>-</v>
          </cell>
          <cell r="K53" t="str">
            <v>-</v>
          </cell>
          <cell r="L53" t="str">
            <v>-</v>
          </cell>
          <cell r="M53" t="str">
            <v>-</v>
          </cell>
          <cell r="N53" t="str">
            <v>INHIL</v>
          </cell>
        </row>
        <row r="54">
          <cell r="F54">
            <v>34</v>
          </cell>
          <cell r="J54" t="str">
            <v>INHIL</v>
          </cell>
          <cell r="K54" t="str">
            <v>-</v>
          </cell>
          <cell r="L54" t="str">
            <v>-</v>
          </cell>
          <cell r="M54" t="str">
            <v>-</v>
          </cell>
          <cell r="N54" t="str">
            <v>INHIL</v>
          </cell>
        </row>
        <row r="55">
          <cell r="F55">
            <v>31</v>
          </cell>
          <cell r="J55" t="str">
            <v>-</v>
          </cell>
          <cell r="K55" t="str">
            <v>-</v>
          </cell>
          <cell r="L55" t="str">
            <v>-</v>
          </cell>
          <cell r="M55" t="str">
            <v>-</v>
          </cell>
          <cell r="N55" t="str">
            <v>INHIL</v>
          </cell>
        </row>
        <row r="56">
          <cell r="F56">
            <v>28</v>
          </cell>
          <cell r="J56" t="str">
            <v>-</v>
          </cell>
          <cell r="K56" t="str">
            <v>-</v>
          </cell>
          <cell r="L56" t="str">
            <v>-</v>
          </cell>
          <cell r="M56" t="str">
            <v>-</v>
          </cell>
          <cell r="N56" t="str">
            <v>No</v>
          </cell>
        </row>
        <row r="57">
          <cell r="F57">
            <v>18</v>
          </cell>
          <cell r="J57" t="str">
            <v>-</v>
          </cell>
          <cell r="K57" t="str">
            <v>-</v>
          </cell>
          <cell r="L57" t="str">
            <v>-</v>
          </cell>
          <cell r="M57" t="str">
            <v>-</v>
          </cell>
          <cell r="N57" t="str">
            <v>No</v>
          </cell>
        </row>
        <row r="58">
          <cell r="F58">
            <v>20</v>
          </cell>
          <cell r="J58" t="str">
            <v>-</v>
          </cell>
          <cell r="K58" t="str">
            <v>-</v>
          </cell>
          <cell r="L58" t="str">
            <v>-</v>
          </cell>
          <cell r="M58" t="str">
            <v>-</v>
          </cell>
          <cell r="N58" t="str">
            <v>No</v>
          </cell>
        </row>
        <row r="59">
          <cell r="F59">
            <v>29</v>
          </cell>
          <cell r="J59" t="str">
            <v>-</v>
          </cell>
          <cell r="K59" t="str">
            <v>-</v>
          </cell>
          <cell r="L59" t="str">
            <v>-</v>
          </cell>
          <cell r="M59" t="str">
            <v>-</v>
          </cell>
          <cell r="N59" t="str">
            <v>INHIL</v>
          </cell>
        </row>
        <row r="60">
          <cell r="F60">
            <v>24</v>
          </cell>
          <cell r="J60" t="str">
            <v>-</v>
          </cell>
          <cell r="K60" t="str">
            <v>-</v>
          </cell>
          <cell r="L60" t="str">
            <v>-</v>
          </cell>
          <cell r="M60" t="str">
            <v>-</v>
          </cell>
          <cell r="N60" t="str">
            <v>No</v>
          </cell>
        </row>
        <row r="61">
          <cell r="F61">
            <v>21</v>
          </cell>
          <cell r="J61" t="str">
            <v>-</v>
          </cell>
          <cell r="K61" t="str">
            <v>INHIL</v>
          </cell>
          <cell r="L61" t="str">
            <v>-</v>
          </cell>
          <cell r="M61" t="str">
            <v>-</v>
          </cell>
          <cell r="N61" t="str">
            <v>INHIL</v>
          </cell>
        </row>
        <row r="62">
          <cell r="F62">
            <v>22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No</v>
          </cell>
        </row>
        <row r="63">
          <cell r="F63">
            <v>18</v>
          </cell>
          <cell r="J63" t="str">
            <v>-</v>
          </cell>
          <cell r="K63" t="str">
            <v>-</v>
          </cell>
          <cell r="L63" t="str">
            <v>-</v>
          </cell>
          <cell r="M63" t="str">
            <v>-</v>
          </cell>
          <cell r="N63" t="str">
            <v>No</v>
          </cell>
        </row>
        <row r="65">
          <cell r="F65">
            <v>23</v>
          </cell>
          <cell r="N65" t="str">
            <v>No</v>
          </cell>
        </row>
      </sheetData>
      <sheetData sheetId="29" refreshError="1">
        <row r="3">
          <cell r="F3" t="str">
            <v>THN</v>
          </cell>
        </row>
        <row r="4">
          <cell r="F4">
            <v>33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F5">
            <v>31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32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INHIL</v>
          </cell>
        </row>
        <row r="7">
          <cell r="F7">
            <v>28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INHIL</v>
          </cell>
        </row>
        <row r="8">
          <cell r="F8">
            <v>34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INHIL</v>
          </cell>
        </row>
        <row r="9">
          <cell r="F9">
            <v>25</v>
          </cell>
          <cell r="J9" t="str">
            <v>INHIL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28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No</v>
          </cell>
        </row>
        <row r="11">
          <cell r="F11">
            <v>29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97</v>
          </cell>
          <cell r="J12" t="str">
            <v>-</v>
          </cell>
          <cell r="K12" t="str">
            <v>INHIL</v>
          </cell>
          <cell r="L12" t="str">
            <v>-</v>
          </cell>
          <cell r="M12" t="str">
            <v>-</v>
          </cell>
          <cell r="N12" t="str">
            <v>INHIL</v>
          </cell>
        </row>
        <row r="13">
          <cell r="F13">
            <v>31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31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No</v>
          </cell>
        </row>
        <row r="15">
          <cell r="F15">
            <v>35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No</v>
          </cell>
        </row>
        <row r="16">
          <cell r="F16">
            <v>28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INHIL</v>
          </cell>
        </row>
        <row r="17">
          <cell r="F17">
            <v>35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INHIL</v>
          </cell>
        </row>
        <row r="18">
          <cell r="F18">
            <v>35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No</v>
          </cell>
        </row>
        <row r="19">
          <cell r="F19">
            <v>30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INHIL</v>
          </cell>
        </row>
        <row r="20">
          <cell r="F20">
            <v>33</v>
          </cell>
          <cell r="J20" t="str">
            <v>-</v>
          </cell>
          <cell r="K20" t="str">
            <v>-</v>
          </cell>
          <cell r="L20" t="str">
            <v>-</v>
          </cell>
          <cell r="M20" t="str">
            <v>-</v>
          </cell>
          <cell r="N20" t="str">
            <v>INHIL</v>
          </cell>
        </row>
        <row r="21">
          <cell r="F21">
            <v>28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INHIL</v>
          </cell>
        </row>
        <row r="22">
          <cell r="F22">
            <v>32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No</v>
          </cell>
        </row>
        <row r="23">
          <cell r="F23">
            <v>20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No</v>
          </cell>
        </row>
        <row r="24">
          <cell r="F24">
            <v>21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No</v>
          </cell>
        </row>
        <row r="25">
          <cell r="F25">
            <v>42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INHIL</v>
          </cell>
        </row>
        <row r="26">
          <cell r="F26">
            <v>31</v>
          </cell>
          <cell r="J26" t="str">
            <v>-</v>
          </cell>
          <cell r="K26" t="str">
            <v>-</v>
          </cell>
          <cell r="L26" t="str">
            <v>-</v>
          </cell>
          <cell r="M26" t="str">
            <v>-</v>
          </cell>
          <cell r="N26" t="str">
            <v>No</v>
          </cell>
        </row>
        <row r="27">
          <cell r="F27">
            <v>21</v>
          </cell>
          <cell r="J27" t="str">
            <v>-</v>
          </cell>
          <cell r="K27" t="str">
            <v>-</v>
          </cell>
          <cell r="L27" t="str">
            <v>-</v>
          </cell>
          <cell r="M27" t="str">
            <v>-</v>
          </cell>
          <cell r="N27" t="str">
            <v>INHIL</v>
          </cell>
        </row>
        <row r="28">
          <cell r="F28">
            <v>19</v>
          </cell>
          <cell r="J28" t="str">
            <v>-</v>
          </cell>
          <cell r="K28" t="str">
            <v>-</v>
          </cell>
          <cell r="L28" t="str">
            <v>-</v>
          </cell>
          <cell r="M28" t="str">
            <v>-</v>
          </cell>
          <cell r="N28" t="str">
            <v>No</v>
          </cell>
        </row>
        <row r="29">
          <cell r="F29">
            <v>22</v>
          </cell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N29" t="str">
            <v>INHIL</v>
          </cell>
        </row>
        <row r="30">
          <cell r="F30">
            <v>44</v>
          </cell>
          <cell r="J30" t="str">
            <v>-</v>
          </cell>
          <cell r="K30" t="str">
            <v>-</v>
          </cell>
          <cell r="L30" t="str">
            <v>-</v>
          </cell>
          <cell r="M30" t="str">
            <v>-</v>
          </cell>
          <cell r="N30" t="str">
            <v>INHIL</v>
          </cell>
        </row>
        <row r="31">
          <cell r="F31">
            <v>41</v>
          </cell>
          <cell r="J31" t="str">
            <v>-</v>
          </cell>
          <cell r="K31" t="str">
            <v>-</v>
          </cell>
          <cell r="L31" t="str">
            <v>-</v>
          </cell>
          <cell r="M31" t="str">
            <v>-</v>
          </cell>
          <cell r="N31" t="str">
            <v>No</v>
          </cell>
        </row>
        <row r="32">
          <cell r="F32">
            <v>28</v>
          </cell>
          <cell r="J32" t="str">
            <v>-</v>
          </cell>
          <cell r="K32" t="str">
            <v>-</v>
          </cell>
          <cell r="L32" t="str">
            <v>-</v>
          </cell>
          <cell r="M32" t="str">
            <v>-</v>
          </cell>
          <cell r="N32" t="str">
            <v>No</v>
          </cell>
        </row>
        <row r="33">
          <cell r="F33">
            <v>21</v>
          </cell>
          <cell r="J33" t="str">
            <v>-</v>
          </cell>
          <cell r="K33" t="str">
            <v>-</v>
          </cell>
          <cell r="L33" t="str">
            <v>-</v>
          </cell>
          <cell r="M33" t="str">
            <v>-</v>
          </cell>
          <cell r="N33" t="str">
            <v>No</v>
          </cell>
        </row>
        <row r="34">
          <cell r="F34">
            <v>20</v>
          </cell>
          <cell r="J34" t="str">
            <v>-</v>
          </cell>
          <cell r="K34" t="str">
            <v>-</v>
          </cell>
          <cell r="L34" t="str">
            <v>-</v>
          </cell>
          <cell r="M34" t="str">
            <v>-</v>
          </cell>
          <cell r="N34" t="str">
            <v>INHIL</v>
          </cell>
        </row>
      </sheetData>
      <sheetData sheetId="30" refreshError="1">
        <row r="3">
          <cell r="F3" t="str">
            <v>THN</v>
          </cell>
        </row>
        <row r="4">
          <cell r="F4">
            <v>27</v>
          </cell>
          <cell r="J4" t="str">
            <v>INHIL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F5">
            <v>35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35</v>
          </cell>
          <cell r="J6" t="str">
            <v>INHIL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INHIL</v>
          </cell>
        </row>
        <row r="7">
          <cell r="F7">
            <v>29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INHIL</v>
          </cell>
        </row>
        <row r="8">
          <cell r="F8">
            <v>30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INHIL</v>
          </cell>
        </row>
        <row r="9">
          <cell r="F9">
            <v>24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30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INHIL</v>
          </cell>
        </row>
        <row r="11">
          <cell r="F11">
            <v>30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28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INHIL</v>
          </cell>
        </row>
        <row r="13">
          <cell r="F13">
            <v>36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25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No</v>
          </cell>
        </row>
        <row r="15">
          <cell r="F15">
            <v>24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No</v>
          </cell>
        </row>
        <row r="16">
          <cell r="F16">
            <v>26</v>
          </cell>
          <cell r="N16" t="str">
            <v>No</v>
          </cell>
        </row>
      </sheetData>
      <sheetData sheetId="31" refreshError="1">
        <row r="3">
          <cell r="F3" t="str">
            <v>THN</v>
          </cell>
        </row>
        <row r="4">
          <cell r="A4">
            <v>1</v>
          </cell>
          <cell r="B4">
            <v>30259</v>
          </cell>
          <cell r="C4" t="str">
            <v>ELLY MURTADHO</v>
          </cell>
          <cell r="F4">
            <v>23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No</v>
          </cell>
        </row>
        <row r="5">
          <cell r="A5">
            <v>2</v>
          </cell>
          <cell r="B5">
            <v>30260</v>
          </cell>
          <cell r="C5" t="str">
            <v>YEKTI BUDI WIDODO</v>
          </cell>
          <cell r="F5">
            <v>25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No</v>
          </cell>
        </row>
        <row r="6">
          <cell r="A6">
            <v>3</v>
          </cell>
          <cell r="B6">
            <v>30261</v>
          </cell>
          <cell r="C6" t="str">
            <v>DARYANA</v>
          </cell>
          <cell r="F6">
            <v>22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No</v>
          </cell>
        </row>
        <row r="7">
          <cell r="F7">
            <v>22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No</v>
          </cell>
        </row>
        <row r="8">
          <cell r="F8">
            <v>20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No</v>
          </cell>
        </row>
        <row r="9">
          <cell r="F9">
            <v>35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23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No</v>
          </cell>
        </row>
        <row r="11">
          <cell r="F11">
            <v>40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No</v>
          </cell>
        </row>
        <row r="12">
          <cell r="F12">
            <v>24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No</v>
          </cell>
        </row>
        <row r="13">
          <cell r="F13">
            <v>21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No</v>
          </cell>
        </row>
        <row r="14">
          <cell r="F14">
            <v>20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No</v>
          </cell>
        </row>
        <row r="15">
          <cell r="F15">
            <v>37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INHIL</v>
          </cell>
        </row>
        <row r="16">
          <cell r="F16">
            <v>24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No</v>
          </cell>
        </row>
        <row r="17">
          <cell r="F17">
            <v>22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INHIL</v>
          </cell>
        </row>
        <row r="18">
          <cell r="F18">
            <v>20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No</v>
          </cell>
        </row>
        <row r="19">
          <cell r="F19">
            <v>20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No</v>
          </cell>
        </row>
        <row r="20">
          <cell r="F20">
            <v>18</v>
          </cell>
          <cell r="J20" t="str">
            <v>-</v>
          </cell>
          <cell r="K20" t="str">
            <v>-</v>
          </cell>
          <cell r="L20" t="str">
            <v>-</v>
          </cell>
          <cell r="M20" t="str">
            <v>-</v>
          </cell>
          <cell r="N20" t="str">
            <v>No</v>
          </cell>
        </row>
        <row r="21">
          <cell r="F21">
            <v>22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No</v>
          </cell>
        </row>
        <row r="22">
          <cell r="F22">
            <v>19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No</v>
          </cell>
        </row>
        <row r="23">
          <cell r="F23">
            <v>18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No</v>
          </cell>
        </row>
        <row r="24">
          <cell r="F24">
            <v>19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No</v>
          </cell>
        </row>
        <row r="25">
          <cell r="F25">
            <v>19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No</v>
          </cell>
        </row>
        <row r="26">
          <cell r="F26">
            <v>20</v>
          </cell>
          <cell r="J26" t="str">
            <v>-</v>
          </cell>
          <cell r="K26" t="str">
            <v>-</v>
          </cell>
          <cell r="L26" t="str">
            <v>-</v>
          </cell>
          <cell r="M26" t="str">
            <v>-</v>
          </cell>
          <cell r="N26" t="str">
            <v>INHIL</v>
          </cell>
        </row>
        <row r="27">
          <cell r="J27" t="str">
            <v>-</v>
          </cell>
          <cell r="K27" t="str">
            <v>-</v>
          </cell>
          <cell r="L27" t="str">
            <v>-</v>
          </cell>
          <cell r="M27" t="str">
            <v>-</v>
          </cell>
          <cell r="N27" t="str">
            <v>No</v>
          </cell>
        </row>
        <row r="28">
          <cell r="N28" t="str">
            <v>No</v>
          </cell>
        </row>
        <row r="29"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N29" t="str">
            <v>No</v>
          </cell>
        </row>
      </sheetData>
      <sheetData sheetId="32" refreshError="1">
        <row r="3">
          <cell r="F3" t="str">
            <v>THN</v>
          </cell>
        </row>
        <row r="4">
          <cell r="A4">
            <v>1</v>
          </cell>
          <cell r="B4">
            <v>1875</v>
          </cell>
          <cell r="C4" t="str">
            <v>M YUSUF</v>
          </cell>
          <cell r="F4">
            <v>31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A5">
            <v>2</v>
          </cell>
          <cell r="B5">
            <v>12401</v>
          </cell>
          <cell r="C5" t="str">
            <v>MARMIS</v>
          </cell>
          <cell r="F5">
            <v>25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40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No</v>
          </cell>
        </row>
        <row r="7">
          <cell r="F7">
            <v>32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INHIL</v>
          </cell>
        </row>
        <row r="8">
          <cell r="F8">
            <v>26</v>
          </cell>
          <cell r="J8" t="str">
            <v>INHIL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INHIL</v>
          </cell>
        </row>
        <row r="9">
          <cell r="F9">
            <v>24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No</v>
          </cell>
        </row>
        <row r="10">
          <cell r="F10">
            <v>28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INHIL</v>
          </cell>
        </row>
        <row r="11">
          <cell r="F11">
            <v>27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21</v>
          </cell>
          <cell r="J12" t="str">
            <v>-</v>
          </cell>
          <cell r="K12" t="str">
            <v>-</v>
          </cell>
          <cell r="L12" t="str">
            <v>INHIL</v>
          </cell>
          <cell r="M12" t="str">
            <v>-</v>
          </cell>
          <cell r="N12" t="str">
            <v>INHIL</v>
          </cell>
        </row>
        <row r="13">
          <cell r="F13">
            <v>29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No</v>
          </cell>
        </row>
        <row r="14">
          <cell r="F14">
            <v>27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No</v>
          </cell>
        </row>
      </sheetData>
      <sheetData sheetId="33" refreshError="1">
        <row r="1">
          <cell r="A1" t="str">
            <v>F: E-PSN2\REKAP\Data-Kry</v>
          </cell>
        </row>
        <row r="2">
          <cell r="A2" t="str">
            <v>No</v>
          </cell>
          <cell r="B2" t="str">
            <v>NIK</v>
          </cell>
          <cell r="C2" t="str">
            <v>NAMA</v>
          </cell>
        </row>
        <row r="3">
          <cell r="F3" t="str">
            <v>THN</v>
          </cell>
        </row>
        <row r="4">
          <cell r="A4">
            <v>1</v>
          </cell>
          <cell r="B4">
            <v>60105</v>
          </cell>
          <cell r="C4" t="str">
            <v>HERBIN DARYO</v>
          </cell>
          <cell r="F4">
            <v>39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No</v>
          </cell>
        </row>
        <row r="5">
          <cell r="A5">
            <v>2</v>
          </cell>
          <cell r="B5">
            <v>13535</v>
          </cell>
          <cell r="C5" t="str">
            <v>AMILIO SATRIADY</v>
          </cell>
          <cell r="F5">
            <v>29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31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INHIL</v>
          </cell>
        </row>
        <row r="7">
          <cell r="F7">
            <v>35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INHIL</v>
          </cell>
        </row>
        <row r="8">
          <cell r="F8">
            <v>36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No</v>
          </cell>
        </row>
        <row r="9">
          <cell r="F9">
            <v>34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19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No</v>
          </cell>
        </row>
        <row r="11">
          <cell r="F11">
            <v>21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No</v>
          </cell>
        </row>
        <row r="12">
          <cell r="F12">
            <v>28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INHIL</v>
          </cell>
        </row>
        <row r="13">
          <cell r="F13">
            <v>19</v>
          </cell>
          <cell r="J13" t="str">
            <v>INHIL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19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No</v>
          </cell>
        </row>
        <row r="15">
          <cell r="F15">
            <v>20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No</v>
          </cell>
        </row>
        <row r="16">
          <cell r="F16">
            <v>30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No</v>
          </cell>
        </row>
        <row r="17">
          <cell r="F17">
            <v>29</v>
          </cell>
          <cell r="J17" t="str">
            <v>-</v>
          </cell>
          <cell r="K17" t="str">
            <v>INHIL</v>
          </cell>
          <cell r="L17" t="str">
            <v>-</v>
          </cell>
          <cell r="M17" t="str">
            <v>-</v>
          </cell>
          <cell r="N17" t="str">
            <v>INHIL</v>
          </cell>
        </row>
        <row r="18">
          <cell r="F18">
            <v>27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No</v>
          </cell>
        </row>
        <row r="19">
          <cell r="F19">
            <v>21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No</v>
          </cell>
        </row>
        <row r="20">
          <cell r="F20">
            <v>18</v>
          </cell>
          <cell r="J20" t="str">
            <v>-</v>
          </cell>
          <cell r="K20" t="str">
            <v>INHIL</v>
          </cell>
          <cell r="L20" t="str">
            <v>-</v>
          </cell>
          <cell r="M20" t="str">
            <v>-</v>
          </cell>
          <cell r="N20" t="str">
            <v>INHIL</v>
          </cell>
        </row>
        <row r="21">
          <cell r="F21">
            <v>19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No</v>
          </cell>
        </row>
        <row r="22">
          <cell r="F22">
            <v>36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No</v>
          </cell>
        </row>
        <row r="23">
          <cell r="F23">
            <v>18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No</v>
          </cell>
        </row>
        <row r="24">
          <cell r="F24">
            <v>20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No</v>
          </cell>
        </row>
        <row r="25">
          <cell r="F25">
            <v>22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INHIL</v>
          </cell>
        </row>
        <row r="26">
          <cell r="F26">
            <v>23</v>
          </cell>
          <cell r="J26" t="str">
            <v>-</v>
          </cell>
          <cell r="K26" t="str">
            <v>-</v>
          </cell>
          <cell r="L26" t="str">
            <v>-</v>
          </cell>
          <cell r="M26" t="str">
            <v>-</v>
          </cell>
          <cell r="N26" t="str">
            <v>No</v>
          </cell>
        </row>
        <row r="27">
          <cell r="F27">
            <v>19</v>
          </cell>
          <cell r="J27" t="str">
            <v>-</v>
          </cell>
          <cell r="K27" t="str">
            <v>-</v>
          </cell>
          <cell r="L27" t="str">
            <v>-</v>
          </cell>
          <cell r="M27" t="str">
            <v>-</v>
          </cell>
          <cell r="N27" t="str">
            <v>No</v>
          </cell>
        </row>
        <row r="28">
          <cell r="F28">
            <v>19</v>
          </cell>
          <cell r="J28" t="str">
            <v>-</v>
          </cell>
          <cell r="K28" t="str">
            <v>-</v>
          </cell>
          <cell r="L28" t="str">
            <v>-</v>
          </cell>
          <cell r="M28" t="str">
            <v>-</v>
          </cell>
          <cell r="N28" t="str">
            <v>No</v>
          </cell>
        </row>
        <row r="29">
          <cell r="F29">
            <v>32</v>
          </cell>
          <cell r="J29" t="str">
            <v>-</v>
          </cell>
          <cell r="K29" t="str">
            <v>INHIL</v>
          </cell>
          <cell r="L29" t="str">
            <v>-</v>
          </cell>
          <cell r="M29" t="str">
            <v>-</v>
          </cell>
          <cell r="N29" t="str">
            <v>INHIL</v>
          </cell>
        </row>
        <row r="30">
          <cell r="F30">
            <v>20</v>
          </cell>
          <cell r="J30" t="str">
            <v>-</v>
          </cell>
          <cell r="K30" t="str">
            <v>-</v>
          </cell>
          <cell r="L30" t="str">
            <v>-</v>
          </cell>
          <cell r="M30" t="str">
            <v>-</v>
          </cell>
          <cell r="N30" t="str">
            <v>No</v>
          </cell>
        </row>
        <row r="31">
          <cell r="F31">
            <v>29</v>
          </cell>
          <cell r="J31" t="str">
            <v>INHIL</v>
          </cell>
          <cell r="K31" t="str">
            <v>-</v>
          </cell>
          <cell r="L31" t="str">
            <v>-</v>
          </cell>
          <cell r="M31" t="str">
            <v>-</v>
          </cell>
          <cell r="N31" t="str">
            <v>INHIL</v>
          </cell>
        </row>
        <row r="32">
          <cell r="F32">
            <v>22</v>
          </cell>
          <cell r="J32" t="str">
            <v>-</v>
          </cell>
          <cell r="K32" t="str">
            <v>-</v>
          </cell>
          <cell r="L32" t="str">
            <v>-</v>
          </cell>
          <cell r="M32" t="str">
            <v>-</v>
          </cell>
          <cell r="N32" t="str">
            <v>No</v>
          </cell>
        </row>
        <row r="33">
          <cell r="F33">
            <v>21</v>
          </cell>
          <cell r="J33" t="str">
            <v>INHIL</v>
          </cell>
          <cell r="K33" t="str">
            <v>-</v>
          </cell>
          <cell r="L33" t="str">
            <v>-</v>
          </cell>
          <cell r="M33" t="str">
            <v>-</v>
          </cell>
          <cell r="N33" t="str">
            <v>INHIL</v>
          </cell>
        </row>
        <row r="34">
          <cell r="F34">
            <v>21</v>
          </cell>
          <cell r="J34" t="str">
            <v>-</v>
          </cell>
          <cell r="K34" t="str">
            <v>-</v>
          </cell>
          <cell r="L34" t="str">
            <v>-</v>
          </cell>
          <cell r="M34" t="str">
            <v>-</v>
          </cell>
          <cell r="N34" t="str">
            <v>No</v>
          </cell>
        </row>
        <row r="35">
          <cell r="F35">
            <v>19</v>
          </cell>
          <cell r="J35" t="str">
            <v>-</v>
          </cell>
          <cell r="K35" t="str">
            <v>-</v>
          </cell>
          <cell r="L35" t="str">
            <v>-</v>
          </cell>
          <cell r="M35" t="str">
            <v>-</v>
          </cell>
          <cell r="N35" t="str">
            <v>No</v>
          </cell>
        </row>
        <row r="36">
          <cell r="F36">
            <v>22</v>
          </cell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 t="str">
            <v>No</v>
          </cell>
        </row>
        <row r="37">
          <cell r="F37">
            <v>19</v>
          </cell>
          <cell r="J37" t="str">
            <v>-</v>
          </cell>
          <cell r="K37" t="str">
            <v>-</v>
          </cell>
          <cell r="L37" t="str">
            <v>-</v>
          </cell>
          <cell r="M37" t="str">
            <v>-</v>
          </cell>
          <cell r="N37" t="str">
            <v>No</v>
          </cell>
        </row>
        <row r="38">
          <cell r="F38">
            <v>22</v>
          </cell>
          <cell r="J38" t="str">
            <v>-</v>
          </cell>
          <cell r="K38" t="str">
            <v>-</v>
          </cell>
          <cell r="L38" t="str">
            <v>-</v>
          </cell>
          <cell r="M38" t="str">
            <v>-</v>
          </cell>
          <cell r="N38" t="str">
            <v>No</v>
          </cell>
        </row>
        <row r="39">
          <cell r="F39">
            <v>21</v>
          </cell>
          <cell r="J39" t="str">
            <v>-</v>
          </cell>
          <cell r="K39" t="str">
            <v>-</v>
          </cell>
          <cell r="L39" t="str">
            <v>-</v>
          </cell>
          <cell r="M39" t="str">
            <v>-</v>
          </cell>
          <cell r="N39" t="str">
            <v>No</v>
          </cell>
        </row>
        <row r="40">
          <cell r="F40">
            <v>23</v>
          </cell>
          <cell r="J40" t="str">
            <v>-</v>
          </cell>
          <cell r="K40" t="str">
            <v>-</v>
          </cell>
          <cell r="L40" t="str">
            <v>-</v>
          </cell>
          <cell r="M40" t="str">
            <v>-</v>
          </cell>
          <cell r="N40" t="str">
            <v>No</v>
          </cell>
        </row>
        <row r="41">
          <cell r="F41">
            <v>21</v>
          </cell>
          <cell r="J41" t="str">
            <v>-</v>
          </cell>
          <cell r="K41" t="str">
            <v>-</v>
          </cell>
          <cell r="L41" t="str">
            <v>-</v>
          </cell>
          <cell r="M41" t="str">
            <v>-</v>
          </cell>
          <cell r="N41" t="str">
            <v>No</v>
          </cell>
        </row>
        <row r="42">
          <cell r="F42">
            <v>22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INHIL</v>
          </cell>
        </row>
        <row r="43">
          <cell r="F43">
            <v>23</v>
          </cell>
          <cell r="J43" t="str">
            <v>-</v>
          </cell>
          <cell r="K43" t="str">
            <v>-</v>
          </cell>
          <cell r="L43" t="str">
            <v>-</v>
          </cell>
          <cell r="M43" t="str">
            <v>-</v>
          </cell>
          <cell r="N43" t="str">
            <v>INHIL</v>
          </cell>
        </row>
        <row r="44">
          <cell r="F44">
            <v>20</v>
          </cell>
          <cell r="J44" t="str">
            <v>-</v>
          </cell>
          <cell r="K44" t="str">
            <v>-</v>
          </cell>
          <cell r="L44" t="str">
            <v>-</v>
          </cell>
          <cell r="M44" t="str">
            <v>-</v>
          </cell>
          <cell r="N44" t="str">
            <v>No</v>
          </cell>
        </row>
        <row r="45">
          <cell r="F45">
            <v>20</v>
          </cell>
          <cell r="J45" t="str">
            <v>-</v>
          </cell>
          <cell r="K45" t="str">
            <v>-</v>
          </cell>
          <cell r="L45" t="str">
            <v>-</v>
          </cell>
          <cell r="M45" t="str">
            <v>-</v>
          </cell>
          <cell r="N45" t="str">
            <v>No</v>
          </cell>
        </row>
        <row r="46">
          <cell r="F46">
            <v>18</v>
          </cell>
          <cell r="J46" t="str">
            <v>-</v>
          </cell>
          <cell r="K46" t="str">
            <v>-</v>
          </cell>
          <cell r="L46" t="str">
            <v>-</v>
          </cell>
          <cell r="M46" t="str">
            <v>-</v>
          </cell>
          <cell r="N46" t="str">
            <v>No</v>
          </cell>
        </row>
        <row r="47">
          <cell r="F47">
            <v>31</v>
          </cell>
          <cell r="J47" t="str">
            <v>-</v>
          </cell>
          <cell r="K47" t="str">
            <v>-</v>
          </cell>
          <cell r="L47" t="str">
            <v>-</v>
          </cell>
          <cell r="M47" t="str">
            <v>-</v>
          </cell>
          <cell r="N47" t="str">
            <v>No</v>
          </cell>
        </row>
        <row r="48">
          <cell r="F48">
            <v>26</v>
          </cell>
          <cell r="J48" t="str">
            <v>-</v>
          </cell>
          <cell r="K48" t="str">
            <v>-</v>
          </cell>
          <cell r="L48" t="str">
            <v>-</v>
          </cell>
          <cell r="M48" t="str">
            <v>-</v>
          </cell>
          <cell r="N48" t="str">
            <v>INHIL</v>
          </cell>
        </row>
        <row r="49">
          <cell r="F49">
            <v>35</v>
          </cell>
          <cell r="J49" t="str">
            <v>-</v>
          </cell>
          <cell r="K49" t="str">
            <v>-</v>
          </cell>
          <cell r="L49" t="str">
            <v>-</v>
          </cell>
          <cell r="M49" t="str">
            <v>-</v>
          </cell>
          <cell r="N49" t="str">
            <v>No</v>
          </cell>
        </row>
        <row r="50">
          <cell r="F50">
            <v>21</v>
          </cell>
          <cell r="J50" t="str">
            <v>-</v>
          </cell>
          <cell r="K50" t="str">
            <v>INHIL</v>
          </cell>
          <cell r="L50" t="str">
            <v>-</v>
          </cell>
          <cell r="M50" t="str">
            <v>-</v>
          </cell>
          <cell r="N50" t="str">
            <v>INHIL</v>
          </cell>
        </row>
        <row r="51">
          <cell r="F51">
            <v>21</v>
          </cell>
          <cell r="J51" t="str">
            <v>INHIL</v>
          </cell>
          <cell r="K51" t="str">
            <v>-</v>
          </cell>
          <cell r="L51" t="str">
            <v>-</v>
          </cell>
          <cell r="M51" t="str">
            <v>-</v>
          </cell>
          <cell r="N51" t="str">
            <v>INHIL</v>
          </cell>
        </row>
        <row r="52">
          <cell r="F52">
            <v>23</v>
          </cell>
          <cell r="J52" t="str">
            <v>-</v>
          </cell>
          <cell r="K52" t="str">
            <v>-</v>
          </cell>
          <cell r="L52" t="str">
            <v>-</v>
          </cell>
          <cell r="M52" t="str">
            <v>-</v>
          </cell>
          <cell r="N52" t="str">
            <v>No</v>
          </cell>
        </row>
        <row r="53">
          <cell r="F53">
            <v>26</v>
          </cell>
          <cell r="J53" t="str">
            <v>-</v>
          </cell>
          <cell r="K53" t="str">
            <v>-</v>
          </cell>
          <cell r="L53" t="str">
            <v>-</v>
          </cell>
          <cell r="M53" t="str">
            <v>-</v>
          </cell>
          <cell r="N53" t="str">
            <v>No</v>
          </cell>
        </row>
        <row r="54">
          <cell r="F54">
            <v>19</v>
          </cell>
          <cell r="J54" t="str">
            <v>-</v>
          </cell>
          <cell r="K54" t="str">
            <v>-</v>
          </cell>
          <cell r="L54" t="str">
            <v>-</v>
          </cell>
          <cell r="M54" t="str">
            <v>-</v>
          </cell>
          <cell r="N54" t="str">
            <v>No</v>
          </cell>
        </row>
        <row r="55">
          <cell r="F55">
            <v>21</v>
          </cell>
          <cell r="J55" t="str">
            <v>-</v>
          </cell>
          <cell r="K55" t="str">
            <v>-</v>
          </cell>
          <cell r="L55" t="str">
            <v>-</v>
          </cell>
          <cell r="M55" t="str">
            <v>-</v>
          </cell>
          <cell r="N55" t="str">
            <v>No</v>
          </cell>
        </row>
        <row r="56">
          <cell r="F56">
            <v>30</v>
          </cell>
          <cell r="J56" t="str">
            <v>-</v>
          </cell>
          <cell r="K56" t="str">
            <v>-</v>
          </cell>
          <cell r="L56" t="str">
            <v>-</v>
          </cell>
          <cell r="M56" t="str">
            <v>-</v>
          </cell>
          <cell r="N56" t="str">
            <v>No</v>
          </cell>
        </row>
        <row r="57">
          <cell r="F57">
            <v>30</v>
          </cell>
          <cell r="J57" t="str">
            <v>-</v>
          </cell>
          <cell r="K57" t="str">
            <v>INHIL</v>
          </cell>
          <cell r="L57" t="str">
            <v>-</v>
          </cell>
          <cell r="M57" t="str">
            <v>-</v>
          </cell>
          <cell r="N57" t="str">
            <v>INHIL</v>
          </cell>
        </row>
        <row r="58">
          <cell r="F58">
            <v>27</v>
          </cell>
          <cell r="J58" t="str">
            <v>-</v>
          </cell>
          <cell r="K58" t="str">
            <v>-</v>
          </cell>
          <cell r="L58" t="str">
            <v>-</v>
          </cell>
          <cell r="M58" t="str">
            <v>-</v>
          </cell>
          <cell r="N58" t="str">
            <v>INHIL</v>
          </cell>
        </row>
        <row r="59">
          <cell r="F59">
            <v>27</v>
          </cell>
          <cell r="J59" t="str">
            <v>-</v>
          </cell>
          <cell r="K59" t="str">
            <v>-</v>
          </cell>
          <cell r="L59" t="str">
            <v>-</v>
          </cell>
          <cell r="M59" t="str">
            <v>-</v>
          </cell>
          <cell r="N59" t="str">
            <v>INHIL</v>
          </cell>
        </row>
        <row r="60">
          <cell r="F60">
            <v>31</v>
          </cell>
          <cell r="J60" t="str">
            <v>-</v>
          </cell>
          <cell r="K60" t="str">
            <v>-</v>
          </cell>
          <cell r="L60" t="str">
            <v>-</v>
          </cell>
          <cell r="M60" t="str">
            <v>-</v>
          </cell>
          <cell r="N60" t="str">
            <v>INHIL</v>
          </cell>
        </row>
        <row r="61">
          <cell r="F61">
            <v>26</v>
          </cell>
          <cell r="J61" t="str">
            <v>-</v>
          </cell>
          <cell r="K61" t="str">
            <v>-</v>
          </cell>
          <cell r="L61" t="str">
            <v>-</v>
          </cell>
          <cell r="M61" t="str">
            <v>-</v>
          </cell>
          <cell r="N61" t="str">
            <v>INHIL</v>
          </cell>
        </row>
        <row r="62">
          <cell r="F62">
            <v>34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INHIL</v>
          </cell>
        </row>
        <row r="63">
          <cell r="F63">
            <v>22</v>
          </cell>
          <cell r="J63" t="str">
            <v>-</v>
          </cell>
          <cell r="K63" t="str">
            <v>-</v>
          </cell>
          <cell r="L63" t="str">
            <v>-</v>
          </cell>
          <cell r="M63" t="str">
            <v>-</v>
          </cell>
          <cell r="N63" t="str">
            <v>INHIL</v>
          </cell>
        </row>
        <row r="64">
          <cell r="F64">
            <v>25</v>
          </cell>
          <cell r="J64" t="str">
            <v>-</v>
          </cell>
          <cell r="K64" t="str">
            <v>-</v>
          </cell>
          <cell r="L64" t="str">
            <v>-</v>
          </cell>
          <cell r="M64" t="str">
            <v>-</v>
          </cell>
          <cell r="N64" t="str">
            <v>INHIL</v>
          </cell>
        </row>
        <row r="65">
          <cell r="F65">
            <v>33</v>
          </cell>
          <cell r="J65" t="str">
            <v>INHIL</v>
          </cell>
          <cell r="K65" t="str">
            <v>-</v>
          </cell>
          <cell r="L65" t="str">
            <v>-</v>
          </cell>
          <cell r="M65" t="str">
            <v>-</v>
          </cell>
          <cell r="N65" t="str">
            <v>INHIL</v>
          </cell>
        </row>
        <row r="66">
          <cell r="F66">
            <v>20</v>
          </cell>
          <cell r="J66" t="str">
            <v>-</v>
          </cell>
          <cell r="K66" t="str">
            <v>-</v>
          </cell>
          <cell r="L66" t="str">
            <v>-</v>
          </cell>
          <cell r="M66" t="str">
            <v>-</v>
          </cell>
          <cell r="N66" t="str">
            <v>INHIL</v>
          </cell>
        </row>
        <row r="67">
          <cell r="F67">
            <v>25</v>
          </cell>
          <cell r="J67" t="str">
            <v>-</v>
          </cell>
          <cell r="K67" t="str">
            <v>-</v>
          </cell>
          <cell r="L67" t="str">
            <v>-</v>
          </cell>
          <cell r="M67" t="str">
            <v>-</v>
          </cell>
          <cell r="N67" t="str">
            <v>INHIL</v>
          </cell>
        </row>
        <row r="68">
          <cell r="F68">
            <v>38</v>
          </cell>
          <cell r="J68" t="str">
            <v>-</v>
          </cell>
          <cell r="K68" t="str">
            <v>-</v>
          </cell>
          <cell r="L68" t="str">
            <v>-</v>
          </cell>
          <cell r="M68" t="str">
            <v>-</v>
          </cell>
          <cell r="N68" t="str">
            <v>INHIL</v>
          </cell>
        </row>
        <row r="69">
          <cell r="F69">
            <v>30</v>
          </cell>
          <cell r="J69" t="str">
            <v>-</v>
          </cell>
          <cell r="K69" t="str">
            <v>-</v>
          </cell>
          <cell r="L69" t="str">
            <v>-</v>
          </cell>
          <cell r="M69" t="str">
            <v>-</v>
          </cell>
          <cell r="N69" t="str">
            <v>INHIL</v>
          </cell>
        </row>
        <row r="70">
          <cell r="F70">
            <v>31</v>
          </cell>
          <cell r="J70" t="str">
            <v>-</v>
          </cell>
          <cell r="K70" t="str">
            <v>-</v>
          </cell>
          <cell r="L70" t="str">
            <v>-</v>
          </cell>
          <cell r="M70" t="str">
            <v>-</v>
          </cell>
          <cell r="N70" t="str">
            <v>INHIL</v>
          </cell>
        </row>
        <row r="71">
          <cell r="F71">
            <v>30</v>
          </cell>
          <cell r="J71" t="str">
            <v>-</v>
          </cell>
          <cell r="K71" t="str">
            <v>-</v>
          </cell>
          <cell r="L71" t="str">
            <v>-</v>
          </cell>
          <cell r="M71" t="str">
            <v>-</v>
          </cell>
          <cell r="N71" t="str">
            <v>INHIL</v>
          </cell>
        </row>
        <row r="72">
          <cell r="F72">
            <v>30</v>
          </cell>
          <cell r="J72" t="str">
            <v>-</v>
          </cell>
          <cell r="K72" t="str">
            <v>-</v>
          </cell>
          <cell r="L72" t="str">
            <v>-</v>
          </cell>
          <cell r="M72" t="str">
            <v>-</v>
          </cell>
          <cell r="N72" t="str">
            <v>INHIL</v>
          </cell>
        </row>
        <row r="73">
          <cell r="F73">
            <v>27</v>
          </cell>
          <cell r="J73" t="str">
            <v>-</v>
          </cell>
          <cell r="K73" t="str">
            <v>-</v>
          </cell>
          <cell r="L73" t="str">
            <v>-</v>
          </cell>
          <cell r="M73" t="str">
            <v>-</v>
          </cell>
          <cell r="N73" t="str">
            <v>INHIL</v>
          </cell>
        </row>
        <row r="74">
          <cell r="F74">
            <v>25</v>
          </cell>
          <cell r="J74" t="str">
            <v>-</v>
          </cell>
          <cell r="K74" t="str">
            <v>-</v>
          </cell>
          <cell r="L74" t="str">
            <v>-</v>
          </cell>
          <cell r="M74" t="str">
            <v>-</v>
          </cell>
          <cell r="N74" t="str">
            <v>INHIL</v>
          </cell>
        </row>
        <row r="75">
          <cell r="F75">
            <v>97</v>
          </cell>
          <cell r="J75" t="str">
            <v>-</v>
          </cell>
          <cell r="K75" t="str">
            <v>-</v>
          </cell>
          <cell r="L75" t="str">
            <v>-</v>
          </cell>
          <cell r="M75" t="str">
            <v>-</v>
          </cell>
          <cell r="N75" t="str">
            <v>INHIL</v>
          </cell>
        </row>
        <row r="76">
          <cell r="F76">
            <v>42</v>
          </cell>
          <cell r="J76" t="str">
            <v>-</v>
          </cell>
          <cell r="K76" t="str">
            <v>-</v>
          </cell>
          <cell r="L76" t="str">
            <v>-</v>
          </cell>
          <cell r="M76" t="str">
            <v>-</v>
          </cell>
          <cell r="N76" t="str">
            <v>INHIL</v>
          </cell>
        </row>
        <row r="77">
          <cell r="F77">
            <v>29</v>
          </cell>
          <cell r="J77" t="str">
            <v>INHIL</v>
          </cell>
          <cell r="K77" t="str">
            <v>-</v>
          </cell>
          <cell r="L77" t="str">
            <v>-</v>
          </cell>
          <cell r="M77" t="str">
            <v>-</v>
          </cell>
          <cell r="N77" t="str">
            <v>INHIL</v>
          </cell>
        </row>
        <row r="78">
          <cell r="F78">
            <v>26</v>
          </cell>
          <cell r="J78" t="str">
            <v>-</v>
          </cell>
          <cell r="K78" t="str">
            <v>-</v>
          </cell>
          <cell r="L78" t="str">
            <v>-</v>
          </cell>
          <cell r="M78" t="str">
            <v>-</v>
          </cell>
          <cell r="N78" t="str">
            <v>INHIL</v>
          </cell>
        </row>
        <row r="79">
          <cell r="F79">
            <v>30</v>
          </cell>
          <cell r="J79" t="str">
            <v>INHIL</v>
          </cell>
          <cell r="K79" t="str">
            <v>-</v>
          </cell>
          <cell r="L79" t="str">
            <v>-</v>
          </cell>
          <cell r="M79" t="str">
            <v>-</v>
          </cell>
          <cell r="N79" t="str">
            <v>INHIL</v>
          </cell>
        </row>
        <row r="80">
          <cell r="F80">
            <v>28</v>
          </cell>
          <cell r="J80" t="str">
            <v>-</v>
          </cell>
          <cell r="K80" t="str">
            <v>-</v>
          </cell>
          <cell r="L80" t="str">
            <v>-</v>
          </cell>
          <cell r="M80" t="str">
            <v>-</v>
          </cell>
          <cell r="N80" t="str">
            <v>INHIL</v>
          </cell>
        </row>
        <row r="81">
          <cell r="F81">
            <v>26</v>
          </cell>
          <cell r="J81" t="str">
            <v>INHIL</v>
          </cell>
          <cell r="K81" t="str">
            <v>-</v>
          </cell>
          <cell r="L81" t="str">
            <v>-</v>
          </cell>
          <cell r="M81" t="str">
            <v>-</v>
          </cell>
          <cell r="N81" t="str">
            <v>INHIL</v>
          </cell>
        </row>
        <row r="82">
          <cell r="F82">
            <v>32</v>
          </cell>
          <cell r="J82" t="str">
            <v>-</v>
          </cell>
          <cell r="K82" t="str">
            <v>-</v>
          </cell>
          <cell r="L82" t="str">
            <v>-</v>
          </cell>
          <cell r="M82" t="str">
            <v>-</v>
          </cell>
          <cell r="N82" t="str">
            <v>INHIL</v>
          </cell>
        </row>
        <row r="83">
          <cell r="F83">
            <v>30</v>
          </cell>
          <cell r="J83" t="str">
            <v>-</v>
          </cell>
          <cell r="K83" t="str">
            <v>-</v>
          </cell>
          <cell r="L83" t="str">
            <v>-</v>
          </cell>
          <cell r="M83" t="str">
            <v>-</v>
          </cell>
          <cell r="N83" t="str">
            <v>INHIL</v>
          </cell>
        </row>
        <row r="84">
          <cell r="F84">
            <v>29</v>
          </cell>
          <cell r="J84" t="str">
            <v>INHIL</v>
          </cell>
          <cell r="K84" t="str">
            <v>-</v>
          </cell>
          <cell r="L84" t="str">
            <v>-</v>
          </cell>
          <cell r="M84" t="str">
            <v>-</v>
          </cell>
          <cell r="N84" t="str">
            <v>INHIL</v>
          </cell>
        </row>
        <row r="85">
          <cell r="F85">
            <v>40</v>
          </cell>
          <cell r="J85" t="str">
            <v>-</v>
          </cell>
          <cell r="K85" t="str">
            <v>-</v>
          </cell>
          <cell r="L85" t="str">
            <v>-</v>
          </cell>
          <cell r="M85" t="str">
            <v>-</v>
          </cell>
          <cell r="N85" t="str">
            <v>INHIL</v>
          </cell>
        </row>
        <row r="86">
          <cell r="F86">
            <v>30</v>
          </cell>
          <cell r="J86" t="str">
            <v>INHIL</v>
          </cell>
          <cell r="K86" t="str">
            <v>-</v>
          </cell>
          <cell r="L86" t="str">
            <v>-</v>
          </cell>
          <cell r="M86" t="str">
            <v>-</v>
          </cell>
          <cell r="N86" t="str">
            <v>INHIL</v>
          </cell>
        </row>
        <row r="87">
          <cell r="F87">
            <v>27</v>
          </cell>
          <cell r="J87" t="str">
            <v>-</v>
          </cell>
          <cell r="K87" t="str">
            <v>INHIL</v>
          </cell>
          <cell r="L87" t="str">
            <v>-</v>
          </cell>
          <cell r="M87" t="str">
            <v>-</v>
          </cell>
          <cell r="N87" t="str">
            <v>INHIL</v>
          </cell>
        </row>
        <row r="88">
          <cell r="F88">
            <v>32</v>
          </cell>
          <cell r="J88" t="str">
            <v>-</v>
          </cell>
          <cell r="K88" t="str">
            <v>-</v>
          </cell>
          <cell r="L88" t="str">
            <v>-</v>
          </cell>
          <cell r="M88" t="str">
            <v>-</v>
          </cell>
          <cell r="N88" t="str">
            <v>INHIL</v>
          </cell>
        </row>
        <row r="89">
          <cell r="F89">
            <v>32</v>
          </cell>
          <cell r="J89" t="str">
            <v>-</v>
          </cell>
          <cell r="K89" t="str">
            <v>-</v>
          </cell>
          <cell r="L89" t="str">
            <v>-</v>
          </cell>
          <cell r="M89" t="str">
            <v>-</v>
          </cell>
          <cell r="N89" t="str">
            <v>INHIL</v>
          </cell>
        </row>
        <row r="90">
          <cell r="F90">
            <v>32</v>
          </cell>
          <cell r="J90" t="str">
            <v>-</v>
          </cell>
          <cell r="K90" t="str">
            <v>-</v>
          </cell>
          <cell r="L90" t="str">
            <v>-</v>
          </cell>
          <cell r="M90" t="str">
            <v>-</v>
          </cell>
          <cell r="N90" t="str">
            <v>INHIL</v>
          </cell>
        </row>
        <row r="91">
          <cell r="F91">
            <v>31</v>
          </cell>
          <cell r="J91" t="str">
            <v>-</v>
          </cell>
          <cell r="K91" t="str">
            <v>-</v>
          </cell>
          <cell r="L91" t="str">
            <v>-</v>
          </cell>
          <cell r="M91" t="str">
            <v>-</v>
          </cell>
          <cell r="N91" t="str">
            <v>INHIL</v>
          </cell>
        </row>
        <row r="92">
          <cell r="F92">
            <v>28</v>
          </cell>
          <cell r="J92" t="str">
            <v>-</v>
          </cell>
          <cell r="K92" t="str">
            <v>-</v>
          </cell>
          <cell r="L92" t="str">
            <v>-</v>
          </cell>
          <cell r="M92" t="str">
            <v>-</v>
          </cell>
          <cell r="N92" t="str">
            <v>INHIL</v>
          </cell>
        </row>
        <row r="93">
          <cell r="F93">
            <v>32</v>
          </cell>
          <cell r="J93" t="str">
            <v>-</v>
          </cell>
          <cell r="K93" t="str">
            <v>-</v>
          </cell>
          <cell r="L93" t="str">
            <v>-</v>
          </cell>
          <cell r="M93" t="str">
            <v>-</v>
          </cell>
          <cell r="N93" t="str">
            <v>INHIL</v>
          </cell>
        </row>
        <row r="94">
          <cell r="F94">
            <v>28</v>
          </cell>
          <cell r="J94" t="str">
            <v>INHIL</v>
          </cell>
          <cell r="K94" t="str">
            <v>-</v>
          </cell>
          <cell r="L94" t="str">
            <v>-</v>
          </cell>
          <cell r="M94" t="str">
            <v>-</v>
          </cell>
          <cell r="N94" t="str">
            <v>INHIL</v>
          </cell>
        </row>
        <row r="95">
          <cell r="F95">
            <v>30</v>
          </cell>
          <cell r="J95" t="str">
            <v>-</v>
          </cell>
          <cell r="K95" t="str">
            <v>-</v>
          </cell>
          <cell r="L95" t="str">
            <v>-</v>
          </cell>
          <cell r="M95" t="str">
            <v>-</v>
          </cell>
          <cell r="N95" t="str">
            <v>INHIL</v>
          </cell>
        </row>
        <row r="96">
          <cell r="F96">
            <v>30</v>
          </cell>
          <cell r="J96" t="str">
            <v>-</v>
          </cell>
          <cell r="K96" t="str">
            <v>-</v>
          </cell>
          <cell r="L96" t="str">
            <v>-</v>
          </cell>
          <cell r="M96" t="str">
            <v>-</v>
          </cell>
          <cell r="N96" t="str">
            <v>INHIL</v>
          </cell>
        </row>
        <row r="97">
          <cell r="F97">
            <v>20</v>
          </cell>
          <cell r="J97" t="str">
            <v>INHIL</v>
          </cell>
          <cell r="K97" t="str">
            <v>-</v>
          </cell>
          <cell r="L97" t="str">
            <v>-</v>
          </cell>
          <cell r="M97" t="str">
            <v>-</v>
          </cell>
          <cell r="N97" t="str">
            <v>INHIL</v>
          </cell>
        </row>
        <row r="98">
          <cell r="F98">
            <v>21</v>
          </cell>
          <cell r="J98" t="str">
            <v>INHIL</v>
          </cell>
          <cell r="K98" t="str">
            <v>-</v>
          </cell>
          <cell r="L98" t="str">
            <v>-</v>
          </cell>
          <cell r="M98" t="str">
            <v>-</v>
          </cell>
          <cell r="N98" t="str">
            <v>INHIL</v>
          </cell>
        </row>
        <row r="99">
          <cell r="F99">
            <v>22</v>
          </cell>
          <cell r="J99" t="str">
            <v>-</v>
          </cell>
          <cell r="K99" t="str">
            <v>-</v>
          </cell>
          <cell r="L99" t="str">
            <v>-</v>
          </cell>
          <cell r="M99" t="str">
            <v>-</v>
          </cell>
          <cell r="N99" t="str">
            <v>No</v>
          </cell>
        </row>
        <row r="100">
          <cell r="F100">
            <v>22</v>
          </cell>
          <cell r="J100" t="str">
            <v>-</v>
          </cell>
          <cell r="K100" t="str">
            <v>-</v>
          </cell>
          <cell r="L100" t="str">
            <v>-</v>
          </cell>
          <cell r="M100" t="str">
            <v>-</v>
          </cell>
          <cell r="N100" t="str">
            <v>INHIL</v>
          </cell>
        </row>
        <row r="101">
          <cell r="F101">
            <v>19</v>
          </cell>
          <cell r="J101" t="str">
            <v>-</v>
          </cell>
          <cell r="K101" t="str">
            <v>INHIL</v>
          </cell>
          <cell r="L101" t="str">
            <v>-</v>
          </cell>
          <cell r="M101" t="str">
            <v>-</v>
          </cell>
          <cell r="N101" t="str">
            <v>INHIL</v>
          </cell>
        </row>
        <row r="102">
          <cell r="F102">
            <v>21</v>
          </cell>
          <cell r="J102" t="str">
            <v>-</v>
          </cell>
          <cell r="K102" t="str">
            <v>-</v>
          </cell>
          <cell r="L102" t="str">
            <v>-</v>
          </cell>
          <cell r="M102" t="str">
            <v>-</v>
          </cell>
          <cell r="N102" t="str">
            <v>INHIL</v>
          </cell>
        </row>
        <row r="103">
          <cell r="F103">
            <v>23</v>
          </cell>
          <cell r="J103" t="str">
            <v>-</v>
          </cell>
          <cell r="K103" t="str">
            <v>-</v>
          </cell>
          <cell r="L103" t="str">
            <v>-</v>
          </cell>
          <cell r="M103" t="str">
            <v>-</v>
          </cell>
          <cell r="N103" t="str">
            <v>INHIL</v>
          </cell>
        </row>
        <row r="104">
          <cell r="F104">
            <v>18</v>
          </cell>
          <cell r="J104" t="str">
            <v>-</v>
          </cell>
          <cell r="K104" t="str">
            <v>-</v>
          </cell>
          <cell r="L104" t="str">
            <v>-</v>
          </cell>
          <cell r="M104" t="str">
            <v>-</v>
          </cell>
          <cell r="N104" t="str">
            <v>No</v>
          </cell>
        </row>
        <row r="105">
          <cell r="F105">
            <v>22</v>
          </cell>
          <cell r="J105" t="str">
            <v>-</v>
          </cell>
          <cell r="K105" t="str">
            <v>-</v>
          </cell>
          <cell r="L105" t="str">
            <v>-</v>
          </cell>
          <cell r="M105" t="str">
            <v>-</v>
          </cell>
          <cell r="N105" t="str">
            <v>No</v>
          </cell>
        </row>
        <row r="106">
          <cell r="F106">
            <v>28</v>
          </cell>
          <cell r="J106" t="str">
            <v>-</v>
          </cell>
          <cell r="K106" t="str">
            <v>-</v>
          </cell>
          <cell r="L106" t="str">
            <v>-</v>
          </cell>
          <cell r="M106" t="str">
            <v>-</v>
          </cell>
          <cell r="N106" t="str">
            <v>INHIL</v>
          </cell>
        </row>
        <row r="107">
          <cell r="F107">
            <v>20</v>
          </cell>
          <cell r="J107" t="str">
            <v>-</v>
          </cell>
          <cell r="K107" t="str">
            <v>-</v>
          </cell>
          <cell r="L107" t="str">
            <v>-</v>
          </cell>
          <cell r="M107" t="str">
            <v>-</v>
          </cell>
          <cell r="N107" t="str">
            <v>No</v>
          </cell>
        </row>
        <row r="108">
          <cell r="F108">
            <v>25</v>
          </cell>
          <cell r="J108" t="str">
            <v>-</v>
          </cell>
          <cell r="K108" t="str">
            <v>-</v>
          </cell>
          <cell r="L108" t="str">
            <v>-</v>
          </cell>
          <cell r="M108" t="str">
            <v>-</v>
          </cell>
          <cell r="N108" t="str">
            <v>No</v>
          </cell>
        </row>
        <row r="109">
          <cell r="F109">
            <v>18</v>
          </cell>
          <cell r="J109" t="str">
            <v>-</v>
          </cell>
          <cell r="K109" t="str">
            <v>-</v>
          </cell>
          <cell r="L109" t="str">
            <v>-</v>
          </cell>
          <cell r="M109" t="str">
            <v>-</v>
          </cell>
          <cell r="N109" t="str">
            <v>No</v>
          </cell>
        </row>
        <row r="110">
          <cell r="F110">
            <v>21</v>
          </cell>
          <cell r="J110" t="str">
            <v>-</v>
          </cell>
          <cell r="K110" t="str">
            <v>-</v>
          </cell>
          <cell r="L110" t="str">
            <v>-</v>
          </cell>
          <cell r="M110" t="str">
            <v>-</v>
          </cell>
          <cell r="N110" t="str">
            <v>No</v>
          </cell>
        </row>
        <row r="111">
          <cell r="F111">
            <v>32</v>
          </cell>
          <cell r="J111" t="str">
            <v>-</v>
          </cell>
          <cell r="K111" t="str">
            <v>-</v>
          </cell>
          <cell r="L111" t="str">
            <v>-</v>
          </cell>
          <cell r="M111" t="str">
            <v>-</v>
          </cell>
          <cell r="N111" t="str">
            <v>No</v>
          </cell>
        </row>
        <row r="112">
          <cell r="F112">
            <v>21</v>
          </cell>
          <cell r="J112" t="str">
            <v>-</v>
          </cell>
          <cell r="K112" t="str">
            <v>-</v>
          </cell>
          <cell r="L112" t="str">
            <v>-</v>
          </cell>
          <cell r="M112" t="str">
            <v>-</v>
          </cell>
          <cell r="N112" t="str">
            <v>No</v>
          </cell>
        </row>
        <row r="113">
          <cell r="F113">
            <v>28</v>
          </cell>
          <cell r="J113" t="str">
            <v>-</v>
          </cell>
          <cell r="K113" t="str">
            <v>-</v>
          </cell>
          <cell r="L113" t="str">
            <v>-</v>
          </cell>
          <cell r="M113" t="str">
            <v>-</v>
          </cell>
          <cell r="N113" t="str">
            <v>No</v>
          </cell>
        </row>
        <row r="114">
          <cell r="F114">
            <v>24</v>
          </cell>
          <cell r="J114" t="str">
            <v>-</v>
          </cell>
          <cell r="K114" t="str">
            <v>-</v>
          </cell>
          <cell r="L114" t="str">
            <v>-</v>
          </cell>
          <cell r="M114" t="str">
            <v>-</v>
          </cell>
          <cell r="N114" t="str">
            <v>No</v>
          </cell>
        </row>
        <row r="115">
          <cell r="F115">
            <v>23</v>
          </cell>
          <cell r="J115" t="str">
            <v>INHIL</v>
          </cell>
          <cell r="K115" t="str">
            <v>-</v>
          </cell>
          <cell r="L115" t="str">
            <v>-</v>
          </cell>
          <cell r="M115" t="str">
            <v>-</v>
          </cell>
          <cell r="N115" t="str">
            <v>INHIL</v>
          </cell>
        </row>
        <row r="116">
          <cell r="F116">
            <v>21</v>
          </cell>
          <cell r="J116" t="str">
            <v>-</v>
          </cell>
          <cell r="K116" t="str">
            <v>-</v>
          </cell>
          <cell r="L116" t="str">
            <v>-</v>
          </cell>
          <cell r="M116" t="str">
            <v>-</v>
          </cell>
          <cell r="N116" t="str">
            <v>INHIL</v>
          </cell>
        </row>
        <row r="117">
          <cell r="F117">
            <v>21</v>
          </cell>
          <cell r="J117" t="str">
            <v>-</v>
          </cell>
          <cell r="K117" t="str">
            <v>-</v>
          </cell>
          <cell r="L117" t="str">
            <v>-</v>
          </cell>
          <cell r="M117" t="str">
            <v>-</v>
          </cell>
          <cell r="N117" t="str">
            <v>No</v>
          </cell>
        </row>
        <row r="118">
          <cell r="F118">
            <v>27</v>
          </cell>
          <cell r="J118" t="str">
            <v>-</v>
          </cell>
          <cell r="K118" t="str">
            <v>-</v>
          </cell>
          <cell r="L118" t="str">
            <v>-</v>
          </cell>
          <cell r="M118" t="str">
            <v>-</v>
          </cell>
          <cell r="N118" t="str">
            <v>INHIL</v>
          </cell>
        </row>
        <row r="119">
          <cell r="F119">
            <v>25</v>
          </cell>
          <cell r="J119" t="str">
            <v>-</v>
          </cell>
          <cell r="K119" t="str">
            <v>-</v>
          </cell>
          <cell r="L119" t="str">
            <v>INHIL</v>
          </cell>
          <cell r="M119" t="str">
            <v>-</v>
          </cell>
          <cell r="N119" t="str">
            <v>INHIL</v>
          </cell>
        </row>
        <row r="120">
          <cell r="F120">
            <v>31</v>
          </cell>
          <cell r="J120" t="str">
            <v>-</v>
          </cell>
          <cell r="K120" t="str">
            <v>-</v>
          </cell>
          <cell r="L120" t="str">
            <v>-</v>
          </cell>
          <cell r="M120" t="str">
            <v>-</v>
          </cell>
          <cell r="N120" t="str">
            <v>No</v>
          </cell>
        </row>
        <row r="121">
          <cell r="F121">
            <v>27</v>
          </cell>
          <cell r="J121" t="str">
            <v>-</v>
          </cell>
          <cell r="K121" t="str">
            <v>-</v>
          </cell>
          <cell r="L121" t="str">
            <v>-</v>
          </cell>
          <cell r="M121" t="str">
            <v>-</v>
          </cell>
          <cell r="N121" t="str">
            <v>No</v>
          </cell>
        </row>
        <row r="122">
          <cell r="F122">
            <v>19</v>
          </cell>
          <cell r="J122" t="str">
            <v>-</v>
          </cell>
          <cell r="K122" t="str">
            <v>-</v>
          </cell>
          <cell r="L122" t="str">
            <v>-</v>
          </cell>
          <cell r="M122" t="str">
            <v>-</v>
          </cell>
          <cell r="N122" t="str">
            <v>No</v>
          </cell>
        </row>
        <row r="123">
          <cell r="F123">
            <v>22</v>
          </cell>
          <cell r="J123" t="str">
            <v>-</v>
          </cell>
          <cell r="K123" t="str">
            <v>-</v>
          </cell>
          <cell r="L123" t="str">
            <v>-</v>
          </cell>
          <cell r="M123" t="str">
            <v>-</v>
          </cell>
          <cell r="N123" t="str">
            <v>No</v>
          </cell>
        </row>
        <row r="124">
          <cell r="F124">
            <v>21</v>
          </cell>
          <cell r="J124" t="str">
            <v>-</v>
          </cell>
          <cell r="K124" t="str">
            <v>-</v>
          </cell>
          <cell r="L124" t="str">
            <v>-</v>
          </cell>
          <cell r="M124" t="str">
            <v>-</v>
          </cell>
          <cell r="N124" t="str">
            <v>No</v>
          </cell>
        </row>
        <row r="125">
          <cell r="F125">
            <v>23</v>
          </cell>
          <cell r="J125" t="str">
            <v>-</v>
          </cell>
          <cell r="K125" t="str">
            <v>-</v>
          </cell>
          <cell r="L125" t="str">
            <v>-</v>
          </cell>
          <cell r="M125" t="str">
            <v>-</v>
          </cell>
          <cell r="N125" t="str">
            <v>No</v>
          </cell>
        </row>
        <row r="126">
          <cell r="F126">
            <v>26</v>
          </cell>
          <cell r="J126" t="str">
            <v>-</v>
          </cell>
          <cell r="K126" t="str">
            <v>-</v>
          </cell>
          <cell r="L126" t="str">
            <v>-</v>
          </cell>
          <cell r="M126" t="str">
            <v>-</v>
          </cell>
          <cell r="N126" t="str">
            <v>INHIL</v>
          </cell>
        </row>
        <row r="127">
          <cell r="F127">
            <v>26</v>
          </cell>
          <cell r="J127" t="str">
            <v>-</v>
          </cell>
          <cell r="K127" t="str">
            <v>-</v>
          </cell>
          <cell r="L127" t="str">
            <v>-</v>
          </cell>
          <cell r="M127" t="str">
            <v>-</v>
          </cell>
          <cell r="N127" t="str">
            <v>No</v>
          </cell>
        </row>
        <row r="128">
          <cell r="F128">
            <v>21</v>
          </cell>
          <cell r="J128" t="str">
            <v>-</v>
          </cell>
          <cell r="K128" t="str">
            <v>-</v>
          </cell>
          <cell r="L128" t="str">
            <v>-</v>
          </cell>
          <cell r="M128" t="str">
            <v>-</v>
          </cell>
          <cell r="N128" t="str">
            <v>No</v>
          </cell>
        </row>
        <row r="129">
          <cell r="F129">
            <v>25</v>
          </cell>
          <cell r="J129" t="str">
            <v>-</v>
          </cell>
          <cell r="K129" t="str">
            <v>-</v>
          </cell>
          <cell r="L129" t="str">
            <v>-</v>
          </cell>
          <cell r="M129" t="str">
            <v>-</v>
          </cell>
          <cell r="N129" t="str">
            <v>No</v>
          </cell>
        </row>
        <row r="130">
          <cell r="F130">
            <v>22</v>
          </cell>
          <cell r="J130" t="str">
            <v>-</v>
          </cell>
          <cell r="K130" t="str">
            <v>-</v>
          </cell>
          <cell r="L130" t="str">
            <v>-</v>
          </cell>
          <cell r="M130" t="str">
            <v>-</v>
          </cell>
          <cell r="N130" t="str">
            <v>No</v>
          </cell>
        </row>
        <row r="131">
          <cell r="F131">
            <v>25</v>
          </cell>
          <cell r="J131" t="str">
            <v>-</v>
          </cell>
          <cell r="K131" t="str">
            <v>-</v>
          </cell>
          <cell r="L131" t="str">
            <v>-</v>
          </cell>
          <cell r="M131" t="str">
            <v>-</v>
          </cell>
          <cell r="N131" t="str">
            <v>INHIL</v>
          </cell>
        </row>
        <row r="132">
          <cell r="F132">
            <v>29</v>
          </cell>
          <cell r="J132" t="str">
            <v>-</v>
          </cell>
          <cell r="K132" t="str">
            <v>-</v>
          </cell>
          <cell r="L132" t="str">
            <v>-</v>
          </cell>
          <cell r="M132" t="str">
            <v>-</v>
          </cell>
          <cell r="N132" t="str">
            <v>INHIL</v>
          </cell>
        </row>
        <row r="133">
          <cell r="F133">
            <v>27</v>
          </cell>
          <cell r="J133" t="str">
            <v>INHIL</v>
          </cell>
          <cell r="K133" t="str">
            <v>-</v>
          </cell>
          <cell r="L133" t="str">
            <v>-</v>
          </cell>
          <cell r="M133" t="str">
            <v>-</v>
          </cell>
          <cell r="N133" t="str">
            <v>INHIL</v>
          </cell>
        </row>
        <row r="134">
          <cell r="F134">
            <v>21</v>
          </cell>
          <cell r="J134" t="str">
            <v>-</v>
          </cell>
          <cell r="K134" t="str">
            <v>-</v>
          </cell>
          <cell r="L134" t="str">
            <v>-</v>
          </cell>
          <cell r="M134" t="str">
            <v>-</v>
          </cell>
          <cell r="N134" t="str">
            <v>No</v>
          </cell>
        </row>
        <row r="135">
          <cell r="F135">
            <v>21</v>
          </cell>
          <cell r="J135" t="str">
            <v>-</v>
          </cell>
          <cell r="K135" t="str">
            <v>-</v>
          </cell>
          <cell r="L135" t="str">
            <v>-</v>
          </cell>
          <cell r="M135" t="str">
            <v>-</v>
          </cell>
          <cell r="N135" t="str">
            <v>No</v>
          </cell>
        </row>
        <row r="136">
          <cell r="F136">
            <v>23</v>
          </cell>
          <cell r="J136" t="str">
            <v>-</v>
          </cell>
          <cell r="K136" t="str">
            <v>-</v>
          </cell>
          <cell r="L136" t="str">
            <v>-</v>
          </cell>
          <cell r="M136" t="str">
            <v>-</v>
          </cell>
          <cell r="N136" t="str">
            <v>INHIL</v>
          </cell>
        </row>
        <row r="137">
          <cell r="F137">
            <v>22</v>
          </cell>
          <cell r="J137" t="str">
            <v>-</v>
          </cell>
          <cell r="K137" t="str">
            <v>-</v>
          </cell>
          <cell r="L137" t="str">
            <v>-</v>
          </cell>
          <cell r="M137" t="str">
            <v>-</v>
          </cell>
          <cell r="N137" t="str">
            <v>No</v>
          </cell>
        </row>
        <row r="138">
          <cell r="F138">
            <v>21</v>
          </cell>
          <cell r="J138" t="str">
            <v>-</v>
          </cell>
          <cell r="K138" t="str">
            <v>-</v>
          </cell>
          <cell r="L138" t="str">
            <v>-</v>
          </cell>
          <cell r="M138" t="str">
            <v>-</v>
          </cell>
          <cell r="N138" t="str">
            <v>No</v>
          </cell>
        </row>
        <row r="139">
          <cell r="F139">
            <v>24</v>
          </cell>
          <cell r="J139" t="str">
            <v>-</v>
          </cell>
          <cell r="K139" t="str">
            <v>-</v>
          </cell>
          <cell r="L139" t="str">
            <v>-</v>
          </cell>
          <cell r="M139" t="str">
            <v>-</v>
          </cell>
          <cell r="N139" t="str">
            <v>No</v>
          </cell>
        </row>
        <row r="140">
          <cell r="F140">
            <v>35</v>
          </cell>
          <cell r="J140" t="str">
            <v>INHIL</v>
          </cell>
          <cell r="K140" t="str">
            <v>-</v>
          </cell>
          <cell r="L140" t="str">
            <v>-</v>
          </cell>
          <cell r="M140" t="str">
            <v>-</v>
          </cell>
          <cell r="N140" t="str">
            <v>INHIL</v>
          </cell>
        </row>
        <row r="141">
          <cell r="F141">
            <v>24</v>
          </cell>
          <cell r="J141" t="str">
            <v>-</v>
          </cell>
          <cell r="K141" t="str">
            <v>-</v>
          </cell>
          <cell r="L141" t="str">
            <v>-</v>
          </cell>
          <cell r="M141" t="str">
            <v>-</v>
          </cell>
          <cell r="N141" t="str">
            <v>INHIL</v>
          </cell>
        </row>
        <row r="142">
          <cell r="F142">
            <v>31</v>
          </cell>
          <cell r="J142" t="str">
            <v>-</v>
          </cell>
          <cell r="K142" t="str">
            <v>-</v>
          </cell>
          <cell r="L142" t="str">
            <v>-</v>
          </cell>
          <cell r="M142" t="str">
            <v>-</v>
          </cell>
          <cell r="N142" t="str">
            <v>INHIL</v>
          </cell>
        </row>
        <row r="143">
          <cell r="F143">
            <v>22</v>
          </cell>
          <cell r="J143" t="str">
            <v>-</v>
          </cell>
          <cell r="K143" t="str">
            <v>-</v>
          </cell>
          <cell r="L143" t="str">
            <v>-</v>
          </cell>
          <cell r="M143" t="str">
            <v>-</v>
          </cell>
          <cell r="N143" t="str">
            <v>INHIL</v>
          </cell>
        </row>
        <row r="144">
          <cell r="F144">
            <v>27</v>
          </cell>
          <cell r="J144" t="str">
            <v>-</v>
          </cell>
          <cell r="K144" t="str">
            <v>-</v>
          </cell>
          <cell r="L144" t="str">
            <v>-</v>
          </cell>
          <cell r="M144" t="str">
            <v>-</v>
          </cell>
          <cell r="N144" t="str">
            <v>No</v>
          </cell>
        </row>
        <row r="145">
          <cell r="F145">
            <v>23</v>
          </cell>
          <cell r="J145" t="str">
            <v>-</v>
          </cell>
          <cell r="K145" t="str">
            <v>-</v>
          </cell>
          <cell r="L145" t="str">
            <v>-</v>
          </cell>
          <cell r="M145" t="str">
            <v>-</v>
          </cell>
          <cell r="N145" t="str">
            <v>INHIL</v>
          </cell>
        </row>
        <row r="146">
          <cell r="F146">
            <v>28</v>
          </cell>
          <cell r="J146" t="str">
            <v>-</v>
          </cell>
          <cell r="K146" t="str">
            <v>-</v>
          </cell>
          <cell r="L146" t="str">
            <v>-</v>
          </cell>
          <cell r="M146" t="str">
            <v>-</v>
          </cell>
          <cell r="N146" t="str">
            <v>INHIL</v>
          </cell>
        </row>
        <row r="147">
          <cell r="F147">
            <v>26</v>
          </cell>
          <cell r="J147" t="str">
            <v>-</v>
          </cell>
          <cell r="K147" t="str">
            <v>-</v>
          </cell>
          <cell r="L147" t="str">
            <v>-</v>
          </cell>
          <cell r="M147" t="str">
            <v>-</v>
          </cell>
          <cell r="N147" t="str">
            <v>INHIL</v>
          </cell>
        </row>
        <row r="148">
          <cell r="F148">
            <v>24</v>
          </cell>
          <cell r="J148" t="str">
            <v>-</v>
          </cell>
          <cell r="K148" t="str">
            <v>-</v>
          </cell>
          <cell r="L148" t="str">
            <v>-</v>
          </cell>
          <cell r="M148" t="str">
            <v>-</v>
          </cell>
          <cell r="N148" t="str">
            <v>INHIL</v>
          </cell>
        </row>
        <row r="149">
          <cell r="F149">
            <v>20</v>
          </cell>
          <cell r="J149" t="str">
            <v>-</v>
          </cell>
          <cell r="K149" t="str">
            <v>-</v>
          </cell>
          <cell r="L149" t="str">
            <v>-</v>
          </cell>
          <cell r="M149" t="str">
            <v>-</v>
          </cell>
          <cell r="N149" t="str">
            <v>INHIL</v>
          </cell>
        </row>
        <row r="150">
          <cell r="F150">
            <v>24</v>
          </cell>
          <cell r="J150" t="str">
            <v>-</v>
          </cell>
          <cell r="K150" t="str">
            <v>-</v>
          </cell>
          <cell r="L150" t="str">
            <v>-</v>
          </cell>
          <cell r="M150" t="str">
            <v>-</v>
          </cell>
          <cell r="N150" t="str">
            <v>No</v>
          </cell>
        </row>
        <row r="151">
          <cell r="F151">
            <v>37</v>
          </cell>
          <cell r="J151" t="str">
            <v>INHIL</v>
          </cell>
          <cell r="K151" t="str">
            <v>-</v>
          </cell>
          <cell r="L151" t="str">
            <v>-</v>
          </cell>
          <cell r="M151" t="str">
            <v>-</v>
          </cell>
          <cell r="N151" t="str">
            <v>INHIL</v>
          </cell>
        </row>
        <row r="152">
          <cell r="F152">
            <v>34</v>
          </cell>
          <cell r="J152" t="str">
            <v>-</v>
          </cell>
          <cell r="K152" t="str">
            <v>-</v>
          </cell>
          <cell r="L152" t="str">
            <v>-</v>
          </cell>
          <cell r="M152" t="str">
            <v>-</v>
          </cell>
          <cell r="N152" t="str">
            <v>INHIL</v>
          </cell>
        </row>
        <row r="153">
          <cell r="F153">
            <v>21</v>
          </cell>
          <cell r="J153" t="str">
            <v>-</v>
          </cell>
          <cell r="K153" t="str">
            <v>-</v>
          </cell>
          <cell r="L153" t="str">
            <v>-</v>
          </cell>
          <cell r="M153" t="str">
            <v>-</v>
          </cell>
          <cell r="N153" t="str">
            <v>No</v>
          </cell>
        </row>
        <row r="154">
          <cell r="F154">
            <v>42</v>
          </cell>
          <cell r="J154" t="str">
            <v>-</v>
          </cell>
          <cell r="K154" t="str">
            <v>-</v>
          </cell>
          <cell r="L154" t="str">
            <v>-</v>
          </cell>
          <cell r="M154" t="str">
            <v>-</v>
          </cell>
          <cell r="N154" t="str">
            <v>INHIL</v>
          </cell>
        </row>
        <row r="155">
          <cell r="F155">
            <v>31</v>
          </cell>
          <cell r="J155" t="str">
            <v>-</v>
          </cell>
          <cell r="K155" t="str">
            <v>-</v>
          </cell>
          <cell r="L155" t="str">
            <v>-</v>
          </cell>
          <cell r="M155" t="str">
            <v>-</v>
          </cell>
          <cell r="N155" t="str">
            <v>No</v>
          </cell>
        </row>
        <row r="156">
          <cell r="F156">
            <v>35</v>
          </cell>
          <cell r="J156" t="str">
            <v>-</v>
          </cell>
          <cell r="K156" t="str">
            <v>-</v>
          </cell>
          <cell r="L156" t="str">
            <v>-</v>
          </cell>
          <cell r="M156" t="str">
            <v>-</v>
          </cell>
          <cell r="N156" t="str">
            <v>INHIL</v>
          </cell>
        </row>
        <row r="157">
          <cell r="F157">
            <v>19</v>
          </cell>
          <cell r="J157" t="str">
            <v>-</v>
          </cell>
          <cell r="K157" t="str">
            <v>-</v>
          </cell>
          <cell r="L157" t="str">
            <v>-</v>
          </cell>
          <cell r="M157" t="str">
            <v>-</v>
          </cell>
          <cell r="N157" t="str">
            <v>No</v>
          </cell>
        </row>
        <row r="158">
          <cell r="F158">
            <v>25</v>
          </cell>
          <cell r="J158" t="str">
            <v>-</v>
          </cell>
          <cell r="K158" t="str">
            <v>-</v>
          </cell>
          <cell r="L158" t="str">
            <v>-</v>
          </cell>
          <cell r="M158" t="str">
            <v>-</v>
          </cell>
          <cell r="N158" t="str">
            <v>INHIL</v>
          </cell>
        </row>
        <row r="159">
          <cell r="F159">
            <v>22</v>
          </cell>
          <cell r="J159" t="str">
            <v>-</v>
          </cell>
          <cell r="K159" t="str">
            <v>-</v>
          </cell>
          <cell r="L159" t="str">
            <v>-</v>
          </cell>
          <cell r="M159" t="str">
            <v>-</v>
          </cell>
          <cell r="N159" t="str">
            <v>No</v>
          </cell>
        </row>
        <row r="160">
          <cell r="F160">
            <v>34</v>
          </cell>
          <cell r="J160" t="str">
            <v>INHIL</v>
          </cell>
          <cell r="K160" t="str">
            <v>-</v>
          </cell>
          <cell r="L160" t="str">
            <v>-</v>
          </cell>
          <cell r="M160" t="str">
            <v>-</v>
          </cell>
          <cell r="N160" t="str">
            <v>INHIL</v>
          </cell>
        </row>
        <row r="161">
          <cell r="F161">
            <v>34</v>
          </cell>
          <cell r="J161" t="str">
            <v>-</v>
          </cell>
          <cell r="K161" t="str">
            <v>-</v>
          </cell>
          <cell r="L161" t="str">
            <v>-</v>
          </cell>
          <cell r="M161" t="str">
            <v>-</v>
          </cell>
          <cell r="N161" t="str">
            <v>INHIL</v>
          </cell>
        </row>
        <row r="162">
          <cell r="F162">
            <v>20</v>
          </cell>
          <cell r="J162" t="str">
            <v>-</v>
          </cell>
          <cell r="K162" t="str">
            <v>-</v>
          </cell>
          <cell r="L162" t="str">
            <v>-</v>
          </cell>
          <cell r="M162" t="str">
            <v>-</v>
          </cell>
          <cell r="N162" t="str">
            <v>INHIL</v>
          </cell>
        </row>
        <row r="163">
          <cell r="F163">
            <v>33</v>
          </cell>
          <cell r="J163" t="str">
            <v>-</v>
          </cell>
          <cell r="K163" t="str">
            <v>-</v>
          </cell>
          <cell r="L163" t="str">
            <v>-</v>
          </cell>
          <cell r="M163" t="str">
            <v>-</v>
          </cell>
          <cell r="N163" t="str">
            <v>No</v>
          </cell>
        </row>
        <row r="164">
          <cell r="F164">
            <v>19</v>
          </cell>
          <cell r="J164" t="str">
            <v>-</v>
          </cell>
          <cell r="K164" t="str">
            <v>-</v>
          </cell>
          <cell r="L164" t="str">
            <v>-</v>
          </cell>
          <cell r="M164" t="str">
            <v>-</v>
          </cell>
          <cell r="N164" t="str">
            <v>No</v>
          </cell>
        </row>
        <row r="165">
          <cell r="F165">
            <v>34</v>
          </cell>
          <cell r="J165" t="str">
            <v>-</v>
          </cell>
          <cell r="K165" t="str">
            <v>-</v>
          </cell>
          <cell r="L165" t="str">
            <v>-</v>
          </cell>
          <cell r="M165" t="str">
            <v>-</v>
          </cell>
          <cell r="N165" t="str">
            <v>INHIL</v>
          </cell>
        </row>
        <row r="166">
          <cell r="F166">
            <v>21</v>
          </cell>
          <cell r="J166" t="str">
            <v>-</v>
          </cell>
          <cell r="K166" t="str">
            <v>-</v>
          </cell>
          <cell r="L166" t="str">
            <v>-</v>
          </cell>
          <cell r="M166" t="str">
            <v>-</v>
          </cell>
          <cell r="N166" t="str">
            <v>No</v>
          </cell>
        </row>
        <row r="167">
          <cell r="F167">
            <v>19</v>
          </cell>
          <cell r="J167" t="str">
            <v>-</v>
          </cell>
          <cell r="K167" t="str">
            <v>-</v>
          </cell>
          <cell r="L167" t="str">
            <v>-</v>
          </cell>
          <cell r="M167" t="str">
            <v>-</v>
          </cell>
          <cell r="N167" t="str">
            <v>No</v>
          </cell>
        </row>
        <row r="168">
          <cell r="F168">
            <v>27</v>
          </cell>
          <cell r="J168" t="str">
            <v>INHIL</v>
          </cell>
          <cell r="K168" t="str">
            <v>-</v>
          </cell>
          <cell r="L168" t="str">
            <v>-</v>
          </cell>
          <cell r="M168" t="str">
            <v>-</v>
          </cell>
          <cell r="N168" t="str">
            <v>INHIL</v>
          </cell>
        </row>
        <row r="169">
          <cell r="F169">
            <v>35</v>
          </cell>
          <cell r="J169" t="str">
            <v>-</v>
          </cell>
          <cell r="K169" t="str">
            <v>-</v>
          </cell>
          <cell r="L169" t="str">
            <v>-</v>
          </cell>
          <cell r="M169" t="str">
            <v>-</v>
          </cell>
          <cell r="N169" t="str">
            <v>No</v>
          </cell>
        </row>
        <row r="170">
          <cell r="F170">
            <v>23</v>
          </cell>
          <cell r="J170" t="str">
            <v>-</v>
          </cell>
          <cell r="K170" t="str">
            <v>-</v>
          </cell>
          <cell r="L170" t="str">
            <v>-</v>
          </cell>
          <cell r="M170" t="str">
            <v>-</v>
          </cell>
          <cell r="N170" t="str">
            <v>INHIL</v>
          </cell>
        </row>
        <row r="171">
          <cell r="F171">
            <v>30</v>
          </cell>
          <cell r="J171" t="str">
            <v>-</v>
          </cell>
          <cell r="K171" t="str">
            <v>-</v>
          </cell>
          <cell r="L171" t="str">
            <v>-</v>
          </cell>
          <cell r="M171" t="str">
            <v>-</v>
          </cell>
          <cell r="N171" t="str">
            <v>No</v>
          </cell>
        </row>
        <row r="172">
          <cell r="F172">
            <v>22</v>
          </cell>
          <cell r="J172" t="str">
            <v>-</v>
          </cell>
          <cell r="K172" t="str">
            <v>-</v>
          </cell>
          <cell r="L172" t="str">
            <v>-</v>
          </cell>
          <cell r="M172" t="str">
            <v>-</v>
          </cell>
          <cell r="N172" t="str">
            <v>No</v>
          </cell>
        </row>
        <row r="173">
          <cell r="F173">
            <v>27</v>
          </cell>
          <cell r="J173" t="str">
            <v>-</v>
          </cell>
          <cell r="K173" t="str">
            <v>INHIL</v>
          </cell>
          <cell r="L173" t="str">
            <v>-</v>
          </cell>
          <cell r="M173" t="str">
            <v>-</v>
          </cell>
          <cell r="N173" t="str">
            <v>INHIL</v>
          </cell>
        </row>
        <row r="174">
          <cell r="F174">
            <v>29</v>
          </cell>
          <cell r="J174" t="str">
            <v>-</v>
          </cell>
          <cell r="K174" t="str">
            <v>-</v>
          </cell>
          <cell r="L174" t="str">
            <v>-</v>
          </cell>
          <cell r="M174" t="str">
            <v>-</v>
          </cell>
          <cell r="N174" t="str">
            <v>INHIL</v>
          </cell>
        </row>
        <row r="175">
          <cell r="F175">
            <v>26</v>
          </cell>
          <cell r="J175" t="str">
            <v>-</v>
          </cell>
          <cell r="K175" t="str">
            <v>-</v>
          </cell>
          <cell r="L175" t="str">
            <v>-</v>
          </cell>
          <cell r="M175" t="str">
            <v>-</v>
          </cell>
          <cell r="N175" t="str">
            <v>No</v>
          </cell>
        </row>
        <row r="176">
          <cell r="F176">
            <v>33</v>
          </cell>
          <cell r="J176" t="str">
            <v>-</v>
          </cell>
          <cell r="K176" t="str">
            <v>-</v>
          </cell>
          <cell r="L176" t="str">
            <v>-</v>
          </cell>
          <cell r="M176" t="str">
            <v>-</v>
          </cell>
          <cell r="N176" t="str">
            <v>INHIL</v>
          </cell>
        </row>
        <row r="177">
          <cell r="F177">
            <v>28</v>
          </cell>
          <cell r="J177" t="str">
            <v>-</v>
          </cell>
          <cell r="K177" t="str">
            <v>-</v>
          </cell>
          <cell r="L177" t="str">
            <v>-</v>
          </cell>
          <cell r="M177" t="str">
            <v>-</v>
          </cell>
          <cell r="N177" t="str">
            <v>No</v>
          </cell>
        </row>
        <row r="178">
          <cell r="F178">
            <v>45</v>
          </cell>
          <cell r="J178" t="str">
            <v>-</v>
          </cell>
          <cell r="K178" t="str">
            <v>-</v>
          </cell>
          <cell r="L178" t="str">
            <v>-</v>
          </cell>
          <cell r="M178" t="str">
            <v>-</v>
          </cell>
          <cell r="N178" t="str">
            <v>INHIL</v>
          </cell>
        </row>
        <row r="179">
          <cell r="F179">
            <v>35</v>
          </cell>
          <cell r="J179" t="str">
            <v>-</v>
          </cell>
          <cell r="K179" t="str">
            <v>-</v>
          </cell>
          <cell r="L179" t="str">
            <v>-</v>
          </cell>
          <cell r="M179" t="str">
            <v>-</v>
          </cell>
          <cell r="N179" t="str">
            <v>INHIL</v>
          </cell>
        </row>
        <row r="180">
          <cell r="F180">
            <v>22</v>
          </cell>
          <cell r="J180" t="str">
            <v>-</v>
          </cell>
          <cell r="K180" t="str">
            <v>INHIL</v>
          </cell>
          <cell r="L180" t="str">
            <v>-</v>
          </cell>
          <cell r="M180" t="str">
            <v>-</v>
          </cell>
          <cell r="N180" t="str">
            <v>INHIL</v>
          </cell>
        </row>
        <row r="181">
          <cell r="F181">
            <v>23</v>
          </cell>
          <cell r="J181" t="str">
            <v>-</v>
          </cell>
          <cell r="K181" t="str">
            <v>-</v>
          </cell>
          <cell r="L181" t="str">
            <v>-</v>
          </cell>
          <cell r="M181" t="str">
            <v>-</v>
          </cell>
          <cell r="N181" t="str">
            <v>No</v>
          </cell>
        </row>
        <row r="182">
          <cell r="F182">
            <v>46</v>
          </cell>
          <cell r="J182" t="str">
            <v>-</v>
          </cell>
          <cell r="K182" t="str">
            <v>-</v>
          </cell>
          <cell r="L182" t="str">
            <v>-</v>
          </cell>
          <cell r="M182" t="str">
            <v>-</v>
          </cell>
          <cell r="N182" t="str">
            <v>INHIL</v>
          </cell>
        </row>
        <row r="183">
          <cell r="F183">
            <v>22</v>
          </cell>
          <cell r="J183" t="str">
            <v>-</v>
          </cell>
          <cell r="K183" t="str">
            <v>INHIL</v>
          </cell>
          <cell r="L183" t="str">
            <v>-</v>
          </cell>
          <cell r="M183" t="str">
            <v>-</v>
          </cell>
          <cell r="N183" t="str">
            <v>INHIL</v>
          </cell>
        </row>
        <row r="184">
          <cell r="F184">
            <v>34</v>
          </cell>
          <cell r="J184" t="str">
            <v>-</v>
          </cell>
          <cell r="K184" t="str">
            <v>-</v>
          </cell>
          <cell r="L184" t="str">
            <v>-</v>
          </cell>
          <cell r="M184" t="str">
            <v>-</v>
          </cell>
          <cell r="N184" t="str">
            <v>INHIL</v>
          </cell>
        </row>
        <row r="185">
          <cell r="F185">
            <v>30</v>
          </cell>
          <cell r="J185" t="str">
            <v>-</v>
          </cell>
          <cell r="K185" t="str">
            <v>-</v>
          </cell>
          <cell r="L185" t="str">
            <v>-</v>
          </cell>
          <cell r="M185" t="str">
            <v>-</v>
          </cell>
          <cell r="N185" t="str">
            <v>INHIL</v>
          </cell>
        </row>
        <row r="186">
          <cell r="F186">
            <v>36</v>
          </cell>
          <cell r="J186" t="str">
            <v>-</v>
          </cell>
          <cell r="K186" t="str">
            <v>-</v>
          </cell>
          <cell r="L186" t="str">
            <v>-</v>
          </cell>
          <cell r="M186" t="str">
            <v>-</v>
          </cell>
          <cell r="N186" t="str">
            <v>INHIL</v>
          </cell>
        </row>
        <row r="187">
          <cell r="F187">
            <v>28</v>
          </cell>
          <cell r="J187" t="str">
            <v>-</v>
          </cell>
          <cell r="K187" t="str">
            <v>-</v>
          </cell>
          <cell r="L187" t="str">
            <v>-</v>
          </cell>
          <cell r="M187" t="str">
            <v>-</v>
          </cell>
          <cell r="N187" t="str">
            <v>No</v>
          </cell>
        </row>
        <row r="188">
          <cell r="F188">
            <v>26</v>
          </cell>
          <cell r="J188" t="str">
            <v>INHIL</v>
          </cell>
          <cell r="K188" t="str">
            <v>-</v>
          </cell>
          <cell r="L188" t="str">
            <v>-</v>
          </cell>
          <cell r="M188" t="str">
            <v>-</v>
          </cell>
          <cell r="N188" t="str">
            <v>INHIL</v>
          </cell>
        </row>
        <row r="189">
          <cell r="F189">
            <v>34</v>
          </cell>
          <cell r="J189" t="str">
            <v>-</v>
          </cell>
          <cell r="K189" t="str">
            <v>-</v>
          </cell>
          <cell r="L189" t="str">
            <v>-</v>
          </cell>
          <cell r="M189" t="str">
            <v>-</v>
          </cell>
          <cell r="N189" t="str">
            <v>INHIL</v>
          </cell>
        </row>
        <row r="190">
          <cell r="F190">
            <v>49</v>
          </cell>
          <cell r="J190" t="str">
            <v>-</v>
          </cell>
          <cell r="K190" t="str">
            <v>-</v>
          </cell>
          <cell r="L190" t="str">
            <v>-</v>
          </cell>
          <cell r="M190" t="str">
            <v>-</v>
          </cell>
          <cell r="N190" t="str">
            <v>No</v>
          </cell>
        </row>
        <row r="191">
          <cell r="F191">
            <v>23</v>
          </cell>
          <cell r="J191" t="str">
            <v>-</v>
          </cell>
          <cell r="K191" t="str">
            <v>-</v>
          </cell>
          <cell r="L191" t="str">
            <v>-</v>
          </cell>
          <cell r="M191" t="str">
            <v>-</v>
          </cell>
          <cell r="N191" t="str">
            <v>No</v>
          </cell>
        </row>
        <row r="192">
          <cell r="F192">
            <v>33</v>
          </cell>
          <cell r="J192" t="str">
            <v>-</v>
          </cell>
          <cell r="K192" t="str">
            <v>-</v>
          </cell>
          <cell r="L192" t="str">
            <v>-</v>
          </cell>
          <cell r="M192" t="str">
            <v>-</v>
          </cell>
          <cell r="N192" t="str">
            <v>No</v>
          </cell>
        </row>
        <row r="193">
          <cell r="F193">
            <v>52</v>
          </cell>
          <cell r="J193" t="str">
            <v>-</v>
          </cell>
          <cell r="K193" t="str">
            <v>-</v>
          </cell>
          <cell r="L193" t="str">
            <v>-</v>
          </cell>
          <cell r="M193" t="str">
            <v>-</v>
          </cell>
          <cell r="N193" t="str">
            <v>INHIL</v>
          </cell>
        </row>
        <row r="194">
          <cell r="F194">
            <v>25</v>
          </cell>
          <cell r="J194" t="str">
            <v>-</v>
          </cell>
          <cell r="K194" t="str">
            <v>-</v>
          </cell>
          <cell r="L194" t="str">
            <v>-</v>
          </cell>
          <cell r="M194" t="str">
            <v>-</v>
          </cell>
          <cell r="N194" t="str">
            <v>INHIL</v>
          </cell>
        </row>
        <row r="195">
          <cell r="F195">
            <v>20</v>
          </cell>
          <cell r="J195" t="str">
            <v>-</v>
          </cell>
          <cell r="K195" t="str">
            <v>INHIL</v>
          </cell>
          <cell r="L195" t="str">
            <v>-</v>
          </cell>
          <cell r="M195" t="str">
            <v>-</v>
          </cell>
          <cell r="N195" t="str">
            <v>INHIL</v>
          </cell>
        </row>
        <row r="196">
          <cell r="F196">
            <v>19</v>
          </cell>
          <cell r="J196" t="str">
            <v>-</v>
          </cell>
          <cell r="K196" t="str">
            <v>-</v>
          </cell>
          <cell r="L196" t="str">
            <v>-</v>
          </cell>
          <cell r="M196" t="str">
            <v>-</v>
          </cell>
          <cell r="N196" t="str">
            <v>INHIL</v>
          </cell>
        </row>
        <row r="197">
          <cell r="F197">
            <v>39</v>
          </cell>
          <cell r="J197" t="str">
            <v>-</v>
          </cell>
          <cell r="K197" t="str">
            <v>-</v>
          </cell>
          <cell r="L197" t="str">
            <v>-</v>
          </cell>
          <cell r="M197" t="str">
            <v>-</v>
          </cell>
          <cell r="N197" t="str">
            <v>No</v>
          </cell>
        </row>
        <row r="198">
          <cell r="F198">
            <v>26</v>
          </cell>
          <cell r="J198" t="str">
            <v>-</v>
          </cell>
          <cell r="K198" t="str">
            <v>INHIL</v>
          </cell>
          <cell r="L198" t="str">
            <v>-</v>
          </cell>
          <cell r="M198" t="str">
            <v>-</v>
          </cell>
          <cell r="N198" t="str">
            <v>INHIL</v>
          </cell>
        </row>
        <row r="199">
          <cell r="F199">
            <v>33</v>
          </cell>
          <cell r="J199" t="str">
            <v>-</v>
          </cell>
          <cell r="K199" t="str">
            <v>-</v>
          </cell>
          <cell r="L199" t="str">
            <v>-</v>
          </cell>
          <cell r="M199" t="str">
            <v>-</v>
          </cell>
          <cell r="N199" t="str">
            <v>INHIL</v>
          </cell>
        </row>
        <row r="200">
          <cell r="F200">
            <v>19</v>
          </cell>
          <cell r="J200" t="str">
            <v>-</v>
          </cell>
          <cell r="K200" t="str">
            <v>-</v>
          </cell>
          <cell r="L200" t="str">
            <v>-</v>
          </cell>
          <cell r="M200" t="str">
            <v>-</v>
          </cell>
          <cell r="N200" t="str">
            <v>No</v>
          </cell>
        </row>
        <row r="201">
          <cell r="F201">
            <v>30</v>
          </cell>
          <cell r="J201" t="str">
            <v>-</v>
          </cell>
          <cell r="K201" t="str">
            <v>-</v>
          </cell>
          <cell r="L201" t="str">
            <v>-</v>
          </cell>
          <cell r="M201" t="str">
            <v>-</v>
          </cell>
          <cell r="N201" t="str">
            <v>INHIL</v>
          </cell>
        </row>
        <row r="202">
          <cell r="F202">
            <v>21</v>
          </cell>
          <cell r="J202" t="str">
            <v>-</v>
          </cell>
          <cell r="K202" t="str">
            <v>-</v>
          </cell>
          <cell r="L202" t="str">
            <v>-</v>
          </cell>
          <cell r="M202" t="str">
            <v>-</v>
          </cell>
          <cell r="N202" t="str">
            <v>No</v>
          </cell>
        </row>
        <row r="203">
          <cell r="F203">
            <v>30</v>
          </cell>
          <cell r="J203" t="str">
            <v>-</v>
          </cell>
          <cell r="K203" t="str">
            <v>-</v>
          </cell>
          <cell r="L203" t="str">
            <v>-</v>
          </cell>
          <cell r="M203" t="str">
            <v>-</v>
          </cell>
          <cell r="N203" t="str">
            <v>INHIL</v>
          </cell>
        </row>
        <row r="204">
          <cell r="F204">
            <v>27</v>
          </cell>
          <cell r="J204" t="str">
            <v>-</v>
          </cell>
          <cell r="K204" t="str">
            <v>INHIL</v>
          </cell>
          <cell r="L204" t="str">
            <v>-</v>
          </cell>
          <cell r="M204" t="str">
            <v>-</v>
          </cell>
          <cell r="N204" t="str">
            <v>INHIL</v>
          </cell>
        </row>
        <row r="205">
          <cell r="F205">
            <v>29</v>
          </cell>
          <cell r="J205" t="str">
            <v>-</v>
          </cell>
          <cell r="K205" t="str">
            <v>-</v>
          </cell>
          <cell r="L205" t="str">
            <v>-</v>
          </cell>
          <cell r="M205" t="str">
            <v>-</v>
          </cell>
          <cell r="N205" t="str">
            <v>INHIL</v>
          </cell>
        </row>
        <row r="206">
          <cell r="F206">
            <v>19</v>
          </cell>
          <cell r="J206" t="str">
            <v>-</v>
          </cell>
          <cell r="K206" t="str">
            <v>-</v>
          </cell>
          <cell r="L206" t="str">
            <v>-</v>
          </cell>
          <cell r="M206" t="str">
            <v>-</v>
          </cell>
          <cell r="N206" t="str">
            <v>No</v>
          </cell>
        </row>
        <row r="207">
          <cell r="F207">
            <v>32</v>
          </cell>
          <cell r="J207" t="str">
            <v>INHIL</v>
          </cell>
          <cell r="K207" t="str">
            <v>-</v>
          </cell>
          <cell r="L207" t="str">
            <v>-</v>
          </cell>
          <cell r="M207" t="str">
            <v>-</v>
          </cell>
          <cell r="N207" t="str">
            <v>INHIL</v>
          </cell>
        </row>
        <row r="208">
          <cell r="F208">
            <v>27</v>
          </cell>
          <cell r="J208" t="str">
            <v>-</v>
          </cell>
          <cell r="K208" t="str">
            <v>-</v>
          </cell>
          <cell r="L208" t="str">
            <v>-</v>
          </cell>
          <cell r="M208" t="str">
            <v>-</v>
          </cell>
          <cell r="N208" t="str">
            <v>INHIL</v>
          </cell>
        </row>
        <row r="209">
          <cell r="F209">
            <v>20</v>
          </cell>
          <cell r="J209" t="str">
            <v>-</v>
          </cell>
          <cell r="K209" t="str">
            <v>-</v>
          </cell>
          <cell r="L209" t="str">
            <v>-</v>
          </cell>
          <cell r="M209" t="str">
            <v>-</v>
          </cell>
          <cell r="N209" t="str">
            <v>INHIL</v>
          </cell>
        </row>
        <row r="210">
          <cell r="F210">
            <v>34</v>
          </cell>
          <cell r="J210" t="str">
            <v>-</v>
          </cell>
          <cell r="K210" t="str">
            <v>-</v>
          </cell>
          <cell r="L210" t="str">
            <v>-</v>
          </cell>
          <cell r="M210" t="str">
            <v>-</v>
          </cell>
          <cell r="N210" t="str">
            <v>INHIL</v>
          </cell>
        </row>
        <row r="211">
          <cell r="F211">
            <v>32</v>
          </cell>
          <cell r="J211" t="str">
            <v>-</v>
          </cell>
          <cell r="K211" t="str">
            <v>-</v>
          </cell>
          <cell r="L211" t="str">
            <v>-</v>
          </cell>
          <cell r="M211" t="str">
            <v>-</v>
          </cell>
          <cell r="N211" t="str">
            <v>INHIL</v>
          </cell>
        </row>
        <row r="212">
          <cell r="F212">
            <v>20</v>
          </cell>
          <cell r="J212" t="str">
            <v>-</v>
          </cell>
          <cell r="K212" t="str">
            <v>-</v>
          </cell>
          <cell r="L212" t="str">
            <v>-</v>
          </cell>
          <cell r="M212" t="str">
            <v>-</v>
          </cell>
          <cell r="N212" t="str">
            <v>No</v>
          </cell>
        </row>
        <row r="213">
          <cell r="F213">
            <v>29</v>
          </cell>
          <cell r="J213" t="str">
            <v>-</v>
          </cell>
          <cell r="K213" t="str">
            <v>-</v>
          </cell>
          <cell r="L213" t="str">
            <v>-</v>
          </cell>
          <cell r="M213" t="str">
            <v>-</v>
          </cell>
          <cell r="N213" t="str">
            <v>No</v>
          </cell>
        </row>
        <row r="214">
          <cell r="F214">
            <v>25</v>
          </cell>
          <cell r="J214" t="str">
            <v>-</v>
          </cell>
          <cell r="K214" t="str">
            <v>-</v>
          </cell>
          <cell r="L214" t="str">
            <v>-</v>
          </cell>
          <cell r="M214" t="str">
            <v>-</v>
          </cell>
          <cell r="N214" t="str">
            <v>No</v>
          </cell>
        </row>
        <row r="215">
          <cell r="F215">
            <v>31</v>
          </cell>
          <cell r="J215" t="str">
            <v>-</v>
          </cell>
          <cell r="K215" t="str">
            <v>-</v>
          </cell>
          <cell r="L215" t="str">
            <v>-</v>
          </cell>
          <cell r="M215" t="str">
            <v>-</v>
          </cell>
          <cell r="N215" t="str">
            <v>INHIL</v>
          </cell>
        </row>
        <row r="216">
          <cell r="F216">
            <v>21</v>
          </cell>
          <cell r="J216" t="str">
            <v>-</v>
          </cell>
          <cell r="K216" t="str">
            <v>-</v>
          </cell>
          <cell r="L216" t="str">
            <v>-</v>
          </cell>
          <cell r="M216" t="str">
            <v>-</v>
          </cell>
          <cell r="N216" t="str">
            <v>INHIL</v>
          </cell>
        </row>
        <row r="217">
          <cell r="F217">
            <v>30</v>
          </cell>
          <cell r="J217" t="str">
            <v>-</v>
          </cell>
          <cell r="K217" t="str">
            <v>-</v>
          </cell>
          <cell r="L217" t="str">
            <v>-</v>
          </cell>
          <cell r="M217" t="str">
            <v>-</v>
          </cell>
          <cell r="N217" t="str">
            <v>INHIL</v>
          </cell>
        </row>
        <row r="218">
          <cell r="F218">
            <v>19</v>
          </cell>
          <cell r="J218" t="str">
            <v>INHIL</v>
          </cell>
          <cell r="K218" t="str">
            <v>-</v>
          </cell>
          <cell r="L218" t="str">
            <v>-</v>
          </cell>
          <cell r="M218" t="str">
            <v>-</v>
          </cell>
          <cell r="N218" t="str">
            <v>INHIL</v>
          </cell>
        </row>
        <row r="219">
          <cell r="F219">
            <v>44</v>
          </cell>
          <cell r="J219" t="str">
            <v>-</v>
          </cell>
          <cell r="K219" t="str">
            <v>-</v>
          </cell>
          <cell r="L219" t="str">
            <v>-</v>
          </cell>
          <cell r="M219" t="str">
            <v>-</v>
          </cell>
          <cell r="N219" t="str">
            <v>INHIL</v>
          </cell>
        </row>
        <row r="220">
          <cell r="F220">
            <v>27</v>
          </cell>
          <cell r="J220" t="str">
            <v>-</v>
          </cell>
          <cell r="K220" t="str">
            <v>-</v>
          </cell>
          <cell r="L220" t="str">
            <v>-</v>
          </cell>
          <cell r="M220" t="str">
            <v>-</v>
          </cell>
          <cell r="N220" t="str">
            <v>INHIL</v>
          </cell>
        </row>
        <row r="221">
          <cell r="F221">
            <v>25</v>
          </cell>
          <cell r="J221" t="str">
            <v>-</v>
          </cell>
          <cell r="K221" t="str">
            <v>-</v>
          </cell>
          <cell r="L221" t="str">
            <v>-</v>
          </cell>
          <cell r="M221" t="str">
            <v>-</v>
          </cell>
          <cell r="N221" t="str">
            <v>INHIL</v>
          </cell>
        </row>
        <row r="222">
          <cell r="F222">
            <v>31</v>
          </cell>
          <cell r="J222" t="str">
            <v>-</v>
          </cell>
          <cell r="K222" t="str">
            <v>-</v>
          </cell>
          <cell r="L222" t="str">
            <v>-</v>
          </cell>
          <cell r="M222" t="str">
            <v>-</v>
          </cell>
          <cell r="N222" t="str">
            <v>No</v>
          </cell>
        </row>
        <row r="223">
          <cell r="F223">
            <v>25</v>
          </cell>
          <cell r="J223" t="str">
            <v>-</v>
          </cell>
          <cell r="K223" t="str">
            <v>-</v>
          </cell>
          <cell r="L223" t="str">
            <v>-</v>
          </cell>
          <cell r="M223" t="str">
            <v>-</v>
          </cell>
          <cell r="N223" t="str">
            <v>INHIL</v>
          </cell>
        </row>
        <row r="224">
          <cell r="F224">
            <v>30</v>
          </cell>
          <cell r="J224" t="str">
            <v>-</v>
          </cell>
          <cell r="K224" t="str">
            <v>-</v>
          </cell>
          <cell r="L224" t="str">
            <v>-</v>
          </cell>
          <cell r="M224" t="str">
            <v>-</v>
          </cell>
          <cell r="N224" t="str">
            <v>No</v>
          </cell>
        </row>
        <row r="225">
          <cell r="F225">
            <v>32</v>
          </cell>
          <cell r="J225" t="str">
            <v>-</v>
          </cell>
          <cell r="K225" t="str">
            <v>-</v>
          </cell>
          <cell r="L225" t="str">
            <v>-</v>
          </cell>
          <cell r="M225" t="str">
            <v>-</v>
          </cell>
          <cell r="N225" t="str">
            <v>INHIL</v>
          </cell>
        </row>
        <row r="226">
          <cell r="F226">
            <v>19</v>
          </cell>
          <cell r="J226" t="str">
            <v>-</v>
          </cell>
          <cell r="K226" t="str">
            <v>-</v>
          </cell>
          <cell r="L226" t="str">
            <v>-</v>
          </cell>
          <cell r="M226" t="str">
            <v>-</v>
          </cell>
          <cell r="N226" t="str">
            <v>No</v>
          </cell>
        </row>
        <row r="227">
          <cell r="F227">
            <v>25</v>
          </cell>
          <cell r="J227" t="str">
            <v>-</v>
          </cell>
          <cell r="K227" t="str">
            <v>-</v>
          </cell>
          <cell r="L227" t="str">
            <v>-</v>
          </cell>
          <cell r="M227" t="str">
            <v>-</v>
          </cell>
          <cell r="N227" t="str">
            <v>INHIL</v>
          </cell>
        </row>
        <row r="228">
          <cell r="F228">
            <v>23</v>
          </cell>
          <cell r="J228" t="str">
            <v>-</v>
          </cell>
          <cell r="K228" t="str">
            <v>-</v>
          </cell>
          <cell r="L228" t="str">
            <v>-</v>
          </cell>
          <cell r="M228" t="str">
            <v>-</v>
          </cell>
          <cell r="N228" t="str">
            <v>INHIL</v>
          </cell>
        </row>
        <row r="229">
          <cell r="F229">
            <v>18</v>
          </cell>
          <cell r="J229" t="str">
            <v>-</v>
          </cell>
          <cell r="K229" t="str">
            <v>-</v>
          </cell>
          <cell r="L229" t="str">
            <v>-</v>
          </cell>
          <cell r="M229" t="str">
            <v>-</v>
          </cell>
          <cell r="N229" t="str">
            <v>No</v>
          </cell>
        </row>
        <row r="230">
          <cell r="F230">
            <v>35</v>
          </cell>
          <cell r="J230" t="str">
            <v>-</v>
          </cell>
          <cell r="K230" t="str">
            <v>-</v>
          </cell>
          <cell r="L230" t="str">
            <v>-</v>
          </cell>
          <cell r="M230" t="str">
            <v>-</v>
          </cell>
          <cell r="N230" t="str">
            <v>INHIL</v>
          </cell>
        </row>
        <row r="231">
          <cell r="F231">
            <v>22</v>
          </cell>
          <cell r="J231" t="str">
            <v>-</v>
          </cell>
          <cell r="K231" t="str">
            <v>-</v>
          </cell>
          <cell r="L231" t="str">
            <v>-</v>
          </cell>
          <cell r="M231" t="str">
            <v>-</v>
          </cell>
          <cell r="N231" t="str">
            <v>No</v>
          </cell>
        </row>
        <row r="232">
          <cell r="F232">
            <v>32</v>
          </cell>
          <cell r="J232" t="str">
            <v>-</v>
          </cell>
          <cell r="K232" t="str">
            <v>INHIL</v>
          </cell>
          <cell r="L232" t="str">
            <v>-</v>
          </cell>
          <cell r="M232" t="str">
            <v>-</v>
          </cell>
          <cell r="N232" t="str">
            <v>INHIL</v>
          </cell>
        </row>
        <row r="233">
          <cell r="F233">
            <v>28</v>
          </cell>
          <cell r="J233" t="str">
            <v>-</v>
          </cell>
          <cell r="K233" t="str">
            <v>-</v>
          </cell>
          <cell r="L233" t="str">
            <v>-</v>
          </cell>
          <cell r="M233" t="str">
            <v>-</v>
          </cell>
          <cell r="N233" t="str">
            <v>No</v>
          </cell>
        </row>
        <row r="234">
          <cell r="F234">
            <v>26</v>
          </cell>
          <cell r="J234" t="str">
            <v>-</v>
          </cell>
          <cell r="K234" t="str">
            <v>-</v>
          </cell>
          <cell r="L234" t="str">
            <v>-</v>
          </cell>
          <cell r="M234" t="str">
            <v>-</v>
          </cell>
          <cell r="N234" t="str">
            <v>INHIL</v>
          </cell>
        </row>
        <row r="235">
          <cell r="F235">
            <v>27</v>
          </cell>
          <cell r="J235" t="str">
            <v>-</v>
          </cell>
          <cell r="K235" t="str">
            <v>-</v>
          </cell>
          <cell r="L235" t="str">
            <v>-</v>
          </cell>
          <cell r="M235" t="str">
            <v>-</v>
          </cell>
          <cell r="N235" t="str">
            <v>INHIL</v>
          </cell>
        </row>
        <row r="236">
          <cell r="F236">
            <v>25</v>
          </cell>
          <cell r="J236" t="str">
            <v>-</v>
          </cell>
          <cell r="K236" t="str">
            <v>-</v>
          </cell>
          <cell r="L236" t="str">
            <v>-</v>
          </cell>
          <cell r="M236" t="str">
            <v>-</v>
          </cell>
          <cell r="N236" t="str">
            <v>No</v>
          </cell>
        </row>
        <row r="237">
          <cell r="F237">
            <v>20</v>
          </cell>
          <cell r="J237" t="str">
            <v>-</v>
          </cell>
          <cell r="K237" t="str">
            <v>-</v>
          </cell>
          <cell r="L237" t="str">
            <v>-</v>
          </cell>
          <cell r="M237" t="str">
            <v>-</v>
          </cell>
          <cell r="N237" t="str">
            <v>INHIL</v>
          </cell>
        </row>
        <row r="238">
          <cell r="F238">
            <v>25</v>
          </cell>
          <cell r="J238" t="str">
            <v>-</v>
          </cell>
          <cell r="K238" t="str">
            <v>-</v>
          </cell>
          <cell r="L238" t="str">
            <v>-</v>
          </cell>
          <cell r="M238" t="str">
            <v>-</v>
          </cell>
          <cell r="N238" t="str">
            <v>INHIL</v>
          </cell>
        </row>
        <row r="239">
          <cell r="F239">
            <v>23</v>
          </cell>
          <cell r="J239" t="str">
            <v>-</v>
          </cell>
          <cell r="K239" t="str">
            <v>-</v>
          </cell>
          <cell r="L239" t="str">
            <v>-</v>
          </cell>
          <cell r="M239" t="str">
            <v>-</v>
          </cell>
          <cell r="N239" t="str">
            <v>No</v>
          </cell>
        </row>
        <row r="240">
          <cell r="F240">
            <v>32</v>
          </cell>
          <cell r="J240" t="str">
            <v>-</v>
          </cell>
          <cell r="K240" t="str">
            <v>-</v>
          </cell>
          <cell r="L240" t="str">
            <v>-</v>
          </cell>
          <cell r="M240" t="str">
            <v>-</v>
          </cell>
          <cell r="N240" t="str">
            <v>INHIL</v>
          </cell>
        </row>
        <row r="241">
          <cell r="F241">
            <v>21</v>
          </cell>
          <cell r="J241" t="str">
            <v>-</v>
          </cell>
          <cell r="K241" t="str">
            <v>-</v>
          </cell>
          <cell r="L241" t="str">
            <v>-</v>
          </cell>
          <cell r="M241" t="str">
            <v>-</v>
          </cell>
          <cell r="N241" t="str">
            <v>No</v>
          </cell>
        </row>
        <row r="242">
          <cell r="F242">
            <v>24</v>
          </cell>
          <cell r="J242" t="str">
            <v>-</v>
          </cell>
          <cell r="K242" t="str">
            <v>-</v>
          </cell>
          <cell r="L242" t="str">
            <v>-</v>
          </cell>
          <cell r="M242" t="str">
            <v>-</v>
          </cell>
          <cell r="N242" t="str">
            <v>INHIL</v>
          </cell>
        </row>
        <row r="243">
          <cell r="F243">
            <v>29</v>
          </cell>
          <cell r="J243" t="str">
            <v>-</v>
          </cell>
          <cell r="K243" t="str">
            <v>-</v>
          </cell>
          <cell r="L243" t="str">
            <v>-</v>
          </cell>
          <cell r="M243" t="str">
            <v>-</v>
          </cell>
          <cell r="N243" t="str">
            <v>INHIL</v>
          </cell>
        </row>
        <row r="244">
          <cell r="F244">
            <v>23</v>
          </cell>
          <cell r="J244" t="str">
            <v>-</v>
          </cell>
          <cell r="K244" t="str">
            <v>-</v>
          </cell>
          <cell r="L244" t="str">
            <v>-</v>
          </cell>
          <cell r="M244" t="str">
            <v>-</v>
          </cell>
          <cell r="N244" t="str">
            <v>No</v>
          </cell>
        </row>
        <row r="245">
          <cell r="F245">
            <v>28</v>
          </cell>
          <cell r="J245" t="str">
            <v>-</v>
          </cell>
          <cell r="K245" t="str">
            <v>-</v>
          </cell>
          <cell r="L245" t="str">
            <v>-</v>
          </cell>
          <cell r="M245" t="str">
            <v>-</v>
          </cell>
          <cell r="N245" t="str">
            <v>No</v>
          </cell>
        </row>
        <row r="246">
          <cell r="F246">
            <v>19</v>
          </cell>
          <cell r="J246" t="str">
            <v>-</v>
          </cell>
          <cell r="K246" t="str">
            <v>-</v>
          </cell>
          <cell r="L246" t="str">
            <v>-</v>
          </cell>
          <cell r="M246" t="str">
            <v>-</v>
          </cell>
          <cell r="N246" t="str">
            <v>No</v>
          </cell>
        </row>
        <row r="247">
          <cell r="F247">
            <v>33</v>
          </cell>
          <cell r="J247" t="str">
            <v>-</v>
          </cell>
          <cell r="K247" t="str">
            <v>-</v>
          </cell>
          <cell r="L247" t="str">
            <v>-</v>
          </cell>
          <cell r="M247" t="str">
            <v>-</v>
          </cell>
          <cell r="N247" t="str">
            <v>No</v>
          </cell>
        </row>
        <row r="248">
          <cell r="F248">
            <v>21</v>
          </cell>
          <cell r="J248" t="str">
            <v>-</v>
          </cell>
          <cell r="K248" t="str">
            <v>-</v>
          </cell>
          <cell r="L248" t="str">
            <v>-</v>
          </cell>
          <cell r="M248" t="str">
            <v>-</v>
          </cell>
          <cell r="N248" t="str">
            <v>No</v>
          </cell>
        </row>
        <row r="249">
          <cell r="F249">
            <v>24</v>
          </cell>
          <cell r="J249" t="str">
            <v>INHIL</v>
          </cell>
          <cell r="K249" t="str">
            <v>-</v>
          </cell>
          <cell r="L249" t="str">
            <v>-</v>
          </cell>
          <cell r="M249" t="str">
            <v>-</v>
          </cell>
          <cell r="N249" t="str">
            <v>INHIL</v>
          </cell>
        </row>
        <row r="250">
          <cell r="F250">
            <v>20</v>
          </cell>
          <cell r="J250" t="str">
            <v>-</v>
          </cell>
          <cell r="K250" t="str">
            <v>-</v>
          </cell>
          <cell r="L250" t="str">
            <v>-</v>
          </cell>
          <cell r="M250" t="str">
            <v>-</v>
          </cell>
          <cell r="N250" t="str">
            <v>No</v>
          </cell>
        </row>
        <row r="251">
          <cell r="F251">
            <v>24</v>
          </cell>
          <cell r="J251" t="str">
            <v>-</v>
          </cell>
          <cell r="K251" t="str">
            <v>-</v>
          </cell>
          <cell r="L251" t="str">
            <v>-</v>
          </cell>
          <cell r="M251" t="str">
            <v>-</v>
          </cell>
          <cell r="N251" t="str">
            <v>No</v>
          </cell>
        </row>
        <row r="252">
          <cell r="F252">
            <v>22</v>
          </cell>
          <cell r="J252" t="str">
            <v>-</v>
          </cell>
          <cell r="K252" t="str">
            <v>-</v>
          </cell>
          <cell r="L252" t="str">
            <v>-</v>
          </cell>
          <cell r="M252" t="str">
            <v>-</v>
          </cell>
          <cell r="N252" t="str">
            <v>No</v>
          </cell>
        </row>
        <row r="253">
          <cell r="F253">
            <v>26</v>
          </cell>
          <cell r="J253" t="str">
            <v>-</v>
          </cell>
          <cell r="K253" t="str">
            <v>-</v>
          </cell>
          <cell r="L253" t="str">
            <v>-</v>
          </cell>
          <cell r="M253" t="str">
            <v>-</v>
          </cell>
          <cell r="N253" t="str">
            <v>No</v>
          </cell>
        </row>
        <row r="254">
          <cell r="F254">
            <v>21</v>
          </cell>
          <cell r="J254" t="str">
            <v>-</v>
          </cell>
          <cell r="K254" t="str">
            <v>-</v>
          </cell>
          <cell r="L254" t="str">
            <v>-</v>
          </cell>
          <cell r="M254" t="str">
            <v>-</v>
          </cell>
          <cell r="N254" t="str">
            <v>No</v>
          </cell>
        </row>
        <row r="255">
          <cell r="F255">
            <v>19</v>
          </cell>
          <cell r="J255" t="str">
            <v>-</v>
          </cell>
          <cell r="K255" t="str">
            <v>-</v>
          </cell>
          <cell r="L255" t="str">
            <v>-</v>
          </cell>
          <cell r="M255" t="str">
            <v>-</v>
          </cell>
          <cell r="N255" t="str">
            <v>No</v>
          </cell>
        </row>
        <row r="256">
          <cell r="F256">
            <v>27</v>
          </cell>
          <cell r="J256" t="str">
            <v>-</v>
          </cell>
          <cell r="K256" t="str">
            <v>-</v>
          </cell>
          <cell r="L256" t="str">
            <v>-</v>
          </cell>
          <cell r="M256" t="str">
            <v>-</v>
          </cell>
          <cell r="N256" t="str">
            <v>INHIL</v>
          </cell>
        </row>
        <row r="257">
          <cell r="F257">
            <v>19</v>
          </cell>
          <cell r="J257" t="str">
            <v>-</v>
          </cell>
          <cell r="K257" t="str">
            <v>-</v>
          </cell>
          <cell r="L257" t="str">
            <v>-</v>
          </cell>
          <cell r="M257" t="str">
            <v>-</v>
          </cell>
          <cell r="N257" t="str">
            <v>No</v>
          </cell>
        </row>
        <row r="258">
          <cell r="F258">
            <v>20</v>
          </cell>
          <cell r="J258" t="str">
            <v>-</v>
          </cell>
          <cell r="K258" t="str">
            <v>-</v>
          </cell>
          <cell r="L258" t="str">
            <v>-</v>
          </cell>
          <cell r="M258" t="str">
            <v>-</v>
          </cell>
          <cell r="N258" t="str">
            <v>No</v>
          </cell>
        </row>
        <row r="259">
          <cell r="F259">
            <v>31</v>
          </cell>
          <cell r="J259" t="str">
            <v>-</v>
          </cell>
          <cell r="K259" t="str">
            <v>-</v>
          </cell>
          <cell r="L259" t="str">
            <v>-</v>
          </cell>
          <cell r="M259" t="str">
            <v>-</v>
          </cell>
          <cell r="N259" t="str">
            <v>INHIL</v>
          </cell>
        </row>
        <row r="260">
          <cell r="F260">
            <v>22</v>
          </cell>
          <cell r="J260" t="str">
            <v>-</v>
          </cell>
          <cell r="K260" t="str">
            <v>-</v>
          </cell>
          <cell r="L260" t="str">
            <v>-</v>
          </cell>
          <cell r="M260" t="str">
            <v>-</v>
          </cell>
          <cell r="N260" t="str">
            <v>INHIL</v>
          </cell>
        </row>
        <row r="261">
          <cell r="F261">
            <v>23</v>
          </cell>
          <cell r="J261" t="str">
            <v>-</v>
          </cell>
          <cell r="K261" t="str">
            <v>-</v>
          </cell>
          <cell r="L261" t="str">
            <v>-</v>
          </cell>
          <cell r="M261" t="str">
            <v>-</v>
          </cell>
          <cell r="N261" t="str">
            <v>No</v>
          </cell>
        </row>
        <row r="262">
          <cell r="F262">
            <v>26</v>
          </cell>
          <cell r="J262" t="str">
            <v>-</v>
          </cell>
          <cell r="K262" t="str">
            <v>-</v>
          </cell>
          <cell r="L262" t="str">
            <v>-</v>
          </cell>
          <cell r="M262" t="str">
            <v>-</v>
          </cell>
          <cell r="N262" t="str">
            <v>No</v>
          </cell>
        </row>
        <row r="263">
          <cell r="F263">
            <v>44</v>
          </cell>
          <cell r="J263" t="str">
            <v>-</v>
          </cell>
          <cell r="K263" t="str">
            <v>-</v>
          </cell>
          <cell r="L263" t="str">
            <v>-</v>
          </cell>
          <cell r="M263" t="str">
            <v>-</v>
          </cell>
          <cell r="N263" t="str">
            <v>INHIL</v>
          </cell>
        </row>
        <row r="264">
          <cell r="F264">
            <v>30</v>
          </cell>
          <cell r="J264" t="str">
            <v>INHIL</v>
          </cell>
          <cell r="K264" t="str">
            <v>-</v>
          </cell>
          <cell r="L264" t="str">
            <v>-</v>
          </cell>
          <cell r="M264" t="str">
            <v>-</v>
          </cell>
          <cell r="N264" t="str">
            <v>INHIL</v>
          </cell>
        </row>
        <row r="265">
          <cell r="F265">
            <v>30</v>
          </cell>
          <cell r="J265" t="str">
            <v>-</v>
          </cell>
          <cell r="K265" t="str">
            <v>-</v>
          </cell>
          <cell r="L265" t="str">
            <v>-</v>
          </cell>
          <cell r="M265" t="str">
            <v>-</v>
          </cell>
          <cell r="N265" t="str">
            <v>INHIL</v>
          </cell>
        </row>
        <row r="266">
          <cell r="F266">
            <v>19</v>
          </cell>
          <cell r="J266" t="str">
            <v>INHIL</v>
          </cell>
          <cell r="K266" t="str">
            <v>-</v>
          </cell>
          <cell r="L266" t="str">
            <v>-</v>
          </cell>
          <cell r="M266" t="str">
            <v>-</v>
          </cell>
          <cell r="N266" t="str">
            <v>INHIL</v>
          </cell>
        </row>
        <row r="267">
          <cell r="F267">
            <v>22</v>
          </cell>
          <cell r="J267" t="str">
            <v>-</v>
          </cell>
          <cell r="K267" t="str">
            <v>-</v>
          </cell>
          <cell r="L267" t="str">
            <v>-</v>
          </cell>
          <cell r="M267" t="str">
            <v>-</v>
          </cell>
          <cell r="N267" t="str">
            <v>No</v>
          </cell>
        </row>
        <row r="268">
          <cell r="F268">
            <v>25</v>
          </cell>
          <cell r="J268" t="str">
            <v>-</v>
          </cell>
          <cell r="K268" t="str">
            <v>-</v>
          </cell>
          <cell r="L268" t="str">
            <v>-</v>
          </cell>
          <cell r="M268" t="str">
            <v>-</v>
          </cell>
          <cell r="N268" t="str">
            <v>No</v>
          </cell>
        </row>
        <row r="269">
          <cell r="F269">
            <v>20</v>
          </cell>
          <cell r="J269" t="str">
            <v>-</v>
          </cell>
          <cell r="K269" t="str">
            <v>-</v>
          </cell>
          <cell r="L269" t="str">
            <v>-</v>
          </cell>
          <cell r="M269" t="str">
            <v>-</v>
          </cell>
          <cell r="N269" t="str">
            <v>INHIL</v>
          </cell>
        </row>
        <row r="270">
          <cell r="F270">
            <v>20</v>
          </cell>
          <cell r="J270" t="str">
            <v>-</v>
          </cell>
          <cell r="K270" t="str">
            <v>-</v>
          </cell>
          <cell r="L270" t="str">
            <v>-</v>
          </cell>
          <cell r="M270" t="str">
            <v>-</v>
          </cell>
          <cell r="N270" t="str">
            <v>No</v>
          </cell>
        </row>
        <row r="271">
          <cell r="F271">
            <v>97</v>
          </cell>
          <cell r="J271" t="str">
            <v>-</v>
          </cell>
          <cell r="K271" t="str">
            <v>-</v>
          </cell>
          <cell r="L271" t="str">
            <v>-</v>
          </cell>
          <cell r="M271" t="str">
            <v>-</v>
          </cell>
          <cell r="N271" t="str">
            <v>INHIL</v>
          </cell>
        </row>
        <row r="272">
          <cell r="F272">
            <v>21</v>
          </cell>
          <cell r="J272" t="str">
            <v>-</v>
          </cell>
          <cell r="K272" t="str">
            <v>-</v>
          </cell>
          <cell r="L272" t="str">
            <v>-</v>
          </cell>
          <cell r="M272" t="str">
            <v>-</v>
          </cell>
          <cell r="N272" t="str">
            <v>INHIL</v>
          </cell>
        </row>
        <row r="273">
          <cell r="F273">
            <v>33</v>
          </cell>
          <cell r="J273" t="str">
            <v>-</v>
          </cell>
          <cell r="K273" t="str">
            <v>INHIL</v>
          </cell>
          <cell r="L273" t="str">
            <v>-</v>
          </cell>
          <cell r="M273" t="str">
            <v>-</v>
          </cell>
          <cell r="N273" t="str">
            <v>INHIL</v>
          </cell>
        </row>
        <row r="274">
          <cell r="F274">
            <v>19</v>
          </cell>
          <cell r="J274" t="str">
            <v>-</v>
          </cell>
          <cell r="K274" t="str">
            <v>-</v>
          </cell>
          <cell r="L274" t="str">
            <v>-</v>
          </cell>
          <cell r="M274" t="str">
            <v>-</v>
          </cell>
          <cell r="N274" t="str">
            <v>INHIL</v>
          </cell>
        </row>
        <row r="275">
          <cell r="F275">
            <v>31</v>
          </cell>
          <cell r="J275" t="str">
            <v>-</v>
          </cell>
          <cell r="K275" t="str">
            <v>-</v>
          </cell>
          <cell r="L275" t="str">
            <v>-</v>
          </cell>
          <cell r="M275" t="str">
            <v>-</v>
          </cell>
          <cell r="N275" t="str">
            <v>INHIL</v>
          </cell>
        </row>
        <row r="276">
          <cell r="F276">
            <v>21</v>
          </cell>
          <cell r="J276" t="str">
            <v>INHIL</v>
          </cell>
          <cell r="K276" t="str">
            <v>-</v>
          </cell>
          <cell r="L276" t="str">
            <v>-</v>
          </cell>
          <cell r="M276" t="str">
            <v>-</v>
          </cell>
          <cell r="N276" t="str">
            <v>INHIL</v>
          </cell>
        </row>
        <row r="277">
          <cell r="F277">
            <v>38</v>
          </cell>
          <cell r="J277" t="str">
            <v>-</v>
          </cell>
          <cell r="K277" t="str">
            <v>-</v>
          </cell>
          <cell r="L277" t="str">
            <v>-</v>
          </cell>
          <cell r="M277" t="str">
            <v>-</v>
          </cell>
          <cell r="N277" t="str">
            <v>INHIL</v>
          </cell>
        </row>
        <row r="278">
          <cell r="F278">
            <v>22</v>
          </cell>
          <cell r="J278" t="str">
            <v>INHIL</v>
          </cell>
          <cell r="K278" t="str">
            <v>-</v>
          </cell>
          <cell r="L278" t="str">
            <v>-</v>
          </cell>
          <cell r="M278" t="str">
            <v>-</v>
          </cell>
          <cell r="N278" t="str">
            <v>INHIL</v>
          </cell>
        </row>
        <row r="279">
          <cell r="F279">
            <v>21</v>
          </cell>
          <cell r="J279" t="str">
            <v>-</v>
          </cell>
          <cell r="K279" t="str">
            <v>-</v>
          </cell>
          <cell r="L279" t="str">
            <v>-</v>
          </cell>
          <cell r="M279" t="str">
            <v>-</v>
          </cell>
          <cell r="N279" t="str">
            <v>No</v>
          </cell>
        </row>
        <row r="280">
          <cell r="F280">
            <v>23</v>
          </cell>
          <cell r="J280" t="str">
            <v>-</v>
          </cell>
          <cell r="K280" t="str">
            <v>-</v>
          </cell>
          <cell r="L280" t="str">
            <v>-</v>
          </cell>
          <cell r="M280" t="str">
            <v>-</v>
          </cell>
          <cell r="N280" t="str">
            <v>No</v>
          </cell>
        </row>
        <row r="281">
          <cell r="F281">
            <v>20</v>
          </cell>
          <cell r="J281" t="str">
            <v>-</v>
          </cell>
          <cell r="K281" t="str">
            <v>-</v>
          </cell>
          <cell r="L281" t="str">
            <v>-</v>
          </cell>
          <cell r="M281" t="str">
            <v>-</v>
          </cell>
          <cell r="N281" t="str">
            <v>INHIL</v>
          </cell>
        </row>
        <row r="282">
          <cell r="F282">
            <v>25</v>
          </cell>
          <cell r="J282" t="str">
            <v>-</v>
          </cell>
          <cell r="K282" t="str">
            <v>-</v>
          </cell>
          <cell r="L282" t="str">
            <v>-</v>
          </cell>
          <cell r="M282" t="str">
            <v>-</v>
          </cell>
          <cell r="N282" t="str">
            <v>INHIL</v>
          </cell>
        </row>
        <row r="283">
          <cell r="F283">
            <v>25</v>
          </cell>
          <cell r="J283" t="str">
            <v>-</v>
          </cell>
          <cell r="K283" t="str">
            <v>-</v>
          </cell>
          <cell r="L283" t="str">
            <v>-</v>
          </cell>
          <cell r="M283" t="str">
            <v>-</v>
          </cell>
          <cell r="N283" t="str">
            <v>INHIL</v>
          </cell>
        </row>
        <row r="284">
          <cell r="F284">
            <v>21</v>
          </cell>
          <cell r="J284" t="str">
            <v>INHIL</v>
          </cell>
          <cell r="K284" t="str">
            <v>-</v>
          </cell>
          <cell r="L284" t="str">
            <v>-</v>
          </cell>
          <cell r="M284" t="str">
            <v>-</v>
          </cell>
          <cell r="N284" t="str">
            <v>INHIL</v>
          </cell>
        </row>
        <row r="285">
          <cell r="F285">
            <v>24</v>
          </cell>
          <cell r="J285" t="str">
            <v>-</v>
          </cell>
          <cell r="K285" t="str">
            <v>-</v>
          </cell>
          <cell r="L285" t="str">
            <v>-</v>
          </cell>
          <cell r="M285" t="str">
            <v>-</v>
          </cell>
          <cell r="N285" t="str">
            <v>INHIL</v>
          </cell>
        </row>
        <row r="286">
          <cell r="F286">
            <v>24</v>
          </cell>
          <cell r="J286" t="str">
            <v>-</v>
          </cell>
          <cell r="K286" t="str">
            <v>-</v>
          </cell>
          <cell r="L286" t="str">
            <v>-</v>
          </cell>
          <cell r="M286" t="str">
            <v>-</v>
          </cell>
          <cell r="N286" t="str">
            <v>No</v>
          </cell>
        </row>
        <row r="287">
          <cell r="F287">
            <v>27</v>
          </cell>
          <cell r="J287" t="str">
            <v>-</v>
          </cell>
          <cell r="K287" t="str">
            <v>-</v>
          </cell>
          <cell r="L287" t="str">
            <v>-</v>
          </cell>
          <cell r="M287" t="str">
            <v>-</v>
          </cell>
          <cell r="N287" t="str">
            <v>No</v>
          </cell>
        </row>
        <row r="289">
          <cell r="F289">
            <v>21</v>
          </cell>
          <cell r="J289" t="str">
            <v>-</v>
          </cell>
          <cell r="K289" t="str">
            <v>-</v>
          </cell>
          <cell r="L289" t="str">
            <v>-</v>
          </cell>
          <cell r="M289" t="str">
            <v>-</v>
          </cell>
          <cell r="N289" t="str">
            <v>No</v>
          </cell>
        </row>
        <row r="290">
          <cell r="F290">
            <v>46</v>
          </cell>
          <cell r="J290" t="str">
            <v>INHIL</v>
          </cell>
          <cell r="K290" t="str">
            <v>-</v>
          </cell>
          <cell r="L290" t="str">
            <v>-</v>
          </cell>
          <cell r="M290" t="str">
            <v>-</v>
          </cell>
          <cell r="N290" t="str">
            <v>INHIL</v>
          </cell>
        </row>
        <row r="291">
          <cell r="F291">
            <v>31</v>
          </cell>
          <cell r="J291" t="str">
            <v>-</v>
          </cell>
          <cell r="K291" t="str">
            <v>-</v>
          </cell>
          <cell r="L291" t="str">
            <v>-</v>
          </cell>
          <cell r="M291" t="str">
            <v>-</v>
          </cell>
          <cell r="N291" t="str">
            <v>INHIL</v>
          </cell>
        </row>
        <row r="292">
          <cell r="F292">
            <v>21</v>
          </cell>
          <cell r="J292" t="str">
            <v>-</v>
          </cell>
          <cell r="K292" t="str">
            <v>-</v>
          </cell>
          <cell r="L292" t="str">
            <v>-</v>
          </cell>
          <cell r="M292" t="str">
            <v>-</v>
          </cell>
          <cell r="N292" t="str">
            <v>INHIL</v>
          </cell>
        </row>
        <row r="293">
          <cell r="F293">
            <v>21</v>
          </cell>
          <cell r="J293" t="str">
            <v>-</v>
          </cell>
          <cell r="K293" t="str">
            <v>-</v>
          </cell>
          <cell r="L293" t="str">
            <v>-</v>
          </cell>
          <cell r="M293" t="str">
            <v>-</v>
          </cell>
          <cell r="N293" t="str">
            <v>INHIL</v>
          </cell>
        </row>
        <row r="294">
          <cell r="F294">
            <v>31</v>
          </cell>
          <cell r="J294" t="str">
            <v>-</v>
          </cell>
          <cell r="K294" t="str">
            <v>-</v>
          </cell>
          <cell r="L294" t="str">
            <v>-</v>
          </cell>
          <cell r="M294" t="str">
            <v>-</v>
          </cell>
          <cell r="N294" t="str">
            <v>INHIL</v>
          </cell>
        </row>
        <row r="295">
          <cell r="F295">
            <v>24</v>
          </cell>
          <cell r="J295" t="str">
            <v>-</v>
          </cell>
          <cell r="K295" t="str">
            <v>INHIL</v>
          </cell>
          <cell r="L295" t="str">
            <v>-</v>
          </cell>
          <cell r="M295" t="str">
            <v>-</v>
          </cell>
          <cell r="N295" t="str">
            <v>INHIL</v>
          </cell>
        </row>
        <row r="296">
          <cell r="F296">
            <v>28</v>
          </cell>
          <cell r="J296" t="str">
            <v>-</v>
          </cell>
          <cell r="K296" t="str">
            <v>-</v>
          </cell>
          <cell r="L296" t="str">
            <v>-</v>
          </cell>
          <cell r="M296" t="str">
            <v>-</v>
          </cell>
          <cell r="N296" t="str">
            <v>INHIL</v>
          </cell>
        </row>
        <row r="297">
          <cell r="F297">
            <v>25</v>
          </cell>
          <cell r="J297" t="str">
            <v>-</v>
          </cell>
          <cell r="K297" t="str">
            <v>-</v>
          </cell>
          <cell r="L297" t="str">
            <v>-</v>
          </cell>
          <cell r="M297" t="str">
            <v>-</v>
          </cell>
          <cell r="N297" t="str">
            <v>INHIL</v>
          </cell>
        </row>
        <row r="298">
          <cell r="F298">
            <v>42</v>
          </cell>
          <cell r="J298" t="str">
            <v>-</v>
          </cell>
          <cell r="K298" t="str">
            <v>-</v>
          </cell>
          <cell r="L298" t="str">
            <v>-</v>
          </cell>
          <cell r="M298" t="str">
            <v>-</v>
          </cell>
          <cell r="N298" t="str">
            <v>INHIL</v>
          </cell>
        </row>
        <row r="299">
          <cell r="F299">
            <v>39</v>
          </cell>
          <cell r="J299" t="str">
            <v>-</v>
          </cell>
          <cell r="K299" t="str">
            <v>-</v>
          </cell>
          <cell r="L299" t="str">
            <v>-</v>
          </cell>
          <cell r="M299" t="str">
            <v>-</v>
          </cell>
          <cell r="N299" t="str">
            <v>INHIL</v>
          </cell>
        </row>
        <row r="300">
          <cell r="F300">
            <v>31</v>
          </cell>
          <cell r="J300" t="str">
            <v>-</v>
          </cell>
          <cell r="K300" t="str">
            <v>-</v>
          </cell>
          <cell r="L300" t="str">
            <v>-</v>
          </cell>
          <cell r="M300" t="str">
            <v>-</v>
          </cell>
          <cell r="N300" t="str">
            <v>INHIL</v>
          </cell>
        </row>
        <row r="301">
          <cell r="F301">
            <v>26</v>
          </cell>
          <cell r="J301" t="str">
            <v>-</v>
          </cell>
          <cell r="K301" t="str">
            <v>-</v>
          </cell>
          <cell r="L301" t="str">
            <v>-</v>
          </cell>
          <cell r="M301" t="str">
            <v>-</v>
          </cell>
          <cell r="N301" t="str">
            <v>INHIL</v>
          </cell>
        </row>
        <row r="302">
          <cell r="F302">
            <v>20</v>
          </cell>
          <cell r="J302" t="str">
            <v>-</v>
          </cell>
          <cell r="K302" t="str">
            <v>-</v>
          </cell>
          <cell r="L302" t="str">
            <v>-</v>
          </cell>
          <cell r="M302" t="str">
            <v>-</v>
          </cell>
          <cell r="N302" t="str">
            <v>INHIL</v>
          </cell>
        </row>
        <row r="303">
          <cell r="F303">
            <v>34</v>
          </cell>
          <cell r="J303" t="str">
            <v>-</v>
          </cell>
          <cell r="K303" t="str">
            <v>-</v>
          </cell>
          <cell r="L303" t="str">
            <v>-</v>
          </cell>
          <cell r="M303" t="str">
            <v>-</v>
          </cell>
          <cell r="N303" t="str">
            <v>No</v>
          </cell>
        </row>
        <row r="304">
          <cell r="F304">
            <v>22</v>
          </cell>
          <cell r="J304" t="str">
            <v>-</v>
          </cell>
          <cell r="K304" t="str">
            <v>-</v>
          </cell>
          <cell r="L304" t="str">
            <v>-</v>
          </cell>
          <cell r="M304" t="str">
            <v>-</v>
          </cell>
          <cell r="N304" t="str">
            <v>INHIL</v>
          </cell>
        </row>
        <row r="305">
          <cell r="F305">
            <v>24</v>
          </cell>
          <cell r="J305" t="str">
            <v>-</v>
          </cell>
          <cell r="K305" t="str">
            <v>-</v>
          </cell>
          <cell r="L305" t="str">
            <v>-</v>
          </cell>
          <cell r="M305" t="str">
            <v>-</v>
          </cell>
          <cell r="N305" t="str">
            <v>INHIL</v>
          </cell>
        </row>
        <row r="306">
          <cell r="F306">
            <v>20</v>
          </cell>
          <cell r="J306" t="str">
            <v>INHIL</v>
          </cell>
          <cell r="K306" t="str">
            <v>-</v>
          </cell>
          <cell r="L306" t="str">
            <v>-</v>
          </cell>
          <cell r="M306" t="str">
            <v>-</v>
          </cell>
          <cell r="N306" t="str">
            <v>INHIL</v>
          </cell>
        </row>
        <row r="307">
          <cell r="F307">
            <v>22</v>
          </cell>
          <cell r="J307" t="str">
            <v>-</v>
          </cell>
          <cell r="K307" t="str">
            <v>-</v>
          </cell>
          <cell r="L307" t="str">
            <v>-</v>
          </cell>
          <cell r="M307" t="str">
            <v>-</v>
          </cell>
          <cell r="N307" t="str">
            <v>INHIL</v>
          </cell>
        </row>
        <row r="308">
          <cell r="F308">
            <v>23</v>
          </cell>
          <cell r="J308" t="str">
            <v>-</v>
          </cell>
          <cell r="K308" t="str">
            <v>-</v>
          </cell>
          <cell r="L308" t="str">
            <v>-</v>
          </cell>
          <cell r="M308" t="str">
            <v>-</v>
          </cell>
          <cell r="N308" t="str">
            <v>INHIL</v>
          </cell>
        </row>
        <row r="309">
          <cell r="F309">
            <v>28</v>
          </cell>
          <cell r="J309" t="str">
            <v>INHIL</v>
          </cell>
          <cell r="K309" t="str">
            <v>-</v>
          </cell>
          <cell r="L309" t="str">
            <v>-</v>
          </cell>
          <cell r="M309" t="str">
            <v>-</v>
          </cell>
          <cell r="N309" t="str">
            <v>INHIL</v>
          </cell>
        </row>
        <row r="310">
          <cell r="F310">
            <v>28</v>
          </cell>
          <cell r="J310" t="str">
            <v>-</v>
          </cell>
          <cell r="K310" t="str">
            <v>-</v>
          </cell>
          <cell r="L310" t="str">
            <v>-</v>
          </cell>
          <cell r="M310" t="str">
            <v>-</v>
          </cell>
          <cell r="N310" t="str">
            <v>INHIL</v>
          </cell>
        </row>
        <row r="311">
          <cell r="F311">
            <v>20</v>
          </cell>
          <cell r="J311" t="str">
            <v>-</v>
          </cell>
          <cell r="K311" t="str">
            <v>-</v>
          </cell>
          <cell r="L311" t="str">
            <v>-</v>
          </cell>
          <cell r="M311" t="str">
            <v>-</v>
          </cell>
          <cell r="N311" t="str">
            <v>No</v>
          </cell>
        </row>
        <row r="312">
          <cell r="F312">
            <v>31</v>
          </cell>
          <cell r="J312" t="str">
            <v>-</v>
          </cell>
          <cell r="K312" t="str">
            <v>-</v>
          </cell>
          <cell r="L312" t="str">
            <v>-</v>
          </cell>
          <cell r="M312" t="str">
            <v>-</v>
          </cell>
          <cell r="N312" t="str">
            <v>INHIL</v>
          </cell>
        </row>
        <row r="313">
          <cell r="F313">
            <v>23</v>
          </cell>
          <cell r="J313" t="str">
            <v>-</v>
          </cell>
          <cell r="K313" t="str">
            <v>-</v>
          </cell>
          <cell r="L313" t="str">
            <v>-</v>
          </cell>
          <cell r="M313" t="str">
            <v>-</v>
          </cell>
          <cell r="N313" t="str">
            <v>INHIL</v>
          </cell>
        </row>
        <row r="314">
          <cell r="F314">
            <v>21</v>
          </cell>
          <cell r="J314" t="str">
            <v>-</v>
          </cell>
          <cell r="K314" t="str">
            <v>-</v>
          </cell>
          <cell r="L314" t="str">
            <v>-</v>
          </cell>
          <cell r="M314" t="str">
            <v>-</v>
          </cell>
          <cell r="N314" t="str">
            <v>INHIL</v>
          </cell>
        </row>
        <row r="315">
          <cell r="F315">
            <v>31</v>
          </cell>
          <cell r="J315" t="str">
            <v>-</v>
          </cell>
          <cell r="K315" t="str">
            <v>-</v>
          </cell>
          <cell r="L315" t="str">
            <v>-</v>
          </cell>
          <cell r="M315" t="str">
            <v>-</v>
          </cell>
          <cell r="N315" t="str">
            <v>INHIL</v>
          </cell>
        </row>
        <row r="316">
          <cell r="F316">
            <v>25</v>
          </cell>
          <cell r="J316" t="str">
            <v>-</v>
          </cell>
          <cell r="K316" t="str">
            <v>-</v>
          </cell>
          <cell r="L316" t="str">
            <v>-</v>
          </cell>
          <cell r="M316" t="str">
            <v>-</v>
          </cell>
          <cell r="N316" t="str">
            <v>INHIL</v>
          </cell>
        </row>
        <row r="317">
          <cell r="F317">
            <v>32</v>
          </cell>
          <cell r="J317" t="str">
            <v>-</v>
          </cell>
          <cell r="K317" t="str">
            <v>-</v>
          </cell>
          <cell r="L317" t="str">
            <v>-</v>
          </cell>
          <cell r="M317" t="str">
            <v>-</v>
          </cell>
          <cell r="N317" t="str">
            <v>INHIL</v>
          </cell>
        </row>
        <row r="318">
          <cell r="F318">
            <v>29</v>
          </cell>
          <cell r="J318" t="str">
            <v>-</v>
          </cell>
          <cell r="K318" t="str">
            <v>-</v>
          </cell>
          <cell r="L318" t="str">
            <v>-</v>
          </cell>
          <cell r="M318" t="str">
            <v>-</v>
          </cell>
          <cell r="N318" t="str">
            <v>INHIL</v>
          </cell>
        </row>
        <row r="319">
          <cell r="F319">
            <v>20</v>
          </cell>
          <cell r="J319" t="str">
            <v>-</v>
          </cell>
          <cell r="K319" t="str">
            <v>-</v>
          </cell>
          <cell r="L319" t="str">
            <v>-</v>
          </cell>
          <cell r="M319" t="str">
            <v>-</v>
          </cell>
          <cell r="N319" t="str">
            <v>No</v>
          </cell>
        </row>
        <row r="320">
          <cell r="F320">
            <v>26</v>
          </cell>
          <cell r="J320" t="str">
            <v>-</v>
          </cell>
          <cell r="K320" t="str">
            <v>INHIL</v>
          </cell>
          <cell r="L320" t="str">
            <v>-</v>
          </cell>
          <cell r="M320" t="str">
            <v>-</v>
          </cell>
          <cell r="N320" t="str">
            <v>INHIL</v>
          </cell>
        </row>
        <row r="321">
          <cell r="F321">
            <v>19</v>
          </cell>
          <cell r="J321" t="str">
            <v>-</v>
          </cell>
          <cell r="K321" t="str">
            <v>INHIL</v>
          </cell>
          <cell r="L321" t="str">
            <v>-</v>
          </cell>
          <cell r="M321" t="str">
            <v>-</v>
          </cell>
          <cell r="N321" t="str">
            <v>INHIL</v>
          </cell>
        </row>
        <row r="322">
          <cell r="F322">
            <v>29</v>
          </cell>
          <cell r="J322" t="str">
            <v>-</v>
          </cell>
          <cell r="K322" t="str">
            <v>-</v>
          </cell>
          <cell r="L322" t="str">
            <v>-</v>
          </cell>
          <cell r="M322" t="str">
            <v>-</v>
          </cell>
          <cell r="N322" t="str">
            <v>INHIL</v>
          </cell>
        </row>
        <row r="323">
          <cell r="F323">
            <v>22</v>
          </cell>
          <cell r="J323" t="str">
            <v>-</v>
          </cell>
          <cell r="K323" t="str">
            <v>INHIL</v>
          </cell>
          <cell r="L323" t="str">
            <v>-</v>
          </cell>
          <cell r="M323" t="str">
            <v>-</v>
          </cell>
          <cell r="N323" t="str">
            <v>INHIL</v>
          </cell>
        </row>
        <row r="324">
          <cell r="F324">
            <v>24</v>
          </cell>
          <cell r="J324" t="str">
            <v>-</v>
          </cell>
          <cell r="K324" t="str">
            <v>-</v>
          </cell>
          <cell r="L324" t="str">
            <v>-</v>
          </cell>
          <cell r="M324" t="str">
            <v>-</v>
          </cell>
          <cell r="N324" t="str">
            <v>INHIL</v>
          </cell>
        </row>
        <row r="325">
          <cell r="F325">
            <v>32</v>
          </cell>
          <cell r="J325" t="str">
            <v>-</v>
          </cell>
          <cell r="K325" t="str">
            <v>-</v>
          </cell>
          <cell r="L325" t="str">
            <v>-</v>
          </cell>
          <cell r="M325" t="str">
            <v>-</v>
          </cell>
          <cell r="N325" t="str">
            <v>INHIL</v>
          </cell>
        </row>
        <row r="326">
          <cell r="F326">
            <v>23</v>
          </cell>
          <cell r="J326" t="str">
            <v>-</v>
          </cell>
          <cell r="K326" t="str">
            <v>-</v>
          </cell>
          <cell r="L326" t="str">
            <v>-</v>
          </cell>
          <cell r="M326" t="str">
            <v>-</v>
          </cell>
          <cell r="N326" t="str">
            <v>INHIL</v>
          </cell>
        </row>
        <row r="327">
          <cell r="F327">
            <v>21</v>
          </cell>
          <cell r="J327" t="str">
            <v>-</v>
          </cell>
          <cell r="K327" t="str">
            <v>-</v>
          </cell>
          <cell r="L327" t="str">
            <v>-</v>
          </cell>
          <cell r="M327" t="str">
            <v>-</v>
          </cell>
          <cell r="N327" t="str">
            <v>INHIL</v>
          </cell>
        </row>
        <row r="328">
          <cell r="F328">
            <v>32</v>
          </cell>
          <cell r="J328" t="str">
            <v>-</v>
          </cell>
          <cell r="K328" t="str">
            <v>-</v>
          </cell>
          <cell r="L328" t="str">
            <v>-</v>
          </cell>
          <cell r="M328" t="str">
            <v>-</v>
          </cell>
          <cell r="N328" t="str">
            <v>INHIL</v>
          </cell>
        </row>
        <row r="329">
          <cell r="F329">
            <v>28</v>
          </cell>
          <cell r="J329" t="str">
            <v>-</v>
          </cell>
          <cell r="K329" t="str">
            <v>-</v>
          </cell>
          <cell r="L329" t="str">
            <v>-</v>
          </cell>
          <cell r="M329" t="str">
            <v>-</v>
          </cell>
          <cell r="N329" t="str">
            <v>INHIL</v>
          </cell>
        </row>
        <row r="330">
          <cell r="F330">
            <v>22</v>
          </cell>
          <cell r="J330" t="str">
            <v>-</v>
          </cell>
          <cell r="K330" t="str">
            <v>-</v>
          </cell>
          <cell r="L330" t="str">
            <v>-</v>
          </cell>
          <cell r="M330" t="str">
            <v>-</v>
          </cell>
          <cell r="N330" t="str">
            <v>INHIL</v>
          </cell>
        </row>
        <row r="331">
          <cell r="F331">
            <v>24</v>
          </cell>
          <cell r="J331" t="str">
            <v>-</v>
          </cell>
          <cell r="K331" t="str">
            <v>-</v>
          </cell>
          <cell r="L331" t="str">
            <v>-</v>
          </cell>
          <cell r="M331" t="str">
            <v>-</v>
          </cell>
          <cell r="N331" t="str">
            <v>INHIL</v>
          </cell>
        </row>
        <row r="332">
          <cell r="F332">
            <v>25</v>
          </cell>
          <cell r="J332" t="str">
            <v>-</v>
          </cell>
          <cell r="K332" t="str">
            <v>-</v>
          </cell>
          <cell r="L332" t="str">
            <v>-</v>
          </cell>
          <cell r="M332" t="str">
            <v>-</v>
          </cell>
          <cell r="N332" t="str">
            <v>No</v>
          </cell>
        </row>
        <row r="333">
          <cell r="F333">
            <v>30</v>
          </cell>
          <cell r="J333" t="str">
            <v>INHIL</v>
          </cell>
          <cell r="K333" t="str">
            <v>-</v>
          </cell>
          <cell r="L333" t="str">
            <v>-</v>
          </cell>
          <cell r="M333" t="str">
            <v>-</v>
          </cell>
          <cell r="N333" t="str">
            <v>INHIL</v>
          </cell>
        </row>
        <row r="334">
          <cell r="F334">
            <v>22</v>
          </cell>
          <cell r="J334" t="str">
            <v>-</v>
          </cell>
          <cell r="K334" t="str">
            <v>-</v>
          </cell>
          <cell r="L334" t="str">
            <v>-</v>
          </cell>
          <cell r="M334" t="str">
            <v>-</v>
          </cell>
          <cell r="N334" t="str">
            <v>No</v>
          </cell>
        </row>
        <row r="335">
          <cell r="F335">
            <v>22</v>
          </cell>
          <cell r="J335" t="str">
            <v>-</v>
          </cell>
          <cell r="K335" t="str">
            <v>-</v>
          </cell>
          <cell r="L335" t="str">
            <v>-</v>
          </cell>
          <cell r="M335" t="str">
            <v>-</v>
          </cell>
          <cell r="N335" t="str">
            <v>No</v>
          </cell>
        </row>
        <row r="336">
          <cell r="F336">
            <v>28</v>
          </cell>
          <cell r="J336" t="str">
            <v>-</v>
          </cell>
          <cell r="K336" t="str">
            <v>-</v>
          </cell>
          <cell r="L336" t="str">
            <v>-</v>
          </cell>
          <cell r="M336" t="str">
            <v>-</v>
          </cell>
          <cell r="N336" t="str">
            <v>No</v>
          </cell>
        </row>
        <row r="337">
          <cell r="F337">
            <v>32</v>
          </cell>
          <cell r="J337" t="str">
            <v>-</v>
          </cell>
          <cell r="K337" t="str">
            <v>-</v>
          </cell>
          <cell r="L337" t="str">
            <v>-</v>
          </cell>
          <cell r="M337" t="str">
            <v>-</v>
          </cell>
          <cell r="N337" t="str">
            <v>INHIL</v>
          </cell>
        </row>
        <row r="338">
          <cell r="F338">
            <v>32</v>
          </cell>
          <cell r="J338" t="str">
            <v>-</v>
          </cell>
          <cell r="K338" t="str">
            <v>-</v>
          </cell>
          <cell r="L338" t="str">
            <v>-</v>
          </cell>
          <cell r="M338" t="str">
            <v>-</v>
          </cell>
          <cell r="N338" t="str">
            <v>No</v>
          </cell>
        </row>
        <row r="339">
          <cell r="F339">
            <v>34</v>
          </cell>
          <cell r="J339" t="str">
            <v>-</v>
          </cell>
          <cell r="K339" t="str">
            <v>-</v>
          </cell>
          <cell r="L339" t="str">
            <v>-</v>
          </cell>
          <cell r="M339" t="str">
            <v>-</v>
          </cell>
          <cell r="N339" t="str">
            <v>INHIL</v>
          </cell>
        </row>
        <row r="340">
          <cell r="F340">
            <v>34</v>
          </cell>
          <cell r="J340" t="str">
            <v>-</v>
          </cell>
          <cell r="K340" t="str">
            <v>-</v>
          </cell>
          <cell r="L340" t="str">
            <v>-</v>
          </cell>
          <cell r="M340" t="str">
            <v>-</v>
          </cell>
          <cell r="N340" t="str">
            <v>INHIL</v>
          </cell>
        </row>
        <row r="341">
          <cell r="F341">
            <v>21</v>
          </cell>
          <cell r="J341" t="str">
            <v>-</v>
          </cell>
          <cell r="K341" t="str">
            <v>-</v>
          </cell>
          <cell r="L341" t="str">
            <v>-</v>
          </cell>
          <cell r="M341" t="str">
            <v>-</v>
          </cell>
          <cell r="N341" t="str">
            <v>INHIL</v>
          </cell>
        </row>
        <row r="342">
          <cell r="F342">
            <v>21</v>
          </cell>
          <cell r="J342" t="str">
            <v>-</v>
          </cell>
          <cell r="K342" t="str">
            <v>-</v>
          </cell>
          <cell r="L342" t="str">
            <v>-</v>
          </cell>
          <cell r="M342" t="str">
            <v>-</v>
          </cell>
          <cell r="N342" t="str">
            <v>No</v>
          </cell>
        </row>
        <row r="343">
          <cell r="F343">
            <v>24</v>
          </cell>
          <cell r="J343" t="str">
            <v>-</v>
          </cell>
          <cell r="K343" t="str">
            <v>INHIL</v>
          </cell>
          <cell r="L343" t="str">
            <v>-</v>
          </cell>
          <cell r="M343" t="str">
            <v>-</v>
          </cell>
          <cell r="N343" t="str">
            <v>INHIL</v>
          </cell>
        </row>
        <row r="344">
          <cell r="F344">
            <v>20</v>
          </cell>
          <cell r="J344" t="str">
            <v>-</v>
          </cell>
          <cell r="K344" t="str">
            <v>-</v>
          </cell>
          <cell r="L344" t="str">
            <v>-</v>
          </cell>
          <cell r="M344" t="str">
            <v>-</v>
          </cell>
          <cell r="N344" t="str">
            <v>No</v>
          </cell>
        </row>
        <row r="345">
          <cell r="F345">
            <v>25</v>
          </cell>
          <cell r="J345" t="str">
            <v>-</v>
          </cell>
          <cell r="K345" t="str">
            <v>-</v>
          </cell>
          <cell r="L345" t="str">
            <v>-</v>
          </cell>
          <cell r="M345" t="str">
            <v>-</v>
          </cell>
          <cell r="N345" t="str">
            <v>No</v>
          </cell>
        </row>
        <row r="346">
          <cell r="F346">
            <v>33</v>
          </cell>
          <cell r="J346" t="str">
            <v>-</v>
          </cell>
          <cell r="K346" t="str">
            <v>INHIL</v>
          </cell>
          <cell r="L346" t="str">
            <v>-</v>
          </cell>
          <cell r="M346" t="str">
            <v>-</v>
          </cell>
          <cell r="N346" t="str">
            <v>INHIL</v>
          </cell>
        </row>
        <row r="347">
          <cell r="F347">
            <v>23</v>
          </cell>
          <cell r="J347" t="str">
            <v>INHIL</v>
          </cell>
          <cell r="K347" t="str">
            <v>-</v>
          </cell>
          <cell r="L347" t="str">
            <v>-</v>
          </cell>
          <cell r="M347" t="str">
            <v>-</v>
          </cell>
          <cell r="N347" t="str">
            <v>INHIL</v>
          </cell>
        </row>
        <row r="348">
          <cell r="F348">
            <v>30</v>
          </cell>
          <cell r="J348" t="str">
            <v>-</v>
          </cell>
          <cell r="K348" t="str">
            <v>-</v>
          </cell>
          <cell r="L348" t="str">
            <v>-</v>
          </cell>
          <cell r="M348" t="str">
            <v>-</v>
          </cell>
          <cell r="N348" t="str">
            <v>INHIL</v>
          </cell>
        </row>
        <row r="349">
          <cell r="F349">
            <v>22</v>
          </cell>
          <cell r="J349" t="str">
            <v>-</v>
          </cell>
          <cell r="K349" t="str">
            <v>-</v>
          </cell>
          <cell r="L349" t="str">
            <v>-</v>
          </cell>
          <cell r="M349" t="str">
            <v>-</v>
          </cell>
          <cell r="N349" t="str">
            <v>No</v>
          </cell>
        </row>
        <row r="350">
          <cell r="F350">
            <v>30</v>
          </cell>
          <cell r="J350" t="str">
            <v>-</v>
          </cell>
          <cell r="K350" t="str">
            <v>-</v>
          </cell>
          <cell r="L350" t="str">
            <v>-</v>
          </cell>
          <cell r="M350" t="str">
            <v>-</v>
          </cell>
          <cell r="N350" t="str">
            <v>INHIL</v>
          </cell>
        </row>
        <row r="351">
          <cell r="F351">
            <v>20</v>
          </cell>
          <cell r="J351" t="str">
            <v>-</v>
          </cell>
          <cell r="K351" t="str">
            <v>-</v>
          </cell>
          <cell r="L351" t="str">
            <v>-</v>
          </cell>
          <cell r="M351" t="str">
            <v>-</v>
          </cell>
          <cell r="N351" t="str">
            <v>No</v>
          </cell>
        </row>
        <row r="352">
          <cell r="F352">
            <v>33</v>
          </cell>
          <cell r="J352" t="str">
            <v>-</v>
          </cell>
          <cell r="K352" t="str">
            <v>-</v>
          </cell>
          <cell r="L352" t="str">
            <v>-</v>
          </cell>
          <cell r="M352" t="str">
            <v>-</v>
          </cell>
          <cell r="N352" t="str">
            <v>No</v>
          </cell>
        </row>
        <row r="353">
          <cell r="F353">
            <v>20</v>
          </cell>
          <cell r="J353" t="str">
            <v>-</v>
          </cell>
          <cell r="K353" t="str">
            <v>-</v>
          </cell>
          <cell r="L353" t="str">
            <v>-</v>
          </cell>
          <cell r="M353" t="str">
            <v>-</v>
          </cell>
          <cell r="N353" t="str">
            <v>INHIL</v>
          </cell>
        </row>
        <row r="354">
          <cell r="F354">
            <v>28</v>
          </cell>
          <cell r="J354" t="str">
            <v>-</v>
          </cell>
          <cell r="K354" t="str">
            <v>-</v>
          </cell>
          <cell r="L354" t="str">
            <v>-</v>
          </cell>
          <cell r="M354" t="str">
            <v>-</v>
          </cell>
          <cell r="N354" t="str">
            <v>INHIL</v>
          </cell>
        </row>
        <row r="355">
          <cell r="F355">
            <v>27</v>
          </cell>
          <cell r="J355" t="str">
            <v>INHIL</v>
          </cell>
          <cell r="K355" t="str">
            <v>-</v>
          </cell>
          <cell r="L355" t="str">
            <v>-</v>
          </cell>
          <cell r="M355" t="str">
            <v>-</v>
          </cell>
          <cell r="N355" t="str">
            <v>INHIL</v>
          </cell>
        </row>
        <row r="356">
          <cell r="F356">
            <v>21</v>
          </cell>
          <cell r="J356" t="str">
            <v>-</v>
          </cell>
          <cell r="K356" t="str">
            <v>-</v>
          </cell>
          <cell r="L356" t="str">
            <v>-</v>
          </cell>
          <cell r="M356" t="str">
            <v>-</v>
          </cell>
          <cell r="N356" t="str">
            <v>INHIL</v>
          </cell>
        </row>
        <row r="357">
          <cell r="F357">
            <v>20</v>
          </cell>
          <cell r="J357" t="str">
            <v>-</v>
          </cell>
          <cell r="K357" t="str">
            <v>-</v>
          </cell>
          <cell r="L357" t="str">
            <v>-</v>
          </cell>
          <cell r="M357" t="str">
            <v>-</v>
          </cell>
          <cell r="N357" t="str">
            <v>No</v>
          </cell>
        </row>
        <row r="358">
          <cell r="F358">
            <v>37</v>
          </cell>
          <cell r="J358" t="str">
            <v>-</v>
          </cell>
          <cell r="K358" t="str">
            <v>-</v>
          </cell>
          <cell r="L358" t="str">
            <v>-</v>
          </cell>
          <cell r="M358" t="str">
            <v>-</v>
          </cell>
          <cell r="N358" t="str">
            <v>INHIL</v>
          </cell>
        </row>
        <row r="359">
          <cell r="F359">
            <v>35</v>
          </cell>
          <cell r="J359" t="str">
            <v>-</v>
          </cell>
          <cell r="K359" t="str">
            <v>-</v>
          </cell>
          <cell r="L359" t="str">
            <v>-</v>
          </cell>
          <cell r="M359" t="str">
            <v>-</v>
          </cell>
          <cell r="N359" t="str">
            <v>INHIL</v>
          </cell>
        </row>
        <row r="360">
          <cell r="F360">
            <v>17</v>
          </cell>
          <cell r="J360" t="str">
            <v>-</v>
          </cell>
          <cell r="K360" t="str">
            <v>-</v>
          </cell>
          <cell r="L360" t="str">
            <v>-</v>
          </cell>
          <cell r="M360" t="str">
            <v>-</v>
          </cell>
          <cell r="N360" t="str">
            <v>No</v>
          </cell>
        </row>
        <row r="361">
          <cell r="F361">
            <v>39</v>
          </cell>
          <cell r="J361" t="str">
            <v>-</v>
          </cell>
          <cell r="K361" t="str">
            <v>-</v>
          </cell>
          <cell r="L361" t="str">
            <v>-</v>
          </cell>
          <cell r="M361" t="str">
            <v>-</v>
          </cell>
          <cell r="N361" t="str">
            <v>INHIL</v>
          </cell>
        </row>
        <row r="362">
          <cell r="F362">
            <v>21</v>
          </cell>
          <cell r="J362" t="str">
            <v>-</v>
          </cell>
          <cell r="K362" t="str">
            <v>-</v>
          </cell>
          <cell r="L362" t="str">
            <v>NHIL</v>
          </cell>
          <cell r="M362" t="str">
            <v>-</v>
          </cell>
          <cell r="N362" t="str">
            <v>INHIL</v>
          </cell>
        </row>
        <row r="363">
          <cell r="F363">
            <v>40</v>
          </cell>
          <cell r="J363" t="str">
            <v>-</v>
          </cell>
          <cell r="K363" t="str">
            <v>-</v>
          </cell>
          <cell r="L363" t="str">
            <v>-</v>
          </cell>
          <cell r="M363" t="str">
            <v>-</v>
          </cell>
          <cell r="N363" t="str">
            <v>No</v>
          </cell>
        </row>
        <row r="364">
          <cell r="F364">
            <v>42</v>
          </cell>
          <cell r="J364" t="str">
            <v>-</v>
          </cell>
          <cell r="K364" t="str">
            <v>-</v>
          </cell>
          <cell r="L364" t="str">
            <v>-</v>
          </cell>
          <cell r="M364" t="str">
            <v>-</v>
          </cell>
          <cell r="N364" t="str">
            <v>INHIL</v>
          </cell>
        </row>
        <row r="365">
          <cell r="F365">
            <v>25</v>
          </cell>
          <cell r="J365" t="str">
            <v>INHIL</v>
          </cell>
          <cell r="K365" t="str">
            <v>-</v>
          </cell>
          <cell r="L365" t="str">
            <v>-</v>
          </cell>
          <cell r="M365" t="str">
            <v>-</v>
          </cell>
          <cell r="N365" t="str">
            <v>INHIL</v>
          </cell>
        </row>
        <row r="366">
          <cell r="F366">
            <v>20</v>
          </cell>
          <cell r="J366" t="str">
            <v>-</v>
          </cell>
          <cell r="K366" t="str">
            <v>-</v>
          </cell>
          <cell r="L366" t="str">
            <v>-</v>
          </cell>
          <cell r="M366" t="str">
            <v>-</v>
          </cell>
          <cell r="N366" t="str">
            <v>No</v>
          </cell>
        </row>
        <row r="367">
          <cell r="F367">
            <v>20</v>
          </cell>
          <cell r="J367" t="str">
            <v>-</v>
          </cell>
          <cell r="K367" t="str">
            <v>-</v>
          </cell>
          <cell r="L367" t="str">
            <v>-</v>
          </cell>
          <cell r="M367" t="str">
            <v>-</v>
          </cell>
          <cell r="N367" t="str">
            <v>No</v>
          </cell>
        </row>
        <row r="368">
          <cell r="F368">
            <v>27</v>
          </cell>
          <cell r="J368" t="str">
            <v>-</v>
          </cell>
          <cell r="K368" t="str">
            <v>-</v>
          </cell>
          <cell r="L368" t="str">
            <v>-</v>
          </cell>
          <cell r="M368" t="str">
            <v>-</v>
          </cell>
          <cell r="N368" t="str">
            <v>INHIL</v>
          </cell>
        </row>
        <row r="369">
          <cell r="F369">
            <v>23</v>
          </cell>
          <cell r="J369" t="str">
            <v>-</v>
          </cell>
          <cell r="K369" t="str">
            <v>-</v>
          </cell>
          <cell r="L369" t="str">
            <v>-</v>
          </cell>
          <cell r="M369" t="str">
            <v>-</v>
          </cell>
          <cell r="N369" t="str">
            <v>No</v>
          </cell>
        </row>
        <row r="370">
          <cell r="F370">
            <v>26</v>
          </cell>
          <cell r="J370" t="str">
            <v>-</v>
          </cell>
          <cell r="K370" t="str">
            <v>INHIL</v>
          </cell>
          <cell r="L370" t="str">
            <v>-</v>
          </cell>
          <cell r="M370" t="str">
            <v>-</v>
          </cell>
          <cell r="N370" t="str">
            <v>INHIL</v>
          </cell>
        </row>
        <row r="371">
          <cell r="F371">
            <v>21</v>
          </cell>
          <cell r="J371" t="str">
            <v>-</v>
          </cell>
          <cell r="K371" t="str">
            <v>-</v>
          </cell>
          <cell r="L371" t="str">
            <v>-</v>
          </cell>
          <cell r="M371" t="str">
            <v>-</v>
          </cell>
          <cell r="N371" t="str">
            <v>No</v>
          </cell>
        </row>
        <row r="372">
          <cell r="F372">
            <v>22</v>
          </cell>
          <cell r="J372" t="str">
            <v>-</v>
          </cell>
          <cell r="K372" t="str">
            <v>-</v>
          </cell>
          <cell r="L372" t="str">
            <v>-</v>
          </cell>
          <cell r="M372" t="str">
            <v>-</v>
          </cell>
          <cell r="N372" t="str">
            <v>No</v>
          </cell>
        </row>
        <row r="373">
          <cell r="F373">
            <v>25</v>
          </cell>
          <cell r="J373" t="str">
            <v>-</v>
          </cell>
          <cell r="K373" t="str">
            <v>-</v>
          </cell>
          <cell r="L373" t="str">
            <v>-</v>
          </cell>
          <cell r="M373" t="str">
            <v>-</v>
          </cell>
          <cell r="N373" t="str">
            <v>No</v>
          </cell>
        </row>
        <row r="374">
          <cell r="F374">
            <v>29</v>
          </cell>
          <cell r="J374" t="str">
            <v>-</v>
          </cell>
          <cell r="K374" t="str">
            <v>-</v>
          </cell>
          <cell r="L374" t="str">
            <v>-</v>
          </cell>
          <cell r="M374" t="str">
            <v>-</v>
          </cell>
          <cell r="N374" t="str">
            <v>INHIL</v>
          </cell>
        </row>
        <row r="375">
          <cell r="F375">
            <v>23</v>
          </cell>
          <cell r="J375" t="str">
            <v>-</v>
          </cell>
          <cell r="K375" t="str">
            <v>-</v>
          </cell>
          <cell r="L375" t="str">
            <v>-</v>
          </cell>
          <cell r="M375" t="str">
            <v>-</v>
          </cell>
          <cell r="N375" t="str">
            <v>INHIL</v>
          </cell>
        </row>
        <row r="376">
          <cell r="F376">
            <v>33</v>
          </cell>
          <cell r="J376" t="str">
            <v>-</v>
          </cell>
          <cell r="K376" t="str">
            <v>-</v>
          </cell>
          <cell r="L376" t="str">
            <v>-</v>
          </cell>
          <cell r="M376" t="str">
            <v>-</v>
          </cell>
          <cell r="N376" t="str">
            <v>INHIL</v>
          </cell>
        </row>
        <row r="377">
          <cell r="F377">
            <v>24</v>
          </cell>
          <cell r="J377" t="str">
            <v>-</v>
          </cell>
          <cell r="K377" t="str">
            <v>-</v>
          </cell>
          <cell r="L377" t="str">
            <v>-</v>
          </cell>
          <cell r="M377" t="str">
            <v>-</v>
          </cell>
          <cell r="N377" t="str">
            <v>INHIL</v>
          </cell>
        </row>
        <row r="378">
          <cell r="F378">
            <v>22</v>
          </cell>
          <cell r="J378" t="str">
            <v>-</v>
          </cell>
          <cell r="K378" t="str">
            <v>-</v>
          </cell>
          <cell r="L378" t="str">
            <v>-</v>
          </cell>
          <cell r="M378" t="str">
            <v>-</v>
          </cell>
          <cell r="N378" t="str">
            <v>No</v>
          </cell>
        </row>
        <row r="379">
          <cell r="F379">
            <v>24</v>
          </cell>
          <cell r="J379" t="str">
            <v>-</v>
          </cell>
          <cell r="K379" t="str">
            <v>-</v>
          </cell>
          <cell r="L379" t="str">
            <v>-</v>
          </cell>
          <cell r="M379" t="str">
            <v>-</v>
          </cell>
          <cell r="N379" t="str">
            <v>No</v>
          </cell>
        </row>
        <row r="380">
          <cell r="F380">
            <v>28</v>
          </cell>
          <cell r="J380" t="str">
            <v>INHIL</v>
          </cell>
          <cell r="K380" t="str">
            <v>-</v>
          </cell>
          <cell r="L380" t="str">
            <v>-</v>
          </cell>
          <cell r="M380" t="str">
            <v>-</v>
          </cell>
          <cell r="N380" t="str">
            <v>INHIL</v>
          </cell>
        </row>
        <row r="381">
          <cell r="F381">
            <v>34</v>
          </cell>
          <cell r="J381" t="str">
            <v>-</v>
          </cell>
          <cell r="K381" t="str">
            <v>-</v>
          </cell>
          <cell r="L381" t="str">
            <v>-</v>
          </cell>
          <cell r="M381" t="str">
            <v>-</v>
          </cell>
          <cell r="N381" t="str">
            <v>INHIL</v>
          </cell>
        </row>
        <row r="382">
          <cell r="F382">
            <v>25</v>
          </cell>
          <cell r="J382" t="str">
            <v>-</v>
          </cell>
          <cell r="K382" t="str">
            <v>-</v>
          </cell>
          <cell r="L382" t="str">
            <v>-</v>
          </cell>
          <cell r="M382" t="str">
            <v>-</v>
          </cell>
          <cell r="N382" t="str">
            <v>No</v>
          </cell>
        </row>
        <row r="383">
          <cell r="F383">
            <v>28</v>
          </cell>
          <cell r="J383" t="str">
            <v>-</v>
          </cell>
          <cell r="K383" t="str">
            <v>-</v>
          </cell>
          <cell r="L383" t="str">
            <v>-</v>
          </cell>
          <cell r="M383" t="str">
            <v>-</v>
          </cell>
          <cell r="N383" t="str">
            <v>INHIL</v>
          </cell>
        </row>
        <row r="384">
          <cell r="F384">
            <v>28</v>
          </cell>
          <cell r="J384" t="str">
            <v>-</v>
          </cell>
          <cell r="K384" t="str">
            <v>-</v>
          </cell>
          <cell r="L384" t="str">
            <v>-</v>
          </cell>
          <cell r="M384" t="str">
            <v>-</v>
          </cell>
          <cell r="N384" t="str">
            <v>INHIL</v>
          </cell>
        </row>
        <row r="385">
          <cell r="F385">
            <v>25</v>
          </cell>
          <cell r="J385" t="str">
            <v>-</v>
          </cell>
          <cell r="K385" t="str">
            <v>-</v>
          </cell>
          <cell r="L385" t="str">
            <v>-</v>
          </cell>
          <cell r="M385" t="str">
            <v>-</v>
          </cell>
          <cell r="N385" t="str">
            <v>No</v>
          </cell>
        </row>
        <row r="386">
          <cell r="F386">
            <v>28</v>
          </cell>
          <cell r="J386" t="str">
            <v>-</v>
          </cell>
          <cell r="K386" t="str">
            <v>-</v>
          </cell>
          <cell r="L386" t="str">
            <v>-</v>
          </cell>
          <cell r="M386" t="str">
            <v>-</v>
          </cell>
          <cell r="N386" t="str">
            <v>INHIL</v>
          </cell>
        </row>
        <row r="387">
          <cell r="F387">
            <v>23</v>
          </cell>
          <cell r="J387" t="str">
            <v>-</v>
          </cell>
          <cell r="K387" t="str">
            <v>-</v>
          </cell>
          <cell r="L387" t="str">
            <v>-</v>
          </cell>
          <cell r="M387" t="str">
            <v>-</v>
          </cell>
          <cell r="N387" t="str">
            <v>INHIL</v>
          </cell>
        </row>
        <row r="388">
          <cell r="F388">
            <v>22</v>
          </cell>
          <cell r="J388" t="str">
            <v>-</v>
          </cell>
          <cell r="K388" t="str">
            <v>-</v>
          </cell>
          <cell r="L388" t="str">
            <v>-</v>
          </cell>
          <cell r="M388" t="str">
            <v>-</v>
          </cell>
          <cell r="N388" t="str">
            <v>No</v>
          </cell>
        </row>
        <row r="389">
          <cell r="F389">
            <v>31</v>
          </cell>
          <cell r="J389" t="str">
            <v>-</v>
          </cell>
          <cell r="K389" t="str">
            <v>-</v>
          </cell>
          <cell r="L389" t="str">
            <v>-</v>
          </cell>
          <cell r="M389" t="str">
            <v>-</v>
          </cell>
          <cell r="N389" t="str">
            <v>INHIL</v>
          </cell>
        </row>
        <row r="390">
          <cell r="F390">
            <v>26</v>
          </cell>
          <cell r="J390" t="str">
            <v>-</v>
          </cell>
          <cell r="K390" t="str">
            <v>-</v>
          </cell>
          <cell r="L390" t="str">
            <v>-</v>
          </cell>
          <cell r="M390" t="str">
            <v>-</v>
          </cell>
          <cell r="N390" t="str">
            <v>INHIL</v>
          </cell>
        </row>
        <row r="391">
          <cell r="F391">
            <v>29</v>
          </cell>
          <cell r="J391" t="str">
            <v>-</v>
          </cell>
          <cell r="K391" t="str">
            <v>-</v>
          </cell>
          <cell r="L391" t="str">
            <v>-</v>
          </cell>
          <cell r="M391" t="str">
            <v>-</v>
          </cell>
          <cell r="N391" t="str">
            <v>INHIL</v>
          </cell>
        </row>
        <row r="392">
          <cell r="F392">
            <v>32</v>
          </cell>
          <cell r="J392" t="str">
            <v>-</v>
          </cell>
          <cell r="K392" t="str">
            <v>-</v>
          </cell>
          <cell r="L392" t="str">
            <v>-</v>
          </cell>
          <cell r="M392" t="str">
            <v>-</v>
          </cell>
          <cell r="N392" t="str">
            <v>INHIL</v>
          </cell>
        </row>
        <row r="393">
          <cell r="F393">
            <v>32</v>
          </cell>
          <cell r="J393" t="str">
            <v>-</v>
          </cell>
          <cell r="K393" t="str">
            <v>-</v>
          </cell>
          <cell r="L393" t="str">
            <v>-</v>
          </cell>
          <cell r="M393" t="str">
            <v>-</v>
          </cell>
          <cell r="N393" t="str">
            <v>INHIL</v>
          </cell>
        </row>
        <row r="394">
          <cell r="F394">
            <v>23</v>
          </cell>
          <cell r="J394" t="str">
            <v>-</v>
          </cell>
          <cell r="K394" t="str">
            <v>-</v>
          </cell>
          <cell r="L394" t="str">
            <v>-</v>
          </cell>
          <cell r="M394" t="str">
            <v>-</v>
          </cell>
          <cell r="N394" t="str">
            <v>INHIL</v>
          </cell>
        </row>
        <row r="395">
          <cell r="F395">
            <v>28</v>
          </cell>
          <cell r="J395" t="str">
            <v>-</v>
          </cell>
          <cell r="K395" t="str">
            <v>-</v>
          </cell>
          <cell r="L395" t="str">
            <v>-</v>
          </cell>
          <cell r="M395" t="str">
            <v>-</v>
          </cell>
          <cell r="N395" t="str">
            <v>INHIL</v>
          </cell>
        </row>
        <row r="396">
          <cell r="F396">
            <v>20</v>
          </cell>
          <cell r="J396" t="str">
            <v>-</v>
          </cell>
          <cell r="K396" t="str">
            <v>-</v>
          </cell>
          <cell r="L396" t="str">
            <v>-</v>
          </cell>
          <cell r="M396" t="str">
            <v>-</v>
          </cell>
          <cell r="N396" t="str">
            <v>INHIL</v>
          </cell>
        </row>
        <row r="397">
          <cell r="F397">
            <v>29</v>
          </cell>
          <cell r="J397" t="str">
            <v>-</v>
          </cell>
          <cell r="K397" t="str">
            <v>-</v>
          </cell>
          <cell r="L397" t="str">
            <v>-</v>
          </cell>
          <cell r="M397" t="str">
            <v>-</v>
          </cell>
          <cell r="N397" t="str">
            <v>INHIL</v>
          </cell>
        </row>
        <row r="398">
          <cell r="F398">
            <v>35</v>
          </cell>
          <cell r="J398" t="str">
            <v>-</v>
          </cell>
          <cell r="K398" t="str">
            <v>-</v>
          </cell>
          <cell r="L398" t="str">
            <v>-</v>
          </cell>
          <cell r="M398" t="str">
            <v>-</v>
          </cell>
          <cell r="N398" t="str">
            <v>INHIL</v>
          </cell>
        </row>
        <row r="399">
          <cell r="F399">
            <v>40</v>
          </cell>
          <cell r="J399" t="str">
            <v>-</v>
          </cell>
          <cell r="K399" t="str">
            <v>-</v>
          </cell>
          <cell r="L399" t="str">
            <v>-</v>
          </cell>
          <cell r="M399" t="str">
            <v>-</v>
          </cell>
          <cell r="N399" t="str">
            <v>INHIL</v>
          </cell>
        </row>
        <row r="400">
          <cell r="F400">
            <v>27</v>
          </cell>
          <cell r="J400" t="str">
            <v>-</v>
          </cell>
          <cell r="K400" t="str">
            <v>INHIL</v>
          </cell>
          <cell r="L400" t="str">
            <v>-</v>
          </cell>
          <cell r="M400" t="str">
            <v>-</v>
          </cell>
          <cell r="N400" t="str">
            <v>INHIL</v>
          </cell>
        </row>
        <row r="401">
          <cell r="F401">
            <v>23</v>
          </cell>
          <cell r="J401" t="str">
            <v>-</v>
          </cell>
          <cell r="K401" t="str">
            <v>-</v>
          </cell>
          <cell r="L401" t="str">
            <v>-</v>
          </cell>
          <cell r="M401" t="str">
            <v>-</v>
          </cell>
          <cell r="N401" t="str">
            <v>INHIL</v>
          </cell>
        </row>
        <row r="402">
          <cell r="F402">
            <v>23</v>
          </cell>
          <cell r="J402" t="str">
            <v>-</v>
          </cell>
          <cell r="K402" t="str">
            <v>-</v>
          </cell>
          <cell r="L402" t="str">
            <v>-</v>
          </cell>
          <cell r="M402" t="str">
            <v>-</v>
          </cell>
          <cell r="N402" t="str">
            <v>INHIL</v>
          </cell>
        </row>
        <row r="403">
          <cell r="F403">
            <v>39</v>
          </cell>
          <cell r="J403" t="str">
            <v>-</v>
          </cell>
          <cell r="K403" t="str">
            <v>-</v>
          </cell>
          <cell r="L403" t="str">
            <v>-</v>
          </cell>
          <cell r="M403" t="str">
            <v>-</v>
          </cell>
          <cell r="N403" t="str">
            <v>INHIL</v>
          </cell>
        </row>
        <row r="404">
          <cell r="F404">
            <v>44</v>
          </cell>
          <cell r="J404" t="str">
            <v>-</v>
          </cell>
          <cell r="K404" t="str">
            <v>-</v>
          </cell>
          <cell r="L404" t="str">
            <v>-</v>
          </cell>
          <cell r="M404" t="str">
            <v>-</v>
          </cell>
          <cell r="N404" t="str">
            <v>INHIL</v>
          </cell>
        </row>
        <row r="405">
          <cell r="F405">
            <v>25</v>
          </cell>
          <cell r="J405" t="str">
            <v>-</v>
          </cell>
          <cell r="K405" t="str">
            <v>-</v>
          </cell>
          <cell r="L405" t="str">
            <v>-</v>
          </cell>
          <cell r="M405" t="str">
            <v>-</v>
          </cell>
          <cell r="N405" t="str">
            <v>No</v>
          </cell>
        </row>
        <row r="406">
          <cell r="F406">
            <v>31</v>
          </cell>
          <cell r="J406" t="str">
            <v>INHIL</v>
          </cell>
          <cell r="K406" t="str">
            <v>-</v>
          </cell>
          <cell r="L406" t="str">
            <v>-</v>
          </cell>
          <cell r="M406" t="str">
            <v>-</v>
          </cell>
          <cell r="N406" t="str">
            <v>INHIL</v>
          </cell>
        </row>
        <row r="407">
          <cell r="F407">
            <v>23</v>
          </cell>
          <cell r="J407" t="str">
            <v>-</v>
          </cell>
          <cell r="K407" t="str">
            <v>-</v>
          </cell>
          <cell r="L407" t="str">
            <v>-</v>
          </cell>
          <cell r="M407" t="str">
            <v>-</v>
          </cell>
          <cell r="N407" t="str">
            <v>No</v>
          </cell>
        </row>
        <row r="408">
          <cell r="F408">
            <v>31</v>
          </cell>
          <cell r="J408" t="str">
            <v>-</v>
          </cell>
          <cell r="K408" t="str">
            <v>-</v>
          </cell>
          <cell r="L408" t="str">
            <v>-</v>
          </cell>
          <cell r="M408" t="str">
            <v>-</v>
          </cell>
          <cell r="N408" t="str">
            <v>No</v>
          </cell>
        </row>
        <row r="409">
          <cell r="F409">
            <v>28</v>
          </cell>
          <cell r="J409" t="str">
            <v>-</v>
          </cell>
          <cell r="K409" t="str">
            <v>-</v>
          </cell>
          <cell r="L409" t="str">
            <v>-</v>
          </cell>
          <cell r="M409" t="str">
            <v>-</v>
          </cell>
          <cell r="N409" t="str">
            <v>No</v>
          </cell>
        </row>
        <row r="410">
          <cell r="F410">
            <v>23</v>
          </cell>
          <cell r="J410" t="str">
            <v>-</v>
          </cell>
          <cell r="K410" t="str">
            <v>-</v>
          </cell>
          <cell r="L410" t="str">
            <v>-</v>
          </cell>
          <cell r="M410" t="str">
            <v>-</v>
          </cell>
          <cell r="N410" t="str">
            <v>No</v>
          </cell>
        </row>
        <row r="411">
          <cell r="F411">
            <v>23</v>
          </cell>
          <cell r="J411" t="str">
            <v>-</v>
          </cell>
          <cell r="K411" t="str">
            <v>-</v>
          </cell>
          <cell r="L411" t="str">
            <v>-</v>
          </cell>
          <cell r="M411" t="str">
            <v>-</v>
          </cell>
          <cell r="N411" t="str">
            <v>No</v>
          </cell>
        </row>
        <row r="412">
          <cell r="F412">
            <v>27</v>
          </cell>
          <cell r="J412" t="str">
            <v>-</v>
          </cell>
          <cell r="K412" t="str">
            <v>-</v>
          </cell>
          <cell r="L412" t="str">
            <v>-</v>
          </cell>
          <cell r="M412" t="str">
            <v>-</v>
          </cell>
          <cell r="N412" t="str">
            <v>INHIL</v>
          </cell>
        </row>
        <row r="413">
          <cell r="F413">
            <v>21</v>
          </cell>
          <cell r="J413" t="str">
            <v>-</v>
          </cell>
          <cell r="K413" t="str">
            <v>-</v>
          </cell>
          <cell r="L413" t="str">
            <v>-</v>
          </cell>
          <cell r="M413" t="str">
            <v>-</v>
          </cell>
          <cell r="N413" t="str">
            <v>No</v>
          </cell>
        </row>
        <row r="414">
          <cell r="F414">
            <v>21</v>
          </cell>
          <cell r="J414" t="str">
            <v>-</v>
          </cell>
          <cell r="K414" t="str">
            <v>-</v>
          </cell>
          <cell r="L414" t="str">
            <v>-</v>
          </cell>
          <cell r="M414" t="str">
            <v>-</v>
          </cell>
          <cell r="N414" t="str">
            <v>INHIL</v>
          </cell>
        </row>
        <row r="415">
          <cell r="F415">
            <v>32</v>
          </cell>
          <cell r="J415" t="str">
            <v>-</v>
          </cell>
          <cell r="K415" t="str">
            <v>-</v>
          </cell>
          <cell r="L415" t="str">
            <v>-</v>
          </cell>
          <cell r="M415" t="str">
            <v>-</v>
          </cell>
          <cell r="N415" t="str">
            <v>INHIL</v>
          </cell>
        </row>
        <row r="416">
          <cell r="F416">
            <v>29</v>
          </cell>
          <cell r="J416" t="str">
            <v>-</v>
          </cell>
          <cell r="K416" t="str">
            <v>-</v>
          </cell>
          <cell r="L416" t="str">
            <v>-</v>
          </cell>
          <cell r="M416" t="str">
            <v>-</v>
          </cell>
          <cell r="N416" t="str">
            <v>INHIL</v>
          </cell>
        </row>
        <row r="417">
          <cell r="F417">
            <v>38</v>
          </cell>
          <cell r="J417" t="str">
            <v>-</v>
          </cell>
          <cell r="K417" t="str">
            <v>-</v>
          </cell>
          <cell r="L417" t="str">
            <v>-</v>
          </cell>
          <cell r="M417" t="str">
            <v>-</v>
          </cell>
          <cell r="N417" t="str">
            <v>INHIL</v>
          </cell>
        </row>
        <row r="418">
          <cell r="F418">
            <v>19</v>
          </cell>
          <cell r="J418" t="str">
            <v>-</v>
          </cell>
          <cell r="K418" t="str">
            <v>-</v>
          </cell>
          <cell r="L418" t="str">
            <v>-</v>
          </cell>
          <cell r="M418" t="str">
            <v>-</v>
          </cell>
          <cell r="N418" t="str">
            <v>No</v>
          </cell>
        </row>
        <row r="419">
          <cell r="F419">
            <v>21</v>
          </cell>
          <cell r="J419" t="str">
            <v>-</v>
          </cell>
          <cell r="K419" t="str">
            <v>INHIL</v>
          </cell>
          <cell r="L419" t="str">
            <v>-</v>
          </cell>
          <cell r="M419" t="str">
            <v>-</v>
          </cell>
          <cell r="N419" t="str">
            <v>INHIL</v>
          </cell>
        </row>
        <row r="420">
          <cell r="F420">
            <v>22</v>
          </cell>
          <cell r="J420" t="str">
            <v>-</v>
          </cell>
          <cell r="K420" t="str">
            <v>-</v>
          </cell>
          <cell r="L420" t="str">
            <v>-</v>
          </cell>
          <cell r="M420" t="str">
            <v>-</v>
          </cell>
          <cell r="N420" t="str">
            <v>INHIL</v>
          </cell>
        </row>
        <row r="421">
          <cell r="F421">
            <v>30</v>
          </cell>
          <cell r="J421" t="str">
            <v>-</v>
          </cell>
          <cell r="K421" t="str">
            <v>-</v>
          </cell>
          <cell r="L421" t="str">
            <v>-</v>
          </cell>
          <cell r="M421" t="str">
            <v>-</v>
          </cell>
          <cell r="N421" t="str">
            <v>INHIL</v>
          </cell>
        </row>
        <row r="422">
          <cell r="F422">
            <v>26</v>
          </cell>
          <cell r="J422" t="str">
            <v>-</v>
          </cell>
          <cell r="K422" t="str">
            <v>-</v>
          </cell>
          <cell r="L422" t="str">
            <v>INHIL</v>
          </cell>
          <cell r="M422" t="str">
            <v>-</v>
          </cell>
          <cell r="N422" t="str">
            <v>INHIL</v>
          </cell>
        </row>
        <row r="423">
          <cell r="F423">
            <v>24</v>
          </cell>
          <cell r="J423" t="str">
            <v>-</v>
          </cell>
          <cell r="K423" t="str">
            <v>-</v>
          </cell>
          <cell r="L423" t="str">
            <v>-</v>
          </cell>
          <cell r="M423" t="str">
            <v>-</v>
          </cell>
          <cell r="N423" t="str">
            <v>No</v>
          </cell>
        </row>
        <row r="424">
          <cell r="F424">
            <v>22</v>
          </cell>
          <cell r="J424" t="str">
            <v>-</v>
          </cell>
          <cell r="K424" t="str">
            <v>-</v>
          </cell>
          <cell r="L424" t="str">
            <v>-</v>
          </cell>
          <cell r="M424" t="str">
            <v>-</v>
          </cell>
          <cell r="N424" t="str">
            <v>No</v>
          </cell>
        </row>
        <row r="425">
          <cell r="F425">
            <v>32</v>
          </cell>
          <cell r="J425" t="str">
            <v>-</v>
          </cell>
          <cell r="K425" t="str">
            <v>-</v>
          </cell>
          <cell r="L425" t="str">
            <v>-</v>
          </cell>
          <cell r="M425" t="str">
            <v>-</v>
          </cell>
          <cell r="N425" t="str">
            <v>INHIL</v>
          </cell>
        </row>
        <row r="426">
          <cell r="F426">
            <v>23</v>
          </cell>
          <cell r="J426" t="str">
            <v>-</v>
          </cell>
          <cell r="K426" t="str">
            <v>-</v>
          </cell>
          <cell r="L426" t="str">
            <v>-</v>
          </cell>
          <cell r="M426" t="str">
            <v>-</v>
          </cell>
          <cell r="N426" t="str">
            <v>No</v>
          </cell>
        </row>
        <row r="427">
          <cell r="F427">
            <v>20</v>
          </cell>
          <cell r="J427" t="str">
            <v>-</v>
          </cell>
          <cell r="K427" t="str">
            <v>INHIL</v>
          </cell>
          <cell r="L427" t="str">
            <v>-</v>
          </cell>
          <cell r="M427" t="str">
            <v>-</v>
          </cell>
          <cell r="N427" t="str">
            <v>INHIL</v>
          </cell>
        </row>
        <row r="428">
          <cell r="F428">
            <v>22</v>
          </cell>
          <cell r="J428" t="str">
            <v>-</v>
          </cell>
          <cell r="K428" t="str">
            <v>-</v>
          </cell>
          <cell r="L428" t="str">
            <v>-</v>
          </cell>
          <cell r="M428" t="str">
            <v>-</v>
          </cell>
          <cell r="N428" t="str">
            <v>No</v>
          </cell>
        </row>
        <row r="429">
          <cell r="F429">
            <v>32</v>
          </cell>
          <cell r="J429" t="str">
            <v>-</v>
          </cell>
          <cell r="K429" t="str">
            <v>-</v>
          </cell>
          <cell r="L429" t="str">
            <v>-</v>
          </cell>
          <cell r="M429" t="str">
            <v>-</v>
          </cell>
          <cell r="N429" t="str">
            <v>No</v>
          </cell>
        </row>
        <row r="430">
          <cell r="F430">
            <v>26</v>
          </cell>
          <cell r="J430" t="str">
            <v>-</v>
          </cell>
          <cell r="K430" t="str">
            <v>-</v>
          </cell>
          <cell r="L430" t="str">
            <v>-</v>
          </cell>
          <cell r="M430" t="str">
            <v>-</v>
          </cell>
          <cell r="N430" t="str">
            <v>INHIL</v>
          </cell>
        </row>
        <row r="431">
          <cell r="F431">
            <v>23</v>
          </cell>
          <cell r="J431" t="str">
            <v>-</v>
          </cell>
          <cell r="K431" t="str">
            <v>-</v>
          </cell>
          <cell r="L431" t="str">
            <v>-</v>
          </cell>
          <cell r="M431" t="str">
            <v>-</v>
          </cell>
          <cell r="N431" t="str">
            <v>No</v>
          </cell>
        </row>
        <row r="432">
          <cell r="F432">
            <v>31</v>
          </cell>
          <cell r="J432" t="str">
            <v>-</v>
          </cell>
          <cell r="K432" t="str">
            <v>INHIL</v>
          </cell>
          <cell r="L432" t="str">
            <v>-</v>
          </cell>
          <cell r="M432" t="str">
            <v>-</v>
          </cell>
          <cell r="N432" t="str">
            <v>INHIL</v>
          </cell>
        </row>
        <row r="433">
          <cell r="F433">
            <v>37</v>
          </cell>
          <cell r="J433" t="str">
            <v>-</v>
          </cell>
          <cell r="K433" t="str">
            <v>-</v>
          </cell>
          <cell r="L433" t="str">
            <v>-</v>
          </cell>
          <cell r="M433" t="str">
            <v>-</v>
          </cell>
          <cell r="N433" t="str">
            <v>INHIL</v>
          </cell>
        </row>
        <row r="434">
          <cell r="F434">
            <v>34</v>
          </cell>
          <cell r="J434" t="str">
            <v>-</v>
          </cell>
          <cell r="K434" t="str">
            <v>-</v>
          </cell>
          <cell r="L434" t="str">
            <v>-</v>
          </cell>
          <cell r="M434" t="str">
            <v>-</v>
          </cell>
          <cell r="N434" t="str">
            <v>INHIL</v>
          </cell>
        </row>
        <row r="435">
          <cell r="F435">
            <v>35</v>
          </cell>
          <cell r="J435" t="str">
            <v>-</v>
          </cell>
          <cell r="K435" t="str">
            <v>-</v>
          </cell>
          <cell r="L435" t="str">
            <v>-</v>
          </cell>
          <cell r="M435" t="str">
            <v>-</v>
          </cell>
          <cell r="N435" t="str">
            <v>INHIL</v>
          </cell>
        </row>
        <row r="436">
          <cell r="F436">
            <v>33</v>
          </cell>
          <cell r="J436" t="str">
            <v>-</v>
          </cell>
          <cell r="K436" t="str">
            <v>-</v>
          </cell>
          <cell r="L436" t="str">
            <v>-</v>
          </cell>
          <cell r="M436" t="str">
            <v>-</v>
          </cell>
          <cell r="N436" t="str">
            <v>INHIL</v>
          </cell>
        </row>
        <row r="437">
          <cell r="F437">
            <v>38</v>
          </cell>
          <cell r="J437" t="str">
            <v>-</v>
          </cell>
          <cell r="K437" t="str">
            <v>INHIL</v>
          </cell>
          <cell r="L437" t="str">
            <v>-</v>
          </cell>
          <cell r="M437" t="str">
            <v>-</v>
          </cell>
          <cell r="N437" t="str">
            <v>INHIL</v>
          </cell>
        </row>
        <row r="438">
          <cell r="F438">
            <v>31</v>
          </cell>
          <cell r="J438" t="str">
            <v>-</v>
          </cell>
          <cell r="K438" t="str">
            <v>-</v>
          </cell>
          <cell r="L438" t="str">
            <v>-</v>
          </cell>
          <cell r="M438" t="str">
            <v>-</v>
          </cell>
          <cell r="N438" t="str">
            <v>INHIL</v>
          </cell>
        </row>
        <row r="439">
          <cell r="F439">
            <v>30</v>
          </cell>
          <cell r="J439" t="str">
            <v>-</v>
          </cell>
          <cell r="K439" t="str">
            <v>-</v>
          </cell>
          <cell r="L439" t="str">
            <v>-</v>
          </cell>
          <cell r="M439" t="str">
            <v>-</v>
          </cell>
          <cell r="N439" t="str">
            <v>INHIL</v>
          </cell>
        </row>
        <row r="440">
          <cell r="F440">
            <v>25</v>
          </cell>
          <cell r="J440" t="str">
            <v>-</v>
          </cell>
          <cell r="K440" t="str">
            <v>-</v>
          </cell>
          <cell r="L440" t="str">
            <v>-</v>
          </cell>
          <cell r="M440" t="str">
            <v>-</v>
          </cell>
          <cell r="N440" t="str">
            <v>INHIL</v>
          </cell>
        </row>
        <row r="441">
          <cell r="F441">
            <v>33</v>
          </cell>
          <cell r="J441" t="str">
            <v>-</v>
          </cell>
          <cell r="K441" t="str">
            <v>-</v>
          </cell>
          <cell r="L441" t="str">
            <v>-</v>
          </cell>
          <cell r="M441" t="str">
            <v>-</v>
          </cell>
          <cell r="N441" t="str">
            <v>INHIL</v>
          </cell>
        </row>
        <row r="442">
          <cell r="F442">
            <v>37</v>
          </cell>
          <cell r="J442" t="str">
            <v>-</v>
          </cell>
          <cell r="K442" t="str">
            <v>-</v>
          </cell>
          <cell r="L442" t="str">
            <v>-</v>
          </cell>
          <cell r="M442" t="str">
            <v>-</v>
          </cell>
          <cell r="N442" t="str">
            <v>INHIL</v>
          </cell>
        </row>
        <row r="443">
          <cell r="F443">
            <v>35</v>
          </cell>
          <cell r="J443" t="str">
            <v>-</v>
          </cell>
          <cell r="K443" t="str">
            <v>-</v>
          </cell>
          <cell r="L443" t="str">
            <v>-</v>
          </cell>
          <cell r="M443" t="str">
            <v>-</v>
          </cell>
          <cell r="N443" t="str">
            <v>INHIL</v>
          </cell>
        </row>
        <row r="444">
          <cell r="F444">
            <v>28</v>
          </cell>
          <cell r="J444" t="str">
            <v>-</v>
          </cell>
          <cell r="K444" t="str">
            <v>-</v>
          </cell>
          <cell r="L444" t="str">
            <v>-</v>
          </cell>
          <cell r="M444" t="str">
            <v>-</v>
          </cell>
          <cell r="N444" t="str">
            <v>INHIL</v>
          </cell>
        </row>
        <row r="445">
          <cell r="F445">
            <v>27</v>
          </cell>
          <cell r="J445" t="str">
            <v>-</v>
          </cell>
          <cell r="K445" t="str">
            <v>-</v>
          </cell>
          <cell r="L445" t="str">
            <v>-</v>
          </cell>
          <cell r="M445" t="str">
            <v>-</v>
          </cell>
          <cell r="N445" t="str">
            <v>INHIL</v>
          </cell>
        </row>
        <row r="446">
          <cell r="F446">
            <v>33</v>
          </cell>
          <cell r="J446" t="str">
            <v>INHIL</v>
          </cell>
          <cell r="K446" t="str">
            <v>-</v>
          </cell>
          <cell r="L446" t="str">
            <v>-</v>
          </cell>
          <cell r="M446" t="str">
            <v>-</v>
          </cell>
          <cell r="N446" t="str">
            <v>INHIL</v>
          </cell>
        </row>
        <row r="447">
          <cell r="F447">
            <v>35</v>
          </cell>
          <cell r="J447" t="str">
            <v>-</v>
          </cell>
          <cell r="K447" t="str">
            <v>-</v>
          </cell>
          <cell r="L447" t="str">
            <v>-</v>
          </cell>
          <cell r="M447" t="str">
            <v>-</v>
          </cell>
          <cell r="N447" t="str">
            <v>INHIL</v>
          </cell>
        </row>
        <row r="448">
          <cell r="F448">
            <v>35</v>
          </cell>
          <cell r="J448" t="str">
            <v>-</v>
          </cell>
          <cell r="K448" t="str">
            <v>-</v>
          </cell>
          <cell r="L448" t="str">
            <v>-</v>
          </cell>
          <cell r="M448" t="str">
            <v>-</v>
          </cell>
          <cell r="N448" t="str">
            <v>INHIL</v>
          </cell>
        </row>
        <row r="449">
          <cell r="F449">
            <v>32</v>
          </cell>
          <cell r="J449" t="str">
            <v>-</v>
          </cell>
          <cell r="K449" t="str">
            <v>-</v>
          </cell>
          <cell r="L449" t="str">
            <v>-</v>
          </cell>
          <cell r="M449" t="str">
            <v>-</v>
          </cell>
          <cell r="N449" t="str">
            <v>INHIL</v>
          </cell>
        </row>
        <row r="450">
          <cell r="F450">
            <v>33</v>
          </cell>
          <cell r="J450" t="str">
            <v>-</v>
          </cell>
          <cell r="K450" t="str">
            <v>-</v>
          </cell>
          <cell r="L450" t="str">
            <v>-</v>
          </cell>
          <cell r="M450" t="str">
            <v>-</v>
          </cell>
          <cell r="N450" t="str">
            <v>INHIL</v>
          </cell>
        </row>
        <row r="451">
          <cell r="F451">
            <v>33</v>
          </cell>
          <cell r="J451" t="str">
            <v>-</v>
          </cell>
          <cell r="K451" t="str">
            <v>-</v>
          </cell>
          <cell r="L451" t="str">
            <v>-</v>
          </cell>
          <cell r="M451" t="str">
            <v>-</v>
          </cell>
          <cell r="N451" t="str">
            <v>INHIL</v>
          </cell>
        </row>
        <row r="452">
          <cell r="F452">
            <v>33</v>
          </cell>
          <cell r="J452" t="str">
            <v>INHIL</v>
          </cell>
          <cell r="K452" t="str">
            <v>-</v>
          </cell>
          <cell r="L452" t="str">
            <v>-</v>
          </cell>
          <cell r="M452" t="str">
            <v>-</v>
          </cell>
          <cell r="N452" t="str">
            <v>INHIL</v>
          </cell>
        </row>
        <row r="453">
          <cell r="F453">
            <v>36</v>
          </cell>
          <cell r="J453" t="str">
            <v>-</v>
          </cell>
          <cell r="K453" t="str">
            <v>-</v>
          </cell>
          <cell r="L453" t="str">
            <v>-</v>
          </cell>
          <cell r="M453" t="str">
            <v>-</v>
          </cell>
          <cell r="N453" t="str">
            <v>INHIL</v>
          </cell>
        </row>
        <row r="454">
          <cell r="F454">
            <v>30</v>
          </cell>
          <cell r="J454" t="str">
            <v>-</v>
          </cell>
          <cell r="K454" t="str">
            <v>-</v>
          </cell>
          <cell r="L454" t="str">
            <v>-</v>
          </cell>
          <cell r="M454" t="str">
            <v>-</v>
          </cell>
          <cell r="N454" t="str">
            <v>INHIL</v>
          </cell>
        </row>
        <row r="455">
          <cell r="F455">
            <v>38</v>
          </cell>
          <cell r="J455" t="str">
            <v>-</v>
          </cell>
          <cell r="K455" t="str">
            <v>-</v>
          </cell>
          <cell r="L455" t="str">
            <v>-</v>
          </cell>
          <cell r="M455" t="str">
            <v>-</v>
          </cell>
          <cell r="N455" t="str">
            <v>INHIL</v>
          </cell>
        </row>
        <row r="456">
          <cell r="F456">
            <v>36</v>
          </cell>
          <cell r="J456" t="str">
            <v>-</v>
          </cell>
          <cell r="K456" t="str">
            <v>-</v>
          </cell>
          <cell r="L456" t="str">
            <v>-</v>
          </cell>
          <cell r="M456" t="str">
            <v>-</v>
          </cell>
          <cell r="N456" t="str">
            <v>INHIL</v>
          </cell>
        </row>
        <row r="457">
          <cell r="F457">
            <v>30</v>
          </cell>
          <cell r="J457" t="str">
            <v>-</v>
          </cell>
          <cell r="K457" t="str">
            <v>-</v>
          </cell>
          <cell r="L457" t="str">
            <v>-</v>
          </cell>
          <cell r="M457" t="str">
            <v>-</v>
          </cell>
          <cell r="N457" t="str">
            <v>INHIL</v>
          </cell>
        </row>
        <row r="458">
          <cell r="F458">
            <v>31</v>
          </cell>
          <cell r="J458" t="str">
            <v>-</v>
          </cell>
          <cell r="K458" t="str">
            <v>-</v>
          </cell>
          <cell r="L458" t="str">
            <v>-</v>
          </cell>
          <cell r="M458" t="str">
            <v>-</v>
          </cell>
          <cell r="N458" t="str">
            <v>INHIL</v>
          </cell>
        </row>
        <row r="459">
          <cell r="F459">
            <v>23</v>
          </cell>
          <cell r="J459" t="str">
            <v>-</v>
          </cell>
          <cell r="K459" t="str">
            <v>-</v>
          </cell>
          <cell r="L459" t="str">
            <v>-</v>
          </cell>
          <cell r="M459" t="str">
            <v>-</v>
          </cell>
          <cell r="N459" t="str">
            <v>INHIL</v>
          </cell>
        </row>
        <row r="460">
          <cell r="F460">
            <v>30</v>
          </cell>
          <cell r="J460" t="str">
            <v>-</v>
          </cell>
          <cell r="K460" t="str">
            <v>-</v>
          </cell>
          <cell r="L460" t="str">
            <v>-</v>
          </cell>
          <cell r="M460" t="str">
            <v>-</v>
          </cell>
          <cell r="N460" t="str">
            <v>INHIL</v>
          </cell>
        </row>
        <row r="461">
          <cell r="F461">
            <v>34</v>
          </cell>
          <cell r="J461" t="str">
            <v>-</v>
          </cell>
          <cell r="K461" t="str">
            <v>-</v>
          </cell>
          <cell r="L461" t="str">
            <v>-</v>
          </cell>
          <cell r="M461" t="str">
            <v>-</v>
          </cell>
          <cell r="N461" t="str">
            <v>INHIL</v>
          </cell>
        </row>
        <row r="462">
          <cell r="F462">
            <v>30</v>
          </cell>
          <cell r="J462" t="str">
            <v>-</v>
          </cell>
          <cell r="K462" t="str">
            <v>-</v>
          </cell>
          <cell r="L462" t="str">
            <v>-</v>
          </cell>
          <cell r="M462" t="str">
            <v>-</v>
          </cell>
          <cell r="N462" t="str">
            <v>INHIL</v>
          </cell>
        </row>
        <row r="463">
          <cell r="F463">
            <v>34</v>
          </cell>
          <cell r="J463" t="str">
            <v>-</v>
          </cell>
          <cell r="K463" t="str">
            <v>-</v>
          </cell>
          <cell r="L463" t="str">
            <v>-</v>
          </cell>
          <cell r="M463" t="str">
            <v>-</v>
          </cell>
          <cell r="N463" t="str">
            <v>INHIL</v>
          </cell>
        </row>
        <row r="464">
          <cell r="F464">
            <v>32</v>
          </cell>
          <cell r="J464" t="str">
            <v>-</v>
          </cell>
          <cell r="K464" t="str">
            <v>-</v>
          </cell>
          <cell r="L464" t="str">
            <v>-</v>
          </cell>
          <cell r="M464" t="str">
            <v>-</v>
          </cell>
          <cell r="N464" t="str">
            <v>INHIL</v>
          </cell>
        </row>
        <row r="465">
          <cell r="F465">
            <v>32</v>
          </cell>
          <cell r="J465" t="str">
            <v>-</v>
          </cell>
          <cell r="K465" t="str">
            <v>-</v>
          </cell>
          <cell r="L465" t="str">
            <v>-</v>
          </cell>
          <cell r="M465" t="str">
            <v>-</v>
          </cell>
          <cell r="N465" t="str">
            <v>INHIL</v>
          </cell>
        </row>
        <row r="466">
          <cell r="F466">
            <v>35</v>
          </cell>
          <cell r="J466" t="str">
            <v>-</v>
          </cell>
          <cell r="K466" t="str">
            <v>-</v>
          </cell>
          <cell r="L466" t="str">
            <v>-</v>
          </cell>
          <cell r="M466" t="str">
            <v>-</v>
          </cell>
          <cell r="N466" t="str">
            <v>INHIL</v>
          </cell>
        </row>
        <row r="467">
          <cell r="F467">
            <v>31</v>
          </cell>
          <cell r="J467" t="str">
            <v>-</v>
          </cell>
          <cell r="K467" t="str">
            <v>-</v>
          </cell>
          <cell r="L467" t="str">
            <v>-</v>
          </cell>
          <cell r="M467" t="str">
            <v>-</v>
          </cell>
          <cell r="N467" t="str">
            <v>INHIL</v>
          </cell>
        </row>
        <row r="468">
          <cell r="F468">
            <v>31</v>
          </cell>
          <cell r="J468" t="str">
            <v>INHIL</v>
          </cell>
          <cell r="K468" t="str">
            <v>-</v>
          </cell>
          <cell r="L468" t="str">
            <v>-</v>
          </cell>
          <cell r="M468" t="str">
            <v>-</v>
          </cell>
          <cell r="N468" t="str">
            <v>INHIL</v>
          </cell>
        </row>
        <row r="469">
          <cell r="F469">
            <v>32</v>
          </cell>
          <cell r="J469" t="str">
            <v>-</v>
          </cell>
          <cell r="K469" t="str">
            <v>-</v>
          </cell>
          <cell r="L469" t="str">
            <v>-</v>
          </cell>
          <cell r="M469" t="str">
            <v>-</v>
          </cell>
          <cell r="N469" t="str">
            <v>INHIL</v>
          </cell>
        </row>
        <row r="470">
          <cell r="F470">
            <v>33</v>
          </cell>
          <cell r="J470" t="str">
            <v>-</v>
          </cell>
          <cell r="K470" t="str">
            <v>-</v>
          </cell>
          <cell r="L470" t="str">
            <v>-</v>
          </cell>
          <cell r="M470" t="str">
            <v>-</v>
          </cell>
          <cell r="N470" t="str">
            <v>INHIL</v>
          </cell>
        </row>
        <row r="471">
          <cell r="F471">
            <v>30</v>
          </cell>
          <cell r="J471" t="str">
            <v>INHIL</v>
          </cell>
          <cell r="K471" t="str">
            <v>-</v>
          </cell>
          <cell r="L471" t="str">
            <v>-</v>
          </cell>
          <cell r="M471" t="str">
            <v>-</v>
          </cell>
          <cell r="N471" t="str">
            <v>INHIL</v>
          </cell>
        </row>
        <row r="472">
          <cell r="F472">
            <v>23</v>
          </cell>
          <cell r="J472" t="str">
            <v>-</v>
          </cell>
          <cell r="K472" t="str">
            <v>-</v>
          </cell>
          <cell r="L472" t="str">
            <v>-</v>
          </cell>
          <cell r="M472" t="str">
            <v>-</v>
          </cell>
          <cell r="N472" t="str">
            <v>INHIL</v>
          </cell>
        </row>
        <row r="473">
          <cell r="F473">
            <v>22</v>
          </cell>
          <cell r="J473" t="str">
            <v>-</v>
          </cell>
          <cell r="K473" t="str">
            <v>-</v>
          </cell>
          <cell r="L473" t="str">
            <v>-</v>
          </cell>
          <cell r="M473" t="str">
            <v>-</v>
          </cell>
          <cell r="N473" t="str">
            <v>No</v>
          </cell>
        </row>
        <row r="474">
          <cell r="F474">
            <v>23</v>
          </cell>
          <cell r="J474" t="str">
            <v>-</v>
          </cell>
          <cell r="K474" t="str">
            <v>-</v>
          </cell>
          <cell r="L474" t="str">
            <v>-</v>
          </cell>
          <cell r="M474" t="str">
            <v>-</v>
          </cell>
          <cell r="N474" t="str">
            <v>No</v>
          </cell>
        </row>
        <row r="475">
          <cell r="F475">
            <v>33</v>
          </cell>
          <cell r="J475" t="str">
            <v>-</v>
          </cell>
          <cell r="K475" t="str">
            <v>INHIL</v>
          </cell>
          <cell r="L475" t="str">
            <v>-</v>
          </cell>
          <cell r="M475" t="str">
            <v>-</v>
          </cell>
          <cell r="N475" t="str">
            <v>INHIL</v>
          </cell>
        </row>
        <row r="476">
          <cell r="F476">
            <v>22</v>
          </cell>
          <cell r="J476" t="str">
            <v>-</v>
          </cell>
          <cell r="K476" t="str">
            <v>-</v>
          </cell>
          <cell r="L476" t="str">
            <v>-</v>
          </cell>
          <cell r="M476" t="str">
            <v>-</v>
          </cell>
          <cell r="N476" t="str">
            <v>INHIL</v>
          </cell>
        </row>
        <row r="477">
          <cell r="F477">
            <v>23</v>
          </cell>
          <cell r="J477" t="str">
            <v>-</v>
          </cell>
          <cell r="K477" t="str">
            <v>-</v>
          </cell>
          <cell r="L477" t="str">
            <v>-</v>
          </cell>
          <cell r="M477" t="str">
            <v>-</v>
          </cell>
          <cell r="N477" t="str">
            <v>INHIL</v>
          </cell>
        </row>
        <row r="478">
          <cell r="F478">
            <v>26</v>
          </cell>
          <cell r="J478" t="str">
            <v>-</v>
          </cell>
          <cell r="K478" t="str">
            <v>-</v>
          </cell>
          <cell r="L478" t="str">
            <v>-</v>
          </cell>
          <cell r="M478" t="str">
            <v>-</v>
          </cell>
          <cell r="N478" t="str">
            <v>No</v>
          </cell>
        </row>
        <row r="479">
          <cell r="F479">
            <v>31</v>
          </cell>
          <cell r="J479" t="str">
            <v>-</v>
          </cell>
          <cell r="K479" t="str">
            <v>-</v>
          </cell>
          <cell r="L479" t="str">
            <v>-</v>
          </cell>
          <cell r="M479" t="str">
            <v>-</v>
          </cell>
          <cell r="N479" t="str">
            <v>INHIL</v>
          </cell>
        </row>
        <row r="480">
          <cell r="F480">
            <v>28</v>
          </cell>
          <cell r="J480" t="str">
            <v>-</v>
          </cell>
          <cell r="K480" t="str">
            <v>-</v>
          </cell>
          <cell r="L480" t="str">
            <v>-</v>
          </cell>
          <cell r="M480" t="str">
            <v>-</v>
          </cell>
          <cell r="N480" t="str">
            <v>INHIL</v>
          </cell>
        </row>
        <row r="481">
          <cell r="F481">
            <v>25</v>
          </cell>
          <cell r="J481" t="str">
            <v>INHIL</v>
          </cell>
          <cell r="K481" t="str">
            <v>-</v>
          </cell>
          <cell r="L481" t="str">
            <v>-</v>
          </cell>
          <cell r="M481" t="str">
            <v>-</v>
          </cell>
          <cell r="N481" t="str">
            <v>INHIL</v>
          </cell>
        </row>
        <row r="482">
          <cell r="F482">
            <v>31</v>
          </cell>
          <cell r="J482" t="str">
            <v>-</v>
          </cell>
          <cell r="K482" t="str">
            <v>-</v>
          </cell>
          <cell r="L482" t="str">
            <v>-</v>
          </cell>
          <cell r="M482" t="str">
            <v>-</v>
          </cell>
          <cell r="N482" t="str">
            <v>INHIL</v>
          </cell>
        </row>
        <row r="483">
          <cell r="F483">
            <v>30</v>
          </cell>
          <cell r="J483" t="str">
            <v>-</v>
          </cell>
          <cell r="K483" t="str">
            <v>-</v>
          </cell>
          <cell r="L483" t="str">
            <v>-</v>
          </cell>
          <cell r="M483" t="str">
            <v>-</v>
          </cell>
          <cell r="N483" t="str">
            <v>No</v>
          </cell>
        </row>
        <row r="484">
          <cell r="F484">
            <v>32</v>
          </cell>
          <cell r="J484" t="str">
            <v>-</v>
          </cell>
          <cell r="K484" t="str">
            <v>-</v>
          </cell>
          <cell r="L484" t="str">
            <v>-</v>
          </cell>
          <cell r="M484" t="str">
            <v>-</v>
          </cell>
          <cell r="N484" t="str">
            <v>INHIL</v>
          </cell>
        </row>
        <row r="485">
          <cell r="F485">
            <v>34</v>
          </cell>
          <cell r="J485" t="str">
            <v>-</v>
          </cell>
          <cell r="K485" t="str">
            <v>-</v>
          </cell>
          <cell r="L485" t="str">
            <v>-</v>
          </cell>
          <cell r="M485" t="str">
            <v>-</v>
          </cell>
          <cell r="N485" t="str">
            <v>INHIL</v>
          </cell>
        </row>
        <row r="486">
          <cell r="F486">
            <v>35</v>
          </cell>
          <cell r="J486" t="str">
            <v>-</v>
          </cell>
          <cell r="K486" t="str">
            <v>-</v>
          </cell>
          <cell r="L486" t="str">
            <v>-</v>
          </cell>
          <cell r="M486" t="str">
            <v>-</v>
          </cell>
          <cell r="N486" t="str">
            <v>INHIL</v>
          </cell>
        </row>
        <row r="487">
          <cell r="F487">
            <v>35</v>
          </cell>
          <cell r="J487" t="str">
            <v>-</v>
          </cell>
          <cell r="K487" t="str">
            <v>-</v>
          </cell>
          <cell r="L487" t="str">
            <v>-</v>
          </cell>
          <cell r="M487" t="str">
            <v>-</v>
          </cell>
          <cell r="N487" t="str">
            <v>INHIL</v>
          </cell>
        </row>
        <row r="488">
          <cell r="F488">
            <v>33</v>
          </cell>
          <cell r="J488" t="str">
            <v>-</v>
          </cell>
          <cell r="K488" t="str">
            <v>-</v>
          </cell>
          <cell r="L488" t="str">
            <v>-</v>
          </cell>
          <cell r="M488" t="str">
            <v>-</v>
          </cell>
          <cell r="N488" t="str">
            <v>INHIL</v>
          </cell>
        </row>
        <row r="489">
          <cell r="F489">
            <v>43</v>
          </cell>
          <cell r="J489" t="str">
            <v>-</v>
          </cell>
          <cell r="K489" t="str">
            <v>-</v>
          </cell>
          <cell r="L489" t="str">
            <v>-</v>
          </cell>
          <cell r="M489" t="str">
            <v>-</v>
          </cell>
          <cell r="N489" t="str">
            <v>INHIL</v>
          </cell>
        </row>
        <row r="490">
          <cell r="F490">
            <v>28</v>
          </cell>
          <cell r="J490" t="str">
            <v>-</v>
          </cell>
          <cell r="K490" t="str">
            <v>-</v>
          </cell>
          <cell r="L490" t="str">
            <v>-</v>
          </cell>
          <cell r="M490" t="str">
            <v>-</v>
          </cell>
          <cell r="N490" t="str">
            <v>INHIL</v>
          </cell>
        </row>
        <row r="491">
          <cell r="F491">
            <v>23</v>
          </cell>
          <cell r="J491" t="str">
            <v>-</v>
          </cell>
          <cell r="K491" t="str">
            <v>-</v>
          </cell>
          <cell r="L491" t="str">
            <v>INHIL</v>
          </cell>
          <cell r="M491" t="str">
            <v>-</v>
          </cell>
          <cell r="N491" t="str">
            <v>INHIL</v>
          </cell>
        </row>
        <row r="492">
          <cell r="F492">
            <v>24</v>
          </cell>
          <cell r="J492" t="str">
            <v>-</v>
          </cell>
          <cell r="K492" t="str">
            <v>-</v>
          </cell>
          <cell r="L492" t="str">
            <v>-</v>
          </cell>
          <cell r="M492" t="str">
            <v>-</v>
          </cell>
          <cell r="N492" t="str">
            <v>No</v>
          </cell>
        </row>
        <row r="493">
          <cell r="F493">
            <v>27</v>
          </cell>
          <cell r="J493" t="str">
            <v>-</v>
          </cell>
          <cell r="K493" t="str">
            <v>-</v>
          </cell>
          <cell r="L493" t="str">
            <v>-</v>
          </cell>
          <cell r="M493" t="str">
            <v>-</v>
          </cell>
          <cell r="N493" t="str">
            <v>No</v>
          </cell>
        </row>
        <row r="494">
          <cell r="F494">
            <v>31</v>
          </cell>
          <cell r="J494" t="str">
            <v>-</v>
          </cell>
          <cell r="K494" t="str">
            <v>-</v>
          </cell>
          <cell r="L494" t="str">
            <v>-</v>
          </cell>
          <cell r="M494" t="str">
            <v>-</v>
          </cell>
          <cell r="N494" t="str">
            <v>INHIL</v>
          </cell>
        </row>
        <row r="495">
          <cell r="F495">
            <v>31</v>
          </cell>
          <cell r="J495" t="str">
            <v>-</v>
          </cell>
          <cell r="K495" t="str">
            <v>-</v>
          </cell>
          <cell r="L495" t="str">
            <v>-</v>
          </cell>
          <cell r="M495" t="str">
            <v>-</v>
          </cell>
          <cell r="N495" t="str">
            <v>INHIL</v>
          </cell>
        </row>
        <row r="496">
          <cell r="F496">
            <v>34</v>
          </cell>
          <cell r="J496" t="str">
            <v>-</v>
          </cell>
          <cell r="K496" t="str">
            <v>-</v>
          </cell>
          <cell r="L496" t="str">
            <v>-</v>
          </cell>
          <cell r="M496" t="str">
            <v>-</v>
          </cell>
          <cell r="N496" t="str">
            <v>INHIL</v>
          </cell>
        </row>
        <row r="497">
          <cell r="F497">
            <v>35</v>
          </cell>
          <cell r="J497" t="str">
            <v>-</v>
          </cell>
          <cell r="K497" t="str">
            <v>-</v>
          </cell>
          <cell r="L497" t="str">
            <v>-</v>
          </cell>
          <cell r="M497" t="str">
            <v>-</v>
          </cell>
          <cell r="N497" t="str">
            <v>INHIL</v>
          </cell>
        </row>
        <row r="498">
          <cell r="F498">
            <v>31</v>
          </cell>
          <cell r="J498" t="str">
            <v>-</v>
          </cell>
          <cell r="K498" t="str">
            <v>-</v>
          </cell>
          <cell r="L498" t="str">
            <v>-</v>
          </cell>
          <cell r="M498" t="str">
            <v>-</v>
          </cell>
          <cell r="N498" t="str">
            <v>INHIL</v>
          </cell>
        </row>
        <row r="499">
          <cell r="F499">
            <v>30</v>
          </cell>
          <cell r="J499" t="str">
            <v>-</v>
          </cell>
          <cell r="K499" t="str">
            <v>-</v>
          </cell>
          <cell r="L499" t="str">
            <v>-</v>
          </cell>
          <cell r="M499" t="str">
            <v>-</v>
          </cell>
          <cell r="N499" t="str">
            <v>INHIL</v>
          </cell>
        </row>
        <row r="500">
          <cell r="F500">
            <v>37</v>
          </cell>
          <cell r="J500" t="str">
            <v>-</v>
          </cell>
          <cell r="K500" t="str">
            <v>-</v>
          </cell>
          <cell r="L500" t="str">
            <v>-</v>
          </cell>
          <cell r="M500" t="str">
            <v>-</v>
          </cell>
          <cell r="N500" t="str">
            <v>INHIL</v>
          </cell>
        </row>
        <row r="501">
          <cell r="F501">
            <v>28</v>
          </cell>
          <cell r="J501" t="str">
            <v>-</v>
          </cell>
          <cell r="K501" t="str">
            <v>-</v>
          </cell>
          <cell r="L501" t="str">
            <v>-</v>
          </cell>
          <cell r="M501" t="str">
            <v>-</v>
          </cell>
          <cell r="N501" t="str">
            <v>No</v>
          </cell>
        </row>
        <row r="502">
          <cell r="F502">
            <v>39</v>
          </cell>
          <cell r="J502" t="str">
            <v>-</v>
          </cell>
          <cell r="K502" t="str">
            <v>-</v>
          </cell>
          <cell r="L502" t="str">
            <v>-</v>
          </cell>
          <cell r="M502" t="str">
            <v>-</v>
          </cell>
          <cell r="N502" t="str">
            <v>INHIL</v>
          </cell>
        </row>
        <row r="503">
          <cell r="F503">
            <v>20</v>
          </cell>
          <cell r="J503" t="str">
            <v>-</v>
          </cell>
          <cell r="K503" t="str">
            <v>-</v>
          </cell>
          <cell r="L503" t="str">
            <v>-</v>
          </cell>
          <cell r="M503" t="str">
            <v>-</v>
          </cell>
          <cell r="N503" t="str">
            <v>No</v>
          </cell>
        </row>
        <row r="504">
          <cell r="F504">
            <v>19</v>
          </cell>
          <cell r="J504" t="str">
            <v>-</v>
          </cell>
          <cell r="K504" t="str">
            <v>-</v>
          </cell>
          <cell r="L504" t="str">
            <v>-</v>
          </cell>
          <cell r="M504" t="str">
            <v>-</v>
          </cell>
          <cell r="N504" t="str">
            <v>No</v>
          </cell>
        </row>
        <row r="505">
          <cell r="F505">
            <v>20</v>
          </cell>
          <cell r="J505" t="str">
            <v>-</v>
          </cell>
          <cell r="K505" t="str">
            <v>-</v>
          </cell>
          <cell r="L505" t="str">
            <v>-</v>
          </cell>
          <cell r="M505" t="str">
            <v>-</v>
          </cell>
          <cell r="N505" t="str">
            <v>No</v>
          </cell>
        </row>
        <row r="506">
          <cell r="F506">
            <v>19</v>
          </cell>
          <cell r="J506" t="str">
            <v>-</v>
          </cell>
          <cell r="K506" t="str">
            <v>-</v>
          </cell>
          <cell r="L506" t="str">
            <v>-</v>
          </cell>
          <cell r="M506" t="str">
            <v>-</v>
          </cell>
          <cell r="N506" t="str">
            <v>No</v>
          </cell>
        </row>
        <row r="507">
          <cell r="F507">
            <v>21</v>
          </cell>
          <cell r="J507" t="str">
            <v>-</v>
          </cell>
          <cell r="K507" t="str">
            <v>-</v>
          </cell>
          <cell r="L507" t="str">
            <v>-</v>
          </cell>
          <cell r="M507" t="str">
            <v>-</v>
          </cell>
          <cell r="N507" t="str">
            <v>No</v>
          </cell>
        </row>
        <row r="508">
          <cell r="F508">
            <v>20</v>
          </cell>
          <cell r="J508" t="str">
            <v>-</v>
          </cell>
          <cell r="K508" t="str">
            <v>-</v>
          </cell>
          <cell r="L508" t="str">
            <v>-</v>
          </cell>
          <cell r="M508" t="str">
            <v>-</v>
          </cell>
          <cell r="N508" t="str">
            <v>No</v>
          </cell>
        </row>
        <row r="509">
          <cell r="F509">
            <v>19</v>
          </cell>
          <cell r="J509" t="str">
            <v>-</v>
          </cell>
          <cell r="K509" t="str">
            <v>-</v>
          </cell>
          <cell r="L509" t="str">
            <v>-</v>
          </cell>
          <cell r="M509" t="str">
            <v>-</v>
          </cell>
          <cell r="N509" t="str">
            <v>No</v>
          </cell>
        </row>
        <row r="510">
          <cell r="F510">
            <v>21</v>
          </cell>
          <cell r="J510" t="str">
            <v>-</v>
          </cell>
          <cell r="K510" t="str">
            <v>-</v>
          </cell>
          <cell r="L510" t="str">
            <v>-</v>
          </cell>
          <cell r="M510" t="str">
            <v>-</v>
          </cell>
          <cell r="N510" t="str">
            <v>No</v>
          </cell>
        </row>
        <row r="511">
          <cell r="F511">
            <v>20</v>
          </cell>
          <cell r="J511" t="str">
            <v>-</v>
          </cell>
          <cell r="K511" t="str">
            <v>-</v>
          </cell>
          <cell r="L511" t="str">
            <v>-</v>
          </cell>
          <cell r="M511" t="str">
            <v>-</v>
          </cell>
          <cell r="N511" t="str">
            <v>No</v>
          </cell>
        </row>
        <row r="512">
          <cell r="F512">
            <v>21</v>
          </cell>
          <cell r="J512" t="str">
            <v>-</v>
          </cell>
          <cell r="K512" t="str">
            <v>-</v>
          </cell>
          <cell r="L512" t="str">
            <v>-</v>
          </cell>
          <cell r="M512" t="str">
            <v>-</v>
          </cell>
          <cell r="N512" t="str">
            <v>No</v>
          </cell>
        </row>
        <row r="513">
          <cell r="F513">
            <v>20</v>
          </cell>
          <cell r="J513" t="str">
            <v>-</v>
          </cell>
          <cell r="K513" t="str">
            <v>-</v>
          </cell>
          <cell r="L513" t="str">
            <v>-</v>
          </cell>
          <cell r="M513" t="str">
            <v>-</v>
          </cell>
          <cell r="N513" t="str">
            <v>No</v>
          </cell>
        </row>
        <row r="514">
          <cell r="F514">
            <v>21</v>
          </cell>
          <cell r="J514" t="str">
            <v>INHIL</v>
          </cell>
          <cell r="K514" t="str">
            <v>-</v>
          </cell>
          <cell r="L514" t="str">
            <v>-</v>
          </cell>
          <cell r="M514" t="str">
            <v>-</v>
          </cell>
          <cell r="N514" t="str">
            <v>INHIL</v>
          </cell>
        </row>
        <row r="515">
          <cell r="F515">
            <v>20</v>
          </cell>
          <cell r="J515" t="str">
            <v>INHIL</v>
          </cell>
          <cell r="K515" t="str">
            <v>-</v>
          </cell>
          <cell r="L515" t="str">
            <v>-</v>
          </cell>
          <cell r="M515" t="str">
            <v>-</v>
          </cell>
          <cell r="N515" t="str">
            <v>INHIL</v>
          </cell>
        </row>
        <row r="516">
          <cell r="F516">
            <v>22</v>
          </cell>
          <cell r="J516" t="str">
            <v>-</v>
          </cell>
          <cell r="K516" t="str">
            <v>-</v>
          </cell>
          <cell r="L516" t="str">
            <v>INHIL</v>
          </cell>
          <cell r="M516" t="str">
            <v>-</v>
          </cell>
          <cell r="N516" t="str">
            <v>INHIL</v>
          </cell>
        </row>
        <row r="517">
          <cell r="F517">
            <v>21</v>
          </cell>
          <cell r="J517" t="str">
            <v>-</v>
          </cell>
          <cell r="K517" t="str">
            <v>-</v>
          </cell>
          <cell r="L517" t="str">
            <v>-</v>
          </cell>
          <cell r="M517" t="str">
            <v>-</v>
          </cell>
          <cell r="N517" t="str">
            <v>No</v>
          </cell>
        </row>
        <row r="518">
          <cell r="F518">
            <v>23</v>
          </cell>
          <cell r="J518" t="str">
            <v>-</v>
          </cell>
          <cell r="K518" t="str">
            <v>-</v>
          </cell>
          <cell r="L518" t="str">
            <v>-</v>
          </cell>
          <cell r="M518" t="str">
            <v>-</v>
          </cell>
          <cell r="N518" t="str">
            <v>INHIL</v>
          </cell>
        </row>
        <row r="519">
          <cell r="F519">
            <v>22</v>
          </cell>
          <cell r="J519" t="str">
            <v>-</v>
          </cell>
          <cell r="K519" t="str">
            <v>-</v>
          </cell>
          <cell r="L519" t="str">
            <v>-</v>
          </cell>
          <cell r="M519" t="str">
            <v>-</v>
          </cell>
          <cell r="N519" t="str">
            <v>No</v>
          </cell>
        </row>
        <row r="520">
          <cell r="F520">
            <v>24</v>
          </cell>
          <cell r="J520" t="str">
            <v>-</v>
          </cell>
          <cell r="K520" t="str">
            <v>INHIL</v>
          </cell>
          <cell r="L520" t="str">
            <v>-</v>
          </cell>
          <cell r="M520" t="str">
            <v>-</v>
          </cell>
          <cell r="N520" t="str">
            <v>INHIL</v>
          </cell>
        </row>
        <row r="521">
          <cell r="F521">
            <v>25</v>
          </cell>
          <cell r="J521" t="str">
            <v>-</v>
          </cell>
          <cell r="K521" t="str">
            <v>-</v>
          </cell>
          <cell r="L521" t="str">
            <v>-</v>
          </cell>
          <cell r="M521" t="str">
            <v>-</v>
          </cell>
          <cell r="N521" t="str">
            <v>No</v>
          </cell>
        </row>
        <row r="522">
          <cell r="F522">
            <v>29</v>
          </cell>
          <cell r="J522" t="str">
            <v>-</v>
          </cell>
          <cell r="K522" t="str">
            <v>-</v>
          </cell>
          <cell r="L522" t="str">
            <v>-</v>
          </cell>
          <cell r="M522" t="str">
            <v>-</v>
          </cell>
          <cell r="N522" t="str">
            <v>No</v>
          </cell>
        </row>
        <row r="523">
          <cell r="F523">
            <v>23</v>
          </cell>
          <cell r="J523" t="str">
            <v>-</v>
          </cell>
          <cell r="K523" t="str">
            <v>-</v>
          </cell>
          <cell r="L523" t="str">
            <v>-</v>
          </cell>
          <cell r="M523" t="str">
            <v>-</v>
          </cell>
          <cell r="N523" t="str">
            <v>No</v>
          </cell>
        </row>
        <row r="524">
          <cell r="F524">
            <v>19</v>
          </cell>
          <cell r="J524" t="str">
            <v>-</v>
          </cell>
          <cell r="K524" t="str">
            <v>-</v>
          </cell>
          <cell r="L524" t="str">
            <v>-</v>
          </cell>
          <cell r="M524" t="str">
            <v>-</v>
          </cell>
          <cell r="N524" t="str">
            <v>No</v>
          </cell>
        </row>
        <row r="525">
          <cell r="F525">
            <v>18</v>
          </cell>
          <cell r="J525" t="str">
            <v>-</v>
          </cell>
          <cell r="K525" t="str">
            <v>-</v>
          </cell>
          <cell r="L525" t="str">
            <v>-</v>
          </cell>
          <cell r="M525" t="str">
            <v>-</v>
          </cell>
          <cell r="N525" t="str">
            <v>No</v>
          </cell>
        </row>
        <row r="526">
          <cell r="F526">
            <v>18</v>
          </cell>
          <cell r="J526" t="str">
            <v>-</v>
          </cell>
          <cell r="K526" t="str">
            <v>-</v>
          </cell>
          <cell r="L526" t="str">
            <v>-</v>
          </cell>
          <cell r="M526" t="str">
            <v>-</v>
          </cell>
          <cell r="N526" t="str">
            <v>No</v>
          </cell>
        </row>
        <row r="527">
          <cell r="F527">
            <v>18</v>
          </cell>
          <cell r="J527" t="str">
            <v>-</v>
          </cell>
          <cell r="K527" t="str">
            <v>-</v>
          </cell>
          <cell r="L527" t="str">
            <v>-</v>
          </cell>
          <cell r="M527" t="str">
            <v>-</v>
          </cell>
          <cell r="N527" t="str">
            <v>No</v>
          </cell>
        </row>
        <row r="528">
          <cell r="F528">
            <v>20</v>
          </cell>
          <cell r="J528" t="str">
            <v>-</v>
          </cell>
          <cell r="K528" t="str">
            <v>-</v>
          </cell>
          <cell r="L528" t="str">
            <v>-</v>
          </cell>
          <cell r="M528" t="str">
            <v>-</v>
          </cell>
          <cell r="N528" t="str">
            <v>No</v>
          </cell>
        </row>
        <row r="529">
          <cell r="F529">
            <v>19</v>
          </cell>
          <cell r="J529" t="str">
            <v>INHIL</v>
          </cell>
          <cell r="K529" t="str">
            <v>-</v>
          </cell>
          <cell r="L529" t="str">
            <v>-</v>
          </cell>
          <cell r="M529" t="str">
            <v>-</v>
          </cell>
          <cell r="N529" t="str">
            <v>INHIL</v>
          </cell>
        </row>
        <row r="530">
          <cell r="F530">
            <v>19</v>
          </cell>
          <cell r="J530" t="str">
            <v>-</v>
          </cell>
          <cell r="K530" t="str">
            <v>-</v>
          </cell>
          <cell r="L530" t="str">
            <v>-</v>
          </cell>
          <cell r="M530" t="str">
            <v>-</v>
          </cell>
          <cell r="N530" t="str">
            <v>No</v>
          </cell>
        </row>
        <row r="531">
          <cell r="F531">
            <v>18</v>
          </cell>
          <cell r="J531" t="str">
            <v>-</v>
          </cell>
          <cell r="K531" t="str">
            <v>-</v>
          </cell>
          <cell r="L531" t="str">
            <v>-</v>
          </cell>
          <cell r="M531" t="str">
            <v>-</v>
          </cell>
          <cell r="N531" t="str">
            <v>No</v>
          </cell>
        </row>
        <row r="532">
          <cell r="F532">
            <v>19</v>
          </cell>
          <cell r="J532" t="str">
            <v>-</v>
          </cell>
          <cell r="K532" t="str">
            <v>-</v>
          </cell>
          <cell r="L532" t="str">
            <v>-</v>
          </cell>
          <cell r="M532" t="str">
            <v>-</v>
          </cell>
          <cell r="N532" t="str">
            <v>No</v>
          </cell>
        </row>
        <row r="533">
          <cell r="F533">
            <v>18</v>
          </cell>
          <cell r="J533" t="str">
            <v>-</v>
          </cell>
          <cell r="K533" t="str">
            <v>-</v>
          </cell>
          <cell r="L533" t="str">
            <v>INHIL</v>
          </cell>
          <cell r="M533" t="str">
            <v>-</v>
          </cell>
          <cell r="N533" t="str">
            <v>INHIL</v>
          </cell>
        </row>
        <row r="534">
          <cell r="F534">
            <v>22</v>
          </cell>
          <cell r="J534" t="str">
            <v>-</v>
          </cell>
          <cell r="K534" t="str">
            <v>-</v>
          </cell>
          <cell r="L534" t="str">
            <v>-</v>
          </cell>
          <cell r="M534" t="str">
            <v>-</v>
          </cell>
          <cell r="N534" t="str">
            <v>No</v>
          </cell>
        </row>
        <row r="535">
          <cell r="F535">
            <v>26</v>
          </cell>
          <cell r="J535" t="str">
            <v>-</v>
          </cell>
          <cell r="K535" t="str">
            <v>-</v>
          </cell>
          <cell r="L535" t="str">
            <v>-</v>
          </cell>
          <cell r="M535" t="str">
            <v>-</v>
          </cell>
          <cell r="N535" t="str">
            <v>No</v>
          </cell>
        </row>
        <row r="536">
          <cell r="F536">
            <v>23</v>
          </cell>
          <cell r="J536" t="str">
            <v>-</v>
          </cell>
          <cell r="K536" t="str">
            <v>-</v>
          </cell>
          <cell r="L536" t="str">
            <v>-</v>
          </cell>
          <cell r="M536" t="str">
            <v>-</v>
          </cell>
          <cell r="N536" t="str">
            <v>No</v>
          </cell>
        </row>
        <row r="537">
          <cell r="F537">
            <v>24</v>
          </cell>
          <cell r="J537" t="str">
            <v>-</v>
          </cell>
          <cell r="K537" t="str">
            <v>-</v>
          </cell>
          <cell r="L537" t="str">
            <v>-</v>
          </cell>
          <cell r="M537" t="str">
            <v>-</v>
          </cell>
          <cell r="N537" t="str">
            <v>No</v>
          </cell>
        </row>
      </sheetData>
      <sheetData sheetId="34" refreshError="1">
        <row r="3">
          <cell r="F3" t="str">
            <v>THN</v>
          </cell>
        </row>
        <row r="4">
          <cell r="F4">
            <v>43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F5">
            <v>36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No</v>
          </cell>
        </row>
        <row r="6">
          <cell r="F6">
            <v>32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INHIL</v>
          </cell>
        </row>
        <row r="7">
          <cell r="F7">
            <v>32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INHIL</v>
          </cell>
        </row>
        <row r="8">
          <cell r="F8">
            <v>38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INHIL</v>
          </cell>
        </row>
        <row r="9">
          <cell r="F9">
            <v>49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27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No</v>
          </cell>
        </row>
        <row r="11">
          <cell r="F11">
            <v>29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34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INHIL</v>
          </cell>
        </row>
        <row r="13">
          <cell r="F13">
            <v>30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30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INHIL</v>
          </cell>
        </row>
        <row r="15">
          <cell r="F15">
            <v>30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INHIL</v>
          </cell>
        </row>
        <row r="16">
          <cell r="F16">
            <v>28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INHIL</v>
          </cell>
        </row>
        <row r="17">
          <cell r="F17">
            <v>30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INHIL</v>
          </cell>
        </row>
        <row r="18">
          <cell r="F18">
            <v>29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INHIL</v>
          </cell>
        </row>
        <row r="19">
          <cell r="F19">
            <v>27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INHIL</v>
          </cell>
        </row>
        <row r="20">
          <cell r="F20">
            <v>31</v>
          </cell>
          <cell r="J20" t="str">
            <v>-</v>
          </cell>
          <cell r="K20" t="str">
            <v>-</v>
          </cell>
          <cell r="L20" t="str">
            <v>-</v>
          </cell>
          <cell r="M20" t="str">
            <v>-</v>
          </cell>
          <cell r="N20" t="str">
            <v>INHIL</v>
          </cell>
        </row>
        <row r="21">
          <cell r="F21">
            <v>97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INHIL</v>
          </cell>
        </row>
        <row r="22">
          <cell r="F22">
            <v>29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INHIL</v>
          </cell>
        </row>
        <row r="23">
          <cell r="F23">
            <v>28</v>
          </cell>
          <cell r="J23" t="str">
            <v>INHIL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INHIL</v>
          </cell>
        </row>
        <row r="24">
          <cell r="F24">
            <v>22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INHIL</v>
          </cell>
        </row>
        <row r="25">
          <cell r="F25">
            <v>30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INHIL</v>
          </cell>
        </row>
        <row r="26">
          <cell r="F26">
            <v>36</v>
          </cell>
          <cell r="J26" t="str">
            <v>-</v>
          </cell>
          <cell r="K26" t="str">
            <v>-</v>
          </cell>
          <cell r="L26" t="str">
            <v>-</v>
          </cell>
          <cell r="M26" t="str">
            <v>-</v>
          </cell>
          <cell r="N26" t="str">
            <v>INHIL</v>
          </cell>
        </row>
        <row r="27">
          <cell r="F27">
            <v>31</v>
          </cell>
          <cell r="J27" t="str">
            <v>-</v>
          </cell>
          <cell r="K27" t="str">
            <v>-</v>
          </cell>
          <cell r="L27" t="str">
            <v>-</v>
          </cell>
          <cell r="M27" t="str">
            <v>-</v>
          </cell>
          <cell r="N27" t="str">
            <v>INHIL</v>
          </cell>
        </row>
        <row r="28">
          <cell r="F28">
            <v>22</v>
          </cell>
          <cell r="J28" t="str">
            <v>-</v>
          </cell>
          <cell r="K28" t="str">
            <v>-</v>
          </cell>
          <cell r="L28" t="str">
            <v>-</v>
          </cell>
          <cell r="M28" t="str">
            <v>-</v>
          </cell>
          <cell r="N28" t="str">
            <v>INHIL</v>
          </cell>
        </row>
        <row r="29">
          <cell r="F29">
            <v>24</v>
          </cell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N29" t="str">
            <v>INHIL</v>
          </cell>
        </row>
        <row r="30">
          <cell r="F30">
            <v>23</v>
          </cell>
          <cell r="J30" t="str">
            <v>-</v>
          </cell>
          <cell r="K30" t="str">
            <v>-</v>
          </cell>
          <cell r="L30" t="str">
            <v>-</v>
          </cell>
          <cell r="M30" t="str">
            <v>-</v>
          </cell>
          <cell r="N30" t="str">
            <v>INHIL</v>
          </cell>
        </row>
        <row r="31">
          <cell r="F31">
            <v>31</v>
          </cell>
          <cell r="J31" t="str">
            <v>INHIL</v>
          </cell>
          <cell r="K31" t="str">
            <v>-</v>
          </cell>
          <cell r="L31" t="str">
            <v>-</v>
          </cell>
          <cell r="M31" t="str">
            <v>-</v>
          </cell>
          <cell r="N31" t="str">
            <v>INHIL</v>
          </cell>
        </row>
        <row r="32">
          <cell r="F32">
            <v>23</v>
          </cell>
          <cell r="J32" t="str">
            <v>INHIL</v>
          </cell>
          <cell r="K32" t="str">
            <v>-</v>
          </cell>
          <cell r="L32" t="str">
            <v>-</v>
          </cell>
          <cell r="M32" t="str">
            <v>-</v>
          </cell>
          <cell r="N32" t="str">
            <v>INHIL</v>
          </cell>
        </row>
        <row r="33">
          <cell r="F33">
            <v>23</v>
          </cell>
          <cell r="J33" t="str">
            <v>-</v>
          </cell>
          <cell r="K33" t="str">
            <v>-</v>
          </cell>
          <cell r="L33" t="str">
            <v>-</v>
          </cell>
          <cell r="M33" t="str">
            <v>-</v>
          </cell>
          <cell r="N33" t="str">
            <v>No</v>
          </cell>
        </row>
        <row r="34">
          <cell r="F34">
            <v>27</v>
          </cell>
          <cell r="J34" t="str">
            <v>-</v>
          </cell>
          <cell r="K34" t="str">
            <v>-</v>
          </cell>
          <cell r="L34" t="str">
            <v>-</v>
          </cell>
          <cell r="M34" t="str">
            <v>-</v>
          </cell>
          <cell r="N34" t="str">
            <v>INHIL</v>
          </cell>
        </row>
        <row r="35">
          <cell r="F35">
            <v>21</v>
          </cell>
          <cell r="J35" t="str">
            <v>-</v>
          </cell>
          <cell r="K35" t="str">
            <v>-</v>
          </cell>
          <cell r="L35" t="str">
            <v>-</v>
          </cell>
          <cell r="M35" t="str">
            <v>-</v>
          </cell>
          <cell r="N35" t="str">
            <v>No</v>
          </cell>
        </row>
        <row r="36">
          <cell r="F36">
            <v>30</v>
          </cell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 t="str">
            <v>INHIL</v>
          </cell>
        </row>
        <row r="37">
          <cell r="F37">
            <v>26</v>
          </cell>
          <cell r="J37" t="str">
            <v>-</v>
          </cell>
          <cell r="K37" t="str">
            <v>-</v>
          </cell>
          <cell r="L37" t="str">
            <v>-</v>
          </cell>
          <cell r="M37" t="str">
            <v>-</v>
          </cell>
          <cell r="N37" t="str">
            <v>INHIL</v>
          </cell>
        </row>
        <row r="38">
          <cell r="F38">
            <v>26</v>
          </cell>
          <cell r="J38" t="str">
            <v>-</v>
          </cell>
          <cell r="K38" t="str">
            <v>-</v>
          </cell>
          <cell r="L38" t="str">
            <v>-</v>
          </cell>
          <cell r="M38" t="str">
            <v>-</v>
          </cell>
          <cell r="N38" t="str">
            <v>INHIL</v>
          </cell>
        </row>
        <row r="39">
          <cell r="F39">
            <v>26</v>
          </cell>
          <cell r="J39" t="str">
            <v>-</v>
          </cell>
          <cell r="K39" t="str">
            <v>-</v>
          </cell>
          <cell r="L39" t="str">
            <v>-</v>
          </cell>
          <cell r="M39" t="str">
            <v>-</v>
          </cell>
          <cell r="N39" t="str">
            <v>INHIL</v>
          </cell>
        </row>
        <row r="40">
          <cell r="F40">
            <v>22</v>
          </cell>
          <cell r="J40" t="str">
            <v>-</v>
          </cell>
          <cell r="K40" t="str">
            <v>-</v>
          </cell>
          <cell r="L40" t="str">
            <v>-</v>
          </cell>
          <cell r="M40" t="str">
            <v>-</v>
          </cell>
          <cell r="N40" t="str">
            <v>INHIL</v>
          </cell>
        </row>
        <row r="41">
          <cell r="F41">
            <v>24</v>
          </cell>
          <cell r="J41" t="str">
            <v>-</v>
          </cell>
          <cell r="K41" t="str">
            <v>INHIL</v>
          </cell>
          <cell r="L41" t="str">
            <v>-</v>
          </cell>
          <cell r="M41" t="str">
            <v>-</v>
          </cell>
          <cell r="N41" t="str">
            <v>INHIL</v>
          </cell>
        </row>
        <row r="42">
          <cell r="F42">
            <v>26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No</v>
          </cell>
        </row>
        <row r="43">
          <cell r="F43">
            <v>36</v>
          </cell>
          <cell r="J43" t="str">
            <v>-</v>
          </cell>
          <cell r="K43" t="str">
            <v>-</v>
          </cell>
          <cell r="L43" t="str">
            <v>-</v>
          </cell>
          <cell r="M43" t="str">
            <v>-</v>
          </cell>
          <cell r="N43" t="str">
            <v>INHIL</v>
          </cell>
        </row>
        <row r="44">
          <cell r="F44">
            <v>24</v>
          </cell>
          <cell r="J44" t="str">
            <v>-</v>
          </cell>
          <cell r="K44" t="str">
            <v>-</v>
          </cell>
          <cell r="L44" t="str">
            <v>-</v>
          </cell>
          <cell r="M44" t="str">
            <v>-</v>
          </cell>
          <cell r="N44" t="str">
            <v>No</v>
          </cell>
        </row>
        <row r="45">
          <cell r="F45">
            <v>23</v>
          </cell>
          <cell r="J45" t="str">
            <v>-</v>
          </cell>
          <cell r="K45" t="str">
            <v>-</v>
          </cell>
          <cell r="L45" t="str">
            <v>-</v>
          </cell>
          <cell r="M45" t="str">
            <v>-</v>
          </cell>
          <cell r="N45" t="str">
            <v>No</v>
          </cell>
        </row>
        <row r="46">
          <cell r="F46">
            <v>22</v>
          </cell>
          <cell r="J46" t="str">
            <v>-</v>
          </cell>
          <cell r="K46" t="str">
            <v>-</v>
          </cell>
          <cell r="L46" t="str">
            <v>-</v>
          </cell>
          <cell r="M46" t="str">
            <v>-</v>
          </cell>
          <cell r="N46" t="str">
            <v>No</v>
          </cell>
        </row>
        <row r="47">
          <cell r="F47">
            <v>20</v>
          </cell>
          <cell r="J47" t="str">
            <v>-</v>
          </cell>
          <cell r="K47" t="str">
            <v>-</v>
          </cell>
          <cell r="L47" t="str">
            <v>-</v>
          </cell>
          <cell r="M47" t="str">
            <v>-</v>
          </cell>
          <cell r="N47" t="str">
            <v>No</v>
          </cell>
        </row>
        <row r="48">
          <cell r="F48">
            <v>22</v>
          </cell>
          <cell r="J48" t="str">
            <v>-</v>
          </cell>
          <cell r="K48" t="str">
            <v>-</v>
          </cell>
          <cell r="L48" t="str">
            <v>-</v>
          </cell>
          <cell r="M48" t="str">
            <v>-</v>
          </cell>
          <cell r="N48" t="str">
            <v>No</v>
          </cell>
        </row>
        <row r="49">
          <cell r="F49">
            <v>23</v>
          </cell>
          <cell r="J49" t="str">
            <v>-</v>
          </cell>
          <cell r="K49" t="str">
            <v>-</v>
          </cell>
          <cell r="L49" t="str">
            <v>-</v>
          </cell>
          <cell r="M49" t="str">
            <v>-</v>
          </cell>
          <cell r="N49" t="str">
            <v>INHIL</v>
          </cell>
        </row>
        <row r="50">
          <cell r="F50">
            <v>20</v>
          </cell>
          <cell r="J50" t="str">
            <v>-</v>
          </cell>
          <cell r="K50" t="str">
            <v>-</v>
          </cell>
          <cell r="L50" t="str">
            <v>-</v>
          </cell>
          <cell r="M50" t="str">
            <v>-</v>
          </cell>
          <cell r="N50" t="str">
            <v>No</v>
          </cell>
        </row>
        <row r="51">
          <cell r="F51">
            <v>19</v>
          </cell>
          <cell r="J51" t="str">
            <v>-</v>
          </cell>
          <cell r="K51" t="str">
            <v>-</v>
          </cell>
          <cell r="L51" t="str">
            <v>INHIL</v>
          </cell>
          <cell r="M51" t="str">
            <v>-</v>
          </cell>
          <cell r="N51" t="str">
            <v>INHIL</v>
          </cell>
        </row>
        <row r="52">
          <cell r="F52">
            <v>23</v>
          </cell>
          <cell r="J52" t="str">
            <v>-</v>
          </cell>
          <cell r="K52" t="str">
            <v>-</v>
          </cell>
          <cell r="L52" t="str">
            <v>INHIL</v>
          </cell>
          <cell r="M52" t="str">
            <v>-</v>
          </cell>
          <cell r="N52" t="str">
            <v>INHIL</v>
          </cell>
        </row>
        <row r="53">
          <cell r="F53">
            <v>25</v>
          </cell>
          <cell r="J53" t="str">
            <v>INHIL</v>
          </cell>
          <cell r="K53" t="str">
            <v>-</v>
          </cell>
          <cell r="L53" t="str">
            <v>-</v>
          </cell>
          <cell r="M53" t="str">
            <v>-</v>
          </cell>
          <cell r="N53" t="str">
            <v>INHIL</v>
          </cell>
        </row>
        <row r="54">
          <cell r="F54">
            <v>24</v>
          </cell>
          <cell r="J54" t="str">
            <v>-</v>
          </cell>
          <cell r="K54" t="str">
            <v>-</v>
          </cell>
          <cell r="L54" t="str">
            <v>-</v>
          </cell>
          <cell r="M54" t="str">
            <v>-</v>
          </cell>
          <cell r="N54" t="str">
            <v>INHIL</v>
          </cell>
        </row>
        <row r="55">
          <cell r="F55">
            <v>29</v>
          </cell>
          <cell r="J55" t="str">
            <v>-</v>
          </cell>
          <cell r="K55" t="str">
            <v>-</v>
          </cell>
          <cell r="L55" t="str">
            <v>-</v>
          </cell>
          <cell r="M55" t="str">
            <v>-</v>
          </cell>
          <cell r="N55" t="str">
            <v>No</v>
          </cell>
        </row>
        <row r="56">
          <cell r="F56">
            <v>25</v>
          </cell>
          <cell r="J56" t="str">
            <v>-</v>
          </cell>
          <cell r="K56" t="str">
            <v>-</v>
          </cell>
          <cell r="L56" t="str">
            <v>-</v>
          </cell>
          <cell r="M56" t="str">
            <v>-</v>
          </cell>
          <cell r="N56" t="str">
            <v>INHIL</v>
          </cell>
        </row>
        <row r="57">
          <cell r="F57">
            <v>26</v>
          </cell>
          <cell r="J57" t="str">
            <v>-</v>
          </cell>
          <cell r="K57" t="str">
            <v>-</v>
          </cell>
          <cell r="L57" t="str">
            <v>-</v>
          </cell>
          <cell r="M57" t="str">
            <v>-</v>
          </cell>
          <cell r="N57" t="str">
            <v>INHIL</v>
          </cell>
        </row>
        <row r="58">
          <cell r="F58">
            <v>32</v>
          </cell>
          <cell r="J58" t="str">
            <v>-</v>
          </cell>
          <cell r="K58" t="str">
            <v>-</v>
          </cell>
          <cell r="L58" t="str">
            <v>-</v>
          </cell>
          <cell r="M58" t="str">
            <v>-</v>
          </cell>
          <cell r="N58" t="str">
            <v>INHIL</v>
          </cell>
        </row>
        <row r="59">
          <cell r="F59">
            <v>24</v>
          </cell>
          <cell r="J59" t="str">
            <v>INHIL</v>
          </cell>
          <cell r="K59" t="str">
            <v>-</v>
          </cell>
          <cell r="L59" t="str">
            <v>-</v>
          </cell>
          <cell r="M59" t="str">
            <v>-</v>
          </cell>
          <cell r="N59" t="str">
            <v>INHIL</v>
          </cell>
        </row>
        <row r="60">
          <cell r="F60">
            <v>19</v>
          </cell>
          <cell r="J60" t="str">
            <v>-</v>
          </cell>
          <cell r="K60" t="str">
            <v>-</v>
          </cell>
          <cell r="L60" t="str">
            <v>-</v>
          </cell>
          <cell r="M60" t="str">
            <v>-</v>
          </cell>
          <cell r="N60" t="str">
            <v>No</v>
          </cell>
        </row>
        <row r="61">
          <cell r="F61">
            <v>18</v>
          </cell>
          <cell r="J61" t="str">
            <v>-</v>
          </cell>
          <cell r="K61" t="str">
            <v>-</v>
          </cell>
          <cell r="L61" t="str">
            <v>-</v>
          </cell>
          <cell r="M61" t="str">
            <v>-</v>
          </cell>
          <cell r="N61" t="str">
            <v>No</v>
          </cell>
        </row>
        <row r="62">
          <cell r="F62">
            <v>23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No</v>
          </cell>
        </row>
        <row r="63">
          <cell r="F63">
            <v>24</v>
          </cell>
          <cell r="J63" t="str">
            <v>-</v>
          </cell>
          <cell r="K63" t="str">
            <v>-</v>
          </cell>
          <cell r="L63" t="str">
            <v>-</v>
          </cell>
          <cell r="M63" t="str">
            <v>-</v>
          </cell>
          <cell r="N63" t="str">
            <v>No</v>
          </cell>
        </row>
        <row r="64">
          <cell r="F64">
            <v>23</v>
          </cell>
          <cell r="J64" t="str">
            <v>-</v>
          </cell>
          <cell r="K64" t="str">
            <v>-</v>
          </cell>
          <cell r="L64" t="str">
            <v>-</v>
          </cell>
          <cell r="M64" t="str">
            <v>-</v>
          </cell>
          <cell r="N64" t="str">
            <v>No</v>
          </cell>
        </row>
        <row r="65">
          <cell r="F65">
            <v>37</v>
          </cell>
          <cell r="J65" t="str">
            <v>-</v>
          </cell>
          <cell r="K65" t="str">
            <v>-</v>
          </cell>
          <cell r="L65" t="str">
            <v>-</v>
          </cell>
          <cell r="M65" t="str">
            <v>-</v>
          </cell>
          <cell r="N65" t="str">
            <v>INHIL</v>
          </cell>
        </row>
        <row r="66">
          <cell r="F66">
            <v>30</v>
          </cell>
          <cell r="J66" t="str">
            <v>-</v>
          </cell>
          <cell r="K66" t="str">
            <v>-</v>
          </cell>
          <cell r="L66" t="str">
            <v>-</v>
          </cell>
          <cell r="M66" t="str">
            <v>-</v>
          </cell>
          <cell r="N66" t="str">
            <v>No</v>
          </cell>
        </row>
        <row r="67">
          <cell r="F67">
            <v>25</v>
          </cell>
          <cell r="J67" t="str">
            <v>-</v>
          </cell>
          <cell r="K67" t="str">
            <v>-</v>
          </cell>
          <cell r="L67" t="str">
            <v>-</v>
          </cell>
          <cell r="M67" t="str">
            <v>-</v>
          </cell>
          <cell r="N67" t="str">
            <v>INHIL</v>
          </cell>
        </row>
        <row r="68">
          <cell r="F68">
            <v>38</v>
          </cell>
          <cell r="J68" t="str">
            <v>-</v>
          </cell>
          <cell r="K68" t="str">
            <v>-</v>
          </cell>
          <cell r="L68" t="str">
            <v>-</v>
          </cell>
          <cell r="M68" t="str">
            <v>-</v>
          </cell>
          <cell r="N68" t="str">
            <v>No</v>
          </cell>
        </row>
        <row r="69">
          <cell r="F69">
            <v>33</v>
          </cell>
          <cell r="J69" t="str">
            <v>-</v>
          </cell>
          <cell r="K69" t="str">
            <v>-</v>
          </cell>
          <cell r="L69" t="str">
            <v>-</v>
          </cell>
          <cell r="M69" t="str">
            <v>-</v>
          </cell>
          <cell r="N69" t="str">
            <v>INHIL</v>
          </cell>
        </row>
        <row r="70">
          <cell r="F70">
            <v>31</v>
          </cell>
          <cell r="J70" t="str">
            <v>-</v>
          </cell>
          <cell r="K70" t="str">
            <v>-</v>
          </cell>
          <cell r="L70" t="str">
            <v>-</v>
          </cell>
          <cell r="M70" t="str">
            <v>-</v>
          </cell>
          <cell r="N70" t="str">
            <v>INHIL</v>
          </cell>
        </row>
        <row r="71">
          <cell r="F71">
            <v>33</v>
          </cell>
          <cell r="J71" t="str">
            <v>-</v>
          </cell>
          <cell r="K71" t="str">
            <v>-</v>
          </cell>
          <cell r="L71" t="str">
            <v>-</v>
          </cell>
          <cell r="M71" t="str">
            <v>-</v>
          </cell>
          <cell r="N71" t="str">
            <v>INHIL</v>
          </cell>
        </row>
        <row r="72">
          <cell r="F72">
            <v>30</v>
          </cell>
          <cell r="J72" t="str">
            <v>-</v>
          </cell>
          <cell r="K72" t="str">
            <v>INHIL</v>
          </cell>
          <cell r="L72" t="str">
            <v>-</v>
          </cell>
          <cell r="M72" t="str">
            <v>-</v>
          </cell>
          <cell r="N72" t="str">
            <v>INHIL</v>
          </cell>
        </row>
        <row r="73">
          <cell r="F73">
            <v>25</v>
          </cell>
          <cell r="J73" t="str">
            <v>-</v>
          </cell>
          <cell r="K73" t="str">
            <v>-</v>
          </cell>
          <cell r="L73" t="str">
            <v>-</v>
          </cell>
          <cell r="M73" t="str">
            <v>-</v>
          </cell>
          <cell r="N73" t="str">
            <v>No</v>
          </cell>
        </row>
        <row r="74">
          <cell r="F74">
            <v>21</v>
          </cell>
          <cell r="J74" t="str">
            <v>-</v>
          </cell>
          <cell r="K74" t="str">
            <v>-</v>
          </cell>
          <cell r="L74" t="str">
            <v>-</v>
          </cell>
          <cell r="M74" t="str">
            <v>-</v>
          </cell>
          <cell r="N74" t="str">
            <v>No</v>
          </cell>
        </row>
        <row r="75">
          <cell r="F75">
            <v>21</v>
          </cell>
          <cell r="J75" t="str">
            <v>-</v>
          </cell>
          <cell r="K75" t="str">
            <v>-</v>
          </cell>
          <cell r="L75" t="str">
            <v>-</v>
          </cell>
          <cell r="M75" t="str">
            <v>-</v>
          </cell>
          <cell r="N75" t="str">
            <v>No</v>
          </cell>
        </row>
        <row r="76">
          <cell r="F76">
            <v>32</v>
          </cell>
          <cell r="J76" t="str">
            <v>-</v>
          </cell>
          <cell r="K76" t="str">
            <v>-</v>
          </cell>
          <cell r="L76" t="str">
            <v>-</v>
          </cell>
          <cell r="M76" t="str">
            <v>-</v>
          </cell>
          <cell r="N76" t="str">
            <v>INHIL</v>
          </cell>
        </row>
        <row r="77">
          <cell r="F77">
            <v>24</v>
          </cell>
          <cell r="J77" t="str">
            <v>-</v>
          </cell>
          <cell r="K77" t="str">
            <v>-</v>
          </cell>
          <cell r="L77" t="str">
            <v>-</v>
          </cell>
          <cell r="M77" t="str">
            <v>-</v>
          </cell>
          <cell r="N77" t="str">
            <v>No</v>
          </cell>
        </row>
        <row r="78">
          <cell r="F78">
            <v>23</v>
          </cell>
          <cell r="J78" t="str">
            <v>INHIL</v>
          </cell>
          <cell r="K78" t="str">
            <v>-</v>
          </cell>
          <cell r="L78" t="str">
            <v>-</v>
          </cell>
          <cell r="M78" t="str">
            <v>-</v>
          </cell>
          <cell r="N78" t="str">
            <v>INHIL</v>
          </cell>
        </row>
        <row r="79">
          <cell r="F79">
            <v>24</v>
          </cell>
          <cell r="J79" t="str">
            <v>-</v>
          </cell>
          <cell r="K79" t="str">
            <v>-</v>
          </cell>
          <cell r="L79" t="str">
            <v>-</v>
          </cell>
          <cell r="M79" t="str">
            <v>-</v>
          </cell>
          <cell r="N79" t="str">
            <v>No</v>
          </cell>
        </row>
        <row r="80">
          <cell r="F80">
            <v>25</v>
          </cell>
          <cell r="J80" t="str">
            <v>-</v>
          </cell>
          <cell r="K80" t="str">
            <v>-</v>
          </cell>
          <cell r="L80" t="str">
            <v>-</v>
          </cell>
          <cell r="M80" t="str">
            <v>-</v>
          </cell>
          <cell r="N80" t="str">
            <v>INHIL</v>
          </cell>
        </row>
        <row r="81">
          <cell r="F81">
            <v>21</v>
          </cell>
          <cell r="J81" t="str">
            <v>-</v>
          </cell>
          <cell r="K81" t="str">
            <v>-</v>
          </cell>
          <cell r="L81" t="str">
            <v>-</v>
          </cell>
          <cell r="M81" t="str">
            <v>-</v>
          </cell>
          <cell r="N81" t="str">
            <v>INHIL</v>
          </cell>
        </row>
        <row r="82">
          <cell r="F82">
            <v>25</v>
          </cell>
          <cell r="J82" t="str">
            <v>-</v>
          </cell>
          <cell r="K82" t="str">
            <v>-</v>
          </cell>
          <cell r="L82" t="str">
            <v>-</v>
          </cell>
          <cell r="M82" t="str">
            <v>-</v>
          </cell>
          <cell r="N82" t="str">
            <v>INHIL</v>
          </cell>
        </row>
        <row r="83">
          <cell r="F83">
            <v>22</v>
          </cell>
          <cell r="J83" t="str">
            <v>-</v>
          </cell>
          <cell r="K83" t="str">
            <v>-</v>
          </cell>
          <cell r="L83" t="str">
            <v>-</v>
          </cell>
          <cell r="M83" t="str">
            <v>-</v>
          </cell>
          <cell r="N83" t="str">
            <v>No</v>
          </cell>
        </row>
        <row r="84">
          <cell r="F84">
            <v>22</v>
          </cell>
          <cell r="J84" t="str">
            <v>INHIL</v>
          </cell>
          <cell r="K84" t="str">
            <v>-</v>
          </cell>
          <cell r="L84" t="str">
            <v>-</v>
          </cell>
          <cell r="M84" t="str">
            <v>-</v>
          </cell>
          <cell r="N84" t="str">
            <v>INHIL</v>
          </cell>
        </row>
        <row r="85">
          <cell r="F85">
            <v>27</v>
          </cell>
          <cell r="J85" t="str">
            <v>-</v>
          </cell>
          <cell r="K85" t="str">
            <v>-</v>
          </cell>
          <cell r="L85" t="str">
            <v>-</v>
          </cell>
          <cell r="M85" t="str">
            <v>-</v>
          </cell>
          <cell r="N85" t="str">
            <v>No</v>
          </cell>
        </row>
        <row r="86">
          <cell r="F86">
            <v>25</v>
          </cell>
          <cell r="J86" t="str">
            <v>INHIL</v>
          </cell>
          <cell r="K86" t="str">
            <v>-</v>
          </cell>
          <cell r="L86" t="str">
            <v>-</v>
          </cell>
          <cell r="M86" t="str">
            <v>-</v>
          </cell>
          <cell r="N86" t="str">
            <v>INHIL</v>
          </cell>
        </row>
        <row r="87">
          <cell r="F87">
            <v>20</v>
          </cell>
          <cell r="J87" t="str">
            <v>-</v>
          </cell>
          <cell r="K87" t="str">
            <v>-</v>
          </cell>
          <cell r="L87" t="str">
            <v>-</v>
          </cell>
          <cell r="M87" t="str">
            <v>-</v>
          </cell>
          <cell r="N87" t="str">
            <v>No</v>
          </cell>
        </row>
        <row r="88">
          <cell r="F88">
            <v>23</v>
          </cell>
          <cell r="J88" t="str">
            <v>-</v>
          </cell>
          <cell r="K88" t="str">
            <v>-</v>
          </cell>
          <cell r="L88" t="str">
            <v>-</v>
          </cell>
          <cell r="M88" t="str">
            <v>-</v>
          </cell>
          <cell r="N88" t="str">
            <v>No</v>
          </cell>
        </row>
        <row r="89">
          <cell r="F89">
            <v>23</v>
          </cell>
          <cell r="J89" t="str">
            <v>-</v>
          </cell>
          <cell r="K89" t="str">
            <v>-</v>
          </cell>
          <cell r="L89" t="str">
            <v>-</v>
          </cell>
          <cell r="M89" t="str">
            <v>-</v>
          </cell>
          <cell r="N89" t="str">
            <v>No</v>
          </cell>
        </row>
        <row r="90">
          <cell r="F90">
            <v>20</v>
          </cell>
          <cell r="J90" t="str">
            <v>-</v>
          </cell>
          <cell r="K90" t="str">
            <v>-</v>
          </cell>
          <cell r="L90" t="str">
            <v>-</v>
          </cell>
          <cell r="M90" t="str">
            <v>-</v>
          </cell>
          <cell r="N90" t="str">
            <v>No</v>
          </cell>
        </row>
        <row r="91">
          <cell r="F91">
            <v>20</v>
          </cell>
          <cell r="J91" t="str">
            <v>-</v>
          </cell>
          <cell r="K91" t="str">
            <v>-</v>
          </cell>
          <cell r="L91" t="str">
            <v>-</v>
          </cell>
          <cell r="M91" t="str">
            <v>-</v>
          </cell>
          <cell r="N91" t="str">
            <v>No</v>
          </cell>
        </row>
        <row r="92">
          <cell r="F92">
            <v>23</v>
          </cell>
          <cell r="J92" t="str">
            <v>-</v>
          </cell>
          <cell r="K92" t="str">
            <v>-</v>
          </cell>
          <cell r="L92" t="str">
            <v>-</v>
          </cell>
          <cell r="M92" t="str">
            <v>-</v>
          </cell>
          <cell r="N92" t="str">
            <v>No</v>
          </cell>
        </row>
        <row r="93">
          <cell r="F93">
            <v>28</v>
          </cell>
          <cell r="J93" t="str">
            <v>-</v>
          </cell>
          <cell r="K93" t="str">
            <v>-</v>
          </cell>
          <cell r="L93" t="str">
            <v>-</v>
          </cell>
          <cell r="M93" t="str">
            <v>-</v>
          </cell>
          <cell r="N93" t="str">
            <v>INHIL</v>
          </cell>
        </row>
        <row r="94">
          <cell r="F94">
            <v>23</v>
          </cell>
          <cell r="J94" t="str">
            <v>-</v>
          </cell>
          <cell r="K94" t="str">
            <v>-</v>
          </cell>
          <cell r="L94" t="str">
            <v>-</v>
          </cell>
          <cell r="M94" t="str">
            <v>-</v>
          </cell>
          <cell r="N94" t="str">
            <v>No</v>
          </cell>
        </row>
        <row r="95">
          <cell r="F95">
            <v>24</v>
          </cell>
          <cell r="J95" t="str">
            <v>-</v>
          </cell>
          <cell r="K95" t="str">
            <v>-</v>
          </cell>
          <cell r="L95" t="str">
            <v>-</v>
          </cell>
          <cell r="M95" t="str">
            <v>-</v>
          </cell>
          <cell r="N95" t="str">
            <v>INHIL</v>
          </cell>
        </row>
        <row r="96">
          <cell r="F96">
            <v>24</v>
          </cell>
          <cell r="J96" t="str">
            <v>-</v>
          </cell>
          <cell r="K96" t="str">
            <v>-</v>
          </cell>
          <cell r="L96" t="str">
            <v>-</v>
          </cell>
          <cell r="M96" t="str">
            <v>-</v>
          </cell>
          <cell r="N96" t="str">
            <v>No</v>
          </cell>
        </row>
        <row r="97">
          <cell r="F97">
            <v>24</v>
          </cell>
          <cell r="J97" t="str">
            <v>-</v>
          </cell>
          <cell r="K97" t="str">
            <v>-</v>
          </cell>
          <cell r="L97" t="str">
            <v>-</v>
          </cell>
          <cell r="M97" t="str">
            <v>-</v>
          </cell>
          <cell r="N97" t="str">
            <v>INHIL</v>
          </cell>
        </row>
        <row r="98">
          <cell r="F98">
            <v>27</v>
          </cell>
          <cell r="J98" t="str">
            <v>-</v>
          </cell>
          <cell r="K98" t="str">
            <v>-</v>
          </cell>
          <cell r="L98" t="str">
            <v>-</v>
          </cell>
          <cell r="M98" t="str">
            <v>-</v>
          </cell>
          <cell r="N98" t="str">
            <v>INHIL</v>
          </cell>
        </row>
        <row r="99">
          <cell r="F99">
            <v>24</v>
          </cell>
          <cell r="J99" t="str">
            <v>-</v>
          </cell>
          <cell r="K99" t="str">
            <v>-</v>
          </cell>
          <cell r="L99" t="str">
            <v>-</v>
          </cell>
          <cell r="M99" t="str">
            <v>-</v>
          </cell>
          <cell r="N99" t="str">
            <v>INHIL</v>
          </cell>
        </row>
        <row r="100">
          <cell r="F100">
            <v>23</v>
          </cell>
          <cell r="J100" t="str">
            <v>-</v>
          </cell>
          <cell r="K100" t="str">
            <v>-</v>
          </cell>
          <cell r="L100" t="str">
            <v>-</v>
          </cell>
          <cell r="M100" t="str">
            <v>-</v>
          </cell>
          <cell r="N100" t="str">
            <v>INHIL</v>
          </cell>
        </row>
        <row r="101">
          <cell r="F101">
            <v>28</v>
          </cell>
          <cell r="J101" t="str">
            <v>INHIL</v>
          </cell>
          <cell r="K101" t="str">
            <v>-</v>
          </cell>
          <cell r="L101" t="str">
            <v>-</v>
          </cell>
          <cell r="M101" t="str">
            <v>-</v>
          </cell>
          <cell r="N101" t="str">
            <v>INHIL</v>
          </cell>
        </row>
        <row r="102">
          <cell r="F102">
            <v>20</v>
          </cell>
          <cell r="J102" t="str">
            <v>-</v>
          </cell>
          <cell r="K102" t="str">
            <v>-</v>
          </cell>
          <cell r="L102" t="str">
            <v>-</v>
          </cell>
          <cell r="M102" t="str">
            <v>-</v>
          </cell>
          <cell r="N102" t="str">
            <v>INHIL</v>
          </cell>
        </row>
        <row r="103">
          <cell r="F103">
            <v>22</v>
          </cell>
          <cell r="J103" t="str">
            <v>INHIL</v>
          </cell>
          <cell r="K103" t="str">
            <v>-</v>
          </cell>
          <cell r="L103" t="str">
            <v>-</v>
          </cell>
          <cell r="M103" t="str">
            <v>-</v>
          </cell>
          <cell r="N103" t="str">
            <v>INHIL</v>
          </cell>
        </row>
        <row r="104">
          <cell r="F104">
            <v>20</v>
          </cell>
          <cell r="J104" t="str">
            <v>-</v>
          </cell>
          <cell r="K104" t="str">
            <v>-</v>
          </cell>
          <cell r="L104" t="str">
            <v>-</v>
          </cell>
          <cell r="M104" t="str">
            <v>-</v>
          </cell>
          <cell r="N104" t="str">
            <v>No</v>
          </cell>
        </row>
        <row r="105">
          <cell r="F105">
            <v>24</v>
          </cell>
          <cell r="J105" t="str">
            <v>-</v>
          </cell>
          <cell r="K105" t="str">
            <v>-</v>
          </cell>
          <cell r="L105" t="str">
            <v>-</v>
          </cell>
          <cell r="M105" t="str">
            <v>-</v>
          </cell>
          <cell r="N105" t="str">
            <v>No</v>
          </cell>
        </row>
        <row r="106">
          <cell r="F106">
            <v>32</v>
          </cell>
          <cell r="J106" t="str">
            <v>-</v>
          </cell>
          <cell r="K106" t="str">
            <v>-</v>
          </cell>
          <cell r="L106" t="str">
            <v>-</v>
          </cell>
          <cell r="M106" t="str">
            <v>-</v>
          </cell>
          <cell r="N106" t="str">
            <v>INHIL</v>
          </cell>
        </row>
        <row r="107">
          <cell r="F107">
            <v>31</v>
          </cell>
          <cell r="J107" t="str">
            <v>-</v>
          </cell>
          <cell r="K107" t="str">
            <v>-</v>
          </cell>
          <cell r="L107" t="str">
            <v>-</v>
          </cell>
          <cell r="M107" t="str">
            <v>-</v>
          </cell>
          <cell r="N107" t="str">
            <v>INHIL</v>
          </cell>
        </row>
        <row r="108">
          <cell r="F108">
            <v>24</v>
          </cell>
          <cell r="J108" t="str">
            <v>INHIL</v>
          </cell>
          <cell r="K108" t="str">
            <v>-</v>
          </cell>
          <cell r="L108" t="str">
            <v>-</v>
          </cell>
          <cell r="M108" t="str">
            <v>-</v>
          </cell>
          <cell r="N108" t="str">
            <v>INHIL</v>
          </cell>
        </row>
        <row r="109">
          <cell r="F109">
            <v>29</v>
          </cell>
          <cell r="J109" t="str">
            <v>-</v>
          </cell>
          <cell r="K109" t="str">
            <v>-</v>
          </cell>
          <cell r="L109" t="str">
            <v>-</v>
          </cell>
          <cell r="M109" t="str">
            <v>-</v>
          </cell>
          <cell r="N109" t="str">
            <v>INHIL</v>
          </cell>
        </row>
        <row r="110">
          <cell r="F110">
            <v>20</v>
          </cell>
          <cell r="J110" t="str">
            <v>-</v>
          </cell>
          <cell r="K110" t="str">
            <v>-</v>
          </cell>
          <cell r="L110" t="str">
            <v>-</v>
          </cell>
          <cell r="M110" t="str">
            <v>-</v>
          </cell>
          <cell r="N110" t="str">
            <v>No</v>
          </cell>
        </row>
        <row r="111">
          <cell r="F111">
            <v>25</v>
          </cell>
          <cell r="J111" t="str">
            <v>-</v>
          </cell>
          <cell r="K111" t="str">
            <v>-</v>
          </cell>
          <cell r="L111" t="str">
            <v>-</v>
          </cell>
          <cell r="M111" t="str">
            <v>-</v>
          </cell>
          <cell r="N111" t="str">
            <v>INHIL</v>
          </cell>
        </row>
        <row r="112">
          <cell r="F112">
            <v>24</v>
          </cell>
          <cell r="J112" t="str">
            <v>-</v>
          </cell>
          <cell r="K112" t="str">
            <v>-</v>
          </cell>
          <cell r="L112" t="str">
            <v>-</v>
          </cell>
          <cell r="M112" t="str">
            <v>-</v>
          </cell>
          <cell r="N112" t="str">
            <v>INHIL</v>
          </cell>
        </row>
        <row r="113">
          <cell r="F113">
            <v>23</v>
          </cell>
          <cell r="J113" t="str">
            <v>-</v>
          </cell>
          <cell r="K113" t="str">
            <v>-</v>
          </cell>
          <cell r="L113" t="str">
            <v>-</v>
          </cell>
          <cell r="M113" t="str">
            <v>-</v>
          </cell>
          <cell r="N113" t="str">
            <v>No</v>
          </cell>
        </row>
        <row r="114">
          <cell r="F114">
            <v>23</v>
          </cell>
          <cell r="J114" t="str">
            <v>-</v>
          </cell>
          <cell r="K114" t="str">
            <v>-</v>
          </cell>
          <cell r="L114" t="str">
            <v>-</v>
          </cell>
          <cell r="M114" t="str">
            <v>-</v>
          </cell>
          <cell r="N114" t="str">
            <v>No</v>
          </cell>
        </row>
        <row r="115">
          <cell r="F115">
            <v>20</v>
          </cell>
          <cell r="J115" t="str">
            <v>-</v>
          </cell>
          <cell r="K115" t="str">
            <v>-</v>
          </cell>
          <cell r="L115" t="str">
            <v>-</v>
          </cell>
          <cell r="M115" t="str">
            <v>-</v>
          </cell>
          <cell r="N115" t="str">
            <v>No</v>
          </cell>
        </row>
        <row r="116">
          <cell r="F116">
            <v>20</v>
          </cell>
          <cell r="J116" t="str">
            <v>-</v>
          </cell>
          <cell r="K116" t="str">
            <v>-</v>
          </cell>
          <cell r="L116" t="str">
            <v>-</v>
          </cell>
          <cell r="M116" t="str">
            <v>-</v>
          </cell>
          <cell r="N116" t="str">
            <v>No</v>
          </cell>
        </row>
        <row r="117">
          <cell r="F117">
            <v>19</v>
          </cell>
          <cell r="J117" t="str">
            <v>-</v>
          </cell>
          <cell r="K117" t="str">
            <v>INHIL</v>
          </cell>
          <cell r="L117" t="str">
            <v>-</v>
          </cell>
          <cell r="M117" t="str">
            <v>-</v>
          </cell>
          <cell r="N117" t="str">
            <v>INHIL</v>
          </cell>
        </row>
        <row r="118">
          <cell r="F118">
            <v>31</v>
          </cell>
          <cell r="J118" t="str">
            <v>-</v>
          </cell>
          <cell r="K118" t="str">
            <v>-</v>
          </cell>
          <cell r="L118" t="str">
            <v>-</v>
          </cell>
          <cell r="M118" t="str">
            <v>-</v>
          </cell>
          <cell r="N118" t="str">
            <v>No</v>
          </cell>
        </row>
        <row r="119">
          <cell r="F119">
            <v>31</v>
          </cell>
          <cell r="J119" t="str">
            <v>-</v>
          </cell>
          <cell r="K119" t="str">
            <v>-</v>
          </cell>
          <cell r="L119" t="str">
            <v>-</v>
          </cell>
          <cell r="M119" t="str">
            <v>-</v>
          </cell>
          <cell r="N119" t="str">
            <v>INHIL</v>
          </cell>
        </row>
        <row r="120">
          <cell r="F120">
            <v>31</v>
          </cell>
          <cell r="J120" t="str">
            <v>-</v>
          </cell>
          <cell r="K120" t="str">
            <v>-</v>
          </cell>
          <cell r="L120" t="str">
            <v>-</v>
          </cell>
          <cell r="M120" t="str">
            <v>-</v>
          </cell>
          <cell r="N120" t="str">
            <v>INHIL</v>
          </cell>
        </row>
        <row r="121">
          <cell r="F121">
            <v>26</v>
          </cell>
          <cell r="J121" t="str">
            <v>-</v>
          </cell>
          <cell r="K121" t="str">
            <v>-</v>
          </cell>
          <cell r="L121" t="str">
            <v>-</v>
          </cell>
          <cell r="M121" t="str">
            <v>-</v>
          </cell>
          <cell r="N121" t="str">
            <v>INHIL</v>
          </cell>
        </row>
        <row r="122">
          <cell r="F122">
            <v>24</v>
          </cell>
          <cell r="J122" t="str">
            <v>-</v>
          </cell>
          <cell r="K122" t="str">
            <v>-</v>
          </cell>
          <cell r="L122" t="str">
            <v>-</v>
          </cell>
          <cell r="M122" t="str">
            <v>-</v>
          </cell>
          <cell r="N122" t="str">
            <v>INHIL</v>
          </cell>
        </row>
        <row r="123">
          <cell r="F123">
            <v>22</v>
          </cell>
          <cell r="J123" t="str">
            <v>-</v>
          </cell>
          <cell r="K123" t="str">
            <v>-</v>
          </cell>
          <cell r="L123" t="str">
            <v>-</v>
          </cell>
          <cell r="M123" t="str">
            <v>-</v>
          </cell>
          <cell r="N123" t="str">
            <v>INHIL</v>
          </cell>
        </row>
        <row r="124">
          <cell r="F124">
            <v>27</v>
          </cell>
          <cell r="J124" t="str">
            <v>-</v>
          </cell>
          <cell r="K124" t="str">
            <v>-</v>
          </cell>
          <cell r="L124" t="str">
            <v>-</v>
          </cell>
          <cell r="M124" t="str">
            <v>-</v>
          </cell>
          <cell r="N124" t="str">
            <v>INHIL</v>
          </cell>
        </row>
        <row r="125">
          <cell r="F125">
            <v>21</v>
          </cell>
          <cell r="J125" t="str">
            <v>-</v>
          </cell>
          <cell r="K125" t="str">
            <v>-</v>
          </cell>
          <cell r="L125" t="str">
            <v>-</v>
          </cell>
          <cell r="M125" t="str">
            <v>-</v>
          </cell>
          <cell r="N125" t="str">
            <v>INHIL</v>
          </cell>
        </row>
        <row r="126">
          <cell r="F126">
            <v>29</v>
          </cell>
          <cell r="J126" t="str">
            <v>-</v>
          </cell>
          <cell r="K126" t="str">
            <v>-</v>
          </cell>
          <cell r="L126" t="str">
            <v>-</v>
          </cell>
          <cell r="M126" t="str">
            <v>-</v>
          </cell>
          <cell r="N126" t="str">
            <v>INHIL</v>
          </cell>
        </row>
        <row r="127">
          <cell r="F127">
            <v>25</v>
          </cell>
          <cell r="J127" t="str">
            <v>-</v>
          </cell>
          <cell r="K127" t="str">
            <v>-</v>
          </cell>
          <cell r="L127" t="str">
            <v>-</v>
          </cell>
          <cell r="M127" t="str">
            <v>-</v>
          </cell>
          <cell r="N127" t="str">
            <v>INHIL</v>
          </cell>
        </row>
        <row r="128">
          <cell r="F128">
            <v>31</v>
          </cell>
          <cell r="J128" t="str">
            <v>-</v>
          </cell>
          <cell r="K128" t="str">
            <v>-</v>
          </cell>
          <cell r="L128" t="str">
            <v>-</v>
          </cell>
          <cell r="M128" t="str">
            <v>-</v>
          </cell>
          <cell r="N128" t="str">
            <v>INHIL</v>
          </cell>
        </row>
        <row r="129">
          <cell r="F129">
            <v>24</v>
          </cell>
          <cell r="J129" t="str">
            <v>-</v>
          </cell>
          <cell r="K129" t="str">
            <v>-</v>
          </cell>
          <cell r="L129" t="str">
            <v>-</v>
          </cell>
          <cell r="M129" t="str">
            <v>-</v>
          </cell>
          <cell r="N129" t="str">
            <v>INHIL</v>
          </cell>
        </row>
        <row r="130">
          <cell r="F130">
            <v>38</v>
          </cell>
          <cell r="J130" t="str">
            <v>-</v>
          </cell>
          <cell r="K130" t="str">
            <v>-</v>
          </cell>
          <cell r="L130" t="str">
            <v>-</v>
          </cell>
          <cell r="M130" t="str">
            <v>-</v>
          </cell>
          <cell r="N130" t="str">
            <v>INHIL</v>
          </cell>
        </row>
        <row r="131">
          <cell r="F131">
            <v>22</v>
          </cell>
          <cell r="J131" t="str">
            <v>-</v>
          </cell>
          <cell r="K131" t="str">
            <v>-</v>
          </cell>
          <cell r="L131" t="str">
            <v>INHIL</v>
          </cell>
          <cell r="M131" t="str">
            <v>-</v>
          </cell>
          <cell r="N131" t="str">
            <v>INHIL</v>
          </cell>
        </row>
        <row r="132">
          <cell r="F132">
            <v>33</v>
          </cell>
          <cell r="J132" t="str">
            <v>-</v>
          </cell>
          <cell r="K132" t="str">
            <v>-</v>
          </cell>
          <cell r="L132" t="str">
            <v>-</v>
          </cell>
          <cell r="M132" t="str">
            <v>-</v>
          </cell>
          <cell r="N132" t="str">
            <v>No</v>
          </cell>
        </row>
        <row r="133">
          <cell r="F133">
            <v>21</v>
          </cell>
          <cell r="J133" t="str">
            <v>-</v>
          </cell>
          <cell r="K133" t="str">
            <v>-</v>
          </cell>
          <cell r="L133" t="str">
            <v>INHIL</v>
          </cell>
          <cell r="M133" t="str">
            <v>-</v>
          </cell>
          <cell r="N133" t="str">
            <v>INHIL</v>
          </cell>
        </row>
        <row r="134">
          <cell r="F134">
            <v>36</v>
          </cell>
          <cell r="J134" t="str">
            <v>-</v>
          </cell>
          <cell r="K134" t="str">
            <v>-</v>
          </cell>
          <cell r="L134" t="str">
            <v>-</v>
          </cell>
          <cell r="M134" t="str">
            <v>-</v>
          </cell>
          <cell r="N134" t="str">
            <v>INHIL</v>
          </cell>
        </row>
        <row r="135">
          <cell r="F135">
            <v>23</v>
          </cell>
          <cell r="J135" t="str">
            <v>-</v>
          </cell>
          <cell r="K135" t="str">
            <v>-</v>
          </cell>
          <cell r="L135" t="str">
            <v>-</v>
          </cell>
          <cell r="M135" t="str">
            <v>-</v>
          </cell>
          <cell r="N135" t="str">
            <v>No</v>
          </cell>
        </row>
        <row r="136">
          <cell r="F136">
            <v>24</v>
          </cell>
          <cell r="J136" t="str">
            <v>-</v>
          </cell>
          <cell r="K136" t="str">
            <v>-</v>
          </cell>
          <cell r="L136" t="str">
            <v>-</v>
          </cell>
          <cell r="M136" t="str">
            <v>-</v>
          </cell>
          <cell r="N136" t="str">
            <v>INHIL</v>
          </cell>
        </row>
        <row r="137">
          <cell r="F137">
            <v>34</v>
          </cell>
          <cell r="J137" t="str">
            <v>-</v>
          </cell>
          <cell r="K137" t="str">
            <v>-</v>
          </cell>
          <cell r="L137" t="str">
            <v>-</v>
          </cell>
          <cell r="M137" t="str">
            <v>-</v>
          </cell>
          <cell r="N137" t="str">
            <v>No</v>
          </cell>
        </row>
        <row r="138">
          <cell r="F138">
            <v>33</v>
          </cell>
          <cell r="J138" t="str">
            <v>-</v>
          </cell>
          <cell r="K138" t="str">
            <v>-</v>
          </cell>
          <cell r="L138" t="str">
            <v>-</v>
          </cell>
          <cell r="M138" t="str">
            <v>-</v>
          </cell>
          <cell r="N138" t="str">
            <v>INHIL</v>
          </cell>
        </row>
        <row r="139">
          <cell r="F139">
            <v>29</v>
          </cell>
          <cell r="J139" t="str">
            <v>-</v>
          </cell>
          <cell r="K139" t="str">
            <v>-</v>
          </cell>
          <cell r="L139" t="str">
            <v>-</v>
          </cell>
          <cell r="M139" t="str">
            <v>-</v>
          </cell>
          <cell r="N139" t="str">
            <v>INHIL</v>
          </cell>
        </row>
        <row r="140">
          <cell r="F140">
            <v>23</v>
          </cell>
          <cell r="J140" t="str">
            <v>-</v>
          </cell>
          <cell r="K140" t="str">
            <v>-</v>
          </cell>
          <cell r="L140" t="str">
            <v>-</v>
          </cell>
          <cell r="M140" t="str">
            <v>-</v>
          </cell>
          <cell r="N140" t="str">
            <v>INHIL</v>
          </cell>
        </row>
        <row r="141">
          <cell r="F141">
            <v>5</v>
          </cell>
          <cell r="J141" t="str">
            <v>-</v>
          </cell>
          <cell r="K141" t="str">
            <v>-</v>
          </cell>
          <cell r="L141" t="str">
            <v>-</v>
          </cell>
          <cell r="M141" t="str">
            <v>-</v>
          </cell>
          <cell r="N141" t="str">
            <v>INHIL</v>
          </cell>
        </row>
        <row r="142">
          <cell r="F142">
            <v>22</v>
          </cell>
          <cell r="J142" t="str">
            <v>-</v>
          </cell>
          <cell r="K142" t="str">
            <v>-</v>
          </cell>
          <cell r="L142" t="str">
            <v>INHIL</v>
          </cell>
          <cell r="M142" t="str">
            <v>-</v>
          </cell>
          <cell r="N142" t="str">
            <v>INHIL</v>
          </cell>
        </row>
        <row r="143">
          <cell r="F143">
            <v>27</v>
          </cell>
          <cell r="J143" t="str">
            <v>INHIL</v>
          </cell>
          <cell r="K143" t="str">
            <v>-</v>
          </cell>
          <cell r="L143" t="str">
            <v>-</v>
          </cell>
          <cell r="M143" t="str">
            <v>-</v>
          </cell>
          <cell r="N143" t="str">
            <v>INHIL</v>
          </cell>
        </row>
        <row r="144">
          <cell r="F144">
            <v>23</v>
          </cell>
          <cell r="J144" t="str">
            <v>-</v>
          </cell>
          <cell r="K144" t="str">
            <v>-</v>
          </cell>
          <cell r="L144" t="str">
            <v>-</v>
          </cell>
          <cell r="M144" t="str">
            <v>-</v>
          </cell>
          <cell r="N144" t="str">
            <v>No</v>
          </cell>
        </row>
        <row r="145">
          <cell r="F145">
            <v>31</v>
          </cell>
          <cell r="J145" t="str">
            <v>-</v>
          </cell>
          <cell r="K145" t="str">
            <v>-</v>
          </cell>
          <cell r="L145" t="str">
            <v>-</v>
          </cell>
          <cell r="M145" t="str">
            <v>-</v>
          </cell>
          <cell r="N145" t="str">
            <v>No</v>
          </cell>
        </row>
        <row r="146">
          <cell r="F146">
            <v>25</v>
          </cell>
          <cell r="J146" t="str">
            <v>INHIL</v>
          </cell>
          <cell r="K146" t="str">
            <v>-</v>
          </cell>
          <cell r="L146" t="str">
            <v>-</v>
          </cell>
          <cell r="M146" t="str">
            <v>-</v>
          </cell>
          <cell r="N146" t="str">
            <v>INHIL</v>
          </cell>
        </row>
        <row r="147">
          <cell r="F147">
            <v>27</v>
          </cell>
          <cell r="J147" t="str">
            <v>-</v>
          </cell>
          <cell r="K147" t="str">
            <v>-</v>
          </cell>
          <cell r="L147" t="str">
            <v>-</v>
          </cell>
          <cell r="M147" t="str">
            <v>-</v>
          </cell>
          <cell r="N147" t="str">
            <v>INHIL</v>
          </cell>
        </row>
        <row r="148">
          <cell r="F148">
            <v>22</v>
          </cell>
          <cell r="J148" t="str">
            <v>-</v>
          </cell>
          <cell r="K148" t="str">
            <v>-</v>
          </cell>
          <cell r="L148" t="str">
            <v>-</v>
          </cell>
          <cell r="M148" t="str">
            <v>-</v>
          </cell>
          <cell r="N148" t="str">
            <v>No</v>
          </cell>
        </row>
        <row r="149">
          <cell r="F149">
            <v>28</v>
          </cell>
          <cell r="J149" t="str">
            <v>-</v>
          </cell>
          <cell r="K149" t="str">
            <v>-</v>
          </cell>
          <cell r="L149" t="str">
            <v>-</v>
          </cell>
          <cell r="M149" t="str">
            <v>-</v>
          </cell>
          <cell r="N149" t="str">
            <v>INHIL</v>
          </cell>
        </row>
        <row r="150">
          <cell r="F150">
            <v>33</v>
          </cell>
          <cell r="J150" t="str">
            <v>-</v>
          </cell>
          <cell r="K150" t="str">
            <v>-</v>
          </cell>
          <cell r="L150" t="str">
            <v>-</v>
          </cell>
          <cell r="M150" t="str">
            <v>-</v>
          </cell>
          <cell r="N150" t="str">
            <v>INHIL</v>
          </cell>
        </row>
        <row r="151">
          <cell r="F151">
            <v>20</v>
          </cell>
          <cell r="J151" t="str">
            <v>-</v>
          </cell>
          <cell r="K151" t="str">
            <v>-</v>
          </cell>
          <cell r="L151" t="str">
            <v>-</v>
          </cell>
          <cell r="M151" t="str">
            <v>-</v>
          </cell>
          <cell r="N151" t="str">
            <v>No</v>
          </cell>
        </row>
        <row r="152">
          <cell r="F152">
            <v>20</v>
          </cell>
          <cell r="J152" t="str">
            <v>-</v>
          </cell>
          <cell r="K152" t="str">
            <v>-</v>
          </cell>
          <cell r="L152" t="str">
            <v>-</v>
          </cell>
          <cell r="M152" t="str">
            <v>-</v>
          </cell>
          <cell r="N152" t="str">
            <v>No</v>
          </cell>
        </row>
        <row r="153">
          <cell r="F153">
            <v>21</v>
          </cell>
          <cell r="J153" t="str">
            <v>-</v>
          </cell>
          <cell r="K153" t="str">
            <v>-</v>
          </cell>
          <cell r="L153" t="str">
            <v>-</v>
          </cell>
          <cell r="M153" t="str">
            <v>-</v>
          </cell>
          <cell r="N153" t="str">
            <v>No</v>
          </cell>
        </row>
        <row r="154">
          <cell r="F154">
            <v>26</v>
          </cell>
          <cell r="J154" t="str">
            <v>-</v>
          </cell>
          <cell r="K154" t="str">
            <v>-</v>
          </cell>
          <cell r="L154" t="str">
            <v>-</v>
          </cell>
          <cell r="M154" t="str">
            <v>-</v>
          </cell>
          <cell r="N154" t="str">
            <v>No</v>
          </cell>
        </row>
        <row r="155">
          <cell r="F155">
            <v>20</v>
          </cell>
          <cell r="J155" t="str">
            <v>-</v>
          </cell>
          <cell r="K155" t="str">
            <v>-</v>
          </cell>
          <cell r="L155" t="str">
            <v>-</v>
          </cell>
          <cell r="M155" t="str">
            <v>-</v>
          </cell>
          <cell r="N155" t="str">
            <v>No</v>
          </cell>
        </row>
        <row r="156">
          <cell r="F156">
            <v>26</v>
          </cell>
          <cell r="J156" t="str">
            <v>-</v>
          </cell>
          <cell r="K156" t="str">
            <v>-</v>
          </cell>
          <cell r="L156" t="str">
            <v>-</v>
          </cell>
          <cell r="M156" t="str">
            <v>-</v>
          </cell>
          <cell r="N156" t="str">
            <v>No</v>
          </cell>
        </row>
        <row r="157">
          <cell r="F157">
            <v>20</v>
          </cell>
          <cell r="J157" t="str">
            <v>-</v>
          </cell>
          <cell r="K157" t="str">
            <v>-</v>
          </cell>
          <cell r="L157" t="str">
            <v>-</v>
          </cell>
          <cell r="M157" t="str">
            <v>-</v>
          </cell>
          <cell r="N157" t="str">
            <v>No</v>
          </cell>
        </row>
        <row r="158">
          <cell r="F158">
            <v>21</v>
          </cell>
          <cell r="J158" t="str">
            <v>-</v>
          </cell>
          <cell r="K158" t="str">
            <v>-</v>
          </cell>
          <cell r="L158" t="str">
            <v>-</v>
          </cell>
          <cell r="M158" t="str">
            <v>-</v>
          </cell>
          <cell r="N158" t="str">
            <v>No</v>
          </cell>
        </row>
        <row r="159">
          <cell r="F159">
            <v>25</v>
          </cell>
          <cell r="J159" t="str">
            <v>-</v>
          </cell>
          <cell r="K159" t="str">
            <v>-</v>
          </cell>
          <cell r="L159" t="str">
            <v>-</v>
          </cell>
          <cell r="M159" t="str">
            <v>-</v>
          </cell>
          <cell r="N159" t="str">
            <v>No</v>
          </cell>
        </row>
        <row r="160">
          <cell r="F160">
            <v>21</v>
          </cell>
          <cell r="J160" t="str">
            <v>-</v>
          </cell>
          <cell r="K160" t="str">
            <v>-</v>
          </cell>
          <cell r="L160" t="str">
            <v>-</v>
          </cell>
          <cell r="M160" t="str">
            <v>-</v>
          </cell>
          <cell r="N160" t="str">
            <v>No</v>
          </cell>
        </row>
        <row r="161">
          <cell r="F161">
            <v>19</v>
          </cell>
          <cell r="J161" t="str">
            <v>-</v>
          </cell>
          <cell r="K161" t="str">
            <v>-</v>
          </cell>
          <cell r="L161" t="str">
            <v>-</v>
          </cell>
          <cell r="M161" t="str">
            <v>-</v>
          </cell>
          <cell r="N161" t="str">
            <v>No</v>
          </cell>
        </row>
        <row r="162">
          <cell r="F162">
            <v>23</v>
          </cell>
          <cell r="J162" t="str">
            <v>-</v>
          </cell>
          <cell r="K162" t="str">
            <v>-</v>
          </cell>
          <cell r="L162" t="str">
            <v>-</v>
          </cell>
          <cell r="M162" t="str">
            <v>-</v>
          </cell>
          <cell r="N162" t="str">
            <v>No</v>
          </cell>
        </row>
        <row r="163">
          <cell r="F163">
            <v>31</v>
          </cell>
          <cell r="J163" t="str">
            <v>-</v>
          </cell>
          <cell r="K163" t="str">
            <v>-</v>
          </cell>
          <cell r="L163" t="str">
            <v>-</v>
          </cell>
          <cell r="M163" t="str">
            <v>-</v>
          </cell>
          <cell r="N163" t="str">
            <v>No</v>
          </cell>
        </row>
        <row r="164">
          <cell r="F164">
            <v>21</v>
          </cell>
          <cell r="J164" t="str">
            <v>-</v>
          </cell>
          <cell r="K164" t="str">
            <v>-</v>
          </cell>
          <cell r="L164" t="str">
            <v>-</v>
          </cell>
          <cell r="M164" t="str">
            <v>-</v>
          </cell>
          <cell r="N164" t="str">
            <v>No</v>
          </cell>
        </row>
        <row r="165">
          <cell r="F165">
            <v>20</v>
          </cell>
          <cell r="J165" t="str">
            <v>-</v>
          </cell>
          <cell r="K165" t="str">
            <v>-</v>
          </cell>
          <cell r="L165" t="str">
            <v>-</v>
          </cell>
          <cell r="M165" t="str">
            <v>-</v>
          </cell>
          <cell r="N165" t="str">
            <v>No</v>
          </cell>
        </row>
        <row r="166">
          <cell r="F166">
            <v>22</v>
          </cell>
          <cell r="J166" t="str">
            <v>-</v>
          </cell>
          <cell r="K166" t="str">
            <v>-</v>
          </cell>
          <cell r="L166" t="str">
            <v>-</v>
          </cell>
          <cell r="M166" t="str">
            <v>-</v>
          </cell>
          <cell r="N166" t="str">
            <v>No</v>
          </cell>
        </row>
        <row r="167">
          <cell r="F167">
            <v>20</v>
          </cell>
          <cell r="J167" t="str">
            <v>-</v>
          </cell>
          <cell r="K167" t="str">
            <v>-</v>
          </cell>
          <cell r="L167" t="str">
            <v>-</v>
          </cell>
          <cell r="M167" t="str">
            <v>-</v>
          </cell>
          <cell r="N167" t="str">
            <v>No</v>
          </cell>
        </row>
        <row r="168">
          <cell r="F168">
            <v>28</v>
          </cell>
          <cell r="J168" t="str">
            <v>-</v>
          </cell>
          <cell r="K168" t="str">
            <v>-</v>
          </cell>
          <cell r="L168" t="str">
            <v>-</v>
          </cell>
          <cell r="M168" t="str">
            <v>-</v>
          </cell>
          <cell r="N168" t="str">
            <v>No</v>
          </cell>
        </row>
        <row r="169">
          <cell r="F169">
            <v>21</v>
          </cell>
          <cell r="J169" t="str">
            <v>-</v>
          </cell>
          <cell r="K169" t="str">
            <v>-</v>
          </cell>
          <cell r="L169" t="str">
            <v>-</v>
          </cell>
          <cell r="M169" t="str">
            <v>-</v>
          </cell>
          <cell r="N169" t="str">
            <v>No</v>
          </cell>
        </row>
        <row r="170">
          <cell r="F170">
            <v>22</v>
          </cell>
          <cell r="J170" t="str">
            <v>-</v>
          </cell>
          <cell r="K170" t="str">
            <v>-</v>
          </cell>
          <cell r="L170" t="str">
            <v>-</v>
          </cell>
          <cell r="M170" t="str">
            <v>-</v>
          </cell>
          <cell r="N170" t="str">
            <v>No</v>
          </cell>
        </row>
        <row r="171">
          <cell r="F171">
            <v>24</v>
          </cell>
          <cell r="J171" t="str">
            <v>-</v>
          </cell>
          <cell r="K171" t="str">
            <v>-</v>
          </cell>
          <cell r="L171" t="str">
            <v>-</v>
          </cell>
          <cell r="M171" t="str">
            <v>-</v>
          </cell>
          <cell r="N171" t="str">
            <v>No</v>
          </cell>
        </row>
        <row r="172">
          <cell r="F172">
            <v>20</v>
          </cell>
          <cell r="J172" t="str">
            <v>-</v>
          </cell>
          <cell r="K172" t="str">
            <v>-</v>
          </cell>
          <cell r="L172" t="str">
            <v>-</v>
          </cell>
          <cell r="M172" t="str">
            <v>-</v>
          </cell>
          <cell r="N172" t="str">
            <v>No</v>
          </cell>
        </row>
        <row r="173">
          <cell r="F173">
            <v>28</v>
          </cell>
          <cell r="J173" t="str">
            <v>-</v>
          </cell>
          <cell r="K173" t="str">
            <v>-</v>
          </cell>
          <cell r="L173" t="str">
            <v>-</v>
          </cell>
          <cell r="M173" t="str">
            <v>-</v>
          </cell>
          <cell r="N173" t="str">
            <v>No</v>
          </cell>
        </row>
        <row r="174">
          <cell r="F174">
            <v>20</v>
          </cell>
          <cell r="J174" t="str">
            <v>-</v>
          </cell>
          <cell r="K174" t="str">
            <v>-</v>
          </cell>
          <cell r="L174" t="str">
            <v>-</v>
          </cell>
          <cell r="M174" t="str">
            <v>-</v>
          </cell>
          <cell r="N174" t="str">
            <v>No</v>
          </cell>
        </row>
        <row r="175">
          <cell r="F175">
            <v>33</v>
          </cell>
          <cell r="J175" t="str">
            <v>-</v>
          </cell>
          <cell r="K175" t="str">
            <v>-</v>
          </cell>
          <cell r="L175" t="str">
            <v>-</v>
          </cell>
          <cell r="M175" t="str">
            <v>-</v>
          </cell>
          <cell r="N175" t="str">
            <v>No</v>
          </cell>
        </row>
        <row r="176">
          <cell r="F176">
            <v>25</v>
          </cell>
          <cell r="J176" t="str">
            <v>-</v>
          </cell>
          <cell r="K176" t="str">
            <v>-</v>
          </cell>
          <cell r="L176" t="str">
            <v>-</v>
          </cell>
          <cell r="M176" t="str">
            <v>-</v>
          </cell>
          <cell r="N176" t="str">
            <v>No</v>
          </cell>
        </row>
        <row r="177">
          <cell r="F177">
            <v>26</v>
          </cell>
          <cell r="J177" t="str">
            <v>-</v>
          </cell>
          <cell r="K177" t="str">
            <v>-</v>
          </cell>
          <cell r="L177" t="str">
            <v>-</v>
          </cell>
          <cell r="M177" t="str">
            <v>-</v>
          </cell>
          <cell r="N177" t="str">
            <v>No</v>
          </cell>
        </row>
        <row r="178">
          <cell r="F178">
            <v>20</v>
          </cell>
          <cell r="J178" t="str">
            <v>-</v>
          </cell>
          <cell r="K178" t="str">
            <v>-</v>
          </cell>
          <cell r="L178" t="str">
            <v>-</v>
          </cell>
          <cell r="M178" t="str">
            <v>-</v>
          </cell>
          <cell r="N178" t="str">
            <v>No</v>
          </cell>
        </row>
        <row r="179">
          <cell r="F179">
            <v>23</v>
          </cell>
          <cell r="J179" t="str">
            <v>-</v>
          </cell>
          <cell r="K179" t="str">
            <v>-</v>
          </cell>
          <cell r="L179" t="str">
            <v>-</v>
          </cell>
          <cell r="M179" t="str">
            <v>-</v>
          </cell>
          <cell r="N179" t="str">
            <v>No</v>
          </cell>
        </row>
        <row r="180">
          <cell r="F180">
            <v>18</v>
          </cell>
          <cell r="J180" t="str">
            <v>-</v>
          </cell>
          <cell r="K180" t="str">
            <v>-</v>
          </cell>
          <cell r="L180" t="str">
            <v>-</v>
          </cell>
          <cell r="M180" t="str">
            <v>-</v>
          </cell>
          <cell r="N180" t="str">
            <v>No</v>
          </cell>
        </row>
        <row r="181">
          <cell r="F181">
            <v>24</v>
          </cell>
          <cell r="J181" t="str">
            <v>-</v>
          </cell>
          <cell r="K181" t="str">
            <v>-</v>
          </cell>
          <cell r="L181" t="str">
            <v>-</v>
          </cell>
          <cell r="M181" t="str">
            <v>-</v>
          </cell>
          <cell r="N181" t="str">
            <v>No</v>
          </cell>
        </row>
        <row r="182">
          <cell r="F182">
            <v>22</v>
          </cell>
          <cell r="J182" t="str">
            <v>-</v>
          </cell>
          <cell r="K182" t="str">
            <v>-</v>
          </cell>
          <cell r="L182" t="str">
            <v>-</v>
          </cell>
          <cell r="M182" t="str">
            <v>-</v>
          </cell>
          <cell r="N182" t="str">
            <v>No</v>
          </cell>
        </row>
        <row r="183">
          <cell r="F183">
            <v>24</v>
          </cell>
          <cell r="J183" t="str">
            <v>-</v>
          </cell>
          <cell r="K183" t="str">
            <v>-</v>
          </cell>
          <cell r="L183" t="str">
            <v>-</v>
          </cell>
          <cell r="M183" t="str">
            <v>-</v>
          </cell>
          <cell r="N183" t="str">
            <v>No</v>
          </cell>
        </row>
        <row r="184">
          <cell r="F184">
            <v>27</v>
          </cell>
          <cell r="J184" t="str">
            <v>-</v>
          </cell>
          <cell r="K184" t="str">
            <v>-</v>
          </cell>
          <cell r="L184" t="str">
            <v>-</v>
          </cell>
          <cell r="M184" t="str">
            <v>-</v>
          </cell>
          <cell r="N184" t="str">
            <v>No</v>
          </cell>
        </row>
        <row r="185">
          <cell r="F185">
            <v>20</v>
          </cell>
          <cell r="J185" t="str">
            <v>-</v>
          </cell>
          <cell r="K185" t="str">
            <v>-</v>
          </cell>
          <cell r="L185" t="str">
            <v>-</v>
          </cell>
          <cell r="M185" t="str">
            <v>-</v>
          </cell>
          <cell r="N185" t="str">
            <v>No</v>
          </cell>
        </row>
        <row r="186">
          <cell r="F186">
            <v>19</v>
          </cell>
          <cell r="J186" t="str">
            <v>-</v>
          </cell>
          <cell r="K186" t="str">
            <v>-</v>
          </cell>
          <cell r="L186" t="str">
            <v>-</v>
          </cell>
          <cell r="M186" t="str">
            <v>-</v>
          </cell>
          <cell r="N186" t="str">
            <v>No</v>
          </cell>
        </row>
        <row r="187">
          <cell r="F187">
            <v>19</v>
          </cell>
          <cell r="J187" t="str">
            <v>-</v>
          </cell>
          <cell r="K187" t="str">
            <v>-</v>
          </cell>
          <cell r="L187" t="str">
            <v>-</v>
          </cell>
          <cell r="M187" t="str">
            <v>-</v>
          </cell>
          <cell r="N187" t="str">
            <v>No</v>
          </cell>
        </row>
        <row r="188">
          <cell r="F188">
            <v>20</v>
          </cell>
          <cell r="J188" t="str">
            <v>-</v>
          </cell>
          <cell r="K188" t="str">
            <v>-</v>
          </cell>
          <cell r="L188" t="str">
            <v>-</v>
          </cell>
          <cell r="M188" t="str">
            <v>-</v>
          </cell>
          <cell r="N188" t="str">
            <v>No</v>
          </cell>
        </row>
        <row r="189">
          <cell r="F189">
            <v>21</v>
          </cell>
          <cell r="J189" t="str">
            <v>-</v>
          </cell>
          <cell r="K189" t="str">
            <v>-</v>
          </cell>
          <cell r="L189" t="str">
            <v>-</v>
          </cell>
          <cell r="M189" t="str">
            <v>-</v>
          </cell>
          <cell r="N189" t="str">
            <v>No</v>
          </cell>
        </row>
        <row r="190">
          <cell r="F190">
            <v>22</v>
          </cell>
          <cell r="J190" t="str">
            <v>-</v>
          </cell>
          <cell r="K190" t="str">
            <v>-</v>
          </cell>
          <cell r="L190" t="str">
            <v>-</v>
          </cell>
          <cell r="M190" t="str">
            <v>-</v>
          </cell>
          <cell r="N190" t="str">
            <v>No</v>
          </cell>
        </row>
        <row r="191">
          <cell r="F191">
            <v>21</v>
          </cell>
          <cell r="J191" t="str">
            <v>-</v>
          </cell>
          <cell r="K191" t="str">
            <v>-</v>
          </cell>
          <cell r="L191" t="str">
            <v>INHIL</v>
          </cell>
          <cell r="M191" t="str">
            <v>-</v>
          </cell>
          <cell r="N191" t="str">
            <v>INHIL</v>
          </cell>
        </row>
        <row r="192">
          <cell r="F192">
            <v>22</v>
          </cell>
          <cell r="J192" t="str">
            <v>-</v>
          </cell>
          <cell r="K192" t="str">
            <v>-</v>
          </cell>
          <cell r="L192" t="str">
            <v>-</v>
          </cell>
          <cell r="M192" t="str">
            <v>-</v>
          </cell>
          <cell r="N192" t="str">
            <v>No</v>
          </cell>
        </row>
        <row r="193">
          <cell r="F193">
            <v>21</v>
          </cell>
          <cell r="J193" t="str">
            <v>-</v>
          </cell>
          <cell r="K193" t="str">
            <v>-</v>
          </cell>
          <cell r="L193" t="str">
            <v>INHIL</v>
          </cell>
          <cell r="M193" t="str">
            <v>-</v>
          </cell>
          <cell r="N193" t="str">
            <v>INHIL</v>
          </cell>
        </row>
        <row r="194">
          <cell r="F194">
            <v>19</v>
          </cell>
          <cell r="J194" t="str">
            <v>-</v>
          </cell>
          <cell r="K194" t="str">
            <v>-</v>
          </cell>
          <cell r="L194" t="str">
            <v>INHIL</v>
          </cell>
          <cell r="M194" t="str">
            <v>-</v>
          </cell>
          <cell r="N194" t="str">
            <v>INHIL</v>
          </cell>
        </row>
        <row r="195">
          <cell r="F195">
            <v>21</v>
          </cell>
          <cell r="J195" t="str">
            <v>-</v>
          </cell>
          <cell r="K195" t="str">
            <v>-</v>
          </cell>
          <cell r="L195" t="str">
            <v>-</v>
          </cell>
          <cell r="M195" t="str">
            <v>-</v>
          </cell>
          <cell r="N195" t="str">
            <v>No</v>
          </cell>
        </row>
        <row r="196">
          <cell r="F196">
            <v>20</v>
          </cell>
          <cell r="J196" t="str">
            <v>-</v>
          </cell>
          <cell r="K196" t="str">
            <v>-</v>
          </cell>
          <cell r="L196" t="str">
            <v>-</v>
          </cell>
          <cell r="M196" t="str">
            <v>-</v>
          </cell>
          <cell r="N196" t="str">
            <v>No</v>
          </cell>
        </row>
        <row r="197">
          <cell r="F197">
            <v>22</v>
          </cell>
          <cell r="J197" t="str">
            <v>-</v>
          </cell>
          <cell r="K197" t="str">
            <v>-</v>
          </cell>
          <cell r="L197" t="str">
            <v>-</v>
          </cell>
          <cell r="M197" t="str">
            <v>-</v>
          </cell>
          <cell r="N197" t="str">
            <v>No</v>
          </cell>
        </row>
        <row r="198">
          <cell r="B198">
            <v>60030</v>
          </cell>
          <cell r="F198">
            <v>26</v>
          </cell>
          <cell r="J198" t="str">
            <v>-</v>
          </cell>
          <cell r="K198" t="str">
            <v>-</v>
          </cell>
          <cell r="L198" t="str">
            <v>-</v>
          </cell>
          <cell r="M198" t="str">
            <v>-</v>
          </cell>
          <cell r="N198" t="str">
            <v>No</v>
          </cell>
        </row>
        <row r="199">
          <cell r="F199">
            <v>26</v>
          </cell>
          <cell r="J199" t="str">
            <v>-</v>
          </cell>
          <cell r="K199" t="str">
            <v>-</v>
          </cell>
          <cell r="L199" t="str">
            <v>-</v>
          </cell>
          <cell r="M199" t="str">
            <v>-</v>
          </cell>
          <cell r="N199" t="str">
            <v>No</v>
          </cell>
        </row>
        <row r="200">
          <cell r="F200">
            <v>20</v>
          </cell>
          <cell r="J200" t="str">
            <v>-</v>
          </cell>
          <cell r="K200" t="str">
            <v>-</v>
          </cell>
          <cell r="L200" t="str">
            <v>-</v>
          </cell>
          <cell r="M200" t="str">
            <v>-</v>
          </cell>
          <cell r="N200" t="str">
            <v>No</v>
          </cell>
        </row>
        <row r="201">
          <cell r="F201">
            <v>24</v>
          </cell>
          <cell r="J201" t="str">
            <v>INHIL</v>
          </cell>
          <cell r="K201" t="str">
            <v>-</v>
          </cell>
          <cell r="L201" t="str">
            <v>-</v>
          </cell>
          <cell r="M201" t="str">
            <v>-</v>
          </cell>
          <cell r="N201" t="str">
            <v>INHIL</v>
          </cell>
        </row>
        <row r="202">
          <cell r="F202">
            <v>97</v>
          </cell>
          <cell r="J202" t="str">
            <v>-</v>
          </cell>
          <cell r="K202" t="str">
            <v>-</v>
          </cell>
          <cell r="L202" t="str">
            <v>INHIL</v>
          </cell>
          <cell r="M202" t="str">
            <v>-</v>
          </cell>
          <cell r="N202" t="str">
            <v>INHIL</v>
          </cell>
        </row>
        <row r="203">
          <cell r="F203">
            <v>25</v>
          </cell>
          <cell r="J203" t="str">
            <v>-</v>
          </cell>
          <cell r="K203" t="str">
            <v>-</v>
          </cell>
          <cell r="L203" t="str">
            <v>-</v>
          </cell>
          <cell r="M203" t="str">
            <v>-</v>
          </cell>
          <cell r="N203" t="str">
            <v>No</v>
          </cell>
        </row>
        <row r="204">
          <cell r="F204">
            <v>19</v>
          </cell>
          <cell r="J204" t="str">
            <v>-</v>
          </cell>
          <cell r="K204" t="str">
            <v>-</v>
          </cell>
          <cell r="L204" t="str">
            <v>-</v>
          </cell>
          <cell r="M204" t="str">
            <v>-</v>
          </cell>
          <cell r="N204" t="str">
            <v>No</v>
          </cell>
        </row>
        <row r="205">
          <cell r="F205">
            <v>28</v>
          </cell>
          <cell r="J205" t="str">
            <v>-</v>
          </cell>
          <cell r="K205" t="str">
            <v>-</v>
          </cell>
          <cell r="L205" t="str">
            <v>-</v>
          </cell>
          <cell r="M205" t="str">
            <v>-</v>
          </cell>
          <cell r="N205" t="str">
            <v>No</v>
          </cell>
        </row>
        <row r="206">
          <cell r="F206">
            <v>25</v>
          </cell>
          <cell r="J206" t="str">
            <v>-</v>
          </cell>
          <cell r="K206" t="str">
            <v>-</v>
          </cell>
          <cell r="L206" t="str">
            <v>-</v>
          </cell>
          <cell r="M206" t="str">
            <v>-</v>
          </cell>
          <cell r="N206" t="str">
            <v>No</v>
          </cell>
        </row>
        <row r="207">
          <cell r="F207">
            <v>19</v>
          </cell>
          <cell r="J207" t="str">
            <v>-</v>
          </cell>
          <cell r="K207" t="str">
            <v>-</v>
          </cell>
          <cell r="L207" t="str">
            <v>-</v>
          </cell>
          <cell r="M207" t="str">
            <v>-</v>
          </cell>
          <cell r="N207" t="str">
            <v>No</v>
          </cell>
        </row>
        <row r="208">
          <cell r="F208">
            <v>29</v>
          </cell>
          <cell r="J208" t="str">
            <v>-</v>
          </cell>
          <cell r="K208" t="str">
            <v>-</v>
          </cell>
          <cell r="L208" t="str">
            <v>-</v>
          </cell>
          <cell r="M208" t="str">
            <v>-</v>
          </cell>
          <cell r="N208" t="str">
            <v>No</v>
          </cell>
        </row>
        <row r="209">
          <cell r="F209">
            <v>21</v>
          </cell>
          <cell r="J209" t="str">
            <v>-</v>
          </cell>
          <cell r="K209" t="str">
            <v>-</v>
          </cell>
          <cell r="L209" t="str">
            <v>-</v>
          </cell>
          <cell r="M209" t="str">
            <v>-</v>
          </cell>
          <cell r="N209" t="str">
            <v>No</v>
          </cell>
        </row>
        <row r="210">
          <cell r="F210">
            <v>24</v>
          </cell>
          <cell r="J210" t="str">
            <v>INHIL</v>
          </cell>
          <cell r="K210" t="str">
            <v>-</v>
          </cell>
          <cell r="L210" t="str">
            <v>-</v>
          </cell>
          <cell r="M210" t="str">
            <v>-</v>
          </cell>
          <cell r="N210" t="str">
            <v>INHIL</v>
          </cell>
        </row>
        <row r="211">
          <cell r="F211">
            <v>24</v>
          </cell>
          <cell r="J211" t="str">
            <v>-</v>
          </cell>
          <cell r="K211" t="str">
            <v>-</v>
          </cell>
          <cell r="L211" t="str">
            <v>-</v>
          </cell>
          <cell r="M211" t="str">
            <v>-</v>
          </cell>
          <cell r="N211" t="str">
            <v>No</v>
          </cell>
        </row>
        <row r="212">
          <cell r="F212">
            <v>21</v>
          </cell>
          <cell r="J212" t="str">
            <v>-</v>
          </cell>
          <cell r="K212" t="str">
            <v>-</v>
          </cell>
          <cell r="L212" t="str">
            <v>-</v>
          </cell>
          <cell r="M212" t="str">
            <v>-</v>
          </cell>
          <cell r="N212" t="str">
            <v>No</v>
          </cell>
        </row>
        <row r="213">
          <cell r="F213">
            <v>19</v>
          </cell>
          <cell r="J213" t="str">
            <v>-</v>
          </cell>
          <cell r="K213" t="str">
            <v>-</v>
          </cell>
          <cell r="L213" t="str">
            <v>-</v>
          </cell>
          <cell r="M213" t="str">
            <v>-</v>
          </cell>
          <cell r="N213" t="str">
            <v>No</v>
          </cell>
        </row>
        <row r="214">
          <cell r="F214">
            <v>26</v>
          </cell>
          <cell r="J214" t="str">
            <v>-</v>
          </cell>
          <cell r="K214" t="str">
            <v>-</v>
          </cell>
          <cell r="L214" t="str">
            <v>-</v>
          </cell>
          <cell r="M214" t="str">
            <v>-</v>
          </cell>
          <cell r="N214" t="str">
            <v>No</v>
          </cell>
        </row>
        <row r="215">
          <cell r="F215">
            <v>23</v>
          </cell>
          <cell r="J215" t="str">
            <v>-</v>
          </cell>
          <cell r="K215" t="str">
            <v>-</v>
          </cell>
          <cell r="L215" t="str">
            <v>-</v>
          </cell>
          <cell r="M215" t="str">
            <v>-</v>
          </cell>
          <cell r="N215" t="str">
            <v>No</v>
          </cell>
        </row>
        <row r="216">
          <cell r="F216">
            <v>27</v>
          </cell>
          <cell r="J216" t="str">
            <v>-</v>
          </cell>
          <cell r="K216" t="str">
            <v>-</v>
          </cell>
          <cell r="L216" t="str">
            <v>INHIL</v>
          </cell>
          <cell r="M216" t="str">
            <v>-</v>
          </cell>
          <cell r="N216" t="str">
            <v>INHIL</v>
          </cell>
        </row>
        <row r="217">
          <cell r="F217">
            <v>22</v>
          </cell>
          <cell r="J217" t="str">
            <v>-</v>
          </cell>
          <cell r="K217" t="str">
            <v>-</v>
          </cell>
          <cell r="L217" t="str">
            <v>-</v>
          </cell>
          <cell r="M217" t="str">
            <v>-</v>
          </cell>
          <cell r="N217" t="str">
            <v>No</v>
          </cell>
        </row>
        <row r="218">
          <cell r="F218">
            <v>22</v>
          </cell>
          <cell r="J218" t="str">
            <v>-</v>
          </cell>
          <cell r="K218" t="str">
            <v>-</v>
          </cell>
          <cell r="L218" t="str">
            <v>-</v>
          </cell>
          <cell r="M218" t="str">
            <v>-</v>
          </cell>
          <cell r="N218" t="str">
            <v>No</v>
          </cell>
        </row>
        <row r="219">
          <cell r="F219">
            <v>29</v>
          </cell>
          <cell r="J219" t="str">
            <v>-</v>
          </cell>
          <cell r="K219" t="str">
            <v>-</v>
          </cell>
          <cell r="L219" t="str">
            <v>-</v>
          </cell>
          <cell r="M219" t="str">
            <v>-</v>
          </cell>
          <cell r="N219" t="str">
            <v>No</v>
          </cell>
        </row>
        <row r="220">
          <cell r="F220">
            <v>21</v>
          </cell>
          <cell r="J220" t="str">
            <v>-</v>
          </cell>
          <cell r="K220" t="str">
            <v>-</v>
          </cell>
          <cell r="L220" t="str">
            <v>-</v>
          </cell>
          <cell r="M220" t="str">
            <v>-</v>
          </cell>
          <cell r="N220" t="str">
            <v>No</v>
          </cell>
        </row>
        <row r="221">
          <cell r="F221">
            <v>25</v>
          </cell>
          <cell r="J221" t="str">
            <v>-</v>
          </cell>
          <cell r="K221" t="str">
            <v>-</v>
          </cell>
          <cell r="L221" t="str">
            <v>-</v>
          </cell>
          <cell r="M221" t="str">
            <v>-</v>
          </cell>
          <cell r="N221" t="str">
            <v>No</v>
          </cell>
        </row>
        <row r="222">
          <cell r="F222">
            <v>21</v>
          </cell>
          <cell r="J222" t="str">
            <v>-</v>
          </cell>
          <cell r="K222" t="str">
            <v>-</v>
          </cell>
          <cell r="L222" t="str">
            <v>-</v>
          </cell>
          <cell r="M222" t="str">
            <v>-</v>
          </cell>
          <cell r="N222" t="str">
            <v>No</v>
          </cell>
        </row>
        <row r="223">
          <cell r="F223">
            <v>21</v>
          </cell>
          <cell r="J223" t="str">
            <v>-</v>
          </cell>
          <cell r="K223" t="str">
            <v>-</v>
          </cell>
          <cell r="L223" t="str">
            <v>-</v>
          </cell>
          <cell r="M223" t="str">
            <v>-</v>
          </cell>
          <cell r="N223" t="str">
            <v>No</v>
          </cell>
        </row>
        <row r="224">
          <cell r="F224">
            <v>21</v>
          </cell>
          <cell r="J224" t="str">
            <v>-</v>
          </cell>
          <cell r="K224" t="str">
            <v>-</v>
          </cell>
          <cell r="L224" t="str">
            <v>-</v>
          </cell>
          <cell r="M224" t="str">
            <v>-</v>
          </cell>
          <cell r="N224" t="str">
            <v>No</v>
          </cell>
        </row>
        <row r="225">
          <cell r="F225">
            <v>21</v>
          </cell>
          <cell r="J225" t="str">
            <v>-</v>
          </cell>
          <cell r="K225" t="str">
            <v>-</v>
          </cell>
          <cell r="L225" t="str">
            <v>-</v>
          </cell>
          <cell r="M225" t="str">
            <v>-</v>
          </cell>
          <cell r="N225" t="str">
            <v>No</v>
          </cell>
        </row>
        <row r="226">
          <cell r="F226">
            <v>32</v>
          </cell>
          <cell r="J226" t="str">
            <v>-</v>
          </cell>
          <cell r="K226" t="str">
            <v>-</v>
          </cell>
          <cell r="L226" t="str">
            <v>-</v>
          </cell>
          <cell r="M226" t="str">
            <v>-</v>
          </cell>
          <cell r="N226" t="str">
            <v>No</v>
          </cell>
        </row>
        <row r="227">
          <cell r="F227">
            <v>20</v>
          </cell>
          <cell r="J227" t="str">
            <v>-</v>
          </cell>
          <cell r="K227" t="str">
            <v>-</v>
          </cell>
          <cell r="L227" t="str">
            <v>-</v>
          </cell>
          <cell r="M227" t="str">
            <v>-</v>
          </cell>
          <cell r="N227" t="str">
            <v>No</v>
          </cell>
        </row>
        <row r="228">
          <cell r="F228">
            <v>19</v>
          </cell>
          <cell r="J228" t="str">
            <v>-</v>
          </cell>
          <cell r="K228" t="str">
            <v>-</v>
          </cell>
          <cell r="L228" t="str">
            <v>-</v>
          </cell>
          <cell r="M228" t="str">
            <v>-</v>
          </cell>
          <cell r="N228" t="str">
            <v>No</v>
          </cell>
        </row>
        <row r="229">
          <cell r="F229">
            <v>20</v>
          </cell>
          <cell r="J229" t="str">
            <v>-</v>
          </cell>
          <cell r="K229" t="str">
            <v>-</v>
          </cell>
          <cell r="L229" t="str">
            <v>-</v>
          </cell>
          <cell r="M229" t="str">
            <v>-</v>
          </cell>
          <cell r="N229" t="str">
            <v>No</v>
          </cell>
        </row>
        <row r="230">
          <cell r="F230">
            <v>21</v>
          </cell>
          <cell r="J230" t="str">
            <v>-</v>
          </cell>
          <cell r="K230" t="str">
            <v>-</v>
          </cell>
          <cell r="L230" t="str">
            <v>-</v>
          </cell>
          <cell r="M230" t="str">
            <v>-</v>
          </cell>
          <cell r="N230" t="str">
            <v>No</v>
          </cell>
        </row>
        <row r="231">
          <cell r="F231">
            <v>19</v>
          </cell>
          <cell r="J231" t="str">
            <v>-</v>
          </cell>
          <cell r="K231" t="str">
            <v>-</v>
          </cell>
          <cell r="L231" t="str">
            <v>-</v>
          </cell>
          <cell r="M231" t="str">
            <v>-</v>
          </cell>
          <cell r="N231" t="str">
            <v>No</v>
          </cell>
        </row>
        <row r="232">
          <cell r="F232">
            <v>25</v>
          </cell>
          <cell r="J232" t="str">
            <v>-</v>
          </cell>
          <cell r="K232" t="str">
            <v>-</v>
          </cell>
          <cell r="L232" t="str">
            <v>-</v>
          </cell>
          <cell r="M232" t="str">
            <v>-</v>
          </cell>
          <cell r="N232" t="str">
            <v>No</v>
          </cell>
        </row>
        <row r="233">
          <cell r="F233">
            <v>20</v>
          </cell>
          <cell r="J233" t="str">
            <v>-</v>
          </cell>
          <cell r="K233" t="str">
            <v>-</v>
          </cell>
          <cell r="L233" t="str">
            <v>-</v>
          </cell>
          <cell r="M233" t="str">
            <v>-</v>
          </cell>
          <cell r="N233" t="str">
            <v>No</v>
          </cell>
        </row>
        <row r="234">
          <cell r="F234">
            <v>24</v>
          </cell>
          <cell r="J234" t="str">
            <v>-</v>
          </cell>
          <cell r="K234" t="str">
            <v>-</v>
          </cell>
          <cell r="L234" t="str">
            <v>-</v>
          </cell>
          <cell r="M234" t="str">
            <v>-</v>
          </cell>
          <cell r="N234" t="str">
            <v>No</v>
          </cell>
        </row>
        <row r="235">
          <cell r="F235">
            <v>23</v>
          </cell>
          <cell r="J235" t="str">
            <v>-</v>
          </cell>
          <cell r="K235" t="str">
            <v>-</v>
          </cell>
          <cell r="L235" t="str">
            <v>-</v>
          </cell>
          <cell r="M235" t="str">
            <v>-</v>
          </cell>
          <cell r="N235" t="str">
            <v>No</v>
          </cell>
        </row>
        <row r="236">
          <cell r="F236">
            <v>21</v>
          </cell>
          <cell r="J236" t="str">
            <v>-</v>
          </cell>
          <cell r="K236" t="str">
            <v>-</v>
          </cell>
          <cell r="L236" t="str">
            <v>-</v>
          </cell>
          <cell r="M236" t="str">
            <v>-</v>
          </cell>
          <cell r="N236" t="str">
            <v>No</v>
          </cell>
        </row>
        <row r="237">
          <cell r="F237">
            <v>20</v>
          </cell>
          <cell r="J237" t="str">
            <v>-</v>
          </cell>
          <cell r="K237" t="str">
            <v>-</v>
          </cell>
          <cell r="L237" t="str">
            <v>-</v>
          </cell>
          <cell r="M237" t="str">
            <v>-</v>
          </cell>
          <cell r="N237" t="str">
            <v>No</v>
          </cell>
        </row>
        <row r="238">
          <cell r="F238">
            <v>19</v>
          </cell>
          <cell r="J238" t="str">
            <v>-</v>
          </cell>
          <cell r="K238" t="str">
            <v>-</v>
          </cell>
          <cell r="L238" t="str">
            <v>-</v>
          </cell>
          <cell r="M238" t="str">
            <v>-</v>
          </cell>
          <cell r="N238" t="str">
            <v>No</v>
          </cell>
        </row>
        <row r="239">
          <cell r="F239">
            <v>30</v>
          </cell>
          <cell r="J239" t="str">
            <v>-</v>
          </cell>
          <cell r="K239" t="str">
            <v>-</v>
          </cell>
          <cell r="L239" t="str">
            <v>-</v>
          </cell>
          <cell r="M239" t="str">
            <v>-</v>
          </cell>
          <cell r="N239" t="str">
            <v>INHIL</v>
          </cell>
        </row>
        <row r="240">
          <cell r="F240">
            <v>23</v>
          </cell>
          <cell r="J240" t="str">
            <v>-</v>
          </cell>
          <cell r="K240" t="str">
            <v>-</v>
          </cell>
          <cell r="L240" t="str">
            <v>-</v>
          </cell>
          <cell r="M240" t="str">
            <v>-</v>
          </cell>
          <cell r="N240" t="str">
            <v>No</v>
          </cell>
        </row>
        <row r="241">
          <cell r="F241">
            <v>20</v>
          </cell>
          <cell r="J241" t="str">
            <v>-</v>
          </cell>
          <cell r="K241" t="str">
            <v>-</v>
          </cell>
          <cell r="L241" t="str">
            <v>INHIL</v>
          </cell>
          <cell r="M241" t="str">
            <v>-</v>
          </cell>
          <cell r="N241" t="str">
            <v>INHIL</v>
          </cell>
        </row>
        <row r="242">
          <cell r="F242">
            <v>22</v>
          </cell>
          <cell r="J242" t="str">
            <v>-</v>
          </cell>
          <cell r="K242" t="str">
            <v>-</v>
          </cell>
          <cell r="L242" t="str">
            <v>-</v>
          </cell>
          <cell r="M242" t="str">
            <v>-</v>
          </cell>
          <cell r="N242" t="str">
            <v>No</v>
          </cell>
        </row>
        <row r="243">
          <cell r="F243">
            <v>20</v>
          </cell>
          <cell r="J243" t="str">
            <v>-</v>
          </cell>
          <cell r="K243" t="str">
            <v>-</v>
          </cell>
          <cell r="L243" t="str">
            <v>-</v>
          </cell>
          <cell r="M243" t="str">
            <v>-</v>
          </cell>
          <cell r="N243" t="str">
            <v>No</v>
          </cell>
        </row>
        <row r="244">
          <cell r="F244">
            <v>21</v>
          </cell>
          <cell r="J244" t="str">
            <v>-</v>
          </cell>
          <cell r="K244" t="str">
            <v>-</v>
          </cell>
          <cell r="L244" t="str">
            <v>-</v>
          </cell>
          <cell r="M244" t="str">
            <v>-</v>
          </cell>
          <cell r="N244" t="str">
            <v>No</v>
          </cell>
        </row>
        <row r="245">
          <cell r="F245">
            <v>21</v>
          </cell>
          <cell r="J245" t="str">
            <v>INHIL</v>
          </cell>
          <cell r="K245" t="str">
            <v>-</v>
          </cell>
          <cell r="L245" t="str">
            <v>-</v>
          </cell>
          <cell r="M245" t="str">
            <v>-</v>
          </cell>
          <cell r="N245" t="str">
            <v>INHIL</v>
          </cell>
        </row>
        <row r="246">
          <cell r="F246">
            <v>23</v>
          </cell>
          <cell r="J246" t="str">
            <v>-</v>
          </cell>
          <cell r="K246" t="str">
            <v>-</v>
          </cell>
          <cell r="L246" t="str">
            <v>-</v>
          </cell>
          <cell r="M246" t="str">
            <v>-</v>
          </cell>
          <cell r="N246" t="str">
            <v>No</v>
          </cell>
        </row>
        <row r="247">
          <cell r="F247">
            <v>30</v>
          </cell>
          <cell r="J247" t="str">
            <v>-</v>
          </cell>
          <cell r="K247" t="str">
            <v>-</v>
          </cell>
          <cell r="L247" t="str">
            <v>-</v>
          </cell>
          <cell r="M247" t="str">
            <v>-</v>
          </cell>
          <cell r="N247" t="str">
            <v>No</v>
          </cell>
        </row>
        <row r="248">
          <cell r="F248">
            <v>20</v>
          </cell>
          <cell r="J248" t="str">
            <v>INHIL</v>
          </cell>
          <cell r="K248" t="str">
            <v>-</v>
          </cell>
          <cell r="L248" t="str">
            <v>-</v>
          </cell>
          <cell r="M248" t="str">
            <v>-</v>
          </cell>
          <cell r="N248" t="str">
            <v>INHIL</v>
          </cell>
        </row>
        <row r="249">
          <cell r="F249">
            <v>20</v>
          </cell>
          <cell r="J249" t="str">
            <v>-</v>
          </cell>
          <cell r="K249" t="str">
            <v>-</v>
          </cell>
          <cell r="L249" t="str">
            <v>-</v>
          </cell>
          <cell r="M249" t="str">
            <v>-</v>
          </cell>
          <cell r="N249" t="str">
            <v>No</v>
          </cell>
        </row>
        <row r="250">
          <cell r="F250">
            <v>22</v>
          </cell>
          <cell r="J250" t="str">
            <v>-</v>
          </cell>
          <cell r="K250" t="str">
            <v>-</v>
          </cell>
          <cell r="L250" t="str">
            <v>-</v>
          </cell>
          <cell r="M250" t="str">
            <v>-</v>
          </cell>
          <cell r="N250" t="str">
            <v>No</v>
          </cell>
        </row>
        <row r="251">
          <cell r="F251">
            <v>20</v>
          </cell>
          <cell r="J251" t="str">
            <v>-</v>
          </cell>
          <cell r="K251" t="str">
            <v>-</v>
          </cell>
          <cell r="L251" t="str">
            <v>-</v>
          </cell>
          <cell r="M251" t="str">
            <v>-</v>
          </cell>
          <cell r="N251" t="str">
            <v>No</v>
          </cell>
        </row>
        <row r="252">
          <cell r="F252">
            <v>23</v>
          </cell>
          <cell r="J252" t="str">
            <v>-</v>
          </cell>
          <cell r="K252" t="str">
            <v>-</v>
          </cell>
          <cell r="L252" t="str">
            <v>-</v>
          </cell>
          <cell r="M252" t="str">
            <v>-</v>
          </cell>
          <cell r="N252" t="str">
            <v>No</v>
          </cell>
        </row>
        <row r="253">
          <cell r="F253">
            <v>20</v>
          </cell>
          <cell r="J253" t="str">
            <v>-</v>
          </cell>
          <cell r="K253" t="str">
            <v>-</v>
          </cell>
          <cell r="L253" t="str">
            <v>-</v>
          </cell>
          <cell r="M253" t="str">
            <v>-</v>
          </cell>
          <cell r="N253" t="str">
            <v>No</v>
          </cell>
        </row>
        <row r="254">
          <cell r="F254">
            <v>22</v>
          </cell>
          <cell r="J254" t="str">
            <v>-</v>
          </cell>
          <cell r="K254" t="str">
            <v>-</v>
          </cell>
          <cell r="L254" t="str">
            <v>-</v>
          </cell>
          <cell r="M254" t="str">
            <v>-</v>
          </cell>
          <cell r="N254" t="str">
            <v>No</v>
          </cell>
        </row>
        <row r="255">
          <cell r="F255">
            <v>22</v>
          </cell>
          <cell r="J255" t="str">
            <v>INHIL</v>
          </cell>
          <cell r="K255" t="str">
            <v>-</v>
          </cell>
          <cell r="L255" t="str">
            <v>-</v>
          </cell>
          <cell r="M255" t="str">
            <v>-</v>
          </cell>
          <cell r="N255" t="str">
            <v>INHIL</v>
          </cell>
        </row>
        <row r="256">
          <cell r="F256">
            <v>20</v>
          </cell>
          <cell r="J256" t="str">
            <v>-</v>
          </cell>
          <cell r="K256" t="str">
            <v>INHIL</v>
          </cell>
          <cell r="L256" t="str">
            <v>-</v>
          </cell>
          <cell r="M256" t="str">
            <v>-</v>
          </cell>
          <cell r="N256" t="str">
            <v>INHIL</v>
          </cell>
        </row>
        <row r="257">
          <cell r="F257">
            <v>20</v>
          </cell>
          <cell r="J257" t="str">
            <v>-</v>
          </cell>
          <cell r="K257" t="str">
            <v>INHIL</v>
          </cell>
          <cell r="L257" t="str">
            <v>-</v>
          </cell>
          <cell r="M257" t="str">
            <v>-</v>
          </cell>
          <cell r="N257" t="str">
            <v>INHIL</v>
          </cell>
        </row>
        <row r="258">
          <cell r="F258">
            <v>23</v>
          </cell>
          <cell r="J258" t="str">
            <v>-</v>
          </cell>
          <cell r="K258" t="str">
            <v>-</v>
          </cell>
          <cell r="L258" t="str">
            <v>INHIL</v>
          </cell>
          <cell r="M258" t="str">
            <v>-</v>
          </cell>
          <cell r="N258" t="str">
            <v>INHIL</v>
          </cell>
        </row>
        <row r="259">
          <cell r="F259">
            <v>24</v>
          </cell>
          <cell r="J259" t="str">
            <v>-</v>
          </cell>
          <cell r="K259" t="str">
            <v>-</v>
          </cell>
          <cell r="L259" t="str">
            <v>-</v>
          </cell>
          <cell r="M259" t="str">
            <v>-</v>
          </cell>
          <cell r="N259" t="str">
            <v>No</v>
          </cell>
        </row>
        <row r="260">
          <cell r="F260">
            <v>25</v>
          </cell>
          <cell r="J260" t="str">
            <v>-</v>
          </cell>
          <cell r="K260" t="str">
            <v>-</v>
          </cell>
          <cell r="L260" t="str">
            <v>-</v>
          </cell>
          <cell r="M260" t="str">
            <v>-</v>
          </cell>
          <cell r="N260" t="str">
            <v>No</v>
          </cell>
        </row>
        <row r="261">
          <cell r="F261">
            <v>19</v>
          </cell>
          <cell r="J261" t="str">
            <v>-</v>
          </cell>
          <cell r="K261" t="str">
            <v>INHIL</v>
          </cell>
          <cell r="L261" t="str">
            <v>-</v>
          </cell>
          <cell r="M261" t="str">
            <v>-</v>
          </cell>
          <cell r="N261" t="str">
            <v>INHIL</v>
          </cell>
        </row>
        <row r="262">
          <cell r="F262">
            <v>23</v>
          </cell>
          <cell r="J262" t="str">
            <v>-</v>
          </cell>
          <cell r="K262" t="str">
            <v>INHIL</v>
          </cell>
          <cell r="L262" t="str">
            <v>-</v>
          </cell>
          <cell r="M262" t="str">
            <v>-</v>
          </cell>
          <cell r="N262" t="str">
            <v>INHIL</v>
          </cell>
        </row>
        <row r="263">
          <cell r="F263">
            <v>21</v>
          </cell>
          <cell r="J263" t="str">
            <v>-</v>
          </cell>
          <cell r="K263" t="str">
            <v>-</v>
          </cell>
          <cell r="L263" t="str">
            <v>INHIL</v>
          </cell>
          <cell r="M263" t="str">
            <v>-</v>
          </cell>
          <cell r="N263" t="str">
            <v>INHIL</v>
          </cell>
        </row>
        <row r="264">
          <cell r="F264">
            <v>21</v>
          </cell>
          <cell r="J264" t="str">
            <v>-</v>
          </cell>
          <cell r="K264" t="str">
            <v>-</v>
          </cell>
          <cell r="L264" t="str">
            <v>INHIL</v>
          </cell>
          <cell r="M264" t="str">
            <v>-</v>
          </cell>
          <cell r="N264" t="str">
            <v>INHIL</v>
          </cell>
        </row>
        <row r="265">
          <cell r="F265">
            <v>23</v>
          </cell>
          <cell r="J265" t="str">
            <v>-</v>
          </cell>
          <cell r="K265" t="str">
            <v>-</v>
          </cell>
          <cell r="L265" t="str">
            <v>-</v>
          </cell>
          <cell r="M265" t="str">
            <v>-</v>
          </cell>
          <cell r="N265" t="str">
            <v>No</v>
          </cell>
        </row>
        <row r="266">
          <cell r="F266">
            <v>28</v>
          </cell>
          <cell r="J266" t="str">
            <v>-</v>
          </cell>
          <cell r="K266" t="str">
            <v>-</v>
          </cell>
          <cell r="L266" t="str">
            <v>-</v>
          </cell>
          <cell r="M266" t="str">
            <v>-</v>
          </cell>
          <cell r="N266" t="str">
            <v>No</v>
          </cell>
        </row>
        <row r="267">
          <cell r="F267">
            <v>22</v>
          </cell>
          <cell r="J267" t="str">
            <v>-</v>
          </cell>
          <cell r="K267" t="str">
            <v>-</v>
          </cell>
          <cell r="L267" t="str">
            <v>-</v>
          </cell>
          <cell r="M267" t="str">
            <v>-</v>
          </cell>
          <cell r="N267" t="str">
            <v>No</v>
          </cell>
        </row>
        <row r="268">
          <cell r="F268">
            <v>19</v>
          </cell>
          <cell r="J268" t="str">
            <v>-</v>
          </cell>
          <cell r="K268" t="str">
            <v>-</v>
          </cell>
          <cell r="L268" t="str">
            <v>-</v>
          </cell>
          <cell r="M268" t="str">
            <v>-</v>
          </cell>
          <cell r="N268" t="str">
            <v>No</v>
          </cell>
        </row>
        <row r="269">
          <cell r="F269">
            <v>19</v>
          </cell>
          <cell r="J269" t="str">
            <v>-</v>
          </cell>
          <cell r="K269" t="str">
            <v>-</v>
          </cell>
          <cell r="L269" t="str">
            <v>-</v>
          </cell>
          <cell r="M269" t="str">
            <v>-</v>
          </cell>
          <cell r="N269" t="str">
            <v>No</v>
          </cell>
        </row>
        <row r="270">
          <cell r="F270">
            <v>25</v>
          </cell>
          <cell r="J270" t="str">
            <v>-</v>
          </cell>
          <cell r="K270" t="str">
            <v>-</v>
          </cell>
          <cell r="L270" t="str">
            <v>-</v>
          </cell>
          <cell r="M270" t="str">
            <v>-</v>
          </cell>
          <cell r="N270" t="str">
            <v>No</v>
          </cell>
        </row>
        <row r="271">
          <cell r="F271">
            <v>21</v>
          </cell>
          <cell r="J271" t="str">
            <v>-</v>
          </cell>
          <cell r="K271" t="str">
            <v>-</v>
          </cell>
          <cell r="L271" t="str">
            <v>-</v>
          </cell>
          <cell r="M271" t="str">
            <v>-</v>
          </cell>
          <cell r="N271" t="str">
            <v>No</v>
          </cell>
        </row>
        <row r="272">
          <cell r="F272">
            <v>20</v>
          </cell>
          <cell r="J272" t="str">
            <v>-</v>
          </cell>
          <cell r="K272" t="str">
            <v>INHIL</v>
          </cell>
          <cell r="L272" t="str">
            <v>-</v>
          </cell>
          <cell r="M272" t="str">
            <v>-</v>
          </cell>
          <cell r="N272" t="str">
            <v>INHIL</v>
          </cell>
        </row>
        <row r="273">
          <cell r="F273">
            <v>20</v>
          </cell>
          <cell r="J273" t="str">
            <v>-</v>
          </cell>
          <cell r="K273" t="str">
            <v>-</v>
          </cell>
          <cell r="L273" t="str">
            <v>-</v>
          </cell>
          <cell r="M273" t="str">
            <v>-</v>
          </cell>
          <cell r="N273" t="str">
            <v>No</v>
          </cell>
        </row>
        <row r="274">
          <cell r="F274">
            <v>19</v>
          </cell>
          <cell r="J274" t="str">
            <v>-</v>
          </cell>
          <cell r="K274" t="str">
            <v>-</v>
          </cell>
          <cell r="L274" t="str">
            <v>-</v>
          </cell>
          <cell r="M274" t="str">
            <v>-</v>
          </cell>
          <cell r="N274" t="str">
            <v>No</v>
          </cell>
        </row>
        <row r="275">
          <cell r="F275">
            <v>20</v>
          </cell>
          <cell r="J275" t="str">
            <v>-</v>
          </cell>
          <cell r="K275" t="str">
            <v>-</v>
          </cell>
          <cell r="L275" t="str">
            <v>-</v>
          </cell>
          <cell r="M275" t="str">
            <v>-</v>
          </cell>
          <cell r="N275" t="str">
            <v>No</v>
          </cell>
        </row>
        <row r="276">
          <cell r="F276">
            <v>20</v>
          </cell>
          <cell r="J276" t="str">
            <v>-</v>
          </cell>
          <cell r="K276" t="str">
            <v>-</v>
          </cell>
          <cell r="L276" t="str">
            <v>-</v>
          </cell>
          <cell r="M276" t="str">
            <v>-</v>
          </cell>
          <cell r="N276" t="str">
            <v>No</v>
          </cell>
        </row>
        <row r="277">
          <cell r="F277">
            <v>19</v>
          </cell>
          <cell r="J277" t="str">
            <v>-</v>
          </cell>
          <cell r="K277" t="str">
            <v>-</v>
          </cell>
          <cell r="L277" t="str">
            <v>-</v>
          </cell>
          <cell r="M277" t="str">
            <v>-</v>
          </cell>
          <cell r="N277" t="str">
            <v>No</v>
          </cell>
        </row>
        <row r="278">
          <cell r="F278">
            <v>18</v>
          </cell>
          <cell r="J278" t="str">
            <v>-</v>
          </cell>
          <cell r="K278" t="str">
            <v>-</v>
          </cell>
          <cell r="L278" t="str">
            <v>-</v>
          </cell>
          <cell r="M278" t="str">
            <v>-</v>
          </cell>
          <cell r="N278" t="str">
            <v>No</v>
          </cell>
        </row>
        <row r="279">
          <cell r="F279">
            <v>21</v>
          </cell>
          <cell r="J279" t="str">
            <v>-</v>
          </cell>
          <cell r="K279" t="str">
            <v>-</v>
          </cell>
          <cell r="L279" t="str">
            <v>-</v>
          </cell>
          <cell r="M279" t="str">
            <v>-</v>
          </cell>
          <cell r="N279" t="str">
            <v>No</v>
          </cell>
        </row>
        <row r="280">
          <cell r="F280">
            <v>21</v>
          </cell>
          <cell r="J280" t="str">
            <v>-</v>
          </cell>
          <cell r="K280" t="str">
            <v>-</v>
          </cell>
          <cell r="L280" t="str">
            <v>-</v>
          </cell>
          <cell r="M280" t="str">
            <v>-</v>
          </cell>
          <cell r="N280" t="str">
            <v>No</v>
          </cell>
        </row>
        <row r="281">
          <cell r="F281">
            <v>20</v>
          </cell>
          <cell r="J281" t="str">
            <v>-</v>
          </cell>
          <cell r="K281" t="str">
            <v>-</v>
          </cell>
          <cell r="L281" t="str">
            <v>-</v>
          </cell>
          <cell r="M281" t="str">
            <v>-</v>
          </cell>
          <cell r="N281" t="str">
            <v>No</v>
          </cell>
        </row>
        <row r="282">
          <cell r="F282">
            <v>20</v>
          </cell>
          <cell r="J282" t="str">
            <v>-</v>
          </cell>
          <cell r="K282" t="str">
            <v>-</v>
          </cell>
          <cell r="L282" t="str">
            <v>-</v>
          </cell>
          <cell r="M282" t="str">
            <v>-</v>
          </cell>
          <cell r="N282" t="str">
            <v>No</v>
          </cell>
        </row>
        <row r="283">
          <cell r="F283">
            <v>22</v>
          </cell>
          <cell r="J283" t="str">
            <v>-</v>
          </cell>
          <cell r="K283" t="str">
            <v>-</v>
          </cell>
          <cell r="L283" t="str">
            <v>-</v>
          </cell>
          <cell r="M283" t="str">
            <v>-</v>
          </cell>
          <cell r="N283" t="str">
            <v>No</v>
          </cell>
        </row>
        <row r="284">
          <cell r="F284">
            <v>23</v>
          </cell>
          <cell r="J284" t="str">
            <v>-</v>
          </cell>
          <cell r="K284" t="str">
            <v>-</v>
          </cell>
          <cell r="L284" t="str">
            <v>-</v>
          </cell>
          <cell r="M284" t="str">
            <v>-</v>
          </cell>
          <cell r="N284" t="str">
            <v>No</v>
          </cell>
        </row>
        <row r="285">
          <cell r="F285">
            <v>20</v>
          </cell>
          <cell r="J285" t="str">
            <v>-</v>
          </cell>
          <cell r="K285" t="str">
            <v>-</v>
          </cell>
          <cell r="L285" t="str">
            <v>-</v>
          </cell>
          <cell r="M285" t="str">
            <v>-</v>
          </cell>
          <cell r="N285" t="str">
            <v>No</v>
          </cell>
        </row>
        <row r="286">
          <cell r="F286">
            <v>27</v>
          </cell>
          <cell r="J286" t="str">
            <v>-</v>
          </cell>
          <cell r="K286" t="str">
            <v>-</v>
          </cell>
          <cell r="L286" t="str">
            <v>-</v>
          </cell>
          <cell r="M286" t="str">
            <v>-</v>
          </cell>
          <cell r="N286" t="str">
            <v>No</v>
          </cell>
        </row>
        <row r="287">
          <cell r="F287">
            <v>20</v>
          </cell>
          <cell r="J287" t="str">
            <v>-</v>
          </cell>
          <cell r="K287" t="str">
            <v>-</v>
          </cell>
          <cell r="L287" t="str">
            <v>INHIL</v>
          </cell>
          <cell r="M287" t="str">
            <v>-</v>
          </cell>
          <cell r="N287" t="str">
            <v>INHIL</v>
          </cell>
        </row>
        <row r="288">
          <cell r="F288">
            <v>25</v>
          </cell>
          <cell r="J288" t="str">
            <v>-</v>
          </cell>
          <cell r="K288" t="str">
            <v>-</v>
          </cell>
          <cell r="L288" t="str">
            <v>-</v>
          </cell>
          <cell r="M288" t="str">
            <v>-</v>
          </cell>
          <cell r="N288" t="str">
            <v>No</v>
          </cell>
        </row>
        <row r="289">
          <cell r="F289">
            <v>18</v>
          </cell>
          <cell r="J289" t="str">
            <v>INHIL</v>
          </cell>
          <cell r="K289" t="str">
            <v>-</v>
          </cell>
          <cell r="L289" t="str">
            <v>-</v>
          </cell>
          <cell r="M289" t="str">
            <v>-</v>
          </cell>
          <cell r="N289" t="str">
            <v>INHIL</v>
          </cell>
        </row>
        <row r="290">
          <cell r="F290">
            <v>22</v>
          </cell>
          <cell r="J290" t="str">
            <v>-</v>
          </cell>
          <cell r="K290" t="str">
            <v>-</v>
          </cell>
          <cell r="L290" t="str">
            <v>-</v>
          </cell>
          <cell r="M290" t="str">
            <v>-</v>
          </cell>
          <cell r="N290" t="str">
            <v>No</v>
          </cell>
        </row>
        <row r="291">
          <cell r="F291">
            <v>17</v>
          </cell>
          <cell r="J291" t="str">
            <v>-</v>
          </cell>
          <cell r="K291" t="str">
            <v>INHIL</v>
          </cell>
          <cell r="L291" t="str">
            <v>-</v>
          </cell>
          <cell r="M291" t="str">
            <v>-</v>
          </cell>
          <cell r="N291" t="str">
            <v>INHIL</v>
          </cell>
        </row>
        <row r="292">
          <cell r="F292">
            <v>19</v>
          </cell>
          <cell r="J292" t="str">
            <v>-</v>
          </cell>
          <cell r="K292" t="str">
            <v>INHIL</v>
          </cell>
          <cell r="L292" t="str">
            <v>-</v>
          </cell>
          <cell r="M292" t="str">
            <v>-</v>
          </cell>
          <cell r="N292" t="str">
            <v>INHIL</v>
          </cell>
        </row>
        <row r="293">
          <cell r="F293">
            <v>18</v>
          </cell>
          <cell r="J293" t="str">
            <v>-</v>
          </cell>
          <cell r="K293" t="str">
            <v>-</v>
          </cell>
          <cell r="L293" t="str">
            <v>-</v>
          </cell>
          <cell r="M293" t="str">
            <v>-</v>
          </cell>
          <cell r="N293" t="str">
            <v>No</v>
          </cell>
        </row>
        <row r="294">
          <cell r="F294">
            <v>19</v>
          </cell>
          <cell r="J294" t="str">
            <v>-</v>
          </cell>
          <cell r="K294" t="str">
            <v>-</v>
          </cell>
          <cell r="L294" t="str">
            <v>-</v>
          </cell>
          <cell r="M294" t="str">
            <v>-</v>
          </cell>
          <cell r="N294" t="str">
            <v>No</v>
          </cell>
        </row>
        <row r="295">
          <cell r="F295">
            <v>19</v>
          </cell>
          <cell r="J295" t="str">
            <v>-</v>
          </cell>
          <cell r="K295" t="str">
            <v>-</v>
          </cell>
          <cell r="L295" t="str">
            <v>-</v>
          </cell>
          <cell r="M295" t="str">
            <v>-</v>
          </cell>
          <cell r="N295" t="str">
            <v>No</v>
          </cell>
        </row>
        <row r="296">
          <cell r="F296">
            <v>18</v>
          </cell>
          <cell r="J296" t="str">
            <v>-</v>
          </cell>
          <cell r="K296" t="str">
            <v>-</v>
          </cell>
          <cell r="L296" t="str">
            <v>-</v>
          </cell>
          <cell r="M296" t="str">
            <v>-</v>
          </cell>
          <cell r="N296" t="str">
            <v>No</v>
          </cell>
        </row>
        <row r="297">
          <cell r="F297">
            <v>17</v>
          </cell>
          <cell r="J297" t="str">
            <v>-</v>
          </cell>
          <cell r="K297" t="str">
            <v>-</v>
          </cell>
          <cell r="L297" t="str">
            <v>-</v>
          </cell>
          <cell r="M297" t="str">
            <v>-</v>
          </cell>
          <cell r="N297" t="str">
            <v>No</v>
          </cell>
        </row>
        <row r="298">
          <cell r="F298">
            <v>20</v>
          </cell>
          <cell r="J298" t="str">
            <v>-</v>
          </cell>
          <cell r="K298" t="str">
            <v>-</v>
          </cell>
          <cell r="L298" t="str">
            <v>-</v>
          </cell>
          <cell r="M298" t="str">
            <v>-</v>
          </cell>
          <cell r="N298" t="str">
            <v>No</v>
          </cell>
        </row>
        <row r="299">
          <cell r="F299">
            <v>19</v>
          </cell>
          <cell r="J299" t="str">
            <v>-</v>
          </cell>
          <cell r="K299" t="str">
            <v>-</v>
          </cell>
          <cell r="L299" t="str">
            <v>-</v>
          </cell>
          <cell r="M299" t="str">
            <v>-</v>
          </cell>
          <cell r="N299" t="str">
            <v>No</v>
          </cell>
        </row>
        <row r="300">
          <cell r="F300">
            <v>18</v>
          </cell>
          <cell r="J300" t="str">
            <v>-</v>
          </cell>
          <cell r="K300" t="str">
            <v>-</v>
          </cell>
          <cell r="L300" t="str">
            <v>-</v>
          </cell>
          <cell r="M300" t="str">
            <v>-</v>
          </cell>
          <cell r="N300" t="str">
            <v>No</v>
          </cell>
        </row>
        <row r="301">
          <cell r="F301">
            <v>18</v>
          </cell>
          <cell r="J301" t="str">
            <v>-</v>
          </cell>
          <cell r="K301" t="str">
            <v>-</v>
          </cell>
          <cell r="L301" t="str">
            <v>-</v>
          </cell>
          <cell r="M301" t="str">
            <v>-</v>
          </cell>
          <cell r="N301" t="str">
            <v>No</v>
          </cell>
        </row>
        <row r="302">
          <cell r="F302">
            <v>19</v>
          </cell>
          <cell r="J302" t="str">
            <v>-</v>
          </cell>
          <cell r="K302" t="str">
            <v>-</v>
          </cell>
          <cell r="L302" t="str">
            <v>INHIL</v>
          </cell>
          <cell r="M302" t="str">
            <v>-</v>
          </cell>
          <cell r="N302" t="str">
            <v>INHIL</v>
          </cell>
        </row>
        <row r="303">
          <cell r="F303">
            <v>19</v>
          </cell>
          <cell r="J303" t="str">
            <v>INHIL</v>
          </cell>
          <cell r="K303" t="str">
            <v>-</v>
          </cell>
          <cell r="L303" t="str">
            <v>-</v>
          </cell>
          <cell r="M303" t="str">
            <v>-</v>
          </cell>
          <cell r="N303" t="str">
            <v>INHIL</v>
          </cell>
        </row>
        <row r="304">
          <cell r="F304">
            <v>20</v>
          </cell>
          <cell r="J304" t="str">
            <v>-</v>
          </cell>
          <cell r="K304" t="str">
            <v>-</v>
          </cell>
          <cell r="L304" t="str">
            <v>-</v>
          </cell>
          <cell r="M304" t="str">
            <v>-</v>
          </cell>
          <cell r="N304" t="str">
            <v>No</v>
          </cell>
        </row>
        <row r="305">
          <cell r="F305">
            <v>19</v>
          </cell>
          <cell r="J305" t="str">
            <v>-</v>
          </cell>
          <cell r="K305" t="str">
            <v>-</v>
          </cell>
          <cell r="L305" t="str">
            <v>-</v>
          </cell>
          <cell r="M305" t="str">
            <v>-</v>
          </cell>
          <cell r="N305" t="str">
            <v>No</v>
          </cell>
        </row>
        <row r="306">
          <cell r="F306">
            <v>18</v>
          </cell>
          <cell r="J306" t="str">
            <v>-</v>
          </cell>
          <cell r="K306" t="str">
            <v>-</v>
          </cell>
          <cell r="L306" t="str">
            <v>-</v>
          </cell>
          <cell r="M306" t="str">
            <v>-</v>
          </cell>
          <cell r="N306" t="str">
            <v>No</v>
          </cell>
        </row>
        <row r="307">
          <cell r="F307">
            <v>19</v>
          </cell>
          <cell r="J307" t="str">
            <v>-</v>
          </cell>
          <cell r="K307" t="str">
            <v>-</v>
          </cell>
          <cell r="L307" t="str">
            <v>-</v>
          </cell>
          <cell r="M307" t="str">
            <v>-</v>
          </cell>
          <cell r="N307" t="str">
            <v>No</v>
          </cell>
        </row>
        <row r="308">
          <cell r="F308">
            <v>18</v>
          </cell>
          <cell r="J308" t="str">
            <v>-</v>
          </cell>
          <cell r="K308" t="str">
            <v>-</v>
          </cell>
          <cell r="L308" t="str">
            <v>-</v>
          </cell>
          <cell r="M308" t="str">
            <v>-</v>
          </cell>
          <cell r="N308" t="str">
            <v>No</v>
          </cell>
        </row>
        <row r="309">
          <cell r="F309">
            <v>18</v>
          </cell>
          <cell r="J309" t="str">
            <v>-</v>
          </cell>
          <cell r="K309" t="str">
            <v>-</v>
          </cell>
          <cell r="L309" t="str">
            <v>-</v>
          </cell>
          <cell r="M309" t="str">
            <v>-</v>
          </cell>
          <cell r="N309" t="str">
            <v>No</v>
          </cell>
        </row>
        <row r="310">
          <cell r="F310">
            <v>19</v>
          </cell>
          <cell r="J310" t="str">
            <v>-</v>
          </cell>
          <cell r="K310" t="str">
            <v>-</v>
          </cell>
          <cell r="L310" t="str">
            <v>-</v>
          </cell>
          <cell r="M310" t="str">
            <v>-</v>
          </cell>
          <cell r="N310" t="str">
            <v>No</v>
          </cell>
        </row>
        <row r="311">
          <cell r="F311">
            <v>20</v>
          </cell>
          <cell r="J311" t="str">
            <v>-</v>
          </cell>
          <cell r="K311" t="str">
            <v>-</v>
          </cell>
          <cell r="L311" t="str">
            <v>-</v>
          </cell>
          <cell r="M311" t="str">
            <v>-</v>
          </cell>
          <cell r="N311" t="str">
            <v>No</v>
          </cell>
        </row>
        <row r="312">
          <cell r="F312">
            <v>19</v>
          </cell>
          <cell r="J312" t="str">
            <v>-</v>
          </cell>
          <cell r="K312" t="str">
            <v>-</v>
          </cell>
          <cell r="L312" t="str">
            <v>-</v>
          </cell>
          <cell r="M312" t="str">
            <v>-</v>
          </cell>
          <cell r="N312" t="str">
            <v>No</v>
          </cell>
        </row>
        <row r="313">
          <cell r="F313">
            <v>18</v>
          </cell>
          <cell r="J313" t="str">
            <v>-</v>
          </cell>
          <cell r="K313" t="str">
            <v>-</v>
          </cell>
          <cell r="L313" t="str">
            <v>-</v>
          </cell>
          <cell r="M313" t="str">
            <v>-</v>
          </cell>
          <cell r="N313" t="str">
            <v>No</v>
          </cell>
        </row>
        <row r="314">
          <cell r="F314">
            <v>18</v>
          </cell>
          <cell r="J314" t="str">
            <v>-</v>
          </cell>
          <cell r="K314" t="str">
            <v>-</v>
          </cell>
          <cell r="L314" t="str">
            <v>-</v>
          </cell>
          <cell r="M314" t="str">
            <v>-</v>
          </cell>
          <cell r="N314" t="str">
            <v>No</v>
          </cell>
        </row>
        <row r="315">
          <cell r="F315">
            <v>22</v>
          </cell>
          <cell r="J315" t="str">
            <v>-</v>
          </cell>
          <cell r="K315" t="str">
            <v>-</v>
          </cell>
          <cell r="L315" t="str">
            <v>-</v>
          </cell>
          <cell r="M315" t="str">
            <v>-</v>
          </cell>
          <cell r="N315" t="str">
            <v>No</v>
          </cell>
        </row>
        <row r="316">
          <cell r="F316">
            <v>19</v>
          </cell>
          <cell r="J316" t="str">
            <v>-</v>
          </cell>
          <cell r="K316" t="str">
            <v>-</v>
          </cell>
          <cell r="L316" t="str">
            <v>-</v>
          </cell>
          <cell r="M316" t="str">
            <v>-</v>
          </cell>
          <cell r="N316" t="str">
            <v>INHIL</v>
          </cell>
        </row>
        <row r="317">
          <cell r="F317">
            <v>19</v>
          </cell>
          <cell r="J317" t="str">
            <v>-</v>
          </cell>
          <cell r="K317" t="str">
            <v>-</v>
          </cell>
          <cell r="L317" t="str">
            <v>-</v>
          </cell>
          <cell r="M317" t="str">
            <v>-</v>
          </cell>
          <cell r="N317" t="str">
            <v>INHIL</v>
          </cell>
        </row>
        <row r="318">
          <cell r="F318">
            <v>18</v>
          </cell>
          <cell r="J318" t="str">
            <v>-</v>
          </cell>
          <cell r="K318" t="str">
            <v>-</v>
          </cell>
          <cell r="L318" t="str">
            <v>-</v>
          </cell>
          <cell r="M318" t="str">
            <v>-</v>
          </cell>
          <cell r="N318" t="str">
            <v>INHIL</v>
          </cell>
        </row>
        <row r="319">
          <cell r="F319">
            <v>23</v>
          </cell>
          <cell r="J319" t="str">
            <v>INHIL</v>
          </cell>
          <cell r="K319" t="str">
            <v>-</v>
          </cell>
          <cell r="L319" t="str">
            <v>-</v>
          </cell>
          <cell r="M319" t="str">
            <v>-</v>
          </cell>
          <cell r="N319" t="str">
            <v>INHIL</v>
          </cell>
        </row>
        <row r="320">
          <cell r="F320">
            <v>20</v>
          </cell>
          <cell r="J320" t="str">
            <v>-</v>
          </cell>
          <cell r="K320" t="str">
            <v>-</v>
          </cell>
          <cell r="L320" t="str">
            <v>-</v>
          </cell>
          <cell r="M320" t="str">
            <v>-</v>
          </cell>
          <cell r="N320" t="str">
            <v>INHIL</v>
          </cell>
        </row>
        <row r="321">
          <cell r="F321">
            <v>19</v>
          </cell>
          <cell r="J321" t="str">
            <v>-</v>
          </cell>
          <cell r="K321" t="str">
            <v>-</v>
          </cell>
          <cell r="L321" t="str">
            <v>-</v>
          </cell>
          <cell r="M321" t="str">
            <v>-</v>
          </cell>
          <cell r="N321" t="str">
            <v>INHIL</v>
          </cell>
        </row>
        <row r="322">
          <cell r="F322">
            <v>19</v>
          </cell>
          <cell r="J322" t="str">
            <v>-</v>
          </cell>
          <cell r="K322" t="str">
            <v>-</v>
          </cell>
          <cell r="L322" t="str">
            <v>-</v>
          </cell>
          <cell r="M322" t="str">
            <v>-</v>
          </cell>
          <cell r="N322" t="str">
            <v>INHIL</v>
          </cell>
        </row>
        <row r="323">
          <cell r="F323">
            <v>22</v>
          </cell>
          <cell r="J323" t="str">
            <v>-</v>
          </cell>
          <cell r="K323" t="str">
            <v>-</v>
          </cell>
          <cell r="L323" t="str">
            <v>-</v>
          </cell>
          <cell r="M323" t="str">
            <v>-</v>
          </cell>
          <cell r="N323" t="str">
            <v>INHIL</v>
          </cell>
        </row>
        <row r="324">
          <cell r="F324">
            <v>22</v>
          </cell>
          <cell r="J324" t="str">
            <v>INHIL</v>
          </cell>
          <cell r="K324" t="str">
            <v>-</v>
          </cell>
          <cell r="L324" t="str">
            <v>-</v>
          </cell>
          <cell r="M324" t="str">
            <v>-</v>
          </cell>
          <cell r="N324" t="str">
            <v>INHIL</v>
          </cell>
        </row>
        <row r="325">
          <cell r="F325">
            <v>32</v>
          </cell>
          <cell r="J325" t="str">
            <v>-</v>
          </cell>
          <cell r="K325" t="str">
            <v>-</v>
          </cell>
          <cell r="L325" t="str">
            <v>INHIL</v>
          </cell>
          <cell r="M325" t="str">
            <v>-</v>
          </cell>
          <cell r="N325" t="str">
            <v>INHIL</v>
          </cell>
        </row>
        <row r="326">
          <cell r="F326">
            <v>18</v>
          </cell>
          <cell r="J326" t="str">
            <v>-</v>
          </cell>
          <cell r="K326" t="str">
            <v>-</v>
          </cell>
          <cell r="L326" t="str">
            <v>INHIL</v>
          </cell>
          <cell r="M326" t="str">
            <v>-</v>
          </cell>
          <cell r="N326" t="str">
            <v>INHIL</v>
          </cell>
        </row>
        <row r="327">
          <cell r="F327">
            <v>19</v>
          </cell>
          <cell r="J327" t="str">
            <v>-</v>
          </cell>
          <cell r="K327" t="str">
            <v>-</v>
          </cell>
          <cell r="L327" t="str">
            <v>INHIL</v>
          </cell>
          <cell r="M327" t="str">
            <v>-</v>
          </cell>
          <cell r="N327" t="str">
            <v>INHIL</v>
          </cell>
        </row>
        <row r="328">
          <cell r="F328">
            <v>21</v>
          </cell>
          <cell r="J328" t="str">
            <v>-</v>
          </cell>
          <cell r="K328" t="str">
            <v>-</v>
          </cell>
          <cell r="L328" t="str">
            <v>-</v>
          </cell>
          <cell r="M328" t="str">
            <v>-</v>
          </cell>
          <cell r="N328" t="str">
            <v>INHIL</v>
          </cell>
        </row>
        <row r="329">
          <cell r="F329">
            <v>23</v>
          </cell>
          <cell r="J329" t="str">
            <v>-</v>
          </cell>
          <cell r="K329" t="str">
            <v>INHIL</v>
          </cell>
          <cell r="L329" t="str">
            <v>-</v>
          </cell>
          <cell r="M329" t="str">
            <v>-</v>
          </cell>
          <cell r="N329" t="str">
            <v>INHIL</v>
          </cell>
        </row>
        <row r="330">
          <cell r="F330">
            <v>22</v>
          </cell>
          <cell r="J330" t="str">
            <v>-</v>
          </cell>
          <cell r="K330" t="str">
            <v>-</v>
          </cell>
          <cell r="L330" t="str">
            <v>-</v>
          </cell>
          <cell r="M330" t="str">
            <v>-</v>
          </cell>
          <cell r="N330" t="str">
            <v>No</v>
          </cell>
        </row>
        <row r="331">
          <cell r="F331">
            <v>29</v>
          </cell>
          <cell r="J331" t="str">
            <v>-</v>
          </cell>
          <cell r="K331" t="str">
            <v>-</v>
          </cell>
          <cell r="L331" t="str">
            <v>-</v>
          </cell>
          <cell r="M331" t="str">
            <v>-</v>
          </cell>
          <cell r="N331" t="str">
            <v>No</v>
          </cell>
        </row>
        <row r="332">
          <cell r="F332">
            <v>19</v>
          </cell>
          <cell r="J332" t="str">
            <v>-</v>
          </cell>
          <cell r="K332" t="str">
            <v>-</v>
          </cell>
          <cell r="L332" t="str">
            <v>-</v>
          </cell>
          <cell r="M332" t="str">
            <v>-</v>
          </cell>
          <cell r="N332" t="str">
            <v>No</v>
          </cell>
        </row>
        <row r="333">
          <cell r="F333">
            <v>20</v>
          </cell>
          <cell r="J333" t="str">
            <v>-</v>
          </cell>
          <cell r="K333" t="str">
            <v>-</v>
          </cell>
          <cell r="L333" t="str">
            <v>-</v>
          </cell>
          <cell r="M333" t="str">
            <v>-</v>
          </cell>
          <cell r="N333" t="str">
            <v>No</v>
          </cell>
        </row>
        <row r="334">
          <cell r="F334">
            <v>21</v>
          </cell>
          <cell r="J334" t="str">
            <v>-</v>
          </cell>
          <cell r="K334" t="str">
            <v>-</v>
          </cell>
          <cell r="L334" t="str">
            <v>-</v>
          </cell>
          <cell r="M334" t="str">
            <v>-</v>
          </cell>
          <cell r="N334" t="str">
            <v>No</v>
          </cell>
        </row>
        <row r="335">
          <cell r="F335">
            <v>18</v>
          </cell>
          <cell r="J335" t="str">
            <v>-</v>
          </cell>
          <cell r="K335" t="str">
            <v>-</v>
          </cell>
          <cell r="L335" t="str">
            <v>-</v>
          </cell>
          <cell r="M335" t="str">
            <v>-</v>
          </cell>
          <cell r="N335" t="str">
            <v>No</v>
          </cell>
        </row>
        <row r="336">
          <cell r="F336">
            <v>18</v>
          </cell>
          <cell r="J336" t="str">
            <v>-</v>
          </cell>
          <cell r="K336" t="str">
            <v>-</v>
          </cell>
          <cell r="L336" t="str">
            <v>-</v>
          </cell>
          <cell r="M336" t="str">
            <v>-</v>
          </cell>
          <cell r="N336" t="str">
            <v>No</v>
          </cell>
        </row>
        <row r="337">
          <cell r="F337">
            <v>18</v>
          </cell>
          <cell r="J337" t="str">
            <v>-</v>
          </cell>
          <cell r="K337" t="str">
            <v>-</v>
          </cell>
          <cell r="L337" t="str">
            <v>-</v>
          </cell>
          <cell r="M337" t="str">
            <v>-</v>
          </cell>
          <cell r="N337" t="str">
            <v>INHIL</v>
          </cell>
        </row>
        <row r="338">
          <cell r="F338">
            <v>20</v>
          </cell>
          <cell r="J338" t="str">
            <v>-</v>
          </cell>
          <cell r="K338" t="str">
            <v>-</v>
          </cell>
          <cell r="L338" t="str">
            <v>-</v>
          </cell>
          <cell r="M338" t="str">
            <v>-</v>
          </cell>
          <cell r="N338" t="str">
            <v>INHIL</v>
          </cell>
        </row>
        <row r="339">
          <cell r="F339">
            <v>30</v>
          </cell>
          <cell r="J339" t="str">
            <v>INHIL</v>
          </cell>
          <cell r="K339" t="str">
            <v>-</v>
          </cell>
          <cell r="L339" t="str">
            <v>-</v>
          </cell>
          <cell r="M339" t="str">
            <v>-</v>
          </cell>
          <cell r="N339" t="str">
            <v>INHIL</v>
          </cell>
        </row>
        <row r="340">
          <cell r="F340">
            <v>31</v>
          </cell>
          <cell r="J340" t="str">
            <v>INHIL</v>
          </cell>
          <cell r="K340" t="str">
            <v>-</v>
          </cell>
          <cell r="L340" t="str">
            <v>-</v>
          </cell>
          <cell r="M340" t="str">
            <v>-</v>
          </cell>
          <cell r="N340" t="str">
            <v>INHIL</v>
          </cell>
        </row>
        <row r="341">
          <cell r="F341">
            <v>19</v>
          </cell>
          <cell r="J341" t="str">
            <v>-</v>
          </cell>
          <cell r="K341" t="str">
            <v>-</v>
          </cell>
          <cell r="L341" t="str">
            <v>INHIL</v>
          </cell>
          <cell r="M341" t="str">
            <v>-</v>
          </cell>
          <cell r="N341" t="str">
            <v>INHIL</v>
          </cell>
        </row>
        <row r="342">
          <cell r="F342">
            <v>22</v>
          </cell>
          <cell r="J342" t="str">
            <v>INHIL</v>
          </cell>
          <cell r="K342" t="str">
            <v>-</v>
          </cell>
          <cell r="L342" t="str">
            <v>-</v>
          </cell>
          <cell r="M342" t="str">
            <v>-</v>
          </cell>
          <cell r="N342" t="str">
            <v>INHIL</v>
          </cell>
        </row>
        <row r="343">
          <cell r="F343">
            <v>22</v>
          </cell>
          <cell r="J343" t="str">
            <v>-</v>
          </cell>
          <cell r="K343" t="str">
            <v>-</v>
          </cell>
          <cell r="L343" t="str">
            <v>-</v>
          </cell>
          <cell r="M343" t="str">
            <v>-</v>
          </cell>
          <cell r="N343" t="str">
            <v>No</v>
          </cell>
        </row>
        <row r="344">
          <cell r="F344">
            <v>18</v>
          </cell>
          <cell r="J344" t="str">
            <v>-</v>
          </cell>
          <cell r="K344" t="str">
            <v>-</v>
          </cell>
          <cell r="L344" t="str">
            <v>-</v>
          </cell>
          <cell r="M344" t="str">
            <v>-</v>
          </cell>
          <cell r="N344" t="str">
            <v>No</v>
          </cell>
        </row>
        <row r="345">
          <cell r="F345">
            <v>18</v>
          </cell>
          <cell r="J345" t="str">
            <v>-</v>
          </cell>
          <cell r="K345" t="str">
            <v>-</v>
          </cell>
          <cell r="L345" t="str">
            <v>-</v>
          </cell>
          <cell r="M345" t="str">
            <v>-</v>
          </cell>
          <cell r="N345" t="str">
            <v>No</v>
          </cell>
        </row>
        <row r="346">
          <cell r="F346">
            <v>19</v>
          </cell>
          <cell r="J346" t="str">
            <v>-</v>
          </cell>
          <cell r="K346" t="str">
            <v>-</v>
          </cell>
          <cell r="L346" t="str">
            <v>-</v>
          </cell>
          <cell r="M346" t="str">
            <v>-</v>
          </cell>
          <cell r="N346" t="str">
            <v>No</v>
          </cell>
        </row>
        <row r="347">
          <cell r="F347">
            <v>18</v>
          </cell>
          <cell r="J347" t="str">
            <v>-</v>
          </cell>
          <cell r="K347" t="str">
            <v>-</v>
          </cell>
          <cell r="L347" t="str">
            <v>-</v>
          </cell>
          <cell r="M347" t="str">
            <v>-</v>
          </cell>
          <cell r="N347" t="str">
            <v>No</v>
          </cell>
        </row>
        <row r="348">
          <cell r="F348">
            <v>18</v>
          </cell>
          <cell r="J348" t="str">
            <v>-</v>
          </cell>
          <cell r="K348" t="str">
            <v>-</v>
          </cell>
          <cell r="L348" t="str">
            <v>-</v>
          </cell>
          <cell r="M348" t="str">
            <v>-</v>
          </cell>
          <cell r="N348" t="str">
            <v>No</v>
          </cell>
        </row>
        <row r="349">
          <cell r="F349">
            <v>18</v>
          </cell>
          <cell r="J349" t="str">
            <v>-</v>
          </cell>
          <cell r="K349" t="str">
            <v>-</v>
          </cell>
          <cell r="L349" t="str">
            <v>-</v>
          </cell>
          <cell r="M349" t="str">
            <v>-</v>
          </cell>
          <cell r="N349" t="str">
            <v>No</v>
          </cell>
        </row>
        <row r="350">
          <cell r="F350">
            <v>18</v>
          </cell>
          <cell r="J350" t="str">
            <v>-</v>
          </cell>
          <cell r="K350" t="str">
            <v>-</v>
          </cell>
          <cell r="L350" t="str">
            <v>-</v>
          </cell>
          <cell r="M350" t="str">
            <v>-</v>
          </cell>
          <cell r="N350" t="str">
            <v>No</v>
          </cell>
        </row>
        <row r="351">
          <cell r="F351">
            <v>19</v>
          </cell>
          <cell r="J351" t="str">
            <v>-</v>
          </cell>
          <cell r="K351" t="str">
            <v>-</v>
          </cell>
          <cell r="L351" t="str">
            <v>-</v>
          </cell>
          <cell r="M351" t="str">
            <v>-</v>
          </cell>
          <cell r="N351" t="str">
            <v>No</v>
          </cell>
        </row>
        <row r="352">
          <cell r="F352">
            <v>33</v>
          </cell>
          <cell r="J352" t="str">
            <v>INHIL</v>
          </cell>
          <cell r="K352" t="str">
            <v>-</v>
          </cell>
          <cell r="L352" t="str">
            <v>-</v>
          </cell>
          <cell r="M352" t="str">
            <v>-</v>
          </cell>
          <cell r="N352" t="str">
            <v>INHIL</v>
          </cell>
        </row>
        <row r="353">
          <cell r="F353">
            <v>18</v>
          </cell>
          <cell r="J353" t="str">
            <v>-</v>
          </cell>
          <cell r="K353" t="str">
            <v>-</v>
          </cell>
          <cell r="L353" t="str">
            <v>-</v>
          </cell>
          <cell r="M353" t="str">
            <v>-</v>
          </cell>
          <cell r="N353" t="str">
            <v>No</v>
          </cell>
        </row>
        <row r="354">
          <cell r="F354">
            <v>19</v>
          </cell>
          <cell r="J354" t="str">
            <v>-</v>
          </cell>
          <cell r="K354" t="str">
            <v>-</v>
          </cell>
          <cell r="L354" t="str">
            <v>-</v>
          </cell>
          <cell r="M354" t="str">
            <v>-</v>
          </cell>
          <cell r="N354" t="str">
            <v>No</v>
          </cell>
        </row>
        <row r="355">
          <cell r="F355">
            <v>19</v>
          </cell>
          <cell r="J355" t="str">
            <v>-</v>
          </cell>
          <cell r="K355" t="str">
            <v>-</v>
          </cell>
          <cell r="L355" t="str">
            <v>-</v>
          </cell>
          <cell r="M355" t="str">
            <v>-</v>
          </cell>
          <cell r="N355" t="str">
            <v>No</v>
          </cell>
        </row>
        <row r="356">
          <cell r="F356">
            <v>25</v>
          </cell>
          <cell r="J356" t="str">
            <v>-</v>
          </cell>
          <cell r="K356" t="str">
            <v>-</v>
          </cell>
          <cell r="L356" t="str">
            <v>-</v>
          </cell>
          <cell r="M356" t="str">
            <v>-</v>
          </cell>
          <cell r="N356" t="str">
            <v>No</v>
          </cell>
        </row>
        <row r="357">
          <cell r="F357">
            <v>21</v>
          </cell>
          <cell r="J357" t="str">
            <v>-</v>
          </cell>
          <cell r="K357" t="str">
            <v>-</v>
          </cell>
          <cell r="L357" t="str">
            <v>INHIL</v>
          </cell>
          <cell r="M357" t="str">
            <v>-</v>
          </cell>
          <cell r="N357" t="str">
            <v>INHIL</v>
          </cell>
        </row>
        <row r="358">
          <cell r="F358">
            <v>20</v>
          </cell>
          <cell r="J358" t="str">
            <v>-</v>
          </cell>
          <cell r="K358" t="str">
            <v>-</v>
          </cell>
          <cell r="L358" t="str">
            <v>-</v>
          </cell>
          <cell r="M358" t="str">
            <v>-</v>
          </cell>
          <cell r="N358" t="str">
            <v>No</v>
          </cell>
        </row>
        <row r="359">
          <cell r="F359">
            <v>20</v>
          </cell>
          <cell r="J359" t="str">
            <v>-</v>
          </cell>
          <cell r="K359" t="str">
            <v>-</v>
          </cell>
          <cell r="L359" t="str">
            <v>INHIL</v>
          </cell>
          <cell r="M359" t="str">
            <v>-</v>
          </cell>
          <cell r="N359" t="str">
            <v>INHIL</v>
          </cell>
        </row>
        <row r="360">
          <cell r="F360">
            <v>21</v>
          </cell>
          <cell r="J360" t="str">
            <v>-</v>
          </cell>
          <cell r="K360" t="str">
            <v>-</v>
          </cell>
          <cell r="L360" t="str">
            <v>-</v>
          </cell>
          <cell r="M360" t="str">
            <v>-</v>
          </cell>
          <cell r="N360" t="str">
            <v>No</v>
          </cell>
        </row>
        <row r="361">
          <cell r="F361">
            <v>27</v>
          </cell>
          <cell r="J361" t="str">
            <v>INHIL</v>
          </cell>
          <cell r="K361" t="str">
            <v>-</v>
          </cell>
          <cell r="L361" t="str">
            <v>-</v>
          </cell>
          <cell r="M361" t="str">
            <v>-</v>
          </cell>
          <cell r="N361" t="str">
            <v>INHIL</v>
          </cell>
        </row>
        <row r="362">
          <cell r="F362">
            <v>22</v>
          </cell>
          <cell r="J362" t="str">
            <v>-</v>
          </cell>
          <cell r="K362" t="str">
            <v>-</v>
          </cell>
          <cell r="L362" t="str">
            <v>-</v>
          </cell>
          <cell r="M362" t="str">
            <v>-</v>
          </cell>
          <cell r="N362" t="str">
            <v>No</v>
          </cell>
        </row>
        <row r="363">
          <cell r="F363">
            <v>19</v>
          </cell>
          <cell r="J363" t="str">
            <v>-</v>
          </cell>
          <cell r="K363" t="str">
            <v>-</v>
          </cell>
          <cell r="L363" t="str">
            <v>INHIL</v>
          </cell>
          <cell r="M363" t="str">
            <v>-</v>
          </cell>
          <cell r="N363" t="str">
            <v>INHIL</v>
          </cell>
        </row>
        <row r="364">
          <cell r="F364">
            <v>22</v>
          </cell>
          <cell r="J364" t="str">
            <v>-</v>
          </cell>
          <cell r="K364" t="str">
            <v>-</v>
          </cell>
          <cell r="L364" t="str">
            <v>INHIL</v>
          </cell>
          <cell r="M364" t="str">
            <v>-</v>
          </cell>
          <cell r="N364" t="str">
            <v>INHIL</v>
          </cell>
        </row>
        <row r="365">
          <cell r="F365">
            <v>19</v>
          </cell>
          <cell r="J365" t="str">
            <v>-</v>
          </cell>
          <cell r="K365" t="str">
            <v>-</v>
          </cell>
          <cell r="L365" t="str">
            <v>-</v>
          </cell>
          <cell r="M365" t="str">
            <v>-</v>
          </cell>
          <cell r="N365" t="str">
            <v>No</v>
          </cell>
        </row>
        <row r="366">
          <cell r="F366">
            <v>18</v>
          </cell>
          <cell r="J366" t="str">
            <v>-</v>
          </cell>
          <cell r="K366" t="str">
            <v>INHIL</v>
          </cell>
          <cell r="L366" t="str">
            <v>-</v>
          </cell>
          <cell r="M366" t="str">
            <v>-</v>
          </cell>
          <cell r="N366" t="str">
            <v>INHIL</v>
          </cell>
        </row>
        <row r="367">
          <cell r="F367">
            <v>19</v>
          </cell>
          <cell r="J367" t="str">
            <v>-</v>
          </cell>
          <cell r="K367" t="str">
            <v>-</v>
          </cell>
          <cell r="L367" t="str">
            <v>-</v>
          </cell>
          <cell r="M367" t="str">
            <v>-</v>
          </cell>
          <cell r="N367" t="str">
            <v>No</v>
          </cell>
        </row>
        <row r="368">
          <cell r="F368">
            <v>20</v>
          </cell>
          <cell r="J368" t="str">
            <v>-</v>
          </cell>
          <cell r="K368" t="str">
            <v>-</v>
          </cell>
          <cell r="L368" t="str">
            <v>-</v>
          </cell>
          <cell r="M368" t="str">
            <v>-</v>
          </cell>
          <cell r="N368" t="str">
            <v>No</v>
          </cell>
        </row>
        <row r="369">
          <cell r="F369">
            <v>18</v>
          </cell>
          <cell r="J369" t="str">
            <v>INHIL</v>
          </cell>
          <cell r="K369" t="str">
            <v>-</v>
          </cell>
          <cell r="L369" t="str">
            <v>-</v>
          </cell>
          <cell r="M369" t="str">
            <v>-</v>
          </cell>
          <cell r="N369" t="str">
            <v>INHIL</v>
          </cell>
        </row>
        <row r="370">
          <cell r="F370">
            <v>19</v>
          </cell>
          <cell r="J370" t="str">
            <v>-</v>
          </cell>
          <cell r="K370" t="str">
            <v>-</v>
          </cell>
          <cell r="L370" t="str">
            <v>-</v>
          </cell>
          <cell r="M370" t="str">
            <v>-</v>
          </cell>
          <cell r="N370" t="str">
            <v>No</v>
          </cell>
        </row>
        <row r="371">
          <cell r="F371">
            <v>19</v>
          </cell>
          <cell r="J371" t="str">
            <v>-</v>
          </cell>
          <cell r="K371" t="str">
            <v>-</v>
          </cell>
          <cell r="L371" t="str">
            <v>-</v>
          </cell>
          <cell r="M371" t="str">
            <v>-</v>
          </cell>
          <cell r="N371" t="str">
            <v>No</v>
          </cell>
        </row>
        <row r="372">
          <cell r="F372">
            <v>19</v>
          </cell>
          <cell r="J372" t="str">
            <v>-</v>
          </cell>
          <cell r="K372" t="str">
            <v>-</v>
          </cell>
          <cell r="L372" t="str">
            <v>-</v>
          </cell>
          <cell r="M372" t="str">
            <v>-</v>
          </cell>
          <cell r="N372" t="str">
            <v>No</v>
          </cell>
        </row>
        <row r="373">
          <cell r="F373">
            <v>21</v>
          </cell>
          <cell r="J373" t="str">
            <v>-</v>
          </cell>
          <cell r="K373" t="str">
            <v>-</v>
          </cell>
          <cell r="L373" t="str">
            <v>-</v>
          </cell>
          <cell r="M373" t="str">
            <v>-</v>
          </cell>
          <cell r="N373" t="str">
            <v>No</v>
          </cell>
        </row>
        <row r="374">
          <cell r="F374">
            <v>20</v>
          </cell>
          <cell r="J374" t="str">
            <v>-</v>
          </cell>
          <cell r="K374" t="str">
            <v>-</v>
          </cell>
          <cell r="L374" t="str">
            <v>-</v>
          </cell>
          <cell r="M374" t="str">
            <v>-</v>
          </cell>
          <cell r="N374" t="str">
            <v>No</v>
          </cell>
        </row>
        <row r="375">
          <cell r="F375">
            <v>19</v>
          </cell>
          <cell r="J375" t="str">
            <v>-</v>
          </cell>
          <cell r="K375" t="str">
            <v>-</v>
          </cell>
          <cell r="L375" t="str">
            <v>INHIL</v>
          </cell>
          <cell r="M375" t="str">
            <v>-</v>
          </cell>
          <cell r="N375" t="str">
            <v>INHIL</v>
          </cell>
        </row>
        <row r="376">
          <cell r="F376">
            <v>21</v>
          </cell>
          <cell r="J376" t="str">
            <v>-</v>
          </cell>
          <cell r="K376" t="str">
            <v>-</v>
          </cell>
          <cell r="L376" t="str">
            <v>INHIL</v>
          </cell>
          <cell r="M376" t="str">
            <v>-</v>
          </cell>
          <cell r="N376" t="str">
            <v>INHIL</v>
          </cell>
        </row>
        <row r="377">
          <cell r="F377">
            <v>20</v>
          </cell>
          <cell r="J377" t="str">
            <v>-</v>
          </cell>
          <cell r="K377" t="str">
            <v>-</v>
          </cell>
          <cell r="L377" t="str">
            <v>-</v>
          </cell>
          <cell r="M377" t="str">
            <v>-</v>
          </cell>
          <cell r="N377" t="str">
            <v>No</v>
          </cell>
        </row>
        <row r="378">
          <cell r="F378">
            <v>22</v>
          </cell>
          <cell r="J378" t="str">
            <v>-</v>
          </cell>
          <cell r="K378" t="str">
            <v>-</v>
          </cell>
          <cell r="L378" t="str">
            <v>-</v>
          </cell>
          <cell r="M378" t="str">
            <v>-</v>
          </cell>
          <cell r="N378" t="str">
            <v>No</v>
          </cell>
        </row>
        <row r="379">
          <cell r="F379">
            <v>19</v>
          </cell>
          <cell r="J379" t="str">
            <v>-</v>
          </cell>
          <cell r="K379" t="str">
            <v>-</v>
          </cell>
          <cell r="L379" t="str">
            <v>-</v>
          </cell>
          <cell r="M379" t="str">
            <v>-</v>
          </cell>
          <cell r="N379" t="str">
            <v>No</v>
          </cell>
        </row>
        <row r="380">
          <cell r="F380">
            <v>21</v>
          </cell>
          <cell r="J380" t="str">
            <v>-</v>
          </cell>
          <cell r="K380" t="str">
            <v>-</v>
          </cell>
          <cell r="L380" t="str">
            <v>-</v>
          </cell>
          <cell r="M380" t="str">
            <v>-</v>
          </cell>
          <cell r="N380" t="str">
            <v>No</v>
          </cell>
        </row>
        <row r="381">
          <cell r="F381">
            <v>20</v>
          </cell>
          <cell r="J381" t="str">
            <v>-</v>
          </cell>
          <cell r="K381" t="str">
            <v>-</v>
          </cell>
          <cell r="L381" t="str">
            <v>-</v>
          </cell>
          <cell r="M381" t="str">
            <v>-</v>
          </cell>
          <cell r="N381" t="str">
            <v>No</v>
          </cell>
        </row>
        <row r="382">
          <cell r="F382">
            <v>19</v>
          </cell>
          <cell r="J382" t="str">
            <v>-</v>
          </cell>
          <cell r="K382" t="str">
            <v>-</v>
          </cell>
          <cell r="L382" t="str">
            <v>-</v>
          </cell>
          <cell r="M382" t="str">
            <v>-</v>
          </cell>
          <cell r="N382" t="str">
            <v>No</v>
          </cell>
        </row>
        <row r="383">
          <cell r="F383">
            <v>18</v>
          </cell>
          <cell r="J383" t="str">
            <v>-</v>
          </cell>
          <cell r="K383" t="str">
            <v>-</v>
          </cell>
          <cell r="L383" t="str">
            <v>-</v>
          </cell>
          <cell r="M383" t="str">
            <v>-</v>
          </cell>
          <cell r="N383" t="str">
            <v>No</v>
          </cell>
        </row>
        <row r="384">
          <cell r="F384">
            <v>19</v>
          </cell>
          <cell r="J384" t="str">
            <v>-</v>
          </cell>
          <cell r="K384" t="str">
            <v>-</v>
          </cell>
          <cell r="L384" t="str">
            <v>-</v>
          </cell>
          <cell r="M384" t="str">
            <v>-</v>
          </cell>
          <cell r="N384" t="str">
            <v>No</v>
          </cell>
        </row>
        <row r="385">
          <cell r="F385">
            <v>19</v>
          </cell>
          <cell r="J385" t="str">
            <v>-</v>
          </cell>
          <cell r="K385" t="str">
            <v>-</v>
          </cell>
          <cell r="L385" t="str">
            <v>-</v>
          </cell>
          <cell r="M385" t="str">
            <v>-</v>
          </cell>
          <cell r="N385" t="str">
            <v>No</v>
          </cell>
        </row>
        <row r="386">
          <cell r="F386">
            <v>18</v>
          </cell>
          <cell r="J386" t="str">
            <v>-</v>
          </cell>
          <cell r="K386" t="str">
            <v>-</v>
          </cell>
          <cell r="L386" t="str">
            <v>-</v>
          </cell>
          <cell r="M386" t="str">
            <v>-</v>
          </cell>
          <cell r="N386" t="str">
            <v>No</v>
          </cell>
        </row>
        <row r="387">
          <cell r="F387">
            <v>18</v>
          </cell>
          <cell r="J387" t="str">
            <v>-</v>
          </cell>
          <cell r="K387" t="str">
            <v>-</v>
          </cell>
          <cell r="L387" t="str">
            <v>-</v>
          </cell>
          <cell r="M387" t="str">
            <v>-</v>
          </cell>
          <cell r="N387" t="str">
            <v>No</v>
          </cell>
        </row>
        <row r="388">
          <cell r="F388">
            <v>18</v>
          </cell>
          <cell r="J388" t="str">
            <v>-</v>
          </cell>
          <cell r="K388" t="str">
            <v>-</v>
          </cell>
          <cell r="L388" t="str">
            <v>-</v>
          </cell>
          <cell r="M388" t="str">
            <v>-</v>
          </cell>
          <cell r="N388" t="str">
            <v>No</v>
          </cell>
        </row>
        <row r="389">
          <cell r="F389">
            <v>19</v>
          </cell>
          <cell r="J389" t="str">
            <v>-</v>
          </cell>
          <cell r="K389" t="str">
            <v>-</v>
          </cell>
          <cell r="L389" t="str">
            <v>-</v>
          </cell>
          <cell r="M389" t="str">
            <v>-</v>
          </cell>
          <cell r="N389" t="str">
            <v>No</v>
          </cell>
        </row>
        <row r="390">
          <cell r="F390">
            <v>19</v>
          </cell>
          <cell r="J390" t="str">
            <v>-</v>
          </cell>
          <cell r="K390" t="str">
            <v>-</v>
          </cell>
          <cell r="L390" t="str">
            <v>-</v>
          </cell>
          <cell r="M390" t="str">
            <v>-</v>
          </cell>
          <cell r="N390" t="str">
            <v>No</v>
          </cell>
        </row>
        <row r="391">
          <cell r="F391">
            <v>19</v>
          </cell>
          <cell r="J391" t="str">
            <v>-</v>
          </cell>
          <cell r="K391" t="str">
            <v>-</v>
          </cell>
          <cell r="L391" t="str">
            <v>-</v>
          </cell>
          <cell r="M391" t="str">
            <v>-</v>
          </cell>
          <cell r="N391" t="str">
            <v>No</v>
          </cell>
        </row>
        <row r="392">
          <cell r="F392">
            <v>21</v>
          </cell>
          <cell r="J392" t="str">
            <v>-</v>
          </cell>
          <cell r="K392" t="str">
            <v>-</v>
          </cell>
          <cell r="L392" t="str">
            <v>-</v>
          </cell>
          <cell r="M392" t="str">
            <v>-</v>
          </cell>
          <cell r="N392" t="str">
            <v>No</v>
          </cell>
        </row>
        <row r="393">
          <cell r="F393">
            <v>18</v>
          </cell>
          <cell r="J393" t="str">
            <v>-</v>
          </cell>
          <cell r="K393" t="str">
            <v>-</v>
          </cell>
          <cell r="L393" t="str">
            <v>-</v>
          </cell>
          <cell r="M393" t="str">
            <v>-</v>
          </cell>
          <cell r="N393" t="str">
            <v>No</v>
          </cell>
        </row>
        <row r="394">
          <cell r="F394">
            <v>21</v>
          </cell>
          <cell r="J394" t="str">
            <v>-</v>
          </cell>
          <cell r="K394" t="str">
            <v>-</v>
          </cell>
          <cell r="L394" t="str">
            <v>INHIL</v>
          </cell>
          <cell r="M394" t="str">
            <v>-</v>
          </cell>
          <cell r="N394" t="str">
            <v>INHIL</v>
          </cell>
        </row>
        <row r="395">
          <cell r="F395">
            <v>19</v>
          </cell>
          <cell r="J395" t="str">
            <v>-</v>
          </cell>
          <cell r="K395" t="str">
            <v>-</v>
          </cell>
          <cell r="L395" t="str">
            <v>INHIL</v>
          </cell>
          <cell r="M395" t="str">
            <v>-</v>
          </cell>
          <cell r="N395" t="str">
            <v>INHIL</v>
          </cell>
        </row>
        <row r="396">
          <cell r="F396">
            <v>18</v>
          </cell>
          <cell r="J396" t="str">
            <v>-</v>
          </cell>
          <cell r="K396" t="str">
            <v>INHIL</v>
          </cell>
          <cell r="L396" t="str">
            <v>-</v>
          </cell>
          <cell r="M396" t="str">
            <v>-</v>
          </cell>
          <cell r="N396" t="str">
            <v>INHIL</v>
          </cell>
        </row>
        <row r="397">
          <cell r="F397">
            <v>21</v>
          </cell>
          <cell r="J397" t="str">
            <v>-</v>
          </cell>
          <cell r="K397" t="str">
            <v>-</v>
          </cell>
          <cell r="L397" t="str">
            <v>-</v>
          </cell>
          <cell r="M397" t="str">
            <v>-</v>
          </cell>
          <cell r="N397" t="str">
            <v>No</v>
          </cell>
        </row>
        <row r="398">
          <cell r="F398">
            <v>20</v>
          </cell>
          <cell r="J398" t="str">
            <v>-</v>
          </cell>
          <cell r="K398" t="str">
            <v>-</v>
          </cell>
          <cell r="L398" t="str">
            <v>-</v>
          </cell>
          <cell r="M398" t="str">
            <v>-</v>
          </cell>
          <cell r="N398" t="str">
            <v>No</v>
          </cell>
        </row>
        <row r="399">
          <cell r="F399">
            <v>19</v>
          </cell>
          <cell r="J399" t="str">
            <v>-</v>
          </cell>
          <cell r="K399" t="str">
            <v>-</v>
          </cell>
          <cell r="L399" t="str">
            <v>-</v>
          </cell>
          <cell r="M399" t="str">
            <v>-</v>
          </cell>
          <cell r="N399" t="str">
            <v>No</v>
          </cell>
        </row>
        <row r="400">
          <cell r="F400">
            <v>19</v>
          </cell>
          <cell r="J400" t="str">
            <v>-</v>
          </cell>
          <cell r="K400" t="str">
            <v>-</v>
          </cell>
          <cell r="L400" t="str">
            <v>-</v>
          </cell>
          <cell r="M400" t="str">
            <v>-</v>
          </cell>
          <cell r="N400" t="str">
            <v>No</v>
          </cell>
        </row>
        <row r="401">
          <cell r="F401">
            <v>18</v>
          </cell>
          <cell r="J401" t="str">
            <v>-</v>
          </cell>
          <cell r="K401" t="str">
            <v>-</v>
          </cell>
          <cell r="L401" t="str">
            <v>-</v>
          </cell>
          <cell r="M401" t="str">
            <v>-</v>
          </cell>
          <cell r="N401" t="str">
            <v>No</v>
          </cell>
        </row>
        <row r="402">
          <cell r="F402">
            <v>19</v>
          </cell>
          <cell r="J402" t="str">
            <v>-</v>
          </cell>
          <cell r="K402" t="str">
            <v>-</v>
          </cell>
          <cell r="L402" t="str">
            <v>-</v>
          </cell>
          <cell r="M402" t="str">
            <v>-</v>
          </cell>
          <cell r="N402" t="str">
            <v>No</v>
          </cell>
        </row>
        <row r="403">
          <cell r="F403">
            <v>19</v>
          </cell>
          <cell r="J403" t="str">
            <v>-</v>
          </cell>
          <cell r="K403" t="str">
            <v>-</v>
          </cell>
          <cell r="L403" t="str">
            <v>-</v>
          </cell>
          <cell r="M403" t="str">
            <v>-</v>
          </cell>
          <cell r="N403" t="str">
            <v>No</v>
          </cell>
        </row>
        <row r="404">
          <cell r="F404">
            <v>18</v>
          </cell>
          <cell r="J404" t="str">
            <v>-</v>
          </cell>
          <cell r="K404" t="str">
            <v>-</v>
          </cell>
          <cell r="L404" t="str">
            <v>-</v>
          </cell>
          <cell r="M404" t="str">
            <v>-</v>
          </cell>
          <cell r="N404" t="str">
            <v>No</v>
          </cell>
        </row>
        <row r="405">
          <cell r="F405">
            <v>23</v>
          </cell>
          <cell r="J405" t="str">
            <v>-</v>
          </cell>
          <cell r="K405" t="str">
            <v>-</v>
          </cell>
          <cell r="L405" t="str">
            <v>-</v>
          </cell>
          <cell r="M405" t="str">
            <v>-</v>
          </cell>
          <cell r="N405" t="str">
            <v>No</v>
          </cell>
        </row>
        <row r="406">
          <cell r="F406">
            <v>22</v>
          </cell>
          <cell r="J406" t="str">
            <v>-</v>
          </cell>
          <cell r="K406" t="str">
            <v>-</v>
          </cell>
          <cell r="L406" t="str">
            <v>-</v>
          </cell>
          <cell r="M406" t="str">
            <v>-</v>
          </cell>
          <cell r="N406" t="str">
            <v>No</v>
          </cell>
        </row>
        <row r="407">
          <cell r="F407">
            <v>19</v>
          </cell>
          <cell r="J407" t="str">
            <v>-</v>
          </cell>
          <cell r="K407" t="str">
            <v>-</v>
          </cell>
          <cell r="L407" t="str">
            <v>-</v>
          </cell>
          <cell r="M407" t="str">
            <v>-</v>
          </cell>
          <cell r="N407" t="str">
            <v>No</v>
          </cell>
        </row>
        <row r="408">
          <cell r="F408">
            <v>21</v>
          </cell>
          <cell r="J408" t="str">
            <v>-</v>
          </cell>
          <cell r="K408" t="str">
            <v>-</v>
          </cell>
          <cell r="L408" t="str">
            <v>-</v>
          </cell>
          <cell r="M408" t="str">
            <v>-</v>
          </cell>
          <cell r="N408" t="str">
            <v>No</v>
          </cell>
        </row>
        <row r="409">
          <cell r="F409">
            <v>21</v>
          </cell>
          <cell r="J409" t="str">
            <v>-</v>
          </cell>
          <cell r="K409" t="str">
            <v>-</v>
          </cell>
          <cell r="L409" t="str">
            <v>-</v>
          </cell>
          <cell r="M409" t="str">
            <v>-</v>
          </cell>
          <cell r="N409" t="str">
            <v>No</v>
          </cell>
        </row>
        <row r="410">
          <cell r="F410">
            <v>20</v>
          </cell>
          <cell r="J410" t="str">
            <v>-</v>
          </cell>
          <cell r="K410" t="str">
            <v>-</v>
          </cell>
          <cell r="L410" t="str">
            <v>INHIL</v>
          </cell>
          <cell r="M410" t="str">
            <v>-</v>
          </cell>
          <cell r="N410" t="str">
            <v>INHIL</v>
          </cell>
        </row>
        <row r="411">
          <cell r="F411">
            <v>19</v>
          </cell>
          <cell r="J411" t="str">
            <v>-</v>
          </cell>
          <cell r="K411" t="str">
            <v>-</v>
          </cell>
          <cell r="L411" t="str">
            <v>-</v>
          </cell>
          <cell r="M411" t="str">
            <v>-</v>
          </cell>
          <cell r="N411" t="str">
            <v>No</v>
          </cell>
        </row>
        <row r="412">
          <cell r="F412">
            <v>20</v>
          </cell>
          <cell r="J412" t="str">
            <v>-</v>
          </cell>
          <cell r="K412" t="str">
            <v>-</v>
          </cell>
          <cell r="L412" t="str">
            <v>-</v>
          </cell>
          <cell r="M412" t="str">
            <v>-</v>
          </cell>
          <cell r="N412" t="str">
            <v>No</v>
          </cell>
        </row>
        <row r="413">
          <cell r="F413">
            <v>24</v>
          </cell>
          <cell r="J413" t="str">
            <v>-</v>
          </cell>
          <cell r="K413" t="str">
            <v>-</v>
          </cell>
          <cell r="L413" t="str">
            <v>-</v>
          </cell>
          <cell r="M413" t="str">
            <v>-</v>
          </cell>
          <cell r="N413" t="str">
            <v>No</v>
          </cell>
        </row>
        <row r="414">
          <cell r="F414">
            <v>21</v>
          </cell>
          <cell r="J414" t="str">
            <v>-</v>
          </cell>
          <cell r="K414" t="str">
            <v>-</v>
          </cell>
          <cell r="L414" t="str">
            <v>INHIL</v>
          </cell>
          <cell r="M414" t="str">
            <v>-</v>
          </cell>
          <cell r="N414" t="str">
            <v>INHIL</v>
          </cell>
        </row>
        <row r="415">
          <cell r="F415">
            <v>19</v>
          </cell>
          <cell r="J415" t="str">
            <v>-</v>
          </cell>
          <cell r="K415" t="str">
            <v>-</v>
          </cell>
          <cell r="L415" t="str">
            <v>-</v>
          </cell>
          <cell r="M415" t="str">
            <v>-</v>
          </cell>
          <cell r="N415" t="str">
            <v>No</v>
          </cell>
        </row>
        <row r="416">
          <cell r="F416">
            <v>18</v>
          </cell>
          <cell r="J416" t="str">
            <v>-</v>
          </cell>
          <cell r="K416" t="str">
            <v>-</v>
          </cell>
          <cell r="L416" t="str">
            <v>-</v>
          </cell>
          <cell r="M416" t="str">
            <v>-</v>
          </cell>
          <cell r="N416" t="str">
            <v>No</v>
          </cell>
        </row>
        <row r="417">
          <cell r="F417">
            <v>20</v>
          </cell>
          <cell r="J417" t="str">
            <v>-</v>
          </cell>
          <cell r="K417" t="str">
            <v>-</v>
          </cell>
          <cell r="L417" t="str">
            <v>-</v>
          </cell>
          <cell r="M417" t="str">
            <v>-</v>
          </cell>
          <cell r="N417" t="str">
            <v>No</v>
          </cell>
        </row>
        <row r="418">
          <cell r="F418">
            <v>20</v>
          </cell>
          <cell r="J418" t="str">
            <v>-</v>
          </cell>
          <cell r="K418" t="str">
            <v>-</v>
          </cell>
          <cell r="L418" t="str">
            <v>-</v>
          </cell>
          <cell r="M418" t="str">
            <v>-</v>
          </cell>
          <cell r="N418" t="str">
            <v>No</v>
          </cell>
        </row>
        <row r="419">
          <cell r="F419">
            <v>19</v>
          </cell>
          <cell r="J419" t="str">
            <v>-</v>
          </cell>
          <cell r="K419" t="str">
            <v>-</v>
          </cell>
          <cell r="L419" t="str">
            <v>-</v>
          </cell>
          <cell r="M419" t="str">
            <v>-</v>
          </cell>
          <cell r="N419" t="str">
            <v>No</v>
          </cell>
        </row>
        <row r="420">
          <cell r="F420">
            <v>19</v>
          </cell>
          <cell r="J420" t="str">
            <v>-</v>
          </cell>
          <cell r="K420" t="str">
            <v>-</v>
          </cell>
          <cell r="L420" t="str">
            <v>-</v>
          </cell>
          <cell r="M420" t="str">
            <v>-</v>
          </cell>
          <cell r="N420" t="str">
            <v>No</v>
          </cell>
        </row>
        <row r="421">
          <cell r="F421">
            <v>18</v>
          </cell>
          <cell r="J421" t="str">
            <v>-</v>
          </cell>
          <cell r="K421" t="str">
            <v>-</v>
          </cell>
          <cell r="L421" t="str">
            <v>-</v>
          </cell>
          <cell r="M421" t="str">
            <v>-</v>
          </cell>
          <cell r="N421" t="str">
            <v>No</v>
          </cell>
        </row>
        <row r="422">
          <cell r="F422">
            <v>19</v>
          </cell>
          <cell r="J422" t="str">
            <v>-</v>
          </cell>
          <cell r="K422" t="str">
            <v>-</v>
          </cell>
          <cell r="L422" t="str">
            <v>-</v>
          </cell>
          <cell r="M422" t="str">
            <v>-</v>
          </cell>
          <cell r="N422" t="str">
            <v>No</v>
          </cell>
        </row>
        <row r="423">
          <cell r="F423">
            <v>28</v>
          </cell>
          <cell r="J423" t="str">
            <v>-</v>
          </cell>
          <cell r="K423" t="str">
            <v>-</v>
          </cell>
          <cell r="L423" t="str">
            <v>-</v>
          </cell>
          <cell r="M423" t="str">
            <v>-</v>
          </cell>
          <cell r="N423" t="str">
            <v>INHIL</v>
          </cell>
        </row>
        <row r="424">
          <cell r="F424">
            <v>25</v>
          </cell>
          <cell r="J424" t="str">
            <v>-</v>
          </cell>
          <cell r="K424" t="str">
            <v>-</v>
          </cell>
          <cell r="L424" t="str">
            <v>-</v>
          </cell>
          <cell r="M424" t="str">
            <v>-</v>
          </cell>
          <cell r="N424" t="str">
            <v>INHIL</v>
          </cell>
        </row>
        <row r="425">
          <cell r="F425">
            <v>30</v>
          </cell>
          <cell r="J425" t="str">
            <v>-</v>
          </cell>
          <cell r="K425" t="str">
            <v>-</v>
          </cell>
          <cell r="L425" t="str">
            <v>-</v>
          </cell>
          <cell r="M425" t="str">
            <v>-</v>
          </cell>
          <cell r="N425" t="str">
            <v>No</v>
          </cell>
        </row>
        <row r="426">
          <cell r="F426">
            <v>21</v>
          </cell>
          <cell r="J426" t="str">
            <v>-</v>
          </cell>
          <cell r="K426" t="str">
            <v>-</v>
          </cell>
          <cell r="L426" t="str">
            <v>-</v>
          </cell>
          <cell r="M426" t="str">
            <v>-</v>
          </cell>
          <cell r="N426" t="str">
            <v>No</v>
          </cell>
        </row>
        <row r="427">
          <cell r="F427">
            <v>19</v>
          </cell>
          <cell r="J427" t="str">
            <v>-</v>
          </cell>
          <cell r="K427" t="str">
            <v>-</v>
          </cell>
          <cell r="L427" t="str">
            <v>-</v>
          </cell>
          <cell r="M427" t="str">
            <v>-</v>
          </cell>
          <cell r="N427" t="str">
            <v>No</v>
          </cell>
        </row>
      </sheetData>
      <sheetData sheetId="35" refreshError="1">
        <row r="1">
          <cell r="A1" t="str">
            <v>F: E-PSN2\REKAP\Data-Kry</v>
          </cell>
        </row>
        <row r="2">
          <cell r="A2" t="str">
            <v>No</v>
          </cell>
          <cell r="B2" t="str">
            <v>NIK</v>
          </cell>
        </row>
        <row r="3">
          <cell r="F3" t="str">
            <v>THN</v>
          </cell>
        </row>
        <row r="4">
          <cell r="F4">
            <v>34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F5">
            <v>29</v>
          </cell>
          <cell r="J5" t="str">
            <v>INHIL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INHIL</v>
          </cell>
        </row>
        <row r="6">
          <cell r="F6">
            <v>27</v>
          </cell>
          <cell r="J6" t="str">
            <v>-</v>
          </cell>
          <cell r="K6" t="str">
            <v>-</v>
          </cell>
          <cell r="L6" t="str">
            <v>INHIL</v>
          </cell>
          <cell r="M6" t="str">
            <v>-</v>
          </cell>
          <cell r="N6" t="str">
            <v>INHIL</v>
          </cell>
        </row>
        <row r="7">
          <cell r="F7">
            <v>31</v>
          </cell>
          <cell r="J7" t="str">
            <v>-</v>
          </cell>
          <cell r="K7" t="str">
            <v>-</v>
          </cell>
          <cell r="L7" t="str">
            <v>-</v>
          </cell>
          <cell r="M7" t="str">
            <v>-</v>
          </cell>
          <cell r="N7" t="str">
            <v>INHIL</v>
          </cell>
        </row>
        <row r="8">
          <cell r="F8">
            <v>23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INHIL</v>
          </cell>
        </row>
        <row r="9">
          <cell r="F9">
            <v>34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INHIL</v>
          </cell>
        </row>
        <row r="10">
          <cell r="F10">
            <v>32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INHIL</v>
          </cell>
        </row>
        <row r="11">
          <cell r="F11">
            <v>32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INHIL</v>
          </cell>
        </row>
        <row r="12">
          <cell r="F12">
            <v>26</v>
          </cell>
          <cell r="J12" t="str">
            <v>-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INHIL</v>
          </cell>
        </row>
        <row r="13">
          <cell r="F13">
            <v>11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30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INHIL</v>
          </cell>
        </row>
        <row r="15">
          <cell r="F15">
            <v>37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INHIL</v>
          </cell>
        </row>
        <row r="16">
          <cell r="F16">
            <v>29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INHIL</v>
          </cell>
        </row>
        <row r="17">
          <cell r="F17">
            <v>30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INHIL</v>
          </cell>
        </row>
        <row r="18">
          <cell r="F18">
            <v>27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INHIL</v>
          </cell>
        </row>
        <row r="19">
          <cell r="F19">
            <v>23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INHIL</v>
          </cell>
        </row>
        <row r="20">
          <cell r="F20">
            <v>22</v>
          </cell>
          <cell r="J20" t="str">
            <v>-</v>
          </cell>
          <cell r="K20" t="str">
            <v>-</v>
          </cell>
          <cell r="L20" t="str">
            <v>-</v>
          </cell>
          <cell r="M20" t="str">
            <v>-</v>
          </cell>
          <cell r="N20" t="str">
            <v>INHIL</v>
          </cell>
        </row>
        <row r="21">
          <cell r="F21">
            <v>27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INHIL</v>
          </cell>
        </row>
        <row r="22">
          <cell r="F22">
            <v>35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No</v>
          </cell>
        </row>
        <row r="23">
          <cell r="F23">
            <v>31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INHIL</v>
          </cell>
        </row>
        <row r="24">
          <cell r="F24">
            <v>31</v>
          </cell>
          <cell r="J24" t="str">
            <v>INHIL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INHIL</v>
          </cell>
        </row>
        <row r="25">
          <cell r="F25">
            <v>30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INHIL</v>
          </cell>
        </row>
        <row r="26">
          <cell r="F26">
            <v>33</v>
          </cell>
          <cell r="J26" t="str">
            <v>-</v>
          </cell>
          <cell r="K26" t="str">
            <v>-</v>
          </cell>
          <cell r="L26" t="str">
            <v>-</v>
          </cell>
          <cell r="M26" t="str">
            <v>-</v>
          </cell>
          <cell r="N26" t="str">
            <v>INHIL</v>
          </cell>
        </row>
        <row r="27">
          <cell r="F27">
            <v>40</v>
          </cell>
          <cell r="J27" t="str">
            <v>-</v>
          </cell>
          <cell r="K27" t="str">
            <v>-</v>
          </cell>
          <cell r="L27" t="str">
            <v>-</v>
          </cell>
          <cell r="M27" t="str">
            <v>-</v>
          </cell>
          <cell r="N27" t="str">
            <v>INHIL</v>
          </cell>
        </row>
        <row r="28">
          <cell r="F28">
            <v>35</v>
          </cell>
          <cell r="J28" t="str">
            <v>INHIL</v>
          </cell>
          <cell r="K28" t="str">
            <v>-</v>
          </cell>
          <cell r="L28" t="str">
            <v>-</v>
          </cell>
          <cell r="M28" t="str">
            <v>-</v>
          </cell>
          <cell r="N28" t="str">
            <v>INHIL</v>
          </cell>
        </row>
        <row r="29">
          <cell r="F29">
            <v>38</v>
          </cell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N29" t="str">
            <v>No</v>
          </cell>
        </row>
        <row r="30">
          <cell r="F30">
            <v>27</v>
          </cell>
          <cell r="J30" t="str">
            <v>INHIL</v>
          </cell>
          <cell r="K30" t="str">
            <v>-</v>
          </cell>
          <cell r="L30" t="str">
            <v>-</v>
          </cell>
          <cell r="M30" t="str">
            <v>-</v>
          </cell>
          <cell r="N30" t="str">
            <v>INHIL</v>
          </cell>
        </row>
        <row r="31">
          <cell r="F31">
            <v>26</v>
          </cell>
          <cell r="J31" t="str">
            <v>-</v>
          </cell>
          <cell r="K31" t="str">
            <v>-</v>
          </cell>
          <cell r="L31" t="str">
            <v>-</v>
          </cell>
          <cell r="M31" t="str">
            <v>-</v>
          </cell>
          <cell r="N31" t="str">
            <v>INHIL</v>
          </cell>
        </row>
        <row r="32">
          <cell r="F32">
            <v>23</v>
          </cell>
          <cell r="J32" t="str">
            <v>-</v>
          </cell>
          <cell r="K32" t="str">
            <v>-</v>
          </cell>
          <cell r="L32" t="str">
            <v>-</v>
          </cell>
          <cell r="M32" t="str">
            <v>-</v>
          </cell>
          <cell r="N32" t="str">
            <v>No</v>
          </cell>
        </row>
        <row r="33">
          <cell r="F33">
            <v>32</v>
          </cell>
          <cell r="J33" t="str">
            <v>-</v>
          </cell>
          <cell r="K33" t="str">
            <v>-</v>
          </cell>
          <cell r="L33" t="str">
            <v>-</v>
          </cell>
          <cell r="M33" t="str">
            <v>-</v>
          </cell>
          <cell r="N33" t="str">
            <v>INHIL</v>
          </cell>
        </row>
        <row r="34">
          <cell r="F34">
            <v>30</v>
          </cell>
          <cell r="J34" t="str">
            <v>-</v>
          </cell>
          <cell r="K34" t="str">
            <v>-</v>
          </cell>
          <cell r="L34" t="str">
            <v>-</v>
          </cell>
          <cell r="M34" t="str">
            <v>-</v>
          </cell>
          <cell r="N34" t="str">
            <v>INHIL</v>
          </cell>
        </row>
        <row r="35">
          <cell r="F35">
            <v>26</v>
          </cell>
          <cell r="J35" t="str">
            <v>-</v>
          </cell>
          <cell r="K35" t="str">
            <v>-</v>
          </cell>
          <cell r="L35" t="str">
            <v>-</v>
          </cell>
          <cell r="M35" t="str">
            <v>-</v>
          </cell>
          <cell r="N35" t="str">
            <v>INHIL</v>
          </cell>
        </row>
        <row r="36">
          <cell r="F36">
            <v>31</v>
          </cell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 t="str">
            <v>INHIL</v>
          </cell>
        </row>
        <row r="37">
          <cell r="F37">
            <v>37</v>
          </cell>
          <cell r="J37" t="str">
            <v>-</v>
          </cell>
          <cell r="K37" t="str">
            <v>-</v>
          </cell>
          <cell r="L37" t="str">
            <v>-</v>
          </cell>
          <cell r="M37" t="str">
            <v>-</v>
          </cell>
          <cell r="N37" t="str">
            <v>INHIL</v>
          </cell>
        </row>
        <row r="38">
          <cell r="F38">
            <v>32</v>
          </cell>
          <cell r="J38" t="str">
            <v>-</v>
          </cell>
          <cell r="K38" t="str">
            <v>-</v>
          </cell>
          <cell r="L38" t="str">
            <v>-</v>
          </cell>
          <cell r="M38" t="str">
            <v>-</v>
          </cell>
          <cell r="N38" t="str">
            <v>INHIL</v>
          </cell>
        </row>
        <row r="39">
          <cell r="F39">
            <v>30</v>
          </cell>
          <cell r="J39" t="str">
            <v>-</v>
          </cell>
          <cell r="K39" t="str">
            <v>-</v>
          </cell>
          <cell r="L39" t="str">
            <v>-</v>
          </cell>
          <cell r="M39" t="str">
            <v>-</v>
          </cell>
          <cell r="N39" t="str">
            <v>INHIL</v>
          </cell>
        </row>
        <row r="40">
          <cell r="F40">
            <v>27</v>
          </cell>
          <cell r="J40" t="str">
            <v>INHIL</v>
          </cell>
          <cell r="K40" t="str">
            <v>-</v>
          </cell>
          <cell r="L40" t="str">
            <v>-</v>
          </cell>
          <cell r="M40" t="str">
            <v>-</v>
          </cell>
          <cell r="N40" t="str">
            <v>INHIL</v>
          </cell>
        </row>
        <row r="41">
          <cell r="F41">
            <v>21</v>
          </cell>
          <cell r="J41" t="str">
            <v>-</v>
          </cell>
          <cell r="K41" t="str">
            <v>INHIL</v>
          </cell>
          <cell r="L41" t="str">
            <v>-</v>
          </cell>
          <cell r="M41" t="str">
            <v>-</v>
          </cell>
          <cell r="N41" t="str">
            <v>INHIL</v>
          </cell>
        </row>
        <row r="42">
          <cell r="F42">
            <v>50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INHIL</v>
          </cell>
        </row>
        <row r="43">
          <cell r="F43">
            <v>32</v>
          </cell>
          <cell r="J43" t="str">
            <v>-</v>
          </cell>
          <cell r="K43" t="str">
            <v>-</v>
          </cell>
          <cell r="L43" t="str">
            <v>-</v>
          </cell>
          <cell r="M43" t="str">
            <v>-</v>
          </cell>
          <cell r="N43" t="str">
            <v>INHIL</v>
          </cell>
        </row>
        <row r="44">
          <cell r="F44">
            <v>32</v>
          </cell>
          <cell r="J44" t="str">
            <v>-</v>
          </cell>
          <cell r="K44" t="str">
            <v>-</v>
          </cell>
          <cell r="L44" t="str">
            <v>-</v>
          </cell>
          <cell r="M44" t="str">
            <v>-</v>
          </cell>
          <cell r="N44" t="str">
            <v>INHIL</v>
          </cell>
        </row>
        <row r="45">
          <cell r="F45">
            <v>26</v>
          </cell>
          <cell r="J45" t="str">
            <v>-</v>
          </cell>
          <cell r="K45" t="str">
            <v>INHIL</v>
          </cell>
          <cell r="L45" t="str">
            <v>-</v>
          </cell>
          <cell r="M45" t="str">
            <v>-</v>
          </cell>
          <cell r="N45" t="str">
            <v>INHIL</v>
          </cell>
        </row>
        <row r="46">
          <cell r="F46">
            <v>27</v>
          </cell>
          <cell r="J46" t="str">
            <v>-</v>
          </cell>
          <cell r="K46" t="str">
            <v>-</v>
          </cell>
          <cell r="L46" t="str">
            <v>-</v>
          </cell>
          <cell r="M46" t="str">
            <v>-</v>
          </cell>
          <cell r="N46" t="str">
            <v>INHIL</v>
          </cell>
        </row>
        <row r="47">
          <cell r="F47">
            <v>25</v>
          </cell>
          <cell r="J47" t="str">
            <v>INHIL</v>
          </cell>
          <cell r="K47" t="str">
            <v>-</v>
          </cell>
          <cell r="L47" t="str">
            <v>-</v>
          </cell>
          <cell r="M47" t="str">
            <v>-</v>
          </cell>
          <cell r="N47" t="str">
            <v>INHIL</v>
          </cell>
        </row>
        <row r="48">
          <cell r="F48">
            <v>28</v>
          </cell>
          <cell r="J48" t="str">
            <v>-</v>
          </cell>
          <cell r="K48" t="str">
            <v>-</v>
          </cell>
          <cell r="L48" t="str">
            <v>-</v>
          </cell>
          <cell r="M48" t="str">
            <v>-</v>
          </cell>
          <cell r="N48" t="str">
            <v>No</v>
          </cell>
        </row>
        <row r="49">
          <cell r="F49">
            <v>38</v>
          </cell>
          <cell r="J49" t="str">
            <v>-</v>
          </cell>
          <cell r="K49" t="str">
            <v>-</v>
          </cell>
          <cell r="L49" t="str">
            <v>-</v>
          </cell>
          <cell r="M49" t="str">
            <v>-</v>
          </cell>
          <cell r="N49" t="str">
            <v>INHIL</v>
          </cell>
        </row>
        <row r="50">
          <cell r="F50">
            <v>33</v>
          </cell>
          <cell r="J50" t="str">
            <v>-</v>
          </cell>
          <cell r="K50" t="str">
            <v>-</v>
          </cell>
          <cell r="L50" t="str">
            <v>-</v>
          </cell>
          <cell r="M50" t="str">
            <v>-</v>
          </cell>
          <cell r="N50" t="str">
            <v>INHIL</v>
          </cell>
        </row>
        <row r="51">
          <cell r="F51">
            <v>26</v>
          </cell>
          <cell r="J51" t="str">
            <v>-</v>
          </cell>
          <cell r="K51" t="str">
            <v>INHIL</v>
          </cell>
          <cell r="L51" t="str">
            <v>-</v>
          </cell>
          <cell r="M51" t="str">
            <v>-</v>
          </cell>
          <cell r="N51" t="str">
            <v>INHIL</v>
          </cell>
        </row>
        <row r="52">
          <cell r="F52">
            <v>26</v>
          </cell>
          <cell r="J52" t="str">
            <v>-</v>
          </cell>
          <cell r="K52" t="str">
            <v>-</v>
          </cell>
          <cell r="L52" t="str">
            <v>-</v>
          </cell>
          <cell r="M52" t="str">
            <v>-</v>
          </cell>
          <cell r="N52" t="str">
            <v>INHIL</v>
          </cell>
        </row>
        <row r="53">
          <cell r="F53">
            <v>21</v>
          </cell>
          <cell r="J53" t="str">
            <v>-</v>
          </cell>
          <cell r="K53" t="str">
            <v>-</v>
          </cell>
          <cell r="L53" t="str">
            <v>-</v>
          </cell>
          <cell r="M53" t="str">
            <v>-</v>
          </cell>
          <cell r="N53" t="str">
            <v>INHIL</v>
          </cell>
        </row>
        <row r="54">
          <cell r="F54">
            <v>26</v>
          </cell>
          <cell r="J54" t="str">
            <v>-</v>
          </cell>
          <cell r="K54" t="str">
            <v>-</v>
          </cell>
          <cell r="L54" t="str">
            <v>-</v>
          </cell>
          <cell r="M54" t="str">
            <v>-</v>
          </cell>
          <cell r="N54" t="str">
            <v>INHIL</v>
          </cell>
        </row>
        <row r="55">
          <cell r="F55">
            <v>29</v>
          </cell>
          <cell r="J55" t="str">
            <v>-</v>
          </cell>
          <cell r="K55" t="str">
            <v>-</v>
          </cell>
          <cell r="L55" t="str">
            <v>-</v>
          </cell>
          <cell r="M55" t="str">
            <v>-</v>
          </cell>
          <cell r="N55" t="str">
            <v>No</v>
          </cell>
        </row>
        <row r="56">
          <cell r="F56">
            <v>28</v>
          </cell>
          <cell r="J56" t="str">
            <v>-</v>
          </cell>
          <cell r="K56" t="str">
            <v>-</v>
          </cell>
          <cell r="L56" t="str">
            <v>-</v>
          </cell>
          <cell r="M56" t="str">
            <v>-</v>
          </cell>
          <cell r="N56" t="str">
            <v>INHIL</v>
          </cell>
        </row>
        <row r="57">
          <cell r="F57">
            <v>30</v>
          </cell>
          <cell r="J57" t="str">
            <v>-</v>
          </cell>
          <cell r="K57" t="str">
            <v>-</v>
          </cell>
          <cell r="L57" t="str">
            <v>-</v>
          </cell>
          <cell r="M57" t="str">
            <v>-</v>
          </cell>
          <cell r="N57" t="str">
            <v>INHIL</v>
          </cell>
        </row>
        <row r="58">
          <cell r="F58">
            <v>39</v>
          </cell>
          <cell r="J58" t="str">
            <v>-</v>
          </cell>
          <cell r="K58" t="str">
            <v>-</v>
          </cell>
          <cell r="L58" t="str">
            <v>-</v>
          </cell>
          <cell r="M58" t="str">
            <v>-</v>
          </cell>
          <cell r="N58" t="str">
            <v>INHIL</v>
          </cell>
        </row>
        <row r="59">
          <cell r="F59">
            <v>26</v>
          </cell>
          <cell r="J59" t="str">
            <v>-</v>
          </cell>
          <cell r="K59" t="str">
            <v>-</v>
          </cell>
          <cell r="L59" t="str">
            <v>-</v>
          </cell>
          <cell r="M59" t="str">
            <v>-</v>
          </cell>
          <cell r="N59" t="str">
            <v>No</v>
          </cell>
        </row>
        <row r="60">
          <cell r="F60">
            <v>34</v>
          </cell>
          <cell r="J60" t="str">
            <v>-</v>
          </cell>
          <cell r="K60" t="str">
            <v>-</v>
          </cell>
          <cell r="L60" t="str">
            <v>-</v>
          </cell>
          <cell r="M60" t="str">
            <v>-</v>
          </cell>
          <cell r="N60" t="str">
            <v>INHIL</v>
          </cell>
        </row>
        <row r="61">
          <cell r="F61">
            <v>31</v>
          </cell>
          <cell r="J61" t="str">
            <v>-</v>
          </cell>
          <cell r="K61" t="str">
            <v>-</v>
          </cell>
          <cell r="L61" t="str">
            <v>-</v>
          </cell>
          <cell r="M61" t="str">
            <v>-</v>
          </cell>
          <cell r="N61" t="str">
            <v>INHIL</v>
          </cell>
        </row>
        <row r="62">
          <cell r="F62">
            <v>31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INHIL</v>
          </cell>
        </row>
        <row r="63">
          <cell r="F63">
            <v>97</v>
          </cell>
          <cell r="J63" t="str">
            <v>-</v>
          </cell>
          <cell r="K63" t="str">
            <v>-</v>
          </cell>
          <cell r="L63" t="str">
            <v>-</v>
          </cell>
          <cell r="M63" t="str">
            <v>-</v>
          </cell>
          <cell r="N63" t="str">
            <v>INHIL</v>
          </cell>
        </row>
        <row r="64">
          <cell r="F64">
            <v>31</v>
          </cell>
          <cell r="J64" t="str">
            <v>INHIL</v>
          </cell>
          <cell r="K64" t="str">
            <v>-</v>
          </cell>
          <cell r="L64" t="str">
            <v>-</v>
          </cell>
          <cell r="M64" t="str">
            <v>-</v>
          </cell>
          <cell r="N64" t="str">
            <v>INHIL</v>
          </cell>
        </row>
        <row r="65">
          <cell r="F65">
            <v>28</v>
          </cell>
          <cell r="J65" t="str">
            <v>-</v>
          </cell>
          <cell r="K65" t="str">
            <v>-</v>
          </cell>
          <cell r="L65" t="str">
            <v>-</v>
          </cell>
          <cell r="M65" t="str">
            <v>-</v>
          </cell>
          <cell r="N65" t="str">
            <v>INHIL</v>
          </cell>
        </row>
        <row r="66">
          <cell r="F66">
            <v>32</v>
          </cell>
          <cell r="J66" t="str">
            <v>-</v>
          </cell>
          <cell r="K66" t="str">
            <v>INHIL</v>
          </cell>
          <cell r="L66" t="str">
            <v>-</v>
          </cell>
          <cell r="M66" t="str">
            <v>-</v>
          </cell>
          <cell r="N66" t="str">
            <v>INHIL</v>
          </cell>
        </row>
        <row r="67">
          <cell r="F67">
            <v>29</v>
          </cell>
          <cell r="J67" t="str">
            <v>-</v>
          </cell>
          <cell r="K67" t="str">
            <v>-</v>
          </cell>
          <cell r="L67" t="str">
            <v>INHIL</v>
          </cell>
          <cell r="M67" t="str">
            <v>-</v>
          </cell>
          <cell r="N67" t="str">
            <v>INHIL</v>
          </cell>
        </row>
        <row r="68">
          <cell r="F68">
            <v>43</v>
          </cell>
          <cell r="J68" t="str">
            <v>-</v>
          </cell>
          <cell r="K68" t="str">
            <v>-</v>
          </cell>
          <cell r="L68" t="str">
            <v>-</v>
          </cell>
          <cell r="M68" t="str">
            <v>-</v>
          </cell>
          <cell r="N68" t="str">
            <v>INHIL</v>
          </cell>
        </row>
        <row r="69">
          <cell r="F69">
            <v>29</v>
          </cell>
          <cell r="J69" t="str">
            <v>-</v>
          </cell>
          <cell r="K69" t="str">
            <v>-</v>
          </cell>
          <cell r="L69" t="str">
            <v>-</v>
          </cell>
          <cell r="M69" t="str">
            <v>-</v>
          </cell>
          <cell r="N69" t="str">
            <v>INHIL</v>
          </cell>
        </row>
        <row r="70">
          <cell r="F70">
            <v>28</v>
          </cell>
          <cell r="J70" t="str">
            <v>-</v>
          </cell>
          <cell r="K70" t="str">
            <v>-</v>
          </cell>
          <cell r="L70" t="str">
            <v>-</v>
          </cell>
          <cell r="M70" t="str">
            <v>-</v>
          </cell>
          <cell r="N70" t="str">
            <v>No</v>
          </cell>
        </row>
        <row r="71">
          <cell r="F71">
            <v>27</v>
          </cell>
          <cell r="J71" t="str">
            <v>-</v>
          </cell>
          <cell r="K71" t="str">
            <v>-</v>
          </cell>
          <cell r="L71" t="str">
            <v>INHIL</v>
          </cell>
          <cell r="M71" t="str">
            <v>-</v>
          </cell>
          <cell r="N71" t="str">
            <v>INHIL</v>
          </cell>
        </row>
        <row r="72">
          <cell r="F72">
            <v>32</v>
          </cell>
          <cell r="J72" t="str">
            <v>-</v>
          </cell>
          <cell r="K72" t="str">
            <v>-</v>
          </cell>
          <cell r="L72" t="str">
            <v>-</v>
          </cell>
          <cell r="M72" t="str">
            <v>-</v>
          </cell>
          <cell r="N72" t="str">
            <v>INHIL</v>
          </cell>
        </row>
        <row r="73">
          <cell r="F73">
            <v>28</v>
          </cell>
          <cell r="J73" t="str">
            <v>-</v>
          </cell>
          <cell r="K73" t="str">
            <v>-</v>
          </cell>
          <cell r="L73" t="str">
            <v>-</v>
          </cell>
          <cell r="M73" t="str">
            <v>-</v>
          </cell>
          <cell r="N73" t="str">
            <v>INHIL</v>
          </cell>
        </row>
        <row r="74">
          <cell r="F74">
            <v>44</v>
          </cell>
          <cell r="J74" t="str">
            <v>-</v>
          </cell>
          <cell r="K74" t="str">
            <v>INHIL</v>
          </cell>
          <cell r="L74" t="str">
            <v>-</v>
          </cell>
          <cell r="M74" t="str">
            <v>-</v>
          </cell>
          <cell r="N74" t="str">
            <v>INHIL</v>
          </cell>
        </row>
        <row r="75">
          <cell r="F75">
            <v>26</v>
          </cell>
          <cell r="J75" t="str">
            <v>-</v>
          </cell>
          <cell r="K75" t="str">
            <v>-</v>
          </cell>
          <cell r="L75" t="str">
            <v>-</v>
          </cell>
          <cell r="M75" t="str">
            <v>-</v>
          </cell>
          <cell r="N75" t="str">
            <v>INHIL</v>
          </cell>
        </row>
        <row r="76">
          <cell r="F76">
            <v>29</v>
          </cell>
          <cell r="J76" t="str">
            <v>-</v>
          </cell>
          <cell r="K76" t="str">
            <v>-</v>
          </cell>
          <cell r="L76" t="str">
            <v>-</v>
          </cell>
          <cell r="M76" t="str">
            <v>-</v>
          </cell>
          <cell r="N76" t="str">
            <v>INHIL</v>
          </cell>
        </row>
        <row r="77">
          <cell r="F77">
            <v>97</v>
          </cell>
          <cell r="J77" t="str">
            <v>INHIL</v>
          </cell>
          <cell r="K77" t="str">
            <v>-</v>
          </cell>
          <cell r="L77" t="str">
            <v>-</v>
          </cell>
          <cell r="M77" t="str">
            <v>-</v>
          </cell>
          <cell r="N77" t="str">
            <v>INHIL</v>
          </cell>
        </row>
        <row r="78">
          <cell r="F78">
            <v>36</v>
          </cell>
          <cell r="J78" t="str">
            <v>-</v>
          </cell>
          <cell r="K78" t="str">
            <v>-</v>
          </cell>
          <cell r="L78" t="str">
            <v>-</v>
          </cell>
          <cell r="M78" t="str">
            <v>-</v>
          </cell>
          <cell r="N78" t="str">
            <v>INHIL</v>
          </cell>
        </row>
        <row r="79">
          <cell r="F79">
            <v>32</v>
          </cell>
          <cell r="J79" t="str">
            <v>INHIL</v>
          </cell>
          <cell r="K79" t="str">
            <v>-</v>
          </cell>
          <cell r="L79" t="str">
            <v>-</v>
          </cell>
          <cell r="M79" t="str">
            <v>-</v>
          </cell>
          <cell r="N79" t="str">
            <v>INHIL</v>
          </cell>
        </row>
        <row r="80">
          <cell r="F80">
            <v>25</v>
          </cell>
          <cell r="J80" t="str">
            <v>-</v>
          </cell>
          <cell r="K80" t="str">
            <v>-</v>
          </cell>
          <cell r="L80" t="str">
            <v>-</v>
          </cell>
          <cell r="M80" t="str">
            <v>-</v>
          </cell>
          <cell r="N80" t="str">
            <v>INHIL</v>
          </cell>
        </row>
        <row r="81">
          <cell r="F81">
            <v>28</v>
          </cell>
          <cell r="J81" t="str">
            <v>-</v>
          </cell>
          <cell r="K81" t="str">
            <v>-</v>
          </cell>
          <cell r="L81" t="str">
            <v>-</v>
          </cell>
          <cell r="M81" t="str">
            <v>-</v>
          </cell>
          <cell r="N81" t="str">
            <v>INHIL</v>
          </cell>
        </row>
        <row r="82">
          <cell r="F82">
            <v>27</v>
          </cell>
          <cell r="J82" t="str">
            <v>-</v>
          </cell>
          <cell r="K82" t="str">
            <v>-</v>
          </cell>
          <cell r="L82" t="str">
            <v>-</v>
          </cell>
          <cell r="M82" t="str">
            <v>-</v>
          </cell>
          <cell r="N82" t="str">
            <v>INHIL</v>
          </cell>
        </row>
        <row r="83">
          <cell r="F83">
            <v>32</v>
          </cell>
          <cell r="J83" t="str">
            <v>INHIL</v>
          </cell>
          <cell r="K83" t="str">
            <v>-</v>
          </cell>
          <cell r="L83" t="str">
            <v>-</v>
          </cell>
          <cell r="M83" t="str">
            <v>-</v>
          </cell>
          <cell r="N83" t="str">
            <v>INHIL</v>
          </cell>
        </row>
        <row r="84">
          <cell r="F84">
            <v>37</v>
          </cell>
          <cell r="J84" t="str">
            <v>-</v>
          </cell>
          <cell r="K84" t="str">
            <v>-</v>
          </cell>
          <cell r="L84" t="str">
            <v>-</v>
          </cell>
          <cell r="M84" t="str">
            <v>-</v>
          </cell>
          <cell r="N84" t="str">
            <v>INHIL</v>
          </cell>
        </row>
        <row r="85">
          <cell r="F85">
            <v>31</v>
          </cell>
          <cell r="J85" t="str">
            <v>-</v>
          </cell>
          <cell r="K85" t="str">
            <v>-</v>
          </cell>
          <cell r="L85" t="str">
            <v>-</v>
          </cell>
          <cell r="M85" t="str">
            <v>-</v>
          </cell>
          <cell r="N85" t="str">
            <v>INHIL</v>
          </cell>
        </row>
        <row r="86">
          <cell r="F86">
            <v>28</v>
          </cell>
          <cell r="J86" t="str">
            <v>-</v>
          </cell>
          <cell r="K86" t="str">
            <v>-</v>
          </cell>
          <cell r="L86" t="str">
            <v>-</v>
          </cell>
          <cell r="M86" t="str">
            <v>-</v>
          </cell>
          <cell r="N86" t="str">
            <v>No</v>
          </cell>
        </row>
        <row r="87">
          <cell r="F87">
            <v>24</v>
          </cell>
          <cell r="J87" t="str">
            <v>INHIL</v>
          </cell>
          <cell r="K87" t="str">
            <v>-</v>
          </cell>
          <cell r="L87" t="str">
            <v>-</v>
          </cell>
          <cell r="M87" t="str">
            <v>-</v>
          </cell>
          <cell r="N87" t="str">
            <v>INHIL</v>
          </cell>
        </row>
        <row r="88">
          <cell r="F88">
            <v>30</v>
          </cell>
          <cell r="J88" t="str">
            <v>-</v>
          </cell>
          <cell r="K88" t="str">
            <v>-</v>
          </cell>
          <cell r="L88" t="str">
            <v>-</v>
          </cell>
          <cell r="M88" t="str">
            <v>-</v>
          </cell>
          <cell r="N88" t="str">
            <v>INHIL</v>
          </cell>
        </row>
        <row r="89">
          <cell r="F89">
            <v>36</v>
          </cell>
          <cell r="J89" t="str">
            <v>-</v>
          </cell>
          <cell r="K89" t="str">
            <v>-</v>
          </cell>
          <cell r="L89" t="str">
            <v>-</v>
          </cell>
          <cell r="M89" t="str">
            <v>-</v>
          </cell>
          <cell r="N89" t="str">
            <v>INHIL</v>
          </cell>
        </row>
        <row r="90">
          <cell r="F90">
            <v>40</v>
          </cell>
          <cell r="J90" t="str">
            <v>-</v>
          </cell>
          <cell r="K90" t="str">
            <v>-</v>
          </cell>
          <cell r="L90" t="str">
            <v>-</v>
          </cell>
          <cell r="M90" t="str">
            <v>-</v>
          </cell>
          <cell r="N90" t="str">
            <v>INHIL</v>
          </cell>
        </row>
        <row r="91">
          <cell r="F91">
            <v>37</v>
          </cell>
          <cell r="J91" t="str">
            <v>-</v>
          </cell>
          <cell r="K91" t="str">
            <v>-</v>
          </cell>
          <cell r="L91" t="str">
            <v>-</v>
          </cell>
          <cell r="M91" t="str">
            <v>-</v>
          </cell>
          <cell r="N91" t="str">
            <v>INHIL</v>
          </cell>
        </row>
        <row r="92">
          <cell r="F92">
            <v>29</v>
          </cell>
          <cell r="J92" t="str">
            <v>-</v>
          </cell>
          <cell r="K92" t="str">
            <v>-</v>
          </cell>
          <cell r="L92" t="str">
            <v>-</v>
          </cell>
          <cell r="M92" t="str">
            <v>-</v>
          </cell>
          <cell r="N92" t="str">
            <v>INHIL</v>
          </cell>
        </row>
        <row r="93">
          <cell r="F93">
            <v>20</v>
          </cell>
          <cell r="J93" t="str">
            <v>INHIL</v>
          </cell>
          <cell r="K93" t="str">
            <v>-</v>
          </cell>
          <cell r="L93" t="str">
            <v>-</v>
          </cell>
          <cell r="M93" t="str">
            <v>-</v>
          </cell>
          <cell r="N93" t="str">
            <v>INHIL</v>
          </cell>
        </row>
        <row r="94">
          <cell r="F94">
            <v>24</v>
          </cell>
          <cell r="J94" t="str">
            <v>-</v>
          </cell>
          <cell r="K94" t="str">
            <v>-</v>
          </cell>
          <cell r="L94" t="str">
            <v>INHIL</v>
          </cell>
          <cell r="M94" t="str">
            <v>-</v>
          </cell>
          <cell r="N94" t="str">
            <v>INHIL</v>
          </cell>
        </row>
        <row r="95">
          <cell r="F95">
            <v>32</v>
          </cell>
          <cell r="J95" t="str">
            <v>-</v>
          </cell>
          <cell r="K95" t="str">
            <v>-</v>
          </cell>
          <cell r="L95" t="str">
            <v>-</v>
          </cell>
          <cell r="M95" t="str">
            <v>-</v>
          </cell>
          <cell r="N95" t="str">
            <v>No</v>
          </cell>
        </row>
        <row r="96">
          <cell r="F96">
            <v>30</v>
          </cell>
          <cell r="J96" t="str">
            <v>-</v>
          </cell>
          <cell r="K96" t="str">
            <v>-</v>
          </cell>
          <cell r="L96" t="str">
            <v>INHIL</v>
          </cell>
          <cell r="M96" t="str">
            <v>-</v>
          </cell>
          <cell r="N96" t="str">
            <v>INHIL</v>
          </cell>
        </row>
        <row r="97">
          <cell r="F97">
            <v>20</v>
          </cell>
          <cell r="J97" t="str">
            <v>-</v>
          </cell>
          <cell r="K97" t="str">
            <v>-</v>
          </cell>
          <cell r="L97" t="str">
            <v>-</v>
          </cell>
          <cell r="M97" t="str">
            <v>-</v>
          </cell>
          <cell r="N97" t="str">
            <v>INHIL</v>
          </cell>
        </row>
        <row r="98">
          <cell r="F98">
            <v>26</v>
          </cell>
          <cell r="J98" t="str">
            <v>-</v>
          </cell>
          <cell r="K98" t="str">
            <v>-</v>
          </cell>
          <cell r="L98" t="str">
            <v>-</v>
          </cell>
          <cell r="M98" t="str">
            <v>-</v>
          </cell>
          <cell r="N98" t="str">
            <v>INHIL</v>
          </cell>
        </row>
        <row r="99">
          <cell r="F99">
            <v>18</v>
          </cell>
          <cell r="J99" t="str">
            <v>-</v>
          </cell>
          <cell r="K99" t="str">
            <v>-</v>
          </cell>
          <cell r="L99" t="str">
            <v>-</v>
          </cell>
          <cell r="M99" t="str">
            <v>-</v>
          </cell>
          <cell r="N99" t="str">
            <v>INHIL</v>
          </cell>
        </row>
        <row r="100">
          <cell r="F100">
            <v>21</v>
          </cell>
          <cell r="J100" t="str">
            <v>-</v>
          </cell>
          <cell r="K100" t="str">
            <v>-</v>
          </cell>
          <cell r="L100" t="str">
            <v>-</v>
          </cell>
          <cell r="M100" t="str">
            <v>-</v>
          </cell>
          <cell r="N100" t="str">
            <v>INHIL</v>
          </cell>
        </row>
        <row r="101">
          <cell r="F101">
            <v>24</v>
          </cell>
          <cell r="J101" t="str">
            <v>-</v>
          </cell>
          <cell r="K101" t="str">
            <v>-</v>
          </cell>
          <cell r="L101" t="str">
            <v>-</v>
          </cell>
          <cell r="M101" t="str">
            <v>-</v>
          </cell>
          <cell r="N101" t="str">
            <v>INHIL</v>
          </cell>
        </row>
        <row r="102">
          <cell r="F102">
            <v>27</v>
          </cell>
          <cell r="J102" t="str">
            <v>-</v>
          </cell>
          <cell r="K102" t="str">
            <v>-</v>
          </cell>
          <cell r="L102" t="str">
            <v>-</v>
          </cell>
          <cell r="M102" t="str">
            <v>-</v>
          </cell>
          <cell r="N102" t="str">
            <v>INHIL</v>
          </cell>
        </row>
        <row r="103">
          <cell r="F103">
            <v>29</v>
          </cell>
          <cell r="J103" t="str">
            <v>-</v>
          </cell>
          <cell r="K103" t="str">
            <v>-</v>
          </cell>
          <cell r="L103" t="str">
            <v>-</v>
          </cell>
          <cell r="M103" t="str">
            <v>-</v>
          </cell>
          <cell r="N103" t="str">
            <v>INHIL</v>
          </cell>
        </row>
        <row r="104">
          <cell r="F104">
            <v>35</v>
          </cell>
          <cell r="J104" t="str">
            <v>-</v>
          </cell>
          <cell r="K104" t="str">
            <v>-</v>
          </cell>
          <cell r="L104" t="str">
            <v>-</v>
          </cell>
          <cell r="M104" t="str">
            <v>-</v>
          </cell>
          <cell r="N104" t="str">
            <v>INHIL</v>
          </cell>
        </row>
        <row r="105">
          <cell r="F105">
            <v>27</v>
          </cell>
          <cell r="J105" t="str">
            <v>-</v>
          </cell>
          <cell r="K105" t="str">
            <v>-</v>
          </cell>
          <cell r="L105" t="str">
            <v>-</v>
          </cell>
          <cell r="M105" t="str">
            <v>-</v>
          </cell>
          <cell r="N105" t="str">
            <v>INHIL</v>
          </cell>
        </row>
        <row r="106">
          <cell r="F106">
            <v>31</v>
          </cell>
          <cell r="J106" t="str">
            <v>-</v>
          </cell>
          <cell r="K106" t="str">
            <v>-</v>
          </cell>
          <cell r="L106" t="str">
            <v>-</v>
          </cell>
          <cell r="M106" t="str">
            <v>-</v>
          </cell>
          <cell r="N106" t="str">
            <v>INHIL</v>
          </cell>
        </row>
        <row r="107">
          <cell r="F107">
            <v>42</v>
          </cell>
          <cell r="J107" t="str">
            <v>-</v>
          </cell>
          <cell r="K107" t="str">
            <v>-</v>
          </cell>
          <cell r="L107" t="str">
            <v>-</v>
          </cell>
          <cell r="M107" t="str">
            <v>-</v>
          </cell>
          <cell r="N107" t="str">
            <v>INHIL</v>
          </cell>
        </row>
        <row r="108">
          <cell r="F108">
            <v>28</v>
          </cell>
          <cell r="J108" t="str">
            <v>-</v>
          </cell>
          <cell r="K108" t="str">
            <v>-</v>
          </cell>
          <cell r="L108" t="str">
            <v>-</v>
          </cell>
          <cell r="M108" t="str">
            <v>-</v>
          </cell>
          <cell r="N108" t="str">
            <v>INHIL</v>
          </cell>
        </row>
        <row r="109">
          <cell r="F109">
            <v>27</v>
          </cell>
          <cell r="J109" t="str">
            <v>-</v>
          </cell>
          <cell r="K109" t="str">
            <v>-</v>
          </cell>
          <cell r="L109" t="str">
            <v>-</v>
          </cell>
          <cell r="M109" t="str">
            <v>-</v>
          </cell>
          <cell r="N109" t="str">
            <v>INHIL</v>
          </cell>
        </row>
        <row r="110">
          <cell r="F110">
            <v>24</v>
          </cell>
          <cell r="J110" t="str">
            <v>-</v>
          </cell>
          <cell r="K110" t="str">
            <v>-</v>
          </cell>
          <cell r="L110" t="str">
            <v>-</v>
          </cell>
          <cell r="M110" t="str">
            <v>-</v>
          </cell>
          <cell r="N110" t="str">
            <v>INHIL</v>
          </cell>
        </row>
        <row r="111">
          <cell r="F111">
            <v>24</v>
          </cell>
          <cell r="J111" t="str">
            <v>-</v>
          </cell>
          <cell r="K111" t="str">
            <v>-</v>
          </cell>
          <cell r="L111" t="str">
            <v>-</v>
          </cell>
          <cell r="M111" t="str">
            <v>-</v>
          </cell>
          <cell r="N111" t="str">
            <v>No</v>
          </cell>
        </row>
        <row r="112">
          <cell r="F112">
            <v>23</v>
          </cell>
          <cell r="J112" t="str">
            <v>-</v>
          </cell>
          <cell r="K112" t="str">
            <v>-</v>
          </cell>
          <cell r="L112" t="str">
            <v>-</v>
          </cell>
          <cell r="M112" t="str">
            <v>-</v>
          </cell>
          <cell r="N112" t="str">
            <v>INHIL</v>
          </cell>
        </row>
        <row r="113">
          <cell r="F113">
            <v>20</v>
          </cell>
          <cell r="J113" t="str">
            <v>-</v>
          </cell>
          <cell r="K113" t="str">
            <v>-</v>
          </cell>
          <cell r="L113" t="str">
            <v>-</v>
          </cell>
          <cell r="M113" t="str">
            <v>-</v>
          </cell>
          <cell r="N113" t="str">
            <v>No</v>
          </cell>
        </row>
        <row r="114">
          <cell r="F114">
            <v>19</v>
          </cell>
          <cell r="J114" t="str">
            <v>INHIL</v>
          </cell>
          <cell r="K114" t="str">
            <v>-</v>
          </cell>
          <cell r="L114" t="str">
            <v>-</v>
          </cell>
          <cell r="M114" t="str">
            <v>-</v>
          </cell>
          <cell r="N114" t="str">
            <v>INHIL</v>
          </cell>
        </row>
        <row r="115">
          <cell r="F115">
            <v>31</v>
          </cell>
          <cell r="J115" t="str">
            <v>-</v>
          </cell>
          <cell r="K115" t="str">
            <v>-</v>
          </cell>
          <cell r="L115" t="str">
            <v>-</v>
          </cell>
          <cell r="M115" t="str">
            <v>-</v>
          </cell>
          <cell r="N115" t="str">
            <v>INHIL</v>
          </cell>
        </row>
        <row r="116">
          <cell r="F116">
            <v>29</v>
          </cell>
          <cell r="J116" t="str">
            <v>-</v>
          </cell>
          <cell r="K116" t="str">
            <v>-</v>
          </cell>
          <cell r="L116" t="str">
            <v>-</v>
          </cell>
          <cell r="M116" t="str">
            <v>-</v>
          </cell>
          <cell r="N116" t="str">
            <v>INHIL</v>
          </cell>
        </row>
        <row r="117">
          <cell r="F117">
            <v>30</v>
          </cell>
          <cell r="J117" t="str">
            <v>-</v>
          </cell>
          <cell r="K117" t="str">
            <v>-</v>
          </cell>
          <cell r="L117" t="str">
            <v>-</v>
          </cell>
          <cell r="M117" t="str">
            <v>-</v>
          </cell>
          <cell r="N117" t="str">
            <v>INHIL</v>
          </cell>
        </row>
        <row r="118">
          <cell r="F118">
            <v>43</v>
          </cell>
          <cell r="J118" t="str">
            <v>-</v>
          </cell>
          <cell r="K118" t="str">
            <v>-</v>
          </cell>
          <cell r="L118" t="str">
            <v>-</v>
          </cell>
          <cell r="M118" t="str">
            <v>-</v>
          </cell>
          <cell r="N118" t="str">
            <v>INHIL</v>
          </cell>
        </row>
        <row r="119">
          <cell r="F119">
            <v>46</v>
          </cell>
          <cell r="J119" t="str">
            <v>-</v>
          </cell>
          <cell r="K119" t="str">
            <v>INHIL</v>
          </cell>
          <cell r="L119" t="str">
            <v>-</v>
          </cell>
          <cell r="M119" t="str">
            <v>-</v>
          </cell>
          <cell r="N119" t="str">
            <v>INHIL</v>
          </cell>
        </row>
        <row r="120">
          <cell r="F120">
            <v>36</v>
          </cell>
          <cell r="J120" t="str">
            <v>-</v>
          </cell>
          <cell r="K120" t="str">
            <v>-</v>
          </cell>
          <cell r="L120" t="str">
            <v>-</v>
          </cell>
          <cell r="M120" t="str">
            <v>-</v>
          </cell>
          <cell r="N120" t="str">
            <v>INHIL</v>
          </cell>
        </row>
        <row r="121">
          <cell r="F121">
            <v>37</v>
          </cell>
          <cell r="J121" t="str">
            <v>-</v>
          </cell>
          <cell r="K121" t="str">
            <v>-</v>
          </cell>
          <cell r="L121" t="str">
            <v>-</v>
          </cell>
          <cell r="M121" t="str">
            <v>-</v>
          </cell>
          <cell r="N121" t="str">
            <v>INHIL</v>
          </cell>
        </row>
        <row r="122">
          <cell r="F122">
            <v>20</v>
          </cell>
          <cell r="J122" t="str">
            <v>-</v>
          </cell>
          <cell r="K122" t="str">
            <v>INHIL</v>
          </cell>
          <cell r="L122" t="str">
            <v>-</v>
          </cell>
          <cell r="M122" t="str">
            <v>-</v>
          </cell>
          <cell r="N122" t="str">
            <v>INHIL</v>
          </cell>
        </row>
        <row r="123">
          <cell r="F123">
            <v>40</v>
          </cell>
          <cell r="J123" t="str">
            <v>-</v>
          </cell>
          <cell r="K123" t="str">
            <v>-</v>
          </cell>
          <cell r="L123" t="str">
            <v>-</v>
          </cell>
          <cell r="M123" t="str">
            <v>-</v>
          </cell>
          <cell r="N123" t="str">
            <v>INHIL</v>
          </cell>
        </row>
        <row r="124">
          <cell r="F124">
            <v>27</v>
          </cell>
          <cell r="J124" t="str">
            <v>-</v>
          </cell>
          <cell r="K124" t="str">
            <v>-</v>
          </cell>
          <cell r="L124" t="str">
            <v>-</v>
          </cell>
          <cell r="M124" t="str">
            <v>-</v>
          </cell>
          <cell r="N124" t="str">
            <v>No</v>
          </cell>
        </row>
        <row r="125">
          <cell r="F125">
            <v>46</v>
          </cell>
          <cell r="J125" t="str">
            <v>-</v>
          </cell>
          <cell r="K125" t="str">
            <v>-</v>
          </cell>
          <cell r="L125" t="str">
            <v>-</v>
          </cell>
          <cell r="M125" t="str">
            <v>-</v>
          </cell>
          <cell r="N125" t="str">
            <v>INHIL</v>
          </cell>
        </row>
        <row r="126">
          <cell r="F126">
            <v>34</v>
          </cell>
          <cell r="J126" t="str">
            <v>-</v>
          </cell>
          <cell r="K126" t="str">
            <v>-</v>
          </cell>
          <cell r="L126" t="str">
            <v>-</v>
          </cell>
          <cell r="M126" t="str">
            <v>-</v>
          </cell>
          <cell r="N126" t="str">
            <v>INHIL</v>
          </cell>
        </row>
        <row r="127">
          <cell r="F127">
            <v>20</v>
          </cell>
          <cell r="J127" t="str">
            <v>-</v>
          </cell>
          <cell r="K127" t="str">
            <v>-</v>
          </cell>
          <cell r="L127" t="str">
            <v>-</v>
          </cell>
          <cell r="M127" t="str">
            <v>-</v>
          </cell>
          <cell r="N127" t="str">
            <v>No</v>
          </cell>
        </row>
        <row r="128">
          <cell r="F128">
            <v>19</v>
          </cell>
          <cell r="J128" t="str">
            <v>-</v>
          </cell>
          <cell r="K128" t="str">
            <v>-</v>
          </cell>
          <cell r="L128" t="str">
            <v>-</v>
          </cell>
          <cell r="M128" t="str">
            <v>-</v>
          </cell>
          <cell r="N128" t="str">
            <v>No</v>
          </cell>
        </row>
        <row r="129">
          <cell r="F129">
            <v>22</v>
          </cell>
          <cell r="J129" t="str">
            <v>-</v>
          </cell>
          <cell r="K129" t="str">
            <v>-</v>
          </cell>
          <cell r="L129" t="str">
            <v>-</v>
          </cell>
          <cell r="M129" t="str">
            <v>-</v>
          </cell>
          <cell r="N129" t="str">
            <v>No</v>
          </cell>
        </row>
        <row r="130">
          <cell r="F130">
            <v>20</v>
          </cell>
          <cell r="J130" t="str">
            <v>-</v>
          </cell>
          <cell r="K130" t="str">
            <v>-</v>
          </cell>
          <cell r="L130" t="str">
            <v>-</v>
          </cell>
          <cell r="M130" t="str">
            <v>-</v>
          </cell>
          <cell r="N130" t="str">
            <v>No</v>
          </cell>
        </row>
        <row r="131">
          <cell r="F131">
            <v>21</v>
          </cell>
          <cell r="J131" t="str">
            <v>-</v>
          </cell>
          <cell r="K131" t="str">
            <v>-</v>
          </cell>
          <cell r="L131" t="str">
            <v>-</v>
          </cell>
          <cell r="M131" t="str">
            <v>-</v>
          </cell>
          <cell r="N131" t="str">
            <v>No</v>
          </cell>
        </row>
        <row r="132">
          <cell r="F132">
            <v>22</v>
          </cell>
          <cell r="J132" t="str">
            <v>-</v>
          </cell>
          <cell r="K132" t="str">
            <v>-</v>
          </cell>
          <cell r="L132" t="str">
            <v>-</v>
          </cell>
          <cell r="M132" t="str">
            <v>-</v>
          </cell>
          <cell r="N132" t="str">
            <v>No</v>
          </cell>
        </row>
        <row r="133">
          <cell r="F133">
            <v>19</v>
          </cell>
          <cell r="J133" t="str">
            <v>INHIL</v>
          </cell>
          <cell r="K133" t="str">
            <v>-</v>
          </cell>
          <cell r="L133" t="str">
            <v>-</v>
          </cell>
          <cell r="M133" t="str">
            <v>-</v>
          </cell>
          <cell r="N133" t="str">
            <v>INHIL</v>
          </cell>
        </row>
        <row r="134">
          <cell r="F134">
            <v>27</v>
          </cell>
          <cell r="J134" t="str">
            <v>-</v>
          </cell>
          <cell r="K134" t="str">
            <v>-</v>
          </cell>
          <cell r="L134" t="str">
            <v>-</v>
          </cell>
          <cell r="M134" t="str">
            <v>-</v>
          </cell>
          <cell r="N134" t="str">
            <v>No</v>
          </cell>
        </row>
        <row r="135">
          <cell r="F135">
            <v>21</v>
          </cell>
          <cell r="J135" t="str">
            <v>-</v>
          </cell>
          <cell r="K135" t="str">
            <v>-</v>
          </cell>
          <cell r="L135" t="str">
            <v>-</v>
          </cell>
          <cell r="M135" t="str">
            <v>-</v>
          </cell>
          <cell r="N135" t="str">
            <v>No</v>
          </cell>
        </row>
        <row r="136">
          <cell r="F136">
            <v>30</v>
          </cell>
          <cell r="J136" t="str">
            <v>-</v>
          </cell>
          <cell r="K136" t="str">
            <v>-</v>
          </cell>
          <cell r="L136" t="str">
            <v>-</v>
          </cell>
          <cell r="M136" t="str">
            <v>-</v>
          </cell>
          <cell r="N136" t="str">
            <v>No</v>
          </cell>
        </row>
        <row r="137">
          <cell r="F137">
            <v>27</v>
          </cell>
          <cell r="J137" t="str">
            <v>-</v>
          </cell>
          <cell r="K137" t="str">
            <v>-</v>
          </cell>
          <cell r="L137" t="str">
            <v>-</v>
          </cell>
          <cell r="M137" t="str">
            <v>-</v>
          </cell>
          <cell r="N137" t="str">
            <v>No</v>
          </cell>
        </row>
        <row r="138">
          <cell r="F138">
            <v>35</v>
          </cell>
          <cell r="J138" t="str">
            <v>-</v>
          </cell>
          <cell r="K138" t="str">
            <v>-</v>
          </cell>
          <cell r="L138" t="str">
            <v>-</v>
          </cell>
          <cell r="M138" t="str">
            <v>-</v>
          </cell>
          <cell r="N138" t="str">
            <v>INHIL</v>
          </cell>
        </row>
        <row r="139">
          <cell r="F139">
            <v>23</v>
          </cell>
          <cell r="J139" t="str">
            <v>INHIL</v>
          </cell>
          <cell r="K139" t="str">
            <v>-</v>
          </cell>
          <cell r="L139" t="str">
            <v>-</v>
          </cell>
          <cell r="M139" t="str">
            <v>-</v>
          </cell>
          <cell r="N139" t="str">
            <v>INHIL</v>
          </cell>
        </row>
        <row r="140">
          <cell r="F140">
            <v>22</v>
          </cell>
          <cell r="J140" t="str">
            <v>-</v>
          </cell>
          <cell r="K140" t="str">
            <v>-</v>
          </cell>
          <cell r="L140" t="str">
            <v>-</v>
          </cell>
          <cell r="M140" t="str">
            <v>-</v>
          </cell>
          <cell r="N140" t="str">
            <v>No</v>
          </cell>
        </row>
        <row r="141">
          <cell r="F141">
            <v>24</v>
          </cell>
          <cell r="J141" t="str">
            <v>-</v>
          </cell>
          <cell r="K141" t="str">
            <v>-</v>
          </cell>
          <cell r="L141" t="str">
            <v>-</v>
          </cell>
          <cell r="M141" t="str">
            <v>-</v>
          </cell>
          <cell r="N141" t="str">
            <v>No</v>
          </cell>
        </row>
        <row r="142">
          <cell r="F142">
            <v>20</v>
          </cell>
          <cell r="J142" t="str">
            <v>-</v>
          </cell>
          <cell r="K142" t="str">
            <v>-</v>
          </cell>
          <cell r="L142" t="str">
            <v>INHIL</v>
          </cell>
          <cell r="M142" t="str">
            <v>-</v>
          </cell>
          <cell r="N142" t="str">
            <v>INHIL</v>
          </cell>
        </row>
        <row r="143">
          <cell r="F143">
            <v>33</v>
          </cell>
          <cell r="J143" t="str">
            <v>-</v>
          </cell>
          <cell r="K143" t="str">
            <v>-</v>
          </cell>
          <cell r="L143" t="str">
            <v>-</v>
          </cell>
          <cell r="M143" t="str">
            <v>-</v>
          </cell>
          <cell r="N143" t="str">
            <v>INHIL</v>
          </cell>
        </row>
        <row r="144">
          <cell r="F144">
            <v>20</v>
          </cell>
          <cell r="J144" t="str">
            <v>-</v>
          </cell>
          <cell r="K144" t="str">
            <v>-</v>
          </cell>
          <cell r="L144" t="str">
            <v>-</v>
          </cell>
          <cell r="M144" t="str">
            <v>-</v>
          </cell>
          <cell r="N144" t="str">
            <v>No</v>
          </cell>
        </row>
        <row r="145">
          <cell r="F145">
            <v>18</v>
          </cell>
          <cell r="J145" t="str">
            <v>-</v>
          </cell>
          <cell r="K145" t="str">
            <v>-</v>
          </cell>
          <cell r="L145" t="str">
            <v>-</v>
          </cell>
          <cell r="M145" t="str">
            <v>-</v>
          </cell>
          <cell r="N145" t="str">
            <v>No</v>
          </cell>
        </row>
        <row r="146">
          <cell r="F146">
            <v>19</v>
          </cell>
          <cell r="J146" t="str">
            <v>-</v>
          </cell>
          <cell r="K146" t="str">
            <v>-</v>
          </cell>
          <cell r="L146" t="str">
            <v>-</v>
          </cell>
          <cell r="M146" t="str">
            <v>-</v>
          </cell>
          <cell r="N146" t="str">
            <v>No</v>
          </cell>
        </row>
        <row r="147">
          <cell r="F147">
            <v>19</v>
          </cell>
          <cell r="J147" t="str">
            <v>-</v>
          </cell>
          <cell r="K147" t="str">
            <v>-</v>
          </cell>
          <cell r="L147" t="str">
            <v>-</v>
          </cell>
          <cell r="M147" t="str">
            <v>-</v>
          </cell>
          <cell r="N147" t="str">
            <v>No</v>
          </cell>
        </row>
        <row r="148">
          <cell r="F148">
            <v>19</v>
          </cell>
          <cell r="J148" t="str">
            <v>-</v>
          </cell>
          <cell r="K148" t="str">
            <v>-</v>
          </cell>
          <cell r="L148" t="str">
            <v>-</v>
          </cell>
          <cell r="M148" t="str">
            <v>-</v>
          </cell>
          <cell r="N148" t="str">
            <v>No</v>
          </cell>
        </row>
        <row r="149">
          <cell r="F149">
            <v>19</v>
          </cell>
          <cell r="J149" t="str">
            <v>-</v>
          </cell>
          <cell r="K149" t="str">
            <v>-</v>
          </cell>
          <cell r="L149" t="str">
            <v>-</v>
          </cell>
          <cell r="M149" t="str">
            <v>-</v>
          </cell>
          <cell r="N149" t="str">
            <v>No</v>
          </cell>
        </row>
        <row r="150">
          <cell r="F150">
            <v>19</v>
          </cell>
          <cell r="N150" t="str">
            <v>No</v>
          </cell>
        </row>
        <row r="151">
          <cell r="F151">
            <v>19</v>
          </cell>
          <cell r="N151" t="str">
            <v>No</v>
          </cell>
        </row>
        <row r="152">
          <cell r="F152">
            <v>19</v>
          </cell>
          <cell r="N152" t="str">
            <v>INHIL</v>
          </cell>
        </row>
        <row r="153">
          <cell r="F153">
            <v>18</v>
          </cell>
          <cell r="N153" t="str">
            <v>No</v>
          </cell>
        </row>
        <row r="154">
          <cell r="F154">
            <v>20</v>
          </cell>
          <cell r="N154" t="str">
            <v>No</v>
          </cell>
        </row>
        <row r="155">
          <cell r="F155">
            <v>19</v>
          </cell>
          <cell r="N155" t="str">
            <v>No</v>
          </cell>
        </row>
        <row r="156">
          <cell r="F156">
            <v>20</v>
          </cell>
          <cell r="J156" t="str">
            <v>-</v>
          </cell>
          <cell r="K156" t="str">
            <v>-</v>
          </cell>
          <cell r="L156" t="str">
            <v>-</v>
          </cell>
          <cell r="M156" t="str">
            <v>-</v>
          </cell>
          <cell r="N156" t="str">
            <v>No</v>
          </cell>
        </row>
      </sheetData>
      <sheetData sheetId="36" refreshError="1">
        <row r="9">
          <cell r="A9">
            <v>6</v>
          </cell>
          <cell r="B9">
            <v>30374</v>
          </cell>
          <cell r="C9" t="str">
            <v>HAIRUL MUHLISIN</v>
          </cell>
        </row>
        <row r="10">
          <cell r="A10">
            <v>7</v>
          </cell>
          <cell r="B10">
            <v>30550</v>
          </cell>
          <cell r="C10" t="str">
            <v>ANDI AKBAR</v>
          </cell>
        </row>
      </sheetData>
      <sheetData sheetId="37"/>
      <sheetData sheetId="38"/>
      <sheetData sheetId="39"/>
      <sheetData sheetId="40"/>
      <sheetData sheetId="41"/>
      <sheetData sheetId="42" refreshError="1">
        <row r="3">
          <cell r="F3" t="str">
            <v>THN</v>
          </cell>
        </row>
        <row r="4">
          <cell r="A4">
            <v>1</v>
          </cell>
          <cell r="B4" t="str">
            <v>0733</v>
          </cell>
          <cell r="C4" t="str">
            <v>SYARIFUDIN</v>
          </cell>
          <cell r="F4">
            <v>34</v>
          </cell>
          <cell r="J4" t="str">
            <v>-</v>
          </cell>
          <cell r="K4" t="str">
            <v>-</v>
          </cell>
          <cell r="L4" t="str">
            <v>-</v>
          </cell>
          <cell r="M4" t="str">
            <v>-</v>
          </cell>
          <cell r="N4" t="str">
            <v>INHIL</v>
          </cell>
        </row>
        <row r="5">
          <cell r="A5">
            <v>2</v>
          </cell>
          <cell r="B5">
            <v>12075</v>
          </cell>
          <cell r="C5" t="str">
            <v>DARMA JOHAN SIHITE</v>
          </cell>
          <cell r="F5">
            <v>35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No</v>
          </cell>
        </row>
        <row r="6">
          <cell r="A6">
            <v>3</v>
          </cell>
          <cell r="B6">
            <v>12493</v>
          </cell>
          <cell r="C6" t="str">
            <v>MONANG SIHITE</v>
          </cell>
          <cell r="F6">
            <v>21</v>
          </cell>
          <cell r="J6" t="str">
            <v>-</v>
          </cell>
          <cell r="K6" t="str">
            <v>-</v>
          </cell>
          <cell r="L6" t="str">
            <v>-</v>
          </cell>
          <cell r="M6" t="str">
            <v>-</v>
          </cell>
          <cell r="N6" t="str">
            <v>No</v>
          </cell>
        </row>
        <row r="7">
          <cell r="F7">
            <v>23</v>
          </cell>
          <cell r="J7" t="str">
            <v>-</v>
          </cell>
          <cell r="K7" t="str">
            <v>-</v>
          </cell>
          <cell r="L7" t="str">
            <v>INHIL</v>
          </cell>
          <cell r="M7" t="str">
            <v>-</v>
          </cell>
          <cell r="N7" t="str">
            <v>INHIL</v>
          </cell>
        </row>
        <row r="8">
          <cell r="F8">
            <v>30</v>
          </cell>
          <cell r="J8" t="str">
            <v>-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INHIL</v>
          </cell>
        </row>
        <row r="9">
          <cell r="F9">
            <v>28</v>
          </cell>
          <cell r="J9" t="str">
            <v>-</v>
          </cell>
          <cell r="K9" t="str">
            <v>-</v>
          </cell>
          <cell r="L9" t="str">
            <v>-</v>
          </cell>
          <cell r="M9" t="str">
            <v>-</v>
          </cell>
          <cell r="N9" t="str">
            <v>No</v>
          </cell>
        </row>
        <row r="10">
          <cell r="F10">
            <v>33</v>
          </cell>
          <cell r="J10" t="str">
            <v>-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INHIL</v>
          </cell>
        </row>
        <row r="11">
          <cell r="F11">
            <v>22</v>
          </cell>
          <cell r="J11" t="str">
            <v>-</v>
          </cell>
          <cell r="K11" t="str">
            <v>-</v>
          </cell>
          <cell r="L11" t="str">
            <v>-</v>
          </cell>
          <cell r="M11" t="str">
            <v>-</v>
          </cell>
          <cell r="N11" t="str">
            <v>No</v>
          </cell>
        </row>
        <row r="12">
          <cell r="F12">
            <v>25</v>
          </cell>
          <cell r="J12" t="str">
            <v>-</v>
          </cell>
          <cell r="K12" t="str">
            <v>-</v>
          </cell>
          <cell r="L12" t="str">
            <v>INHIL</v>
          </cell>
          <cell r="M12" t="str">
            <v>-</v>
          </cell>
          <cell r="N12" t="str">
            <v>INHIL</v>
          </cell>
        </row>
        <row r="13">
          <cell r="F13">
            <v>35</v>
          </cell>
          <cell r="J13" t="str">
            <v>-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INHIL</v>
          </cell>
        </row>
        <row r="14">
          <cell r="F14">
            <v>52</v>
          </cell>
          <cell r="J14" t="str">
            <v>-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No</v>
          </cell>
        </row>
        <row r="15">
          <cell r="F15">
            <v>23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INHIL</v>
          </cell>
        </row>
        <row r="16">
          <cell r="F16">
            <v>20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No</v>
          </cell>
        </row>
        <row r="17">
          <cell r="F17">
            <v>25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No</v>
          </cell>
        </row>
        <row r="18">
          <cell r="F18">
            <v>24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N18" t="str">
            <v>No</v>
          </cell>
        </row>
        <row r="19">
          <cell r="F19">
            <v>35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INHIL</v>
          </cell>
        </row>
        <row r="20">
          <cell r="F20">
            <v>35</v>
          </cell>
          <cell r="J20" t="str">
            <v>-</v>
          </cell>
          <cell r="K20" t="str">
            <v>-</v>
          </cell>
          <cell r="L20" t="str">
            <v>-</v>
          </cell>
          <cell r="M20" t="str">
            <v>-</v>
          </cell>
          <cell r="N20" t="str">
            <v>INHIL</v>
          </cell>
        </row>
        <row r="21">
          <cell r="F21">
            <v>26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INHIL</v>
          </cell>
        </row>
        <row r="22">
          <cell r="F22">
            <v>25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INHIL</v>
          </cell>
        </row>
        <row r="23">
          <cell r="F23">
            <v>18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No</v>
          </cell>
        </row>
        <row r="24">
          <cell r="F24">
            <v>17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INHIL</v>
          </cell>
        </row>
        <row r="25">
          <cell r="F25">
            <v>23</v>
          </cell>
          <cell r="J25" t="str">
            <v>INHIL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INHIL</v>
          </cell>
        </row>
        <row r="26">
          <cell r="F26">
            <v>32</v>
          </cell>
          <cell r="J26" t="str">
            <v>-</v>
          </cell>
          <cell r="K26" t="str">
            <v>-</v>
          </cell>
          <cell r="L26" t="str">
            <v>-</v>
          </cell>
          <cell r="M26" t="str">
            <v>-</v>
          </cell>
          <cell r="N26" t="str">
            <v>INHIL</v>
          </cell>
        </row>
        <row r="27">
          <cell r="F27">
            <v>20</v>
          </cell>
          <cell r="N27" t="str">
            <v>No</v>
          </cell>
        </row>
      </sheetData>
      <sheetData sheetId="43" refreshError="1"/>
      <sheetData sheetId="44" refreshError="1"/>
      <sheetData sheetId="45"/>
      <sheetData sheetId="46" refreshError="1">
        <row r="2">
          <cell r="J2" t="str">
            <v>01</v>
          </cell>
          <cell r="K2" t="str">
            <v>GENERAL MANAGER</v>
          </cell>
        </row>
        <row r="3">
          <cell r="J3" t="str">
            <v>02</v>
          </cell>
          <cell r="K3" t="str">
            <v>ASST.GEN.MGR.</v>
          </cell>
        </row>
        <row r="4">
          <cell r="J4" t="str">
            <v>03</v>
          </cell>
          <cell r="K4" t="str">
            <v>MANAGER</v>
          </cell>
        </row>
        <row r="5">
          <cell r="J5" t="str">
            <v>04</v>
          </cell>
          <cell r="K5" t="str">
            <v>ASST MANAGER</v>
          </cell>
        </row>
        <row r="6">
          <cell r="J6" t="str">
            <v>05</v>
          </cell>
          <cell r="K6" t="str">
            <v>KABAG</v>
          </cell>
        </row>
        <row r="7">
          <cell r="J7" t="str">
            <v>06</v>
          </cell>
          <cell r="K7" t="str">
            <v>WAKIL KABAG</v>
          </cell>
        </row>
        <row r="8">
          <cell r="J8" t="str">
            <v>07</v>
          </cell>
          <cell r="K8" t="str">
            <v>KA SEKSI</v>
          </cell>
        </row>
        <row r="9">
          <cell r="J9" t="str">
            <v>08</v>
          </cell>
          <cell r="K9" t="str">
            <v>WAKA SEKSI</v>
          </cell>
        </row>
        <row r="10">
          <cell r="J10" t="str">
            <v>09</v>
          </cell>
          <cell r="K10" t="str">
            <v>KA REGU</v>
          </cell>
        </row>
        <row r="11">
          <cell r="J11" t="str">
            <v>10</v>
          </cell>
          <cell r="K11" t="str">
            <v>ADM</v>
          </cell>
        </row>
        <row r="12">
          <cell r="J12" t="str">
            <v>11</v>
          </cell>
          <cell r="K12" t="str">
            <v>OPR</v>
          </cell>
        </row>
        <row r="13">
          <cell r="J13" t="str">
            <v>12</v>
          </cell>
          <cell r="K13" t="str">
            <v>ASST.OPR</v>
          </cell>
        </row>
        <row r="14">
          <cell r="J14" t="str">
            <v>13</v>
          </cell>
          <cell r="K14" t="str">
            <v>MAIN ADM</v>
          </cell>
        </row>
        <row r="15">
          <cell r="J15" t="str">
            <v>14</v>
          </cell>
          <cell r="K15" t="str">
            <v>KASIR</v>
          </cell>
        </row>
        <row r="16">
          <cell r="J16" t="str">
            <v>15</v>
          </cell>
          <cell r="K16" t="str">
            <v>ADM LAP.</v>
          </cell>
        </row>
        <row r="17">
          <cell r="J17" t="str">
            <v>16</v>
          </cell>
          <cell r="K17" t="str">
            <v>DRIVER</v>
          </cell>
        </row>
        <row r="18">
          <cell r="J18" t="str">
            <v>17</v>
          </cell>
          <cell r="K18" t="str">
            <v>ESTIMATOR</v>
          </cell>
        </row>
        <row r="19">
          <cell r="J19" t="str">
            <v>18</v>
          </cell>
          <cell r="K19" t="str">
            <v>SR.INSPECTOR</v>
          </cell>
        </row>
        <row r="20">
          <cell r="J20" t="str">
            <v>19</v>
          </cell>
          <cell r="K20" t="str">
            <v>INSPECTOR</v>
          </cell>
        </row>
        <row r="21">
          <cell r="J21" t="str">
            <v>20</v>
          </cell>
          <cell r="K21" t="str">
            <v>ASST INSP.</v>
          </cell>
        </row>
        <row r="22">
          <cell r="J22" t="str">
            <v>21</v>
          </cell>
          <cell r="K22" t="str">
            <v>SR.TECHN</v>
          </cell>
        </row>
        <row r="23">
          <cell r="J23" t="str">
            <v>22</v>
          </cell>
          <cell r="K23" t="str">
            <v>TECHN I</v>
          </cell>
        </row>
        <row r="24">
          <cell r="J24" t="str">
            <v>23</v>
          </cell>
          <cell r="K24" t="str">
            <v>TECHN.II</v>
          </cell>
        </row>
        <row r="25">
          <cell r="J25" t="str">
            <v>24</v>
          </cell>
          <cell r="K25" t="str">
            <v>MAINTENANCE</v>
          </cell>
        </row>
        <row r="26">
          <cell r="J26" t="str">
            <v>25</v>
          </cell>
          <cell r="K26" t="str">
            <v>UTILITY</v>
          </cell>
        </row>
        <row r="27">
          <cell r="J27" t="str">
            <v>26</v>
          </cell>
          <cell r="K27" t="str">
            <v>HYGMAN</v>
          </cell>
        </row>
        <row r="28">
          <cell r="J28" t="str">
            <v>27</v>
          </cell>
          <cell r="K28" t="str">
            <v>SORTIR</v>
          </cell>
        </row>
        <row r="29">
          <cell r="J29" t="str">
            <v>28</v>
          </cell>
          <cell r="K29" t="str">
            <v>CHECKER</v>
          </cell>
        </row>
        <row r="30">
          <cell r="J30" t="str">
            <v>29</v>
          </cell>
          <cell r="K30" t="str">
            <v>MEKANIK</v>
          </cell>
        </row>
        <row r="31">
          <cell r="J31" t="str">
            <v>30</v>
          </cell>
          <cell r="K31" t="str">
            <v>DRAFTMAN</v>
          </cell>
        </row>
        <row r="32">
          <cell r="J32" t="str">
            <v>31</v>
          </cell>
          <cell r="K32" t="str">
            <v>WELDER</v>
          </cell>
        </row>
        <row r="33">
          <cell r="J33" t="str">
            <v>32</v>
          </cell>
          <cell r="K33" t="str">
            <v>HELPER</v>
          </cell>
        </row>
        <row r="34">
          <cell r="J34" t="str">
            <v>33</v>
          </cell>
          <cell r="K34" t="str">
            <v>ANGGOTA</v>
          </cell>
        </row>
        <row r="35">
          <cell r="J35" t="str">
            <v>34</v>
          </cell>
          <cell r="K35" t="str">
            <v>PERAWAT</v>
          </cell>
        </row>
        <row r="36">
          <cell r="J36" t="str">
            <v>35</v>
          </cell>
          <cell r="K36" t="str">
            <v>PELAKSANA</v>
          </cell>
        </row>
        <row r="37">
          <cell r="J37" t="str">
            <v>36</v>
          </cell>
          <cell r="K37" t="str">
            <v>KA.ADM EXIM</v>
          </cell>
        </row>
        <row r="38">
          <cell r="J38" t="str">
            <v>37</v>
          </cell>
          <cell r="K38" t="str">
            <v>FITTER</v>
          </cell>
        </row>
        <row r="39">
          <cell r="J39" t="str">
            <v>38</v>
          </cell>
          <cell r="K39" t="str">
            <v>TK.KEBUN</v>
          </cell>
        </row>
        <row r="40">
          <cell r="J40" t="str">
            <v>39</v>
          </cell>
          <cell r="K40" t="str">
            <v>TK. SAPU</v>
          </cell>
        </row>
        <row r="41">
          <cell r="J41" t="str">
            <v>40</v>
          </cell>
          <cell r="K41" t="str">
            <v>TELLYMAN</v>
          </cell>
        </row>
        <row r="42">
          <cell r="J42" t="str">
            <v>41</v>
          </cell>
          <cell r="K42" t="str">
            <v>JR TIMBANG</v>
          </cell>
        </row>
        <row r="43">
          <cell r="J43" t="str">
            <v>42</v>
          </cell>
          <cell r="K43" t="str">
            <v>NAKHODA</v>
          </cell>
        </row>
        <row r="44">
          <cell r="J44" t="str">
            <v>43</v>
          </cell>
          <cell r="K44" t="str">
            <v>KKM</v>
          </cell>
        </row>
        <row r="45">
          <cell r="J45" t="str">
            <v>44</v>
          </cell>
          <cell r="K45" t="str">
            <v>JURU MASAK</v>
          </cell>
        </row>
        <row r="46">
          <cell r="J46" t="str">
            <v>45</v>
          </cell>
          <cell r="K46" t="str">
            <v>KELASI</v>
          </cell>
        </row>
        <row r="47">
          <cell r="J47" t="str">
            <v>46</v>
          </cell>
          <cell r="K47" t="str">
            <v>PACKER</v>
          </cell>
        </row>
        <row r="48">
          <cell r="J48" t="str">
            <v>47</v>
          </cell>
          <cell r="K48" t="str">
            <v>TECHNISI ELECTRIC.</v>
          </cell>
        </row>
        <row r="49">
          <cell r="J49" t="str">
            <v>48</v>
          </cell>
          <cell r="K49" t="str">
            <v>TECHNICIAN</v>
          </cell>
        </row>
        <row r="50">
          <cell r="J50" t="str">
            <v>49</v>
          </cell>
          <cell r="K50" t="str">
            <v>ASST TECHNICIAN</v>
          </cell>
        </row>
        <row r="51">
          <cell r="J51" t="str">
            <v>50</v>
          </cell>
          <cell r="K51" t="str">
            <v>KOORD.PACKER</v>
          </cell>
        </row>
        <row r="52">
          <cell r="J52" t="str">
            <v>52</v>
          </cell>
          <cell r="K52" t="str">
            <v>WK.KA.SEKSI</v>
          </cell>
        </row>
        <row r="53">
          <cell r="J53" t="str">
            <v>53</v>
          </cell>
          <cell r="K53" t="str">
            <v>PENGAWAS</v>
          </cell>
        </row>
        <row r="54">
          <cell r="J54" t="str">
            <v>54</v>
          </cell>
          <cell r="K54" t="str">
            <v>JR MINYAK</v>
          </cell>
        </row>
        <row r="55">
          <cell r="J55" t="str">
            <v>55</v>
          </cell>
          <cell r="K55" t="str">
            <v>STOCK KEEPER</v>
          </cell>
        </row>
        <row r="56">
          <cell r="J56" t="str">
            <v>56</v>
          </cell>
          <cell r="K56" t="str">
            <v>OPR EXCAVATOR</v>
          </cell>
        </row>
        <row r="57">
          <cell r="J57" t="str">
            <v>57</v>
          </cell>
          <cell r="K57" t="str">
            <v>OPR LOADER</v>
          </cell>
        </row>
        <row r="58">
          <cell r="J58" t="str">
            <v>58</v>
          </cell>
          <cell r="K58" t="str">
            <v>HELPER</v>
          </cell>
        </row>
        <row r="59">
          <cell r="J59" t="str">
            <v>59</v>
          </cell>
          <cell r="K59" t="str">
            <v>WK KA SHIFT</v>
          </cell>
        </row>
        <row r="60">
          <cell r="J60" t="str">
            <v>61</v>
          </cell>
          <cell r="K60" t="str">
            <v>WAKA REGU</v>
          </cell>
        </row>
        <row r="61">
          <cell r="J61" t="str">
            <v>62</v>
          </cell>
          <cell r="K61" t="str">
            <v>OPR.TELP</v>
          </cell>
        </row>
        <row r="62">
          <cell r="J62" t="str">
            <v>63</v>
          </cell>
          <cell r="K62" t="str">
            <v>KA.HANSIP</v>
          </cell>
        </row>
        <row r="63">
          <cell r="J63" t="str">
            <v>00</v>
          </cell>
          <cell r="K63" t="str">
            <v>DITEKTIF</v>
          </cell>
        </row>
        <row r="64">
          <cell r="J64" t="str">
            <v>51</v>
          </cell>
          <cell r="K64" t="str">
            <v>PEMB.KANTOR</v>
          </cell>
        </row>
        <row r="65">
          <cell r="J65" t="str">
            <v>60</v>
          </cell>
          <cell r="K65" t="str">
            <v>CONTROLLER</v>
          </cell>
        </row>
        <row r="66">
          <cell r="J66" t="str">
            <v>64</v>
          </cell>
          <cell r="K66" t="str">
            <v>KA. SATPAM</v>
          </cell>
        </row>
        <row r="67">
          <cell r="J67" t="str">
            <v>65</v>
          </cell>
          <cell r="K67" t="str">
            <v>WKL.KA.SATPAM</v>
          </cell>
        </row>
        <row r="68">
          <cell r="J68" t="str">
            <v>66</v>
          </cell>
          <cell r="K68" t="str">
            <v>TRAINEE</v>
          </cell>
        </row>
        <row r="69">
          <cell r="J69" t="str">
            <v>67</v>
          </cell>
          <cell r="K69" t="str">
            <v>OPR FORKLIFT</v>
          </cell>
        </row>
        <row r="70">
          <cell r="J70" t="str">
            <v>69</v>
          </cell>
          <cell r="K70" t="str">
            <v>WORKER</v>
          </cell>
        </row>
        <row r="71">
          <cell r="J71" t="str">
            <v>70</v>
          </cell>
          <cell r="K71" t="str">
            <v>OFFICE BOY</v>
          </cell>
        </row>
        <row r="72">
          <cell r="J72" t="str">
            <v>71</v>
          </cell>
          <cell r="K72" t="str">
            <v>OPR CRANE</v>
          </cell>
        </row>
        <row r="73">
          <cell r="J73" t="str">
            <v>72</v>
          </cell>
          <cell r="K73" t="str">
            <v>EXPORT SUPPORT</v>
          </cell>
        </row>
        <row r="74">
          <cell r="J74" t="str">
            <v>73</v>
          </cell>
          <cell r="K74" t="str">
            <v>BIDAN</v>
          </cell>
        </row>
        <row r="75">
          <cell r="J75" t="str">
            <v>74</v>
          </cell>
          <cell r="K75" t="str">
            <v>STAFF</v>
          </cell>
        </row>
        <row r="76">
          <cell r="J76" t="str">
            <v>75</v>
          </cell>
          <cell r="K76" t="str">
            <v>ACT KA SEKSI</v>
          </cell>
        </row>
        <row r="77">
          <cell r="J77" t="str">
            <v>76</v>
          </cell>
          <cell r="K77" t="str">
            <v>JUNIOR PROGRAM</v>
          </cell>
        </row>
        <row r="78">
          <cell r="J78" t="str">
            <v>77</v>
          </cell>
          <cell r="K78" t="str">
            <v>ELECTRICIAN</v>
          </cell>
        </row>
        <row r="79">
          <cell r="J79" t="str">
            <v>78</v>
          </cell>
          <cell r="K79" t="str">
            <v>SPV PROGRAMMER</v>
          </cell>
        </row>
        <row r="80">
          <cell r="J80" t="str">
            <v>82</v>
          </cell>
          <cell r="K80" t="str">
            <v>PURCHASER</v>
          </cell>
        </row>
        <row r="81">
          <cell r="J81" t="str">
            <v>79</v>
          </cell>
          <cell r="K81" t="str">
            <v>DECON GIRL</v>
          </cell>
        </row>
        <row r="82">
          <cell r="J82" t="str">
            <v>80</v>
          </cell>
          <cell r="K82" t="str">
            <v>ACT WK SEKSI</v>
          </cell>
        </row>
        <row r="83">
          <cell r="J83" t="str">
            <v>81</v>
          </cell>
          <cell r="K83" t="str">
            <v>ACT KEPALA REGU</v>
          </cell>
        </row>
        <row r="86">
          <cell r="J86" t="str">
            <v>01</v>
          </cell>
          <cell r="K86" t="str">
            <v>PERSONALIA</v>
          </cell>
        </row>
        <row r="87">
          <cell r="J87" t="str">
            <v>02</v>
          </cell>
          <cell r="K87" t="str">
            <v>GENERAL AFFAIRS</v>
          </cell>
        </row>
        <row r="88">
          <cell r="J88" t="str">
            <v>03</v>
          </cell>
          <cell r="K88" t="str">
            <v>KLINIK</v>
          </cell>
        </row>
        <row r="89">
          <cell r="J89" t="str">
            <v>04</v>
          </cell>
          <cell r="K89" t="str">
            <v>INFORMASI TEKNOLOGI</v>
          </cell>
        </row>
        <row r="90">
          <cell r="J90" t="str">
            <v>05</v>
          </cell>
          <cell r="K90" t="str">
            <v>OFFICE</v>
          </cell>
        </row>
        <row r="91">
          <cell r="J91" t="str">
            <v>06</v>
          </cell>
          <cell r="K91" t="str">
            <v>PPIC</v>
          </cell>
        </row>
        <row r="92">
          <cell r="J92" t="str">
            <v>07</v>
          </cell>
          <cell r="K92" t="str">
            <v>MEAT PREPARATION -1</v>
          </cell>
        </row>
        <row r="93">
          <cell r="J93" t="str">
            <v>08</v>
          </cell>
          <cell r="K93" t="str">
            <v>DRY PROCESS</v>
          </cell>
        </row>
        <row r="94">
          <cell r="J94" t="str">
            <v>09</v>
          </cell>
          <cell r="K94" t="str">
            <v>WET PROCESS</v>
          </cell>
        </row>
        <row r="95">
          <cell r="J95" t="str">
            <v>10</v>
          </cell>
          <cell r="K95" t="str">
            <v>DWP (ASES)</v>
          </cell>
        </row>
        <row r="96">
          <cell r="J96" t="str">
            <v>11</v>
          </cell>
          <cell r="K96" t="str">
            <v>PENGOLAHAN MINYAK KELAPA</v>
          </cell>
        </row>
        <row r="97">
          <cell r="J97" t="str">
            <v>12</v>
          </cell>
          <cell r="K97" t="str">
            <v>MEAT PREPARATION -2</v>
          </cell>
        </row>
        <row r="98">
          <cell r="J98" t="str">
            <v>13</v>
          </cell>
          <cell r="K98" t="str">
            <v>RAW MATERIAL PURCHASING</v>
          </cell>
        </row>
        <row r="99">
          <cell r="J99" t="str">
            <v>14</v>
          </cell>
          <cell r="K99" t="str">
            <v>WARE HOUSE</v>
          </cell>
        </row>
        <row r="100">
          <cell r="J100" t="str">
            <v>15</v>
          </cell>
          <cell r="K100" t="str">
            <v>LOGISTIC</v>
          </cell>
        </row>
        <row r="101">
          <cell r="J101" t="str">
            <v>16</v>
          </cell>
          <cell r="K101" t="str">
            <v>QUALITY ASSURANCE DEPT</v>
          </cell>
        </row>
        <row r="102">
          <cell r="J102" t="str">
            <v>17</v>
          </cell>
          <cell r="K102" t="str">
            <v>QUALITY SYSTEM DEPT</v>
          </cell>
        </row>
        <row r="103">
          <cell r="J103" t="str">
            <v>18</v>
          </cell>
          <cell r="K103" t="str">
            <v>BENGKEL UMUM</v>
          </cell>
        </row>
        <row r="104">
          <cell r="J104" t="str">
            <v>19</v>
          </cell>
          <cell r="K104" t="str">
            <v>BENGKEL ALAT BERAT</v>
          </cell>
        </row>
        <row r="105">
          <cell r="J105" t="str">
            <v>20</v>
          </cell>
          <cell r="K105" t="str">
            <v>PERAWATAN UMUM</v>
          </cell>
        </row>
        <row r="106">
          <cell r="J106" t="str">
            <v>21</v>
          </cell>
          <cell r="K106" t="str">
            <v>WATER TREATMENT</v>
          </cell>
        </row>
        <row r="107">
          <cell r="J107" t="str">
            <v>22</v>
          </cell>
          <cell r="K107" t="str">
            <v>BOILER</v>
          </cell>
        </row>
        <row r="108">
          <cell r="J108" t="str">
            <v>23</v>
          </cell>
          <cell r="K108" t="str">
            <v>GENSET</v>
          </cell>
        </row>
        <row r="109">
          <cell r="J109" t="str">
            <v>24</v>
          </cell>
          <cell r="K109" t="str">
            <v>LISTRIK</v>
          </cell>
        </row>
        <row r="111">
          <cell r="J111" t="str">
            <v>25</v>
          </cell>
          <cell r="K111" t="str">
            <v>PROYEK (BSD)</v>
          </cell>
        </row>
        <row r="112">
          <cell r="J112" t="str">
            <v>26</v>
          </cell>
          <cell r="K112" t="str">
            <v>MEAT PREPARATION 3</v>
          </cell>
        </row>
        <row r="113">
          <cell r="J113" t="str">
            <v>27</v>
          </cell>
          <cell r="K113" t="str">
            <v>FRESH SANTAN DEPT</v>
          </cell>
        </row>
        <row r="114">
          <cell r="J114" t="str">
            <v>28</v>
          </cell>
          <cell r="K114" t="str">
            <v>KOPERASI SEROJA</v>
          </cell>
        </row>
        <row r="115">
          <cell r="J115" t="str">
            <v>29</v>
          </cell>
          <cell r="K115" t="str">
            <v>RMP (KM.PS)</v>
          </cell>
        </row>
        <row r="116">
          <cell r="J116" t="str">
            <v>30</v>
          </cell>
          <cell r="K116" t="str">
            <v>FINANCE</v>
          </cell>
        </row>
        <row r="117">
          <cell r="J117" t="str">
            <v>31</v>
          </cell>
          <cell r="K117" t="str">
            <v>ACCOUNTING</v>
          </cell>
        </row>
        <row r="118">
          <cell r="J118" t="str">
            <v>32</v>
          </cell>
          <cell r="K118" t="str">
            <v>ESM PURCHASING</v>
          </cell>
        </row>
        <row r="119">
          <cell r="J119" t="str">
            <v>33</v>
          </cell>
          <cell r="K119" t="str">
            <v>CENTRAL STORE</v>
          </cell>
        </row>
        <row r="120">
          <cell r="J120" t="str">
            <v>34</v>
          </cell>
          <cell r="K120" t="str">
            <v>PROYEK (PRU)</v>
          </cell>
        </row>
      </sheetData>
      <sheetData sheetId="47"/>
      <sheetData sheetId="48"/>
      <sheetData sheetId="49">
        <row r="2">
          <cell r="A2" t="str">
            <v>PT. INHIL SARIMAS KELAPA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FRM-HCC"/>
    </sheetNames>
    <definedNames>
      <definedName name="_xlbgnm.HCC6"/>
    </defined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FRM-HCP"/>
    </sheetNames>
    <definedNames>
      <definedName name="_xlbgnm.HCP02"/>
      <definedName name="_xlbgnm.HCP03"/>
      <definedName name="_xlbgnm.HCP04"/>
      <definedName name="_xlbgnm.HCP05"/>
      <definedName name="_xlbgnm.HDC01"/>
    </defined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mybos"/>
      <sheetName val="JUICE"/>
      <sheetName val="HAR"/>
      <sheetName val="PBL"/>
      <sheetName val="MP2"/>
      <sheetName val="CAD"/>
      <sheetName val="WTP"/>
      <sheetName val="CW"/>
      <sheetName val="MP1"/>
      <sheetName val="FSD"/>
      <sheetName val="DRP"/>
      <sheetName val="PMK"/>
      <sheetName val="DW"/>
      <sheetName val="CAN"/>
    </sheetNames>
    <sheetDataSet>
      <sheetData sheetId="0" refreshError="1"/>
      <sheetData sheetId="1" refreshError="1">
        <row r="6">
          <cell r="A6">
            <v>1</v>
          </cell>
          <cell r="I6">
            <v>0</v>
          </cell>
          <cell r="K6">
            <v>0</v>
          </cell>
          <cell r="L6">
            <v>0</v>
          </cell>
          <cell r="O6">
            <v>0</v>
          </cell>
          <cell r="P6">
            <v>0</v>
          </cell>
          <cell r="S6">
            <v>0</v>
          </cell>
          <cell r="AE6">
            <v>0</v>
          </cell>
          <cell r="AG6">
            <v>0</v>
          </cell>
          <cell r="AH6">
            <v>0</v>
          </cell>
          <cell r="AO6">
            <v>0</v>
          </cell>
          <cell r="AQ6">
            <v>0</v>
          </cell>
          <cell r="AR6">
            <v>0</v>
          </cell>
          <cell r="AY6">
            <v>0</v>
          </cell>
        </row>
        <row r="7">
          <cell r="A7">
            <v>2</v>
          </cell>
          <cell r="I7">
            <v>0</v>
          </cell>
          <cell r="K7">
            <v>0</v>
          </cell>
          <cell r="L7">
            <v>0</v>
          </cell>
          <cell r="O7">
            <v>0</v>
          </cell>
          <cell r="P7">
            <v>0</v>
          </cell>
          <cell r="S7">
            <v>0</v>
          </cell>
          <cell r="AE7">
            <v>0</v>
          </cell>
          <cell r="AG7">
            <v>0</v>
          </cell>
          <cell r="AH7">
            <v>0</v>
          </cell>
          <cell r="AO7">
            <v>0</v>
          </cell>
          <cell r="AQ7">
            <v>0</v>
          </cell>
          <cell r="AR7">
            <v>0</v>
          </cell>
          <cell r="AY7">
            <v>0</v>
          </cell>
        </row>
        <row r="8">
          <cell r="A8">
            <v>3</v>
          </cell>
          <cell r="I8">
            <v>0</v>
          </cell>
          <cell r="K8">
            <v>0</v>
          </cell>
          <cell r="L8">
            <v>0</v>
          </cell>
          <cell r="O8">
            <v>0</v>
          </cell>
          <cell r="P8">
            <v>0</v>
          </cell>
          <cell r="S8">
            <v>0</v>
          </cell>
          <cell r="AE8">
            <v>0</v>
          </cell>
          <cell r="AG8">
            <v>0</v>
          </cell>
          <cell r="AH8">
            <v>0</v>
          </cell>
          <cell r="AO8">
            <v>0</v>
          </cell>
          <cell r="AQ8">
            <v>0</v>
          </cell>
          <cell r="AR8">
            <v>0</v>
          </cell>
          <cell r="AY8">
            <v>0</v>
          </cell>
        </row>
        <row r="9">
          <cell r="A9">
            <v>4</v>
          </cell>
          <cell r="I9">
            <v>0</v>
          </cell>
          <cell r="K9">
            <v>0</v>
          </cell>
          <cell r="L9">
            <v>0</v>
          </cell>
          <cell r="O9">
            <v>0</v>
          </cell>
          <cell r="P9">
            <v>0</v>
          </cell>
          <cell r="S9">
            <v>0</v>
          </cell>
          <cell r="AE9">
            <v>0</v>
          </cell>
          <cell r="AG9">
            <v>0</v>
          </cell>
          <cell r="AH9">
            <v>0</v>
          </cell>
          <cell r="AO9">
            <v>0</v>
          </cell>
          <cell r="AQ9">
            <v>0</v>
          </cell>
          <cell r="AR9">
            <v>0</v>
          </cell>
          <cell r="AY9">
            <v>0</v>
          </cell>
        </row>
        <row r="10">
          <cell r="A10">
            <v>5</v>
          </cell>
          <cell r="I10">
            <v>0</v>
          </cell>
          <cell r="K10">
            <v>0</v>
          </cell>
          <cell r="L10">
            <v>0</v>
          </cell>
          <cell r="O10">
            <v>0</v>
          </cell>
          <cell r="P10">
            <v>0</v>
          </cell>
          <cell r="S10">
            <v>0</v>
          </cell>
          <cell r="AE10">
            <v>0</v>
          </cell>
          <cell r="AG10">
            <v>0</v>
          </cell>
          <cell r="AH10">
            <v>0</v>
          </cell>
          <cell r="AO10">
            <v>0</v>
          </cell>
          <cell r="AQ10">
            <v>0</v>
          </cell>
          <cell r="AR10">
            <v>0</v>
          </cell>
          <cell r="AY10">
            <v>0</v>
          </cell>
        </row>
        <row r="11">
          <cell r="A11">
            <v>6</v>
          </cell>
          <cell r="I11">
            <v>0</v>
          </cell>
          <cell r="K11">
            <v>0</v>
          </cell>
          <cell r="L11">
            <v>0</v>
          </cell>
          <cell r="O11">
            <v>0</v>
          </cell>
          <cell r="P11">
            <v>0</v>
          </cell>
          <cell r="S11">
            <v>0</v>
          </cell>
          <cell r="AE11">
            <v>0</v>
          </cell>
          <cell r="AG11">
            <v>0</v>
          </cell>
          <cell r="AH11">
            <v>0</v>
          </cell>
          <cell r="AO11">
            <v>0</v>
          </cell>
          <cell r="AQ11">
            <v>0</v>
          </cell>
          <cell r="AR11">
            <v>0</v>
          </cell>
          <cell r="AY11">
            <v>0</v>
          </cell>
        </row>
        <row r="12">
          <cell r="A12">
            <v>7</v>
          </cell>
          <cell r="I12">
            <v>0</v>
          </cell>
          <cell r="K12">
            <v>0</v>
          </cell>
          <cell r="L12">
            <v>0</v>
          </cell>
          <cell r="O12">
            <v>0</v>
          </cell>
          <cell r="P12">
            <v>0</v>
          </cell>
          <cell r="S12">
            <v>0</v>
          </cell>
          <cell r="AE12">
            <v>0</v>
          </cell>
          <cell r="AG12">
            <v>0</v>
          </cell>
          <cell r="AH12">
            <v>0</v>
          </cell>
          <cell r="AO12">
            <v>0</v>
          </cell>
          <cell r="AQ12">
            <v>0</v>
          </cell>
          <cell r="AR12">
            <v>0</v>
          </cell>
          <cell r="AY12">
            <v>0</v>
          </cell>
        </row>
        <row r="13">
          <cell r="A13">
            <v>8</v>
          </cell>
          <cell r="I13">
            <v>0</v>
          </cell>
          <cell r="K13">
            <v>0</v>
          </cell>
          <cell r="L13">
            <v>0</v>
          </cell>
          <cell r="O13">
            <v>0</v>
          </cell>
          <cell r="P13">
            <v>0</v>
          </cell>
          <cell r="S13">
            <v>0</v>
          </cell>
          <cell r="AE13">
            <v>0</v>
          </cell>
          <cell r="AG13">
            <v>0</v>
          </cell>
          <cell r="AH13">
            <v>0</v>
          </cell>
          <cell r="AO13">
            <v>0</v>
          </cell>
          <cell r="AQ13">
            <v>0</v>
          </cell>
          <cell r="AR13">
            <v>0</v>
          </cell>
          <cell r="AY13">
            <v>0</v>
          </cell>
        </row>
        <row r="14">
          <cell r="A14">
            <v>9</v>
          </cell>
          <cell r="I14">
            <v>0</v>
          </cell>
          <cell r="K14">
            <v>0</v>
          </cell>
          <cell r="L14">
            <v>0</v>
          </cell>
          <cell r="O14">
            <v>0</v>
          </cell>
          <cell r="P14">
            <v>0</v>
          </cell>
          <cell r="S14">
            <v>0</v>
          </cell>
          <cell r="AE14">
            <v>0</v>
          </cell>
          <cell r="AG14">
            <v>0</v>
          </cell>
          <cell r="AH14">
            <v>0</v>
          </cell>
          <cell r="AO14">
            <v>0</v>
          </cell>
          <cell r="AQ14">
            <v>0</v>
          </cell>
          <cell r="AR14">
            <v>0</v>
          </cell>
          <cell r="AY14">
            <v>0</v>
          </cell>
        </row>
        <row r="15">
          <cell r="A15">
            <v>10</v>
          </cell>
          <cell r="I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AE15">
            <v>0</v>
          </cell>
          <cell r="AG15">
            <v>0</v>
          </cell>
          <cell r="AH15">
            <v>0</v>
          </cell>
          <cell r="AO15">
            <v>0</v>
          </cell>
          <cell r="AQ15">
            <v>0</v>
          </cell>
          <cell r="AR15">
            <v>0</v>
          </cell>
          <cell r="AY15">
            <v>0</v>
          </cell>
        </row>
        <row r="16">
          <cell r="A16">
            <v>11</v>
          </cell>
          <cell r="I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AE16">
            <v>0</v>
          </cell>
          <cell r="AG16">
            <v>0</v>
          </cell>
          <cell r="AH16">
            <v>0</v>
          </cell>
          <cell r="AO16">
            <v>0</v>
          </cell>
          <cell r="AQ16">
            <v>0</v>
          </cell>
          <cell r="AR16">
            <v>0</v>
          </cell>
          <cell r="AY16">
            <v>0</v>
          </cell>
        </row>
        <row r="17">
          <cell r="A17">
            <v>12</v>
          </cell>
          <cell r="I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AE17">
            <v>0</v>
          </cell>
          <cell r="AG17">
            <v>0</v>
          </cell>
          <cell r="AH17">
            <v>0</v>
          </cell>
          <cell r="AO17">
            <v>0</v>
          </cell>
          <cell r="AQ17">
            <v>0</v>
          </cell>
          <cell r="AR17">
            <v>0</v>
          </cell>
          <cell r="AY17">
            <v>0</v>
          </cell>
        </row>
        <row r="18">
          <cell r="A18">
            <v>13</v>
          </cell>
          <cell r="I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AE18">
            <v>0</v>
          </cell>
          <cell r="AG18">
            <v>0</v>
          </cell>
          <cell r="AH18">
            <v>0</v>
          </cell>
          <cell r="AO18">
            <v>0</v>
          </cell>
          <cell r="AQ18">
            <v>0</v>
          </cell>
          <cell r="AR18">
            <v>0</v>
          </cell>
          <cell r="AY18">
            <v>0</v>
          </cell>
        </row>
        <row r="19">
          <cell r="A19">
            <v>14</v>
          </cell>
          <cell r="I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AE19">
            <v>0</v>
          </cell>
          <cell r="AG19">
            <v>0</v>
          </cell>
          <cell r="AH19">
            <v>0</v>
          </cell>
          <cell r="AO19">
            <v>0</v>
          </cell>
          <cell r="AQ19">
            <v>0</v>
          </cell>
          <cell r="AR19">
            <v>0</v>
          </cell>
          <cell r="AY19">
            <v>0</v>
          </cell>
        </row>
        <row r="20">
          <cell r="A20">
            <v>15</v>
          </cell>
          <cell r="I20">
            <v>0</v>
          </cell>
          <cell r="K20">
            <v>0</v>
          </cell>
          <cell r="L20">
            <v>0</v>
          </cell>
          <cell r="O20">
            <v>0</v>
          </cell>
          <cell r="P20">
            <v>0</v>
          </cell>
          <cell r="S20">
            <v>0</v>
          </cell>
          <cell r="AE20">
            <v>0</v>
          </cell>
          <cell r="AG20">
            <v>0</v>
          </cell>
          <cell r="AH20">
            <v>0</v>
          </cell>
          <cell r="AO20">
            <v>0</v>
          </cell>
          <cell r="AQ20">
            <v>0</v>
          </cell>
          <cell r="AR20">
            <v>0</v>
          </cell>
          <cell r="AY20">
            <v>0</v>
          </cell>
        </row>
        <row r="21">
          <cell r="A21">
            <v>16</v>
          </cell>
          <cell r="I21">
            <v>0</v>
          </cell>
          <cell r="K21">
            <v>0</v>
          </cell>
          <cell r="L21">
            <v>0</v>
          </cell>
          <cell r="O21">
            <v>0</v>
          </cell>
          <cell r="P21">
            <v>0</v>
          </cell>
          <cell r="S21">
            <v>0</v>
          </cell>
          <cell r="AE21">
            <v>0</v>
          </cell>
          <cell r="AG21">
            <v>0</v>
          </cell>
          <cell r="AH21">
            <v>0</v>
          </cell>
          <cell r="AO21">
            <v>0</v>
          </cell>
          <cell r="AQ21">
            <v>0</v>
          </cell>
          <cell r="AR21">
            <v>0</v>
          </cell>
          <cell r="AY21">
            <v>0</v>
          </cell>
        </row>
        <row r="22">
          <cell r="A22">
            <v>17</v>
          </cell>
          <cell r="B22">
            <v>300</v>
          </cell>
          <cell r="C22">
            <v>2392</v>
          </cell>
          <cell r="D22">
            <v>156</v>
          </cell>
          <cell r="E22">
            <v>149.9</v>
          </cell>
          <cell r="F22">
            <v>0.6</v>
          </cell>
          <cell r="I22">
            <v>2998.5</v>
          </cell>
          <cell r="K22">
            <v>2998.5</v>
          </cell>
          <cell r="L22">
            <v>2998.5</v>
          </cell>
          <cell r="O22">
            <v>228</v>
          </cell>
          <cell r="P22">
            <v>30</v>
          </cell>
          <cell r="S22">
            <v>2740.5</v>
          </cell>
          <cell r="U22">
            <v>24</v>
          </cell>
          <cell r="V22">
            <v>144</v>
          </cell>
          <cell r="X22">
            <v>14</v>
          </cell>
          <cell r="Y22">
            <v>84</v>
          </cell>
          <cell r="AA22">
            <v>13</v>
          </cell>
          <cell r="AB22">
            <v>17</v>
          </cell>
          <cell r="AE22">
            <v>30</v>
          </cell>
          <cell r="AG22">
            <v>0</v>
          </cell>
          <cell r="AH22">
            <v>24</v>
          </cell>
          <cell r="AK22">
            <v>24</v>
          </cell>
          <cell r="AO22">
            <v>0</v>
          </cell>
          <cell r="AQ22">
            <v>0</v>
          </cell>
          <cell r="AR22">
            <v>14</v>
          </cell>
          <cell r="AU22">
            <v>14</v>
          </cell>
          <cell r="AY22">
            <v>0</v>
          </cell>
        </row>
        <row r="23">
          <cell r="A23">
            <v>18</v>
          </cell>
          <cell r="I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AE23">
            <v>0</v>
          </cell>
          <cell r="AG23">
            <v>0</v>
          </cell>
          <cell r="AH23">
            <v>0</v>
          </cell>
          <cell r="AO23">
            <v>0</v>
          </cell>
          <cell r="AQ23">
            <v>0</v>
          </cell>
          <cell r="AR23">
            <v>0</v>
          </cell>
          <cell r="AY23">
            <v>0</v>
          </cell>
        </row>
        <row r="24">
          <cell r="A24">
            <v>19</v>
          </cell>
          <cell r="I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AE24">
            <v>0</v>
          </cell>
          <cell r="AG24">
            <v>0</v>
          </cell>
          <cell r="AH24">
            <v>0</v>
          </cell>
          <cell r="AO24">
            <v>0</v>
          </cell>
          <cell r="AQ24">
            <v>0</v>
          </cell>
          <cell r="AR24">
            <v>0</v>
          </cell>
          <cell r="AY24">
            <v>0</v>
          </cell>
        </row>
        <row r="25">
          <cell r="A25">
            <v>20</v>
          </cell>
          <cell r="I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AE25">
            <v>0</v>
          </cell>
          <cell r="AG25">
            <v>0</v>
          </cell>
          <cell r="AH25">
            <v>0</v>
          </cell>
          <cell r="AO25">
            <v>0</v>
          </cell>
          <cell r="AQ25">
            <v>0</v>
          </cell>
          <cell r="AR25">
            <v>0</v>
          </cell>
          <cell r="AY25">
            <v>0</v>
          </cell>
        </row>
        <row r="26">
          <cell r="A26">
            <v>21</v>
          </cell>
          <cell r="I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AE26">
            <v>0</v>
          </cell>
          <cell r="AG26">
            <v>0</v>
          </cell>
          <cell r="AH26">
            <v>0</v>
          </cell>
          <cell r="AO26">
            <v>0</v>
          </cell>
          <cell r="AQ26">
            <v>0</v>
          </cell>
          <cell r="AR26">
            <v>0</v>
          </cell>
          <cell r="AY26">
            <v>0</v>
          </cell>
        </row>
        <row r="27">
          <cell r="A27">
            <v>22</v>
          </cell>
          <cell r="I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AE27">
            <v>0</v>
          </cell>
          <cell r="AG27">
            <v>0</v>
          </cell>
          <cell r="AH27">
            <v>0</v>
          </cell>
          <cell r="AO27">
            <v>0</v>
          </cell>
          <cell r="AQ27">
            <v>0</v>
          </cell>
          <cell r="AR27">
            <v>0</v>
          </cell>
          <cell r="AY27">
            <v>0</v>
          </cell>
        </row>
        <row r="28">
          <cell r="A28">
            <v>23</v>
          </cell>
          <cell r="I28">
            <v>0</v>
          </cell>
          <cell r="K28">
            <v>0</v>
          </cell>
          <cell r="L28">
            <v>0</v>
          </cell>
          <cell r="O28">
            <v>0</v>
          </cell>
          <cell r="P28">
            <v>0</v>
          </cell>
          <cell r="S28">
            <v>0</v>
          </cell>
          <cell r="AE28">
            <v>0</v>
          </cell>
          <cell r="AG28">
            <v>0</v>
          </cell>
          <cell r="AH28">
            <v>0</v>
          </cell>
          <cell r="AO28">
            <v>0</v>
          </cell>
          <cell r="AQ28">
            <v>0</v>
          </cell>
          <cell r="AR28">
            <v>0</v>
          </cell>
          <cell r="AY28">
            <v>0</v>
          </cell>
        </row>
        <row r="29">
          <cell r="A29">
            <v>24</v>
          </cell>
          <cell r="I29">
            <v>0</v>
          </cell>
          <cell r="K29">
            <v>0</v>
          </cell>
          <cell r="L29">
            <v>0</v>
          </cell>
          <cell r="O29">
            <v>0</v>
          </cell>
          <cell r="P29">
            <v>0</v>
          </cell>
          <cell r="S29">
            <v>0</v>
          </cell>
          <cell r="AE29">
            <v>0</v>
          </cell>
          <cell r="AG29">
            <v>0</v>
          </cell>
          <cell r="AH29">
            <v>0</v>
          </cell>
          <cell r="AO29">
            <v>0</v>
          </cell>
          <cell r="AQ29">
            <v>0</v>
          </cell>
          <cell r="AR29">
            <v>0</v>
          </cell>
          <cell r="AY29">
            <v>0</v>
          </cell>
        </row>
        <row r="30">
          <cell r="A30">
            <v>25</v>
          </cell>
          <cell r="I30">
            <v>0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>
            <v>0</v>
          </cell>
          <cell r="AE30">
            <v>0</v>
          </cell>
          <cell r="AG30">
            <v>0</v>
          </cell>
          <cell r="AH30">
            <v>0</v>
          </cell>
          <cell r="AO30">
            <v>0</v>
          </cell>
          <cell r="AQ30">
            <v>0</v>
          </cell>
          <cell r="AR30">
            <v>0</v>
          </cell>
          <cell r="AY30">
            <v>0</v>
          </cell>
        </row>
        <row r="31">
          <cell r="A31">
            <v>26</v>
          </cell>
          <cell r="I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AE31">
            <v>0</v>
          </cell>
          <cell r="AG31">
            <v>0</v>
          </cell>
          <cell r="AH31">
            <v>0</v>
          </cell>
          <cell r="AO31">
            <v>0</v>
          </cell>
          <cell r="AQ31">
            <v>0</v>
          </cell>
          <cell r="AR31">
            <v>0</v>
          </cell>
          <cell r="AY31">
            <v>0</v>
          </cell>
        </row>
        <row r="32">
          <cell r="A32">
            <v>27</v>
          </cell>
          <cell r="I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AE32">
            <v>0</v>
          </cell>
          <cell r="AG32">
            <v>0</v>
          </cell>
          <cell r="AH32">
            <v>0</v>
          </cell>
          <cell r="AO32">
            <v>0</v>
          </cell>
          <cell r="AQ32">
            <v>0</v>
          </cell>
          <cell r="AR32">
            <v>0</v>
          </cell>
          <cell r="AY32">
            <v>0</v>
          </cell>
        </row>
        <row r="33">
          <cell r="A33">
            <v>28</v>
          </cell>
          <cell r="I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AE33">
            <v>0</v>
          </cell>
          <cell r="AG33">
            <v>0</v>
          </cell>
          <cell r="AH33">
            <v>0</v>
          </cell>
          <cell r="AO33">
            <v>0</v>
          </cell>
          <cell r="AQ33">
            <v>0</v>
          </cell>
          <cell r="AR33">
            <v>0</v>
          </cell>
          <cell r="AY33">
            <v>0</v>
          </cell>
        </row>
        <row r="34">
          <cell r="A34">
            <v>29</v>
          </cell>
          <cell r="I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AE34">
            <v>0</v>
          </cell>
          <cell r="AG34">
            <v>0</v>
          </cell>
          <cell r="AH34">
            <v>0</v>
          </cell>
          <cell r="AO34">
            <v>0</v>
          </cell>
          <cell r="AQ34">
            <v>0</v>
          </cell>
          <cell r="AR34">
            <v>0</v>
          </cell>
          <cell r="AY34">
            <v>0</v>
          </cell>
        </row>
        <row r="35">
          <cell r="A35">
            <v>30</v>
          </cell>
          <cell r="I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AE35">
            <v>0</v>
          </cell>
          <cell r="AG35">
            <v>0</v>
          </cell>
          <cell r="AH35">
            <v>0</v>
          </cell>
          <cell r="AO35">
            <v>0</v>
          </cell>
          <cell r="AQ35">
            <v>0</v>
          </cell>
          <cell r="AR35">
            <v>0</v>
          </cell>
          <cell r="AY35">
            <v>0</v>
          </cell>
        </row>
        <row r="36">
          <cell r="A36">
            <v>31</v>
          </cell>
          <cell r="I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>
            <v>0</v>
          </cell>
          <cell r="AE36">
            <v>0</v>
          </cell>
          <cell r="AG36">
            <v>0</v>
          </cell>
          <cell r="AH36">
            <v>0</v>
          </cell>
          <cell r="AO36">
            <v>0</v>
          </cell>
          <cell r="AQ36">
            <v>0</v>
          </cell>
          <cell r="AR36">
            <v>0</v>
          </cell>
          <cell r="AY36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6">
          <cell r="A6">
            <v>1</v>
          </cell>
          <cell r="B6">
            <v>0</v>
          </cell>
          <cell r="C6">
            <v>35268</v>
          </cell>
          <cell r="D6">
            <v>800</v>
          </cell>
          <cell r="E6">
            <v>12846</v>
          </cell>
          <cell r="F6">
            <v>0</v>
          </cell>
          <cell r="H6">
            <v>0</v>
          </cell>
          <cell r="I6">
            <v>23222</v>
          </cell>
          <cell r="J6">
            <v>12846</v>
          </cell>
          <cell r="K6">
            <v>0</v>
          </cell>
          <cell r="L6">
            <v>13124</v>
          </cell>
          <cell r="M6">
            <v>0</v>
          </cell>
          <cell r="N6">
            <v>25.83</v>
          </cell>
          <cell r="O6">
            <v>0</v>
          </cell>
          <cell r="P6">
            <v>25995.83</v>
          </cell>
          <cell r="Q6">
            <v>0</v>
          </cell>
          <cell r="R6">
            <v>25995.83</v>
          </cell>
          <cell r="S6">
            <v>25995.83</v>
          </cell>
          <cell r="U6">
            <v>0</v>
          </cell>
          <cell r="V6">
            <v>23016</v>
          </cell>
          <cell r="W6">
            <v>0</v>
          </cell>
          <cell r="X6">
            <v>315</v>
          </cell>
          <cell r="AA6">
            <v>2664.8300000000017</v>
          </cell>
          <cell r="AB6">
            <v>10.250990254975516</v>
          </cell>
          <cell r="AC6">
            <v>0</v>
          </cell>
          <cell r="AD6">
            <v>0</v>
          </cell>
          <cell r="AG6">
            <v>0</v>
          </cell>
          <cell r="AJ6">
            <v>0</v>
          </cell>
          <cell r="AK6">
            <v>0</v>
          </cell>
          <cell r="AM6">
            <v>1918</v>
          </cell>
          <cell r="AN6">
            <v>23016</v>
          </cell>
          <cell r="AP6">
            <v>0</v>
          </cell>
          <cell r="AT6">
            <v>0</v>
          </cell>
          <cell r="AU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F6">
            <v>0</v>
          </cell>
          <cell r="BH6">
            <v>24825</v>
          </cell>
          <cell r="BI6">
            <v>0</v>
          </cell>
          <cell r="BP6">
            <v>24825</v>
          </cell>
          <cell r="BR6">
            <v>31618.003333333327</v>
          </cell>
          <cell r="BS6">
            <v>1918</v>
          </cell>
          <cell r="BX6">
            <v>1600</v>
          </cell>
          <cell r="BZ6">
            <v>31936.003333333327</v>
          </cell>
          <cell r="CB6">
            <v>10331</v>
          </cell>
          <cell r="CC6">
            <v>0</v>
          </cell>
          <cell r="CJ6">
            <v>10331</v>
          </cell>
          <cell r="CL6">
            <v>827</v>
          </cell>
          <cell r="CM6">
            <v>0</v>
          </cell>
          <cell r="CT6">
            <v>827</v>
          </cell>
          <cell r="CV6">
            <v>4428</v>
          </cell>
          <cell r="CW6">
            <v>0</v>
          </cell>
          <cell r="DD6">
            <v>4428</v>
          </cell>
          <cell r="DH6">
            <v>213</v>
          </cell>
          <cell r="DI6">
            <v>0</v>
          </cell>
          <cell r="DP6">
            <v>213</v>
          </cell>
          <cell r="DR6">
            <v>637</v>
          </cell>
          <cell r="DS6">
            <v>0</v>
          </cell>
          <cell r="DZ6">
            <v>637</v>
          </cell>
          <cell r="EB6">
            <v>9055</v>
          </cell>
          <cell r="EC6">
            <v>0</v>
          </cell>
          <cell r="EJ6">
            <v>9055</v>
          </cell>
          <cell r="EL6">
            <v>30103</v>
          </cell>
          <cell r="EM6">
            <v>0</v>
          </cell>
          <cell r="EN6">
            <v>0</v>
          </cell>
          <cell r="EO6">
            <v>0</v>
          </cell>
          <cell r="EP6">
            <v>0</v>
          </cell>
          <cell r="EQ6">
            <v>0</v>
          </cell>
          <cell r="ER6">
            <v>0</v>
          </cell>
          <cell r="ES6">
            <v>0</v>
          </cell>
          <cell r="ET6">
            <v>30103</v>
          </cell>
        </row>
        <row r="7">
          <cell r="A7">
            <v>2</v>
          </cell>
          <cell r="B7">
            <v>23222</v>
          </cell>
          <cell r="C7">
            <v>26094</v>
          </cell>
          <cell r="D7">
            <v>315</v>
          </cell>
          <cell r="E7">
            <v>47702</v>
          </cell>
          <cell r="F7">
            <v>0</v>
          </cell>
          <cell r="H7">
            <v>0</v>
          </cell>
          <cell r="I7">
            <v>1929</v>
          </cell>
          <cell r="J7">
            <v>47702</v>
          </cell>
          <cell r="K7">
            <v>0</v>
          </cell>
          <cell r="L7">
            <v>35871</v>
          </cell>
          <cell r="M7">
            <v>0</v>
          </cell>
          <cell r="N7">
            <v>26.15</v>
          </cell>
          <cell r="O7">
            <v>114.12</v>
          </cell>
          <cell r="P7">
            <v>83713.26999999999</v>
          </cell>
          <cell r="Q7">
            <v>0</v>
          </cell>
          <cell r="R7">
            <v>83713.26999999999</v>
          </cell>
          <cell r="S7">
            <v>54713.26999999999</v>
          </cell>
          <cell r="U7">
            <v>29000</v>
          </cell>
          <cell r="V7">
            <v>48183.360000000001</v>
          </cell>
          <cell r="W7">
            <v>0</v>
          </cell>
          <cell r="X7">
            <v>1305</v>
          </cell>
          <cell r="AA7">
            <v>5224.9099999999889</v>
          </cell>
          <cell r="AB7">
            <v>9.5496211430974416</v>
          </cell>
          <cell r="AC7">
            <v>0</v>
          </cell>
          <cell r="AD7">
            <v>0</v>
          </cell>
          <cell r="AG7">
            <v>0</v>
          </cell>
          <cell r="AJ7">
            <v>0</v>
          </cell>
          <cell r="AK7">
            <v>0</v>
          </cell>
          <cell r="AM7">
            <v>2000</v>
          </cell>
          <cell r="AN7">
            <v>24000</v>
          </cell>
          <cell r="AP7">
            <v>7464</v>
          </cell>
          <cell r="AT7">
            <v>0</v>
          </cell>
          <cell r="AU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F7">
            <v>0</v>
          </cell>
          <cell r="BH7">
            <v>24825</v>
          </cell>
          <cell r="BI7">
            <v>0</v>
          </cell>
          <cell r="BP7">
            <v>24825</v>
          </cell>
          <cell r="BR7">
            <v>31936.003333333327</v>
          </cell>
          <cell r="BS7">
            <v>2000</v>
          </cell>
          <cell r="BZ7">
            <v>33936.003333333327</v>
          </cell>
          <cell r="CB7">
            <v>10331</v>
          </cell>
          <cell r="CC7">
            <v>0</v>
          </cell>
          <cell r="CJ7">
            <v>10331</v>
          </cell>
          <cell r="CL7">
            <v>827</v>
          </cell>
          <cell r="CM7">
            <v>0</v>
          </cell>
          <cell r="CT7">
            <v>827</v>
          </cell>
          <cell r="CV7">
            <v>4428</v>
          </cell>
          <cell r="CW7">
            <v>0</v>
          </cell>
          <cell r="DD7">
            <v>4428</v>
          </cell>
          <cell r="DH7">
            <v>213</v>
          </cell>
          <cell r="DI7">
            <v>0</v>
          </cell>
          <cell r="DP7">
            <v>213</v>
          </cell>
          <cell r="DR7">
            <v>637</v>
          </cell>
          <cell r="DS7">
            <v>0</v>
          </cell>
          <cell r="DZ7">
            <v>637</v>
          </cell>
          <cell r="EB7">
            <v>9055</v>
          </cell>
          <cell r="EC7">
            <v>7464</v>
          </cell>
          <cell r="EJ7">
            <v>16519</v>
          </cell>
          <cell r="EL7">
            <v>30103</v>
          </cell>
          <cell r="EM7">
            <v>0</v>
          </cell>
          <cell r="EN7">
            <v>0</v>
          </cell>
          <cell r="EO7">
            <v>0</v>
          </cell>
          <cell r="EP7">
            <v>0</v>
          </cell>
          <cell r="EQ7">
            <v>0</v>
          </cell>
          <cell r="ER7">
            <v>0</v>
          </cell>
          <cell r="ES7">
            <v>0</v>
          </cell>
          <cell r="ET7">
            <v>30103</v>
          </cell>
        </row>
        <row r="8">
          <cell r="A8">
            <v>3</v>
          </cell>
          <cell r="B8">
            <v>1929</v>
          </cell>
          <cell r="C8">
            <v>27800</v>
          </cell>
          <cell r="D8">
            <v>1305</v>
          </cell>
          <cell r="E8">
            <v>15133</v>
          </cell>
          <cell r="F8">
            <v>0</v>
          </cell>
          <cell r="H8">
            <v>0</v>
          </cell>
          <cell r="I8">
            <v>15901</v>
          </cell>
          <cell r="J8">
            <v>15133</v>
          </cell>
          <cell r="K8">
            <v>0</v>
          </cell>
          <cell r="L8">
            <v>16020</v>
          </cell>
          <cell r="M8">
            <v>314</v>
          </cell>
          <cell r="N8">
            <v>30.080000000000002</v>
          </cell>
          <cell r="O8">
            <v>0</v>
          </cell>
          <cell r="P8">
            <v>31497.08</v>
          </cell>
          <cell r="Q8">
            <v>29000</v>
          </cell>
          <cell r="R8">
            <v>31497.08</v>
          </cell>
          <cell r="S8">
            <v>60497.08</v>
          </cell>
          <cell r="U8">
            <v>0</v>
          </cell>
          <cell r="V8">
            <v>52073.4</v>
          </cell>
          <cell r="W8">
            <v>142.42000000000002</v>
          </cell>
          <cell r="X8">
            <v>881</v>
          </cell>
          <cell r="AA8">
            <v>7400.26</v>
          </cell>
          <cell r="AB8">
            <v>12.23242510217022</v>
          </cell>
          <cell r="AC8">
            <v>0</v>
          </cell>
          <cell r="AD8">
            <v>0</v>
          </cell>
          <cell r="AG8">
            <v>0</v>
          </cell>
          <cell r="AJ8">
            <v>0</v>
          </cell>
          <cell r="AK8">
            <v>0</v>
          </cell>
          <cell r="AM8">
            <v>2332</v>
          </cell>
          <cell r="AN8">
            <v>27984</v>
          </cell>
          <cell r="AP8">
            <v>7435</v>
          </cell>
          <cell r="AT8">
            <v>0</v>
          </cell>
          <cell r="AU8">
            <v>0</v>
          </cell>
          <cell r="AZ8">
            <v>0</v>
          </cell>
          <cell r="BA8">
            <v>76</v>
          </cell>
          <cell r="BB8">
            <v>0</v>
          </cell>
          <cell r="BC8">
            <v>66.42</v>
          </cell>
          <cell r="BF8">
            <v>142.42000000000002</v>
          </cell>
          <cell r="BH8">
            <v>24825</v>
          </cell>
          <cell r="BI8">
            <v>0</v>
          </cell>
          <cell r="BP8">
            <v>24825</v>
          </cell>
          <cell r="BR8">
            <v>33936.003333333327</v>
          </cell>
          <cell r="BS8">
            <v>2332</v>
          </cell>
          <cell r="BZ8">
            <v>36268.003333333327</v>
          </cell>
          <cell r="CB8">
            <v>10331</v>
          </cell>
          <cell r="CC8">
            <v>0</v>
          </cell>
          <cell r="CH8">
            <v>1700</v>
          </cell>
          <cell r="CJ8">
            <v>8631</v>
          </cell>
          <cell r="CL8">
            <v>827</v>
          </cell>
          <cell r="CM8">
            <v>0</v>
          </cell>
          <cell r="CT8">
            <v>827</v>
          </cell>
          <cell r="CV8">
            <v>4428</v>
          </cell>
          <cell r="CW8">
            <v>0</v>
          </cell>
          <cell r="DD8">
            <v>4428</v>
          </cell>
          <cell r="DH8">
            <v>213</v>
          </cell>
          <cell r="DI8">
            <v>0</v>
          </cell>
          <cell r="DP8">
            <v>213</v>
          </cell>
          <cell r="DR8">
            <v>637</v>
          </cell>
          <cell r="DS8">
            <v>0</v>
          </cell>
          <cell r="DZ8">
            <v>637</v>
          </cell>
          <cell r="EB8">
            <v>16519</v>
          </cell>
          <cell r="EC8">
            <v>7435</v>
          </cell>
          <cell r="EH8">
            <v>4800</v>
          </cell>
          <cell r="EJ8">
            <v>19154</v>
          </cell>
          <cell r="EL8">
            <v>30103</v>
          </cell>
          <cell r="EM8">
            <v>0</v>
          </cell>
          <cell r="EN8">
            <v>0</v>
          </cell>
          <cell r="EO8">
            <v>0</v>
          </cell>
          <cell r="EP8">
            <v>0</v>
          </cell>
          <cell r="EQ8">
            <v>0</v>
          </cell>
          <cell r="ER8">
            <v>0</v>
          </cell>
          <cell r="ES8">
            <v>0</v>
          </cell>
          <cell r="ET8">
            <v>30103</v>
          </cell>
        </row>
        <row r="9">
          <cell r="A9">
            <v>4</v>
          </cell>
          <cell r="B9">
            <v>15901</v>
          </cell>
          <cell r="C9">
            <v>33138</v>
          </cell>
          <cell r="D9">
            <v>881</v>
          </cell>
          <cell r="E9">
            <v>30783</v>
          </cell>
          <cell r="F9">
            <v>0</v>
          </cell>
          <cell r="H9">
            <v>0</v>
          </cell>
          <cell r="I9">
            <v>19137</v>
          </cell>
          <cell r="J9">
            <v>30783</v>
          </cell>
          <cell r="K9">
            <v>0</v>
          </cell>
          <cell r="L9">
            <v>23147</v>
          </cell>
          <cell r="M9">
            <v>296</v>
          </cell>
          <cell r="N9">
            <v>29.3</v>
          </cell>
          <cell r="O9">
            <v>48.28</v>
          </cell>
          <cell r="P9">
            <v>54303.58</v>
          </cell>
          <cell r="Q9">
            <v>0</v>
          </cell>
          <cell r="R9">
            <v>54303.58</v>
          </cell>
          <cell r="S9">
            <v>54303.58</v>
          </cell>
          <cell r="U9">
            <v>0</v>
          </cell>
          <cell r="V9">
            <v>46985.880000000005</v>
          </cell>
          <cell r="W9">
            <v>147.06</v>
          </cell>
          <cell r="X9">
            <v>894</v>
          </cell>
          <cell r="AA9">
            <v>6276.6399999999967</v>
          </cell>
          <cell r="AB9">
            <v>11.558427639577348</v>
          </cell>
          <cell r="AC9">
            <v>0</v>
          </cell>
          <cell r="AD9">
            <v>0</v>
          </cell>
          <cell r="AG9">
            <v>0</v>
          </cell>
          <cell r="AJ9">
            <v>0</v>
          </cell>
          <cell r="AK9">
            <v>0</v>
          </cell>
          <cell r="AM9">
            <v>2218</v>
          </cell>
          <cell r="AN9">
            <v>26616</v>
          </cell>
          <cell r="AP9">
            <v>6287</v>
          </cell>
          <cell r="AT9">
            <v>0</v>
          </cell>
          <cell r="AU9">
            <v>0</v>
          </cell>
          <cell r="AZ9">
            <v>0</v>
          </cell>
          <cell r="BA9">
            <v>81</v>
          </cell>
          <cell r="BB9">
            <v>0</v>
          </cell>
          <cell r="BC9">
            <v>66.06</v>
          </cell>
          <cell r="BF9">
            <v>147.06</v>
          </cell>
          <cell r="BH9">
            <v>24825</v>
          </cell>
          <cell r="BI9">
            <v>0</v>
          </cell>
          <cell r="BP9">
            <v>24825</v>
          </cell>
          <cell r="BR9">
            <v>36268.003333333327</v>
          </cell>
          <cell r="BS9">
            <v>2218</v>
          </cell>
          <cell r="BZ9">
            <v>38486.003333333327</v>
          </cell>
          <cell r="CB9">
            <v>8631</v>
          </cell>
          <cell r="CC9">
            <v>0</v>
          </cell>
          <cell r="CJ9">
            <v>8631</v>
          </cell>
          <cell r="CL9">
            <v>827</v>
          </cell>
          <cell r="CM9">
            <v>0</v>
          </cell>
          <cell r="CR9">
            <v>80</v>
          </cell>
          <cell r="CT9">
            <v>747</v>
          </cell>
          <cell r="CV9">
            <v>4428</v>
          </cell>
          <cell r="CW9">
            <v>0</v>
          </cell>
          <cell r="DD9">
            <v>4428</v>
          </cell>
          <cell r="DH9">
            <v>213</v>
          </cell>
          <cell r="DI9">
            <v>0</v>
          </cell>
          <cell r="DP9">
            <v>213</v>
          </cell>
          <cell r="DR9">
            <v>637</v>
          </cell>
          <cell r="DS9">
            <v>0</v>
          </cell>
          <cell r="DZ9">
            <v>637</v>
          </cell>
          <cell r="EB9">
            <v>19154</v>
          </cell>
          <cell r="EC9">
            <v>6287</v>
          </cell>
          <cell r="EJ9">
            <v>25441</v>
          </cell>
          <cell r="EL9">
            <v>30103</v>
          </cell>
          <cell r="EM9">
            <v>0</v>
          </cell>
          <cell r="EN9">
            <v>0</v>
          </cell>
          <cell r="EO9">
            <v>0</v>
          </cell>
          <cell r="EP9">
            <v>0</v>
          </cell>
          <cell r="EQ9">
            <v>0</v>
          </cell>
          <cell r="ER9">
            <v>0</v>
          </cell>
          <cell r="ES9">
            <v>0</v>
          </cell>
          <cell r="ET9">
            <v>30103</v>
          </cell>
        </row>
        <row r="10">
          <cell r="A10">
            <v>5</v>
          </cell>
          <cell r="B10">
            <v>19137</v>
          </cell>
          <cell r="C10">
            <v>38539</v>
          </cell>
          <cell r="D10">
            <v>894</v>
          </cell>
          <cell r="E10">
            <v>35348</v>
          </cell>
          <cell r="F10">
            <v>0</v>
          </cell>
          <cell r="H10">
            <v>0</v>
          </cell>
          <cell r="I10">
            <v>23222</v>
          </cell>
          <cell r="J10">
            <v>35348</v>
          </cell>
          <cell r="K10">
            <v>0</v>
          </cell>
          <cell r="L10">
            <v>25468</v>
          </cell>
          <cell r="M10">
            <v>376</v>
          </cell>
          <cell r="N10">
            <v>53.4</v>
          </cell>
          <cell r="O10">
            <v>0</v>
          </cell>
          <cell r="P10">
            <v>61245.4</v>
          </cell>
          <cell r="Q10">
            <v>0</v>
          </cell>
          <cell r="R10">
            <v>61245.4</v>
          </cell>
          <cell r="S10">
            <v>61245.4</v>
          </cell>
          <cell r="U10">
            <v>0</v>
          </cell>
          <cell r="V10">
            <v>56141.5</v>
          </cell>
          <cell r="W10">
            <v>151</v>
          </cell>
          <cell r="X10">
            <v>0</v>
          </cell>
          <cell r="AA10">
            <v>4952.9000000000015</v>
          </cell>
          <cell r="AB10">
            <v>8.0869746952424197</v>
          </cell>
          <cell r="AC10">
            <v>0</v>
          </cell>
          <cell r="AD10">
            <v>0</v>
          </cell>
          <cell r="AG10">
            <v>0</v>
          </cell>
          <cell r="AJ10">
            <v>0</v>
          </cell>
          <cell r="AK10">
            <v>0</v>
          </cell>
          <cell r="AM10">
            <v>2812</v>
          </cell>
          <cell r="AN10">
            <v>33744</v>
          </cell>
          <cell r="AP10">
            <v>0</v>
          </cell>
          <cell r="AT10">
            <v>1054</v>
          </cell>
          <cell r="AU10">
            <v>22397.5</v>
          </cell>
          <cell r="AZ10">
            <v>0</v>
          </cell>
          <cell r="BA10">
            <v>117</v>
          </cell>
          <cell r="BB10">
            <v>34</v>
          </cell>
          <cell r="BC10">
            <v>0</v>
          </cell>
          <cell r="BF10">
            <v>151</v>
          </cell>
          <cell r="BH10">
            <v>24825</v>
          </cell>
          <cell r="BI10">
            <v>0</v>
          </cell>
          <cell r="BP10">
            <v>24825</v>
          </cell>
          <cell r="BR10">
            <v>38486.003333333327</v>
          </cell>
          <cell r="BS10">
            <v>2812</v>
          </cell>
          <cell r="BZ10">
            <v>41298.003333333327</v>
          </cell>
          <cell r="CB10">
            <v>8631</v>
          </cell>
          <cell r="CC10">
            <v>1054</v>
          </cell>
          <cell r="CJ10">
            <v>9685</v>
          </cell>
          <cell r="CL10">
            <v>747</v>
          </cell>
          <cell r="CM10">
            <v>0</v>
          </cell>
          <cell r="CT10">
            <v>747</v>
          </cell>
          <cell r="CV10">
            <v>4428</v>
          </cell>
          <cell r="CW10">
            <v>0</v>
          </cell>
          <cell r="DD10">
            <v>4428</v>
          </cell>
          <cell r="DH10">
            <v>213</v>
          </cell>
          <cell r="DI10">
            <v>0</v>
          </cell>
          <cell r="DP10">
            <v>213</v>
          </cell>
          <cell r="DR10">
            <v>637</v>
          </cell>
          <cell r="DS10">
            <v>0</v>
          </cell>
          <cell r="DZ10">
            <v>637</v>
          </cell>
          <cell r="EB10">
            <v>25441</v>
          </cell>
          <cell r="EC10">
            <v>0</v>
          </cell>
          <cell r="EJ10">
            <v>25441</v>
          </cell>
          <cell r="EL10">
            <v>30103</v>
          </cell>
          <cell r="EM10">
            <v>0</v>
          </cell>
          <cell r="EN10">
            <v>0</v>
          </cell>
          <cell r="EO10">
            <v>0</v>
          </cell>
          <cell r="EP10">
            <v>0</v>
          </cell>
          <cell r="EQ10">
            <v>0</v>
          </cell>
          <cell r="ER10">
            <v>0</v>
          </cell>
          <cell r="ES10">
            <v>0</v>
          </cell>
          <cell r="ET10">
            <v>30103</v>
          </cell>
        </row>
        <row r="11">
          <cell r="A11">
            <v>6</v>
          </cell>
          <cell r="B11">
            <v>23222</v>
          </cell>
          <cell r="C11">
            <v>28615</v>
          </cell>
          <cell r="D11">
            <v>0</v>
          </cell>
          <cell r="E11">
            <v>27308</v>
          </cell>
          <cell r="F11">
            <v>0</v>
          </cell>
          <cell r="H11">
            <v>0</v>
          </cell>
          <cell r="I11">
            <v>24529</v>
          </cell>
          <cell r="J11">
            <v>27308</v>
          </cell>
          <cell r="K11">
            <v>0</v>
          </cell>
          <cell r="L11">
            <v>26546</v>
          </cell>
          <cell r="M11">
            <v>0</v>
          </cell>
          <cell r="N11">
            <v>59.3</v>
          </cell>
          <cell r="O11">
            <v>0</v>
          </cell>
          <cell r="P11">
            <v>53913.3</v>
          </cell>
          <cell r="Q11">
            <v>0</v>
          </cell>
          <cell r="R11">
            <v>53913.3</v>
          </cell>
          <cell r="S11">
            <v>53913.3</v>
          </cell>
          <cell r="U11">
            <v>0</v>
          </cell>
          <cell r="V11">
            <v>48912</v>
          </cell>
          <cell r="W11">
            <v>142</v>
          </cell>
          <cell r="X11">
            <v>1082</v>
          </cell>
          <cell r="AA11">
            <v>3777.3000000000029</v>
          </cell>
          <cell r="AB11">
            <v>7.0062489218801343</v>
          </cell>
          <cell r="AC11">
            <v>0</v>
          </cell>
          <cell r="AD11">
            <v>0</v>
          </cell>
          <cell r="AG11">
            <v>0</v>
          </cell>
          <cell r="AJ11">
            <v>0</v>
          </cell>
          <cell r="AK11">
            <v>0</v>
          </cell>
          <cell r="AM11">
            <v>4076</v>
          </cell>
          <cell r="AN11">
            <v>48912</v>
          </cell>
          <cell r="AP11">
            <v>0</v>
          </cell>
          <cell r="AT11">
            <v>0</v>
          </cell>
          <cell r="AU11">
            <v>0</v>
          </cell>
          <cell r="AZ11">
            <v>0</v>
          </cell>
          <cell r="BA11">
            <v>142</v>
          </cell>
          <cell r="BB11">
            <v>0</v>
          </cell>
          <cell r="BC11">
            <v>0</v>
          </cell>
          <cell r="BF11">
            <v>142</v>
          </cell>
          <cell r="BH11">
            <v>24825</v>
          </cell>
          <cell r="BI11">
            <v>0</v>
          </cell>
          <cell r="BP11">
            <v>24825</v>
          </cell>
          <cell r="BR11">
            <v>41298.003333333327</v>
          </cell>
          <cell r="BS11">
            <v>4076</v>
          </cell>
          <cell r="BX11">
            <v>30</v>
          </cell>
          <cell r="BZ11">
            <v>45344.003333333327</v>
          </cell>
          <cell r="CB11">
            <v>9685</v>
          </cell>
          <cell r="CC11">
            <v>0</v>
          </cell>
          <cell r="CJ11">
            <v>9685</v>
          </cell>
          <cell r="CL11">
            <v>747</v>
          </cell>
          <cell r="CM11">
            <v>0</v>
          </cell>
          <cell r="CT11">
            <v>747</v>
          </cell>
          <cell r="CV11">
            <v>4428</v>
          </cell>
          <cell r="CW11">
            <v>0</v>
          </cell>
          <cell r="DD11">
            <v>4428</v>
          </cell>
          <cell r="DH11">
            <v>213</v>
          </cell>
          <cell r="DI11">
            <v>0</v>
          </cell>
          <cell r="DP11">
            <v>213</v>
          </cell>
          <cell r="DR11">
            <v>637</v>
          </cell>
          <cell r="DS11">
            <v>0</v>
          </cell>
          <cell r="DZ11">
            <v>637</v>
          </cell>
          <cell r="EB11">
            <v>25441</v>
          </cell>
          <cell r="EC11">
            <v>0</v>
          </cell>
          <cell r="EJ11">
            <v>25441</v>
          </cell>
          <cell r="EL11">
            <v>30103</v>
          </cell>
          <cell r="EM11">
            <v>0</v>
          </cell>
          <cell r="EN11">
            <v>0</v>
          </cell>
          <cell r="EO11">
            <v>0</v>
          </cell>
          <cell r="EP11">
            <v>0</v>
          </cell>
          <cell r="EQ11">
            <v>0</v>
          </cell>
          <cell r="ER11">
            <v>0</v>
          </cell>
          <cell r="ES11">
            <v>0</v>
          </cell>
          <cell r="ET11">
            <v>30103</v>
          </cell>
        </row>
        <row r="12">
          <cell r="A12">
            <v>7</v>
          </cell>
          <cell r="B12">
            <v>24529</v>
          </cell>
          <cell r="C12">
            <v>36591</v>
          </cell>
          <cell r="D12">
            <v>1082</v>
          </cell>
          <cell r="E12">
            <v>42628</v>
          </cell>
          <cell r="F12">
            <v>4800</v>
          </cell>
          <cell r="H12">
            <v>0</v>
          </cell>
          <cell r="I12">
            <v>14774</v>
          </cell>
          <cell r="J12">
            <v>42628</v>
          </cell>
          <cell r="K12">
            <v>0</v>
          </cell>
          <cell r="L12">
            <v>25848</v>
          </cell>
          <cell r="M12">
            <v>0</v>
          </cell>
          <cell r="N12">
            <v>32.370000000000005</v>
          </cell>
          <cell r="O12">
            <v>0</v>
          </cell>
          <cell r="P12">
            <v>68508.37</v>
          </cell>
          <cell r="Q12">
            <v>0</v>
          </cell>
          <cell r="R12">
            <v>68508.37</v>
          </cell>
          <cell r="S12">
            <v>48207.999999999993</v>
          </cell>
          <cell r="U12">
            <v>20300.370000000003</v>
          </cell>
          <cell r="V12">
            <v>42320</v>
          </cell>
          <cell r="W12">
            <v>95</v>
          </cell>
          <cell r="X12">
            <v>1206</v>
          </cell>
          <cell r="AA12">
            <v>4586.9999999999927</v>
          </cell>
          <cell r="AB12">
            <v>9.5150182542316504</v>
          </cell>
          <cell r="AC12">
            <v>0</v>
          </cell>
          <cell r="AD12">
            <v>0</v>
          </cell>
          <cell r="AG12">
            <v>0</v>
          </cell>
          <cell r="AJ12">
            <v>0</v>
          </cell>
          <cell r="AK12">
            <v>0</v>
          </cell>
          <cell r="AM12">
            <v>1821</v>
          </cell>
          <cell r="AN12">
            <v>21852</v>
          </cell>
          <cell r="AP12">
            <v>0</v>
          </cell>
          <cell r="AT12">
            <v>952</v>
          </cell>
          <cell r="AU12">
            <v>20468</v>
          </cell>
          <cell r="AZ12">
            <v>0</v>
          </cell>
          <cell r="BA12">
            <v>66</v>
          </cell>
          <cell r="BB12">
            <v>29</v>
          </cell>
          <cell r="BC12">
            <v>0</v>
          </cell>
          <cell r="BF12">
            <v>95</v>
          </cell>
          <cell r="BH12">
            <v>24825</v>
          </cell>
          <cell r="BI12">
            <v>0</v>
          </cell>
          <cell r="BP12">
            <v>24825</v>
          </cell>
          <cell r="BR12">
            <v>45344.003333333327</v>
          </cell>
          <cell r="BS12">
            <v>1821</v>
          </cell>
          <cell r="BX12">
            <v>3250</v>
          </cell>
          <cell r="BZ12">
            <v>43915.003333333327</v>
          </cell>
          <cell r="CB12">
            <v>9685</v>
          </cell>
          <cell r="CC12">
            <v>952</v>
          </cell>
          <cell r="CH12">
            <v>1850</v>
          </cell>
          <cell r="CJ12">
            <v>8787</v>
          </cell>
          <cell r="CL12">
            <v>747</v>
          </cell>
          <cell r="CM12">
            <v>0</v>
          </cell>
          <cell r="CR12">
            <v>80</v>
          </cell>
          <cell r="CT12">
            <v>667</v>
          </cell>
          <cell r="CV12">
            <v>4428</v>
          </cell>
          <cell r="CW12">
            <v>0</v>
          </cell>
          <cell r="DD12">
            <v>4428</v>
          </cell>
          <cell r="DH12">
            <v>213</v>
          </cell>
          <cell r="DI12">
            <v>0</v>
          </cell>
          <cell r="DP12">
            <v>213</v>
          </cell>
          <cell r="DR12">
            <v>637</v>
          </cell>
          <cell r="DS12">
            <v>0</v>
          </cell>
          <cell r="DZ12">
            <v>637</v>
          </cell>
          <cell r="EB12">
            <v>25441</v>
          </cell>
          <cell r="EC12">
            <v>0</v>
          </cell>
          <cell r="EJ12">
            <v>25441</v>
          </cell>
          <cell r="EL12">
            <v>30103</v>
          </cell>
          <cell r="EM12">
            <v>0</v>
          </cell>
          <cell r="EN12">
            <v>0</v>
          </cell>
          <cell r="EO12">
            <v>0</v>
          </cell>
          <cell r="EP12">
            <v>0</v>
          </cell>
          <cell r="EQ12">
            <v>0</v>
          </cell>
          <cell r="ER12">
            <v>0</v>
          </cell>
          <cell r="ES12">
            <v>0</v>
          </cell>
          <cell r="ET12">
            <v>30103</v>
          </cell>
        </row>
        <row r="13">
          <cell r="A13">
            <v>8</v>
          </cell>
          <cell r="B13">
            <v>14774</v>
          </cell>
          <cell r="C13">
            <v>22681</v>
          </cell>
          <cell r="D13">
            <v>1206</v>
          </cell>
          <cell r="E13">
            <v>33911</v>
          </cell>
          <cell r="F13">
            <v>4750</v>
          </cell>
          <cell r="H13">
            <v>0</v>
          </cell>
          <cell r="I13">
            <v>0</v>
          </cell>
          <cell r="J13">
            <v>33911</v>
          </cell>
          <cell r="K13">
            <v>0</v>
          </cell>
          <cell r="L13">
            <v>22407</v>
          </cell>
          <cell r="M13">
            <v>0</v>
          </cell>
          <cell r="N13">
            <v>24.35</v>
          </cell>
          <cell r="O13">
            <v>0</v>
          </cell>
          <cell r="P13">
            <v>56342.35</v>
          </cell>
          <cell r="Q13">
            <v>20300.370000000003</v>
          </cell>
          <cell r="R13">
            <v>56342.35</v>
          </cell>
          <cell r="S13">
            <v>76642.720000000001</v>
          </cell>
          <cell r="U13">
            <v>0</v>
          </cell>
          <cell r="V13">
            <v>70939.55</v>
          </cell>
          <cell r="W13">
            <v>140.6</v>
          </cell>
          <cell r="X13">
            <v>1542</v>
          </cell>
          <cell r="AA13">
            <v>4020.5699999999979</v>
          </cell>
          <cell r="AB13">
            <v>5.2458602721824041</v>
          </cell>
          <cell r="AC13">
            <v>6472</v>
          </cell>
          <cell r="AD13">
            <v>32360</v>
          </cell>
          <cell r="AG13">
            <v>0</v>
          </cell>
          <cell r="AJ13">
            <v>0</v>
          </cell>
          <cell r="AK13">
            <v>32360</v>
          </cell>
          <cell r="AM13">
            <v>1608</v>
          </cell>
          <cell r="AN13">
            <v>19296</v>
          </cell>
          <cell r="AP13">
            <v>0</v>
          </cell>
          <cell r="AT13">
            <v>899</v>
          </cell>
          <cell r="AU13">
            <v>19283.55</v>
          </cell>
          <cell r="AZ13">
            <v>43.6</v>
          </cell>
          <cell r="BA13">
            <v>69</v>
          </cell>
          <cell r="BB13">
            <v>28</v>
          </cell>
          <cell r="BC13">
            <v>0</v>
          </cell>
          <cell r="BF13">
            <v>140.6</v>
          </cell>
          <cell r="BH13">
            <v>24825</v>
          </cell>
          <cell r="BI13">
            <v>6472</v>
          </cell>
          <cell r="BP13">
            <v>31297</v>
          </cell>
          <cell r="BR13">
            <v>43915.003333333327</v>
          </cell>
          <cell r="BS13">
            <v>1608</v>
          </cell>
          <cell r="BV13">
            <v>1</v>
          </cell>
          <cell r="BZ13">
            <v>45522.003333333327</v>
          </cell>
          <cell r="CB13">
            <v>8787</v>
          </cell>
          <cell r="CC13">
            <v>899</v>
          </cell>
          <cell r="CJ13">
            <v>9686</v>
          </cell>
          <cell r="CL13">
            <v>667</v>
          </cell>
          <cell r="CM13">
            <v>0</v>
          </cell>
          <cell r="CT13">
            <v>667</v>
          </cell>
          <cell r="CV13">
            <v>4428</v>
          </cell>
          <cell r="CW13">
            <v>0</v>
          </cell>
          <cell r="DD13">
            <v>4428</v>
          </cell>
          <cell r="DH13">
            <v>213</v>
          </cell>
          <cell r="DI13">
            <v>0</v>
          </cell>
          <cell r="DP13">
            <v>213</v>
          </cell>
          <cell r="DR13">
            <v>637</v>
          </cell>
          <cell r="DS13">
            <v>0</v>
          </cell>
          <cell r="DZ13">
            <v>637</v>
          </cell>
          <cell r="EB13">
            <v>25441</v>
          </cell>
          <cell r="EC13">
            <v>0</v>
          </cell>
          <cell r="EJ13">
            <v>25441</v>
          </cell>
          <cell r="EL13">
            <v>30103</v>
          </cell>
          <cell r="EM13">
            <v>6472</v>
          </cell>
          <cell r="EN13">
            <v>0</v>
          </cell>
          <cell r="EO13">
            <v>0</v>
          </cell>
          <cell r="EP13">
            <v>0</v>
          </cell>
          <cell r="EQ13">
            <v>0</v>
          </cell>
          <cell r="ER13">
            <v>0</v>
          </cell>
          <cell r="ES13">
            <v>0</v>
          </cell>
          <cell r="ET13">
            <v>36575</v>
          </cell>
        </row>
        <row r="14">
          <cell r="A14">
            <v>9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AA14">
            <v>0</v>
          </cell>
          <cell r="AB14" t="e">
            <v>#DIV/0!</v>
          </cell>
          <cell r="AC14">
            <v>0</v>
          </cell>
          <cell r="AD14">
            <v>0</v>
          </cell>
          <cell r="AG14">
            <v>0</v>
          </cell>
          <cell r="AJ14">
            <v>0</v>
          </cell>
          <cell r="AK14">
            <v>0</v>
          </cell>
          <cell r="AM14">
            <v>0</v>
          </cell>
          <cell r="AN14">
            <v>0</v>
          </cell>
          <cell r="AP14">
            <v>0</v>
          </cell>
          <cell r="AT14">
            <v>0</v>
          </cell>
          <cell r="AU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F14">
            <v>0</v>
          </cell>
          <cell r="BH14">
            <v>31297</v>
          </cell>
          <cell r="BI14">
            <v>0</v>
          </cell>
          <cell r="BP14">
            <v>31297</v>
          </cell>
          <cell r="BR14">
            <v>45522.003333333327</v>
          </cell>
          <cell r="BS14">
            <v>0</v>
          </cell>
          <cell r="BZ14">
            <v>45522.003333333327</v>
          </cell>
          <cell r="CB14">
            <v>9686</v>
          </cell>
          <cell r="CC14">
            <v>0</v>
          </cell>
          <cell r="CJ14">
            <v>9686</v>
          </cell>
          <cell r="CL14">
            <v>667</v>
          </cell>
          <cell r="CM14">
            <v>0</v>
          </cell>
          <cell r="CT14">
            <v>667</v>
          </cell>
          <cell r="CV14">
            <v>4428</v>
          </cell>
          <cell r="CW14">
            <v>0</v>
          </cell>
          <cell r="DD14">
            <v>4428</v>
          </cell>
          <cell r="DH14">
            <v>213</v>
          </cell>
          <cell r="DI14">
            <v>0</v>
          </cell>
          <cell r="DP14">
            <v>213</v>
          </cell>
          <cell r="DR14">
            <v>637</v>
          </cell>
          <cell r="DS14">
            <v>0</v>
          </cell>
          <cell r="DZ14">
            <v>637</v>
          </cell>
          <cell r="EB14">
            <v>25441</v>
          </cell>
          <cell r="EC14">
            <v>0</v>
          </cell>
          <cell r="EJ14">
            <v>25441</v>
          </cell>
          <cell r="EL14">
            <v>36575</v>
          </cell>
          <cell r="EM14">
            <v>0</v>
          </cell>
          <cell r="EN14">
            <v>0</v>
          </cell>
          <cell r="EO14">
            <v>0</v>
          </cell>
          <cell r="EP14">
            <v>0</v>
          </cell>
          <cell r="EQ14">
            <v>0</v>
          </cell>
          <cell r="ER14">
            <v>0</v>
          </cell>
          <cell r="ES14">
            <v>0</v>
          </cell>
          <cell r="ET14">
            <v>36575</v>
          </cell>
        </row>
        <row r="15">
          <cell r="A15">
            <v>10</v>
          </cell>
          <cell r="B15">
            <v>0</v>
          </cell>
          <cell r="C15">
            <v>39893</v>
          </cell>
          <cell r="D15">
            <v>1542</v>
          </cell>
          <cell r="E15">
            <v>17854</v>
          </cell>
          <cell r="F15">
            <v>0</v>
          </cell>
          <cell r="H15">
            <v>0</v>
          </cell>
          <cell r="I15">
            <v>23581</v>
          </cell>
          <cell r="J15">
            <v>17854</v>
          </cell>
          <cell r="K15">
            <v>0</v>
          </cell>
          <cell r="L15">
            <v>20283</v>
          </cell>
          <cell r="M15">
            <v>0</v>
          </cell>
          <cell r="N15">
            <v>20.67</v>
          </cell>
          <cell r="O15">
            <v>0</v>
          </cell>
          <cell r="P15">
            <v>38157.67</v>
          </cell>
          <cell r="Q15">
            <v>0</v>
          </cell>
          <cell r="R15">
            <v>38157.67</v>
          </cell>
          <cell r="S15">
            <v>38157.67</v>
          </cell>
          <cell r="U15">
            <v>0</v>
          </cell>
          <cell r="V15">
            <v>33733.550000000003</v>
          </cell>
          <cell r="W15">
            <v>58</v>
          </cell>
          <cell r="X15">
            <v>0</v>
          </cell>
          <cell r="AA15">
            <v>4366.1199999999953</v>
          </cell>
          <cell r="AB15">
            <v>11.442312908518772</v>
          </cell>
          <cell r="AD15">
            <v>0</v>
          </cell>
          <cell r="AF15">
            <v>3014</v>
          </cell>
          <cell r="AG15">
            <v>18084</v>
          </cell>
          <cell r="AJ15">
            <v>0</v>
          </cell>
          <cell r="AK15">
            <v>18084</v>
          </cell>
          <cell r="AM15">
            <v>0</v>
          </cell>
          <cell r="AN15">
            <v>0</v>
          </cell>
          <cell r="AP15">
            <v>0</v>
          </cell>
          <cell r="AT15">
            <v>733</v>
          </cell>
          <cell r="AU15">
            <v>15649.550000000001</v>
          </cell>
          <cell r="AZ15">
            <v>26</v>
          </cell>
          <cell r="BA15">
            <v>0</v>
          </cell>
          <cell r="BB15">
            <v>32</v>
          </cell>
          <cell r="BC15">
            <v>0</v>
          </cell>
          <cell r="BF15">
            <v>58</v>
          </cell>
          <cell r="BH15">
            <v>31297</v>
          </cell>
          <cell r="BI15">
            <v>0</v>
          </cell>
          <cell r="BP15">
            <v>31297</v>
          </cell>
          <cell r="BR15">
            <v>45522.003333333327</v>
          </cell>
          <cell r="BS15">
            <v>0</v>
          </cell>
          <cell r="BZ15">
            <v>45522.003333333327</v>
          </cell>
          <cell r="CB15">
            <v>9686</v>
          </cell>
          <cell r="CC15">
            <v>733</v>
          </cell>
          <cell r="CJ15">
            <v>10419</v>
          </cell>
          <cell r="CL15">
            <v>667</v>
          </cell>
          <cell r="CM15">
            <v>0</v>
          </cell>
          <cell r="CT15">
            <v>667</v>
          </cell>
          <cell r="CV15">
            <v>4428</v>
          </cell>
          <cell r="CW15">
            <v>0</v>
          </cell>
          <cell r="DD15">
            <v>4428</v>
          </cell>
          <cell r="DH15">
            <v>213</v>
          </cell>
          <cell r="DI15">
            <v>3014</v>
          </cell>
          <cell r="DP15">
            <v>3227</v>
          </cell>
          <cell r="DR15">
            <v>637</v>
          </cell>
          <cell r="DS15">
            <v>0</v>
          </cell>
          <cell r="DZ15">
            <v>637</v>
          </cell>
          <cell r="EB15">
            <v>25441</v>
          </cell>
          <cell r="EC15">
            <v>0</v>
          </cell>
          <cell r="EJ15">
            <v>25441</v>
          </cell>
          <cell r="EL15">
            <v>36575</v>
          </cell>
          <cell r="EM15">
            <v>3014</v>
          </cell>
          <cell r="EN15">
            <v>0</v>
          </cell>
          <cell r="EO15">
            <v>0</v>
          </cell>
          <cell r="EP15">
            <v>0</v>
          </cell>
          <cell r="EQ15">
            <v>0</v>
          </cell>
          <cell r="ER15">
            <v>0</v>
          </cell>
          <cell r="ES15">
            <v>0</v>
          </cell>
          <cell r="ET15">
            <v>39589</v>
          </cell>
        </row>
        <row r="16">
          <cell r="A16">
            <v>11</v>
          </cell>
          <cell r="B16">
            <v>23581</v>
          </cell>
          <cell r="C16">
            <v>39257</v>
          </cell>
          <cell r="D16">
            <v>693</v>
          </cell>
          <cell r="E16">
            <v>44623</v>
          </cell>
          <cell r="F16">
            <v>5164</v>
          </cell>
          <cell r="H16">
            <v>0</v>
          </cell>
          <cell r="I16">
            <v>13744</v>
          </cell>
          <cell r="J16">
            <v>44623</v>
          </cell>
          <cell r="K16">
            <v>0</v>
          </cell>
          <cell r="L16">
            <v>18888</v>
          </cell>
          <cell r="M16">
            <v>0</v>
          </cell>
          <cell r="N16">
            <v>23.37</v>
          </cell>
          <cell r="P16">
            <v>63534.37</v>
          </cell>
          <cell r="Q16">
            <v>0</v>
          </cell>
          <cell r="R16">
            <v>63534.37</v>
          </cell>
          <cell r="S16">
            <v>63534.37</v>
          </cell>
          <cell r="V16">
            <v>58324.3</v>
          </cell>
          <cell r="W16">
            <v>128.6</v>
          </cell>
          <cell r="X16">
            <v>1043</v>
          </cell>
          <cell r="AA16">
            <v>4038.4699999999993</v>
          </cell>
          <cell r="AB16">
            <v>6.3563548359730309</v>
          </cell>
          <cell r="AC16">
            <v>1933</v>
          </cell>
          <cell r="AD16">
            <v>9665</v>
          </cell>
          <cell r="AG16">
            <v>0</v>
          </cell>
          <cell r="AJ16">
            <v>0</v>
          </cell>
          <cell r="AK16">
            <v>9665</v>
          </cell>
          <cell r="AM16">
            <v>1710</v>
          </cell>
          <cell r="AN16">
            <v>20520</v>
          </cell>
          <cell r="AT16">
            <v>1318</v>
          </cell>
          <cell r="AU16">
            <v>28139.300000000003</v>
          </cell>
          <cell r="AZ16">
            <v>14.600000000000001</v>
          </cell>
          <cell r="BA16">
            <v>68</v>
          </cell>
          <cell r="BB16">
            <v>46</v>
          </cell>
          <cell r="BF16">
            <v>128.6</v>
          </cell>
          <cell r="BH16">
            <v>31297</v>
          </cell>
          <cell r="BI16">
            <v>1933</v>
          </cell>
          <cell r="BP16">
            <v>33230</v>
          </cell>
          <cell r="BR16">
            <v>45522.003333333327</v>
          </cell>
          <cell r="BS16">
            <v>1710</v>
          </cell>
          <cell r="BV16">
            <v>2</v>
          </cell>
          <cell r="BX16">
            <v>3200</v>
          </cell>
          <cell r="BZ16">
            <v>44030.003333333327</v>
          </cell>
          <cell r="CB16">
            <v>10419</v>
          </cell>
          <cell r="CC16">
            <v>1318</v>
          </cell>
          <cell r="CJ16">
            <v>11737</v>
          </cell>
          <cell r="CL16">
            <v>667</v>
          </cell>
          <cell r="CM16">
            <v>0</v>
          </cell>
          <cell r="CT16">
            <v>667</v>
          </cell>
          <cell r="CV16">
            <v>4428</v>
          </cell>
          <cell r="CW16">
            <v>0</v>
          </cell>
          <cell r="DD16">
            <v>4428</v>
          </cell>
          <cell r="DH16">
            <v>3227</v>
          </cell>
          <cell r="DI16">
            <v>0</v>
          </cell>
          <cell r="DP16">
            <v>3227</v>
          </cell>
          <cell r="DR16">
            <v>637</v>
          </cell>
          <cell r="DS16">
            <v>0</v>
          </cell>
          <cell r="DZ16">
            <v>637</v>
          </cell>
          <cell r="EB16">
            <v>25441</v>
          </cell>
          <cell r="EC16">
            <v>0</v>
          </cell>
          <cell r="EJ16">
            <v>25441</v>
          </cell>
          <cell r="EL16">
            <v>39589</v>
          </cell>
          <cell r="EM16">
            <v>1933</v>
          </cell>
          <cell r="EN16">
            <v>0</v>
          </cell>
          <cell r="EO16">
            <v>0</v>
          </cell>
          <cell r="EP16">
            <v>0</v>
          </cell>
          <cell r="EQ16">
            <v>0</v>
          </cell>
          <cell r="ER16">
            <v>0</v>
          </cell>
          <cell r="ES16">
            <v>0</v>
          </cell>
          <cell r="ET16">
            <v>41522</v>
          </cell>
        </row>
        <row r="17">
          <cell r="A17">
            <v>12</v>
          </cell>
          <cell r="B17">
            <v>13744</v>
          </cell>
          <cell r="C17">
            <v>36113</v>
          </cell>
          <cell r="D17">
            <v>1043</v>
          </cell>
          <cell r="E17">
            <v>25739</v>
          </cell>
          <cell r="F17">
            <v>5175</v>
          </cell>
          <cell r="H17">
            <v>0</v>
          </cell>
          <cell r="I17">
            <v>19986</v>
          </cell>
          <cell r="J17">
            <v>25739</v>
          </cell>
          <cell r="K17">
            <v>0</v>
          </cell>
          <cell r="L17">
            <v>13116</v>
          </cell>
          <cell r="M17">
            <v>0</v>
          </cell>
          <cell r="N17">
            <v>26.64</v>
          </cell>
          <cell r="P17">
            <v>38881.64</v>
          </cell>
          <cell r="Q17">
            <v>0</v>
          </cell>
          <cell r="R17">
            <v>38881.64</v>
          </cell>
          <cell r="S17">
            <v>38881.64</v>
          </cell>
          <cell r="V17">
            <v>34631</v>
          </cell>
          <cell r="W17">
            <v>82</v>
          </cell>
          <cell r="X17">
            <v>2670</v>
          </cell>
          <cell r="AA17">
            <v>1498.6399999999994</v>
          </cell>
          <cell r="AB17">
            <v>3.8543641677665845</v>
          </cell>
          <cell r="AC17">
            <v>3439</v>
          </cell>
          <cell r="AD17">
            <v>17195</v>
          </cell>
          <cell r="AG17">
            <v>0</v>
          </cell>
          <cell r="AJ17">
            <v>0</v>
          </cell>
          <cell r="AK17">
            <v>17195</v>
          </cell>
          <cell r="AM17">
            <v>1453</v>
          </cell>
          <cell r="AN17">
            <v>17436</v>
          </cell>
          <cell r="AT17">
            <v>0</v>
          </cell>
          <cell r="AU17">
            <v>0</v>
          </cell>
          <cell r="AZ17">
            <v>23</v>
          </cell>
          <cell r="BA17">
            <v>59</v>
          </cell>
          <cell r="BB17">
            <v>0</v>
          </cell>
          <cell r="BF17">
            <v>82</v>
          </cell>
          <cell r="BH17">
            <v>33230</v>
          </cell>
          <cell r="BI17">
            <v>3439</v>
          </cell>
          <cell r="BP17">
            <v>36669</v>
          </cell>
          <cell r="BR17">
            <v>44030.003333333327</v>
          </cell>
          <cell r="BS17">
            <v>1453</v>
          </cell>
          <cell r="BX17">
            <v>3200</v>
          </cell>
          <cell r="BZ17">
            <v>42283.003333333327</v>
          </cell>
          <cell r="CB17">
            <v>11737</v>
          </cell>
          <cell r="CC17">
            <v>0</v>
          </cell>
          <cell r="CJ17">
            <v>11737</v>
          </cell>
          <cell r="CL17">
            <v>667</v>
          </cell>
          <cell r="CM17">
            <v>0</v>
          </cell>
          <cell r="CT17">
            <v>667</v>
          </cell>
          <cell r="CV17">
            <v>4428</v>
          </cell>
          <cell r="CW17">
            <v>0</v>
          </cell>
          <cell r="DD17">
            <v>4428</v>
          </cell>
          <cell r="DH17">
            <v>3227</v>
          </cell>
          <cell r="DI17">
            <v>0</v>
          </cell>
          <cell r="DP17">
            <v>3227</v>
          </cell>
          <cell r="DR17">
            <v>637</v>
          </cell>
          <cell r="DS17">
            <v>0</v>
          </cell>
          <cell r="DZ17">
            <v>637</v>
          </cell>
          <cell r="EB17">
            <v>25441</v>
          </cell>
          <cell r="EC17">
            <v>0</v>
          </cell>
          <cell r="EF17">
            <v>32</v>
          </cell>
          <cell r="EH17">
            <v>4</v>
          </cell>
          <cell r="EJ17">
            <v>25405</v>
          </cell>
          <cell r="EL17">
            <v>41522</v>
          </cell>
          <cell r="EM17">
            <v>3439</v>
          </cell>
          <cell r="EN17">
            <v>0</v>
          </cell>
          <cell r="EO17">
            <v>0</v>
          </cell>
          <cell r="EP17">
            <v>0</v>
          </cell>
          <cell r="EQ17">
            <v>0</v>
          </cell>
          <cell r="ER17">
            <v>0</v>
          </cell>
          <cell r="ES17">
            <v>0</v>
          </cell>
          <cell r="ET17">
            <v>44961</v>
          </cell>
        </row>
        <row r="18">
          <cell r="A18">
            <v>13</v>
          </cell>
          <cell r="B18">
            <v>19986</v>
          </cell>
          <cell r="C18">
            <v>23140</v>
          </cell>
          <cell r="D18">
            <v>2670</v>
          </cell>
          <cell r="E18">
            <v>39503</v>
          </cell>
          <cell r="F18">
            <v>1900</v>
          </cell>
          <cell r="H18">
            <v>0</v>
          </cell>
          <cell r="I18">
            <v>4393</v>
          </cell>
          <cell r="J18">
            <v>39503</v>
          </cell>
          <cell r="K18">
            <v>0</v>
          </cell>
          <cell r="L18">
            <v>32249</v>
          </cell>
          <cell r="M18">
            <v>0</v>
          </cell>
          <cell r="N18">
            <v>51.39</v>
          </cell>
          <cell r="O18">
            <v>44.09</v>
          </cell>
          <cell r="P18">
            <v>71847.48</v>
          </cell>
          <cell r="Q18">
            <v>0</v>
          </cell>
          <cell r="R18">
            <v>71847.48</v>
          </cell>
          <cell r="S18">
            <v>71847.48</v>
          </cell>
          <cell r="V18">
            <v>61826.740000000005</v>
          </cell>
          <cell r="W18">
            <v>149.76</v>
          </cell>
          <cell r="X18">
            <v>3425</v>
          </cell>
          <cell r="AA18">
            <v>6445.9799999999905</v>
          </cell>
          <cell r="AB18">
            <v>8.9717551680309331</v>
          </cell>
          <cell r="AD18">
            <v>0</v>
          </cell>
          <cell r="AG18">
            <v>0</v>
          </cell>
          <cell r="AI18">
            <v>2518</v>
          </cell>
          <cell r="AJ18">
            <v>18129.600000000002</v>
          </cell>
          <cell r="AK18">
            <v>18129.600000000002</v>
          </cell>
          <cell r="AM18">
            <v>367</v>
          </cell>
          <cell r="AN18">
            <v>4404</v>
          </cell>
          <cell r="AP18">
            <v>6279</v>
          </cell>
          <cell r="AT18">
            <v>883</v>
          </cell>
          <cell r="AU18">
            <v>18949.18</v>
          </cell>
          <cell r="AZ18">
            <v>31.200000000000003</v>
          </cell>
          <cell r="BA18">
            <v>33</v>
          </cell>
          <cell r="BB18">
            <v>33</v>
          </cell>
          <cell r="BC18">
            <v>52.559999999999995</v>
          </cell>
          <cell r="BF18">
            <v>149.76</v>
          </cell>
          <cell r="BH18">
            <v>36669</v>
          </cell>
          <cell r="BI18">
            <v>0</v>
          </cell>
          <cell r="BP18">
            <v>36669</v>
          </cell>
          <cell r="BR18">
            <v>42283.003333333327</v>
          </cell>
          <cell r="BS18">
            <v>367</v>
          </cell>
          <cell r="BZ18">
            <v>42650.003333333327</v>
          </cell>
          <cell r="CB18">
            <v>11737</v>
          </cell>
          <cell r="CC18">
            <v>883</v>
          </cell>
          <cell r="CJ18">
            <v>12620</v>
          </cell>
          <cell r="CL18">
            <v>667</v>
          </cell>
          <cell r="CM18">
            <v>0</v>
          </cell>
          <cell r="CT18">
            <v>667</v>
          </cell>
          <cell r="CV18">
            <v>4428</v>
          </cell>
          <cell r="CW18">
            <v>0</v>
          </cell>
          <cell r="DD18">
            <v>4428</v>
          </cell>
          <cell r="DH18">
            <v>3227</v>
          </cell>
          <cell r="DI18">
            <v>0</v>
          </cell>
          <cell r="DP18">
            <v>3227</v>
          </cell>
          <cell r="DR18">
            <v>637</v>
          </cell>
          <cell r="DS18">
            <v>2518</v>
          </cell>
          <cell r="DZ18">
            <v>3155</v>
          </cell>
          <cell r="EB18">
            <v>25405</v>
          </cell>
          <cell r="EC18">
            <v>6279</v>
          </cell>
          <cell r="EJ18">
            <v>31684</v>
          </cell>
          <cell r="EL18">
            <v>44961</v>
          </cell>
          <cell r="EM18">
            <v>2518</v>
          </cell>
          <cell r="EN18">
            <v>0</v>
          </cell>
          <cell r="EO18">
            <v>0</v>
          </cell>
          <cell r="EP18">
            <v>0</v>
          </cell>
          <cell r="EQ18">
            <v>0</v>
          </cell>
          <cell r="ER18">
            <v>0</v>
          </cell>
          <cell r="ES18">
            <v>0</v>
          </cell>
          <cell r="ET18">
            <v>47479</v>
          </cell>
        </row>
        <row r="19">
          <cell r="A19">
            <v>14</v>
          </cell>
          <cell r="B19">
            <v>4393</v>
          </cell>
          <cell r="C19">
            <v>35011</v>
          </cell>
          <cell r="D19">
            <v>3425</v>
          </cell>
          <cell r="E19">
            <v>19427</v>
          </cell>
          <cell r="F19">
            <v>0</v>
          </cell>
          <cell r="H19">
            <v>0</v>
          </cell>
          <cell r="I19">
            <v>23402</v>
          </cell>
          <cell r="J19">
            <v>19427</v>
          </cell>
          <cell r="K19">
            <v>0</v>
          </cell>
          <cell r="L19">
            <v>8823</v>
          </cell>
          <cell r="M19">
            <v>0</v>
          </cell>
          <cell r="N19">
            <v>8.1300000000000008</v>
          </cell>
          <cell r="O19">
            <v>0</v>
          </cell>
          <cell r="P19">
            <v>28258.13</v>
          </cell>
          <cell r="Q19">
            <v>0</v>
          </cell>
          <cell r="R19">
            <v>28258.13</v>
          </cell>
          <cell r="S19">
            <v>28258.13</v>
          </cell>
          <cell r="V19">
            <v>24519.4</v>
          </cell>
          <cell r="W19">
            <v>39.200000000000003</v>
          </cell>
          <cell r="X19">
            <v>608</v>
          </cell>
          <cell r="AA19">
            <v>3091.5299999999997</v>
          </cell>
          <cell r="AB19">
            <v>10.940320537841675</v>
          </cell>
          <cell r="AC19">
            <v>2044</v>
          </cell>
          <cell r="AD19">
            <v>10220</v>
          </cell>
          <cell r="AG19">
            <v>0</v>
          </cell>
          <cell r="AJ19">
            <v>0</v>
          </cell>
          <cell r="AK19">
            <v>10220</v>
          </cell>
          <cell r="AM19">
            <v>0</v>
          </cell>
          <cell r="AN19">
            <v>0</v>
          </cell>
          <cell r="AP19">
            <v>0</v>
          </cell>
          <cell r="AW19">
            <v>71</v>
          </cell>
          <cell r="AX19">
            <v>14299.4</v>
          </cell>
          <cell r="AZ19">
            <v>16.2</v>
          </cell>
          <cell r="BA19">
            <v>0</v>
          </cell>
          <cell r="BB19">
            <v>0</v>
          </cell>
          <cell r="BC19">
            <v>0</v>
          </cell>
          <cell r="BD19">
            <v>23</v>
          </cell>
          <cell r="BF19">
            <v>39.200000000000003</v>
          </cell>
          <cell r="BH19">
            <v>36669</v>
          </cell>
          <cell r="BI19">
            <v>2044</v>
          </cell>
          <cell r="BP19">
            <v>38713</v>
          </cell>
          <cell r="BR19">
            <v>42650.003333333327</v>
          </cell>
          <cell r="BS19">
            <v>0</v>
          </cell>
          <cell r="BZ19">
            <v>42650.003333333327</v>
          </cell>
          <cell r="CB19">
            <v>12620</v>
          </cell>
          <cell r="CC19">
            <v>0</v>
          </cell>
          <cell r="CH19">
            <v>36</v>
          </cell>
          <cell r="CJ19">
            <v>12584</v>
          </cell>
          <cell r="CL19">
            <v>667</v>
          </cell>
          <cell r="CM19">
            <v>71</v>
          </cell>
          <cell r="CT19">
            <v>738</v>
          </cell>
          <cell r="CV19">
            <v>4428</v>
          </cell>
          <cell r="CW19">
            <v>0</v>
          </cell>
          <cell r="DD19">
            <v>4428</v>
          </cell>
          <cell r="DH19">
            <v>3227</v>
          </cell>
          <cell r="DI19">
            <v>0</v>
          </cell>
          <cell r="DP19">
            <v>3227</v>
          </cell>
          <cell r="DR19">
            <v>3155</v>
          </cell>
          <cell r="DS19">
            <v>0</v>
          </cell>
          <cell r="DZ19">
            <v>3155</v>
          </cell>
          <cell r="EB19">
            <v>31684</v>
          </cell>
          <cell r="EC19">
            <v>0</v>
          </cell>
          <cell r="EH19">
            <v>20400</v>
          </cell>
          <cell r="EJ19">
            <v>11284</v>
          </cell>
          <cell r="EL19">
            <v>47479</v>
          </cell>
          <cell r="EM19">
            <v>2044</v>
          </cell>
          <cell r="EN19">
            <v>0</v>
          </cell>
          <cell r="EO19">
            <v>0</v>
          </cell>
          <cell r="EP19">
            <v>0</v>
          </cell>
          <cell r="EQ19">
            <v>0</v>
          </cell>
          <cell r="ER19">
            <v>0</v>
          </cell>
          <cell r="ES19">
            <v>0</v>
          </cell>
          <cell r="ET19">
            <v>49523</v>
          </cell>
        </row>
        <row r="20">
          <cell r="A20">
            <v>15</v>
          </cell>
          <cell r="B20">
            <v>23402</v>
          </cell>
          <cell r="C20">
            <v>25110</v>
          </cell>
          <cell r="D20">
            <v>608</v>
          </cell>
          <cell r="E20">
            <v>49120</v>
          </cell>
          <cell r="F20">
            <v>0</v>
          </cell>
          <cell r="H20">
            <v>0</v>
          </cell>
          <cell r="I20">
            <v>0</v>
          </cell>
          <cell r="J20">
            <v>49120</v>
          </cell>
          <cell r="K20">
            <v>0</v>
          </cell>
          <cell r="L20">
            <v>21869</v>
          </cell>
          <cell r="M20">
            <v>0</v>
          </cell>
          <cell r="N20">
            <v>0</v>
          </cell>
          <cell r="O20">
            <v>87.42</v>
          </cell>
          <cell r="P20">
            <v>71076.42</v>
          </cell>
          <cell r="Q20">
            <v>0</v>
          </cell>
          <cell r="R20">
            <v>71076.42</v>
          </cell>
          <cell r="S20">
            <v>71076.42</v>
          </cell>
          <cell r="V20">
            <v>63824.28</v>
          </cell>
          <cell r="W20">
            <v>157.21</v>
          </cell>
          <cell r="X20">
            <v>1076</v>
          </cell>
          <cell r="AA20">
            <v>6018.9299999999994</v>
          </cell>
          <cell r="AB20">
            <v>8.4682514960657826</v>
          </cell>
          <cell r="AC20">
            <v>3120</v>
          </cell>
          <cell r="AD20">
            <v>15600</v>
          </cell>
          <cell r="AG20">
            <v>0</v>
          </cell>
          <cell r="AJ20">
            <v>0</v>
          </cell>
          <cell r="AK20">
            <v>15600</v>
          </cell>
          <cell r="AM20">
            <v>2251</v>
          </cell>
          <cell r="AN20">
            <v>27012</v>
          </cell>
          <cell r="AP20">
            <v>6547</v>
          </cell>
          <cell r="AZ20">
            <v>21.200000000000003</v>
          </cell>
          <cell r="BA20">
            <v>83</v>
          </cell>
          <cell r="BB20">
            <v>0</v>
          </cell>
          <cell r="BC20">
            <v>53.01</v>
          </cell>
          <cell r="BF20">
            <v>157.21</v>
          </cell>
          <cell r="BH20">
            <v>38713</v>
          </cell>
          <cell r="BI20">
            <v>3120</v>
          </cell>
          <cell r="BP20">
            <v>41833</v>
          </cell>
          <cell r="BR20">
            <v>42650.003333333327</v>
          </cell>
          <cell r="BS20">
            <v>2251</v>
          </cell>
          <cell r="BZ20">
            <v>44901.003333333327</v>
          </cell>
          <cell r="CB20">
            <v>12584</v>
          </cell>
          <cell r="CC20">
            <v>0</v>
          </cell>
          <cell r="CJ20">
            <v>12584</v>
          </cell>
          <cell r="CL20">
            <v>738</v>
          </cell>
          <cell r="CM20">
            <v>0</v>
          </cell>
          <cell r="CT20">
            <v>738</v>
          </cell>
          <cell r="CV20">
            <v>4428</v>
          </cell>
          <cell r="CW20">
            <v>0</v>
          </cell>
          <cell r="DD20">
            <v>4428</v>
          </cell>
          <cell r="DH20">
            <v>3227</v>
          </cell>
          <cell r="DI20">
            <v>0</v>
          </cell>
          <cell r="DP20">
            <v>3227</v>
          </cell>
          <cell r="DR20">
            <v>3155</v>
          </cell>
          <cell r="DS20">
            <v>0</v>
          </cell>
          <cell r="DZ20">
            <v>3155</v>
          </cell>
          <cell r="EB20">
            <v>11284</v>
          </cell>
          <cell r="EC20">
            <v>6547</v>
          </cell>
          <cell r="EJ20">
            <v>17831</v>
          </cell>
          <cell r="EL20">
            <v>49523</v>
          </cell>
          <cell r="EM20">
            <v>3120</v>
          </cell>
          <cell r="EN20">
            <v>0</v>
          </cell>
          <cell r="EO20">
            <v>0</v>
          </cell>
          <cell r="EP20">
            <v>0</v>
          </cell>
          <cell r="EQ20">
            <v>0</v>
          </cell>
          <cell r="ER20">
            <v>0</v>
          </cell>
          <cell r="ES20">
            <v>0</v>
          </cell>
          <cell r="ET20">
            <v>52643</v>
          </cell>
        </row>
        <row r="21">
          <cell r="A21">
            <v>16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  <cell r="X21">
            <v>0</v>
          </cell>
          <cell r="AA21">
            <v>0</v>
          </cell>
          <cell r="AB21" t="e">
            <v>#DIV/0!</v>
          </cell>
          <cell r="AC21">
            <v>0</v>
          </cell>
          <cell r="AD21">
            <v>0</v>
          </cell>
          <cell r="AG21">
            <v>0</v>
          </cell>
          <cell r="AJ21">
            <v>0</v>
          </cell>
          <cell r="AK21">
            <v>0</v>
          </cell>
          <cell r="AM21">
            <v>0</v>
          </cell>
          <cell r="AN21">
            <v>0</v>
          </cell>
          <cell r="AZ21">
            <v>0</v>
          </cell>
          <cell r="BA21">
            <v>0</v>
          </cell>
          <cell r="BC21">
            <v>0</v>
          </cell>
          <cell r="BF21">
            <v>0</v>
          </cell>
          <cell r="BH21">
            <v>41833</v>
          </cell>
          <cell r="BI21">
            <v>0</v>
          </cell>
          <cell r="BP21">
            <v>41833</v>
          </cell>
          <cell r="BR21">
            <v>44901.003333333327</v>
          </cell>
          <cell r="BS21">
            <v>0</v>
          </cell>
          <cell r="BZ21">
            <v>44901.003333333327</v>
          </cell>
          <cell r="CB21">
            <v>12584</v>
          </cell>
          <cell r="CC21">
            <v>0</v>
          </cell>
          <cell r="CJ21">
            <v>12584</v>
          </cell>
          <cell r="CL21">
            <v>738</v>
          </cell>
          <cell r="CM21">
            <v>0</v>
          </cell>
          <cell r="CT21">
            <v>738</v>
          </cell>
          <cell r="CV21">
            <v>4428</v>
          </cell>
          <cell r="CW21">
            <v>0</v>
          </cell>
          <cell r="DD21">
            <v>4428</v>
          </cell>
          <cell r="DH21">
            <v>3227</v>
          </cell>
          <cell r="DI21">
            <v>0</v>
          </cell>
          <cell r="DP21">
            <v>3227</v>
          </cell>
          <cell r="DR21">
            <v>3155</v>
          </cell>
          <cell r="DS21">
            <v>0</v>
          </cell>
          <cell r="DZ21">
            <v>3155</v>
          </cell>
          <cell r="EB21">
            <v>17831</v>
          </cell>
          <cell r="EC21">
            <v>0</v>
          </cell>
          <cell r="EH21">
            <v>10</v>
          </cell>
          <cell r="EJ21">
            <v>17821</v>
          </cell>
          <cell r="EL21">
            <v>52643</v>
          </cell>
          <cell r="EM21">
            <v>0</v>
          </cell>
          <cell r="EN21">
            <v>0</v>
          </cell>
          <cell r="EO21">
            <v>0</v>
          </cell>
          <cell r="EP21">
            <v>0</v>
          </cell>
          <cell r="EQ21">
            <v>0</v>
          </cell>
          <cell r="ER21">
            <v>0</v>
          </cell>
          <cell r="ES21">
            <v>0</v>
          </cell>
          <cell r="ET21">
            <v>52643</v>
          </cell>
        </row>
        <row r="22">
          <cell r="A22">
            <v>17</v>
          </cell>
          <cell r="B22">
            <v>0</v>
          </cell>
          <cell r="C22">
            <v>26660</v>
          </cell>
          <cell r="D22">
            <v>1076</v>
          </cell>
          <cell r="E22">
            <v>19586</v>
          </cell>
          <cell r="F22">
            <v>2350</v>
          </cell>
          <cell r="H22">
            <v>300</v>
          </cell>
          <cell r="I22">
            <v>5500</v>
          </cell>
          <cell r="J22">
            <v>19586</v>
          </cell>
          <cell r="K22">
            <v>0</v>
          </cell>
          <cell r="L22">
            <v>7169</v>
          </cell>
          <cell r="O22">
            <v>0</v>
          </cell>
          <cell r="P22">
            <v>26755</v>
          </cell>
          <cell r="Q22">
            <v>0</v>
          </cell>
          <cell r="R22">
            <v>26755</v>
          </cell>
          <cell r="S22">
            <v>0</v>
          </cell>
          <cell r="U22">
            <v>26755</v>
          </cell>
          <cell r="V22">
            <v>0</v>
          </cell>
          <cell r="W22">
            <v>0</v>
          </cell>
          <cell r="X22">
            <v>0</v>
          </cell>
          <cell r="AA22">
            <v>0</v>
          </cell>
          <cell r="AB22" t="e">
            <v>#DIV/0!</v>
          </cell>
          <cell r="AC22">
            <v>0</v>
          </cell>
          <cell r="AD22">
            <v>0</v>
          </cell>
          <cell r="AG22">
            <v>0</v>
          </cell>
          <cell r="AJ22">
            <v>0</v>
          </cell>
          <cell r="AK22">
            <v>0</v>
          </cell>
          <cell r="AM22">
            <v>0</v>
          </cell>
          <cell r="AN22">
            <v>0</v>
          </cell>
          <cell r="AP22">
            <v>0</v>
          </cell>
          <cell r="AZ22">
            <v>0</v>
          </cell>
          <cell r="BA22">
            <v>0</v>
          </cell>
          <cell r="BC22">
            <v>0</v>
          </cell>
          <cell r="BF22">
            <v>0</v>
          </cell>
          <cell r="BH22">
            <v>41833</v>
          </cell>
          <cell r="BI22">
            <v>0</v>
          </cell>
          <cell r="BP22">
            <v>41833</v>
          </cell>
          <cell r="BR22">
            <v>44901.003333333327</v>
          </cell>
          <cell r="BS22">
            <v>0</v>
          </cell>
          <cell r="BX22">
            <v>1650</v>
          </cell>
          <cell r="BZ22">
            <v>43251.003333333327</v>
          </cell>
          <cell r="CB22">
            <v>12584</v>
          </cell>
          <cell r="CC22">
            <v>0</v>
          </cell>
          <cell r="CH22">
            <v>850</v>
          </cell>
          <cell r="CJ22">
            <v>11734</v>
          </cell>
          <cell r="CL22">
            <v>738</v>
          </cell>
          <cell r="CM22">
            <v>0</v>
          </cell>
          <cell r="CT22">
            <v>738</v>
          </cell>
          <cell r="CV22">
            <v>4428</v>
          </cell>
          <cell r="CW22">
            <v>0</v>
          </cell>
          <cell r="DD22">
            <v>4428</v>
          </cell>
          <cell r="DH22">
            <v>3227</v>
          </cell>
          <cell r="DI22">
            <v>0</v>
          </cell>
          <cell r="DP22">
            <v>3227</v>
          </cell>
          <cell r="DR22">
            <v>3155</v>
          </cell>
          <cell r="DS22">
            <v>0</v>
          </cell>
          <cell r="DZ22">
            <v>3155</v>
          </cell>
          <cell r="EB22">
            <v>17821</v>
          </cell>
          <cell r="EC22">
            <v>0</v>
          </cell>
          <cell r="EH22">
            <v>800</v>
          </cell>
          <cell r="EJ22">
            <v>17021</v>
          </cell>
          <cell r="EL22">
            <v>52643</v>
          </cell>
          <cell r="EM22">
            <v>0</v>
          </cell>
          <cell r="EN22">
            <v>0</v>
          </cell>
          <cell r="EO22">
            <v>0</v>
          </cell>
          <cell r="EP22">
            <v>0</v>
          </cell>
          <cell r="EQ22">
            <v>0</v>
          </cell>
          <cell r="ER22">
            <v>0</v>
          </cell>
          <cell r="ES22">
            <v>0</v>
          </cell>
          <cell r="ET22">
            <v>52643</v>
          </cell>
        </row>
        <row r="23">
          <cell r="A23">
            <v>18</v>
          </cell>
          <cell r="B23">
            <v>5500</v>
          </cell>
          <cell r="C23">
            <v>26966</v>
          </cell>
          <cell r="D23">
            <v>0</v>
          </cell>
          <cell r="E23">
            <v>17339</v>
          </cell>
          <cell r="F23">
            <v>0</v>
          </cell>
          <cell r="H23">
            <v>0</v>
          </cell>
          <cell r="I23">
            <v>15127</v>
          </cell>
          <cell r="J23">
            <v>17339</v>
          </cell>
          <cell r="K23">
            <v>0</v>
          </cell>
          <cell r="L23">
            <v>10385</v>
          </cell>
          <cell r="O23">
            <v>54.36</v>
          </cell>
          <cell r="P23">
            <v>27778.36</v>
          </cell>
          <cell r="Q23">
            <v>26755</v>
          </cell>
          <cell r="R23">
            <v>27778.36</v>
          </cell>
          <cell r="S23">
            <v>54533.36</v>
          </cell>
          <cell r="V23">
            <v>49522.8</v>
          </cell>
          <cell r="W23">
            <v>153.38999999999999</v>
          </cell>
          <cell r="X23">
            <v>2572</v>
          </cell>
          <cell r="AA23">
            <v>2285.1699999999973</v>
          </cell>
          <cell r="AB23">
            <v>4.1904074863533021</v>
          </cell>
          <cell r="AC23">
            <v>0</v>
          </cell>
          <cell r="AD23">
            <v>0</v>
          </cell>
          <cell r="AG23">
            <v>0</v>
          </cell>
          <cell r="AJ23">
            <v>0</v>
          </cell>
          <cell r="AK23">
            <v>0</v>
          </cell>
          <cell r="AM23">
            <v>2164</v>
          </cell>
          <cell r="AN23">
            <v>25968</v>
          </cell>
          <cell r="AP23">
            <v>7270</v>
          </cell>
          <cell r="AZ23">
            <v>0</v>
          </cell>
          <cell r="BA23">
            <v>84</v>
          </cell>
          <cell r="BC23">
            <v>69.39</v>
          </cell>
          <cell r="BF23">
            <v>153.38999999999999</v>
          </cell>
          <cell r="BH23">
            <v>41833</v>
          </cell>
          <cell r="BI23">
            <v>0</v>
          </cell>
          <cell r="BL23">
            <v>1</v>
          </cell>
          <cell r="BN23">
            <v>7100</v>
          </cell>
          <cell r="BP23">
            <v>34732</v>
          </cell>
          <cell r="BR23">
            <v>43251.003333333327</v>
          </cell>
          <cell r="BS23">
            <v>2164</v>
          </cell>
          <cell r="BX23">
            <v>1600</v>
          </cell>
          <cell r="BZ23">
            <v>43815.003333333327</v>
          </cell>
          <cell r="CB23">
            <v>11734</v>
          </cell>
          <cell r="CC23">
            <v>0</v>
          </cell>
          <cell r="CH23">
            <v>984</v>
          </cell>
          <cell r="CJ23">
            <v>10750</v>
          </cell>
          <cell r="CL23">
            <v>738</v>
          </cell>
          <cell r="CM23">
            <v>0</v>
          </cell>
          <cell r="CT23">
            <v>738</v>
          </cell>
          <cell r="CV23">
            <v>4428</v>
          </cell>
          <cell r="CW23">
            <v>0</v>
          </cell>
          <cell r="DD23">
            <v>4428</v>
          </cell>
          <cell r="DH23">
            <v>3227</v>
          </cell>
          <cell r="DI23">
            <v>0</v>
          </cell>
          <cell r="DP23">
            <v>3227</v>
          </cell>
          <cell r="DR23">
            <v>3155</v>
          </cell>
          <cell r="DS23">
            <v>0</v>
          </cell>
          <cell r="DZ23">
            <v>3155</v>
          </cell>
          <cell r="EB23">
            <v>17021</v>
          </cell>
          <cell r="EC23">
            <v>7270</v>
          </cell>
          <cell r="EJ23">
            <v>24291</v>
          </cell>
          <cell r="EL23">
            <v>52643</v>
          </cell>
          <cell r="EM23">
            <v>0</v>
          </cell>
          <cell r="EN23">
            <v>0</v>
          </cell>
          <cell r="EO23">
            <v>0</v>
          </cell>
          <cell r="EP23">
            <v>1</v>
          </cell>
          <cell r="EQ23">
            <v>0</v>
          </cell>
          <cell r="ER23">
            <v>7100</v>
          </cell>
          <cell r="ES23">
            <v>0</v>
          </cell>
          <cell r="ET23">
            <v>45542</v>
          </cell>
        </row>
        <row r="24">
          <cell r="A24">
            <v>19</v>
          </cell>
          <cell r="B24">
            <v>15127</v>
          </cell>
          <cell r="C24">
            <v>32521</v>
          </cell>
          <cell r="D24">
            <v>2572</v>
          </cell>
          <cell r="E24">
            <v>44156</v>
          </cell>
          <cell r="F24">
            <v>0</v>
          </cell>
          <cell r="H24">
            <v>0</v>
          </cell>
          <cell r="I24">
            <v>6064</v>
          </cell>
          <cell r="J24">
            <v>44156</v>
          </cell>
          <cell r="K24">
            <v>0</v>
          </cell>
          <cell r="L24">
            <v>20101</v>
          </cell>
          <cell r="M24">
            <v>0</v>
          </cell>
          <cell r="N24">
            <v>42.28</v>
          </cell>
          <cell r="O24">
            <v>0</v>
          </cell>
          <cell r="P24">
            <v>64299.28</v>
          </cell>
          <cell r="Q24">
            <v>0</v>
          </cell>
          <cell r="R24">
            <v>64299.28</v>
          </cell>
          <cell r="S24">
            <v>64299.28</v>
          </cell>
          <cell r="V24">
            <v>58612.5</v>
          </cell>
          <cell r="W24">
            <v>135.80000000000001</v>
          </cell>
          <cell r="X24">
            <v>1932</v>
          </cell>
          <cell r="AA24">
            <v>3618.9799999999987</v>
          </cell>
          <cell r="AB24">
            <v>5.628336740318086</v>
          </cell>
          <cell r="AC24">
            <v>1690</v>
          </cell>
          <cell r="AD24">
            <v>8450</v>
          </cell>
          <cell r="AG24">
            <v>0</v>
          </cell>
          <cell r="AJ24">
            <v>0</v>
          </cell>
          <cell r="AK24">
            <v>8450</v>
          </cell>
          <cell r="AM24">
            <v>2218</v>
          </cell>
          <cell r="AN24">
            <v>26616</v>
          </cell>
          <cell r="AT24">
            <v>450</v>
          </cell>
          <cell r="AU24">
            <v>9490.5</v>
          </cell>
          <cell r="AW24">
            <v>70</v>
          </cell>
          <cell r="AX24">
            <v>14056</v>
          </cell>
          <cell r="AZ24">
            <v>15.8</v>
          </cell>
          <cell r="BA24">
            <v>83</v>
          </cell>
          <cell r="BB24">
            <v>17</v>
          </cell>
          <cell r="BD24">
            <v>20</v>
          </cell>
          <cell r="BF24">
            <v>135.80000000000001</v>
          </cell>
          <cell r="BH24">
            <v>34732</v>
          </cell>
          <cell r="BI24">
            <v>1690</v>
          </cell>
          <cell r="BL24">
            <v>2</v>
          </cell>
          <cell r="BN24">
            <v>166</v>
          </cell>
          <cell r="BP24">
            <v>36254</v>
          </cell>
          <cell r="BR24">
            <v>43815.003333333327</v>
          </cell>
          <cell r="BS24">
            <v>2218</v>
          </cell>
          <cell r="BX24">
            <v>1500</v>
          </cell>
          <cell r="BZ24">
            <v>44533.003333333327</v>
          </cell>
          <cell r="CB24">
            <v>10750</v>
          </cell>
          <cell r="CC24">
            <v>450</v>
          </cell>
          <cell r="CH24">
            <v>454</v>
          </cell>
          <cell r="CJ24">
            <v>10746</v>
          </cell>
          <cell r="CL24">
            <v>738</v>
          </cell>
          <cell r="CM24">
            <v>70</v>
          </cell>
          <cell r="CT24">
            <v>808</v>
          </cell>
          <cell r="CV24">
            <v>4428</v>
          </cell>
          <cell r="CW24">
            <v>0</v>
          </cell>
          <cell r="DD24">
            <v>4428</v>
          </cell>
          <cell r="DH24">
            <v>3227</v>
          </cell>
          <cell r="DI24">
            <v>0</v>
          </cell>
          <cell r="DP24">
            <v>3227</v>
          </cell>
          <cell r="DR24">
            <v>3155</v>
          </cell>
          <cell r="DS24">
            <v>0</v>
          </cell>
          <cell r="DZ24">
            <v>3155</v>
          </cell>
          <cell r="EB24">
            <v>24291</v>
          </cell>
          <cell r="EC24">
            <v>0</v>
          </cell>
          <cell r="EJ24">
            <v>24291</v>
          </cell>
          <cell r="EL24">
            <v>45542</v>
          </cell>
          <cell r="EM24">
            <v>1690</v>
          </cell>
          <cell r="EN24">
            <v>0</v>
          </cell>
          <cell r="EO24">
            <v>0</v>
          </cell>
          <cell r="EP24">
            <v>2</v>
          </cell>
          <cell r="EQ24">
            <v>0</v>
          </cell>
          <cell r="ER24">
            <v>166</v>
          </cell>
          <cell r="ES24">
            <v>0</v>
          </cell>
          <cell r="ET24">
            <v>47064</v>
          </cell>
        </row>
        <row r="25">
          <cell r="A25">
            <v>20</v>
          </cell>
          <cell r="B25">
            <v>6064</v>
          </cell>
          <cell r="C25">
            <v>33349</v>
          </cell>
          <cell r="D25">
            <v>495</v>
          </cell>
          <cell r="E25">
            <v>25907</v>
          </cell>
          <cell r="F25">
            <v>0</v>
          </cell>
          <cell r="H25">
            <v>0</v>
          </cell>
          <cell r="I25">
            <v>14001</v>
          </cell>
          <cell r="J25">
            <v>25907</v>
          </cell>
          <cell r="K25">
            <v>0</v>
          </cell>
          <cell r="L25">
            <v>16719</v>
          </cell>
          <cell r="M25">
            <v>0</v>
          </cell>
          <cell r="N25">
            <v>25.57</v>
          </cell>
          <cell r="O25">
            <v>0</v>
          </cell>
          <cell r="P25">
            <v>42651.57</v>
          </cell>
          <cell r="Q25">
            <v>0</v>
          </cell>
          <cell r="R25">
            <v>42651.57</v>
          </cell>
          <cell r="S25">
            <v>42651.57</v>
          </cell>
          <cell r="V25">
            <v>38502.800000000003</v>
          </cell>
          <cell r="W25">
            <v>90</v>
          </cell>
          <cell r="X25">
            <v>1804</v>
          </cell>
          <cell r="AA25">
            <v>2254.7699999999968</v>
          </cell>
          <cell r="AB25">
            <v>5.2864876955291376</v>
          </cell>
          <cell r="AC25">
            <v>0</v>
          </cell>
          <cell r="AD25">
            <v>0</v>
          </cell>
          <cell r="AG25">
            <v>0</v>
          </cell>
          <cell r="AJ25">
            <v>0</v>
          </cell>
          <cell r="AK25">
            <v>0</v>
          </cell>
          <cell r="AM25">
            <v>1748</v>
          </cell>
          <cell r="AN25">
            <v>20976</v>
          </cell>
          <cell r="AW25">
            <v>86</v>
          </cell>
          <cell r="AX25">
            <v>17526.8</v>
          </cell>
          <cell r="AZ25">
            <v>0</v>
          </cell>
          <cell r="BA25">
            <v>60</v>
          </cell>
          <cell r="BC25">
            <v>0</v>
          </cell>
          <cell r="BD25">
            <v>30</v>
          </cell>
          <cell r="BF25">
            <v>90</v>
          </cell>
          <cell r="BH25">
            <v>36254</v>
          </cell>
          <cell r="BI25">
            <v>0</v>
          </cell>
          <cell r="BL25">
            <v>10</v>
          </cell>
          <cell r="BP25">
            <v>36244</v>
          </cell>
          <cell r="BR25">
            <v>44533.003333333327</v>
          </cell>
          <cell r="BS25">
            <v>1748</v>
          </cell>
          <cell r="BV25">
            <v>5</v>
          </cell>
          <cell r="BX25">
            <v>1650</v>
          </cell>
          <cell r="BZ25">
            <v>44626.003333333327</v>
          </cell>
          <cell r="CB25">
            <v>10746</v>
          </cell>
          <cell r="CC25">
            <v>0</v>
          </cell>
          <cell r="CH25">
            <v>2550</v>
          </cell>
          <cell r="CJ25">
            <v>8196</v>
          </cell>
          <cell r="CL25">
            <v>808</v>
          </cell>
          <cell r="CM25">
            <v>86</v>
          </cell>
          <cell r="CT25">
            <v>894</v>
          </cell>
          <cell r="CV25">
            <v>4428</v>
          </cell>
          <cell r="CW25">
            <v>0</v>
          </cell>
          <cell r="DD25">
            <v>4428</v>
          </cell>
          <cell r="DH25">
            <v>3227</v>
          </cell>
          <cell r="DI25">
            <v>0</v>
          </cell>
          <cell r="DN25">
            <v>3000</v>
          </cell>
          <cell r="DP25">
            <v>227</v>
          </cell>
          <cell r="DR25">
            <v>3155</v>
          </cell>
          <cell r="DS25">
            <v>0</v>
          </cell>
          <cell r="DZ25">
            <v>3155</v>
          </cell>
          <cell r="EB25">
            <v>24291</v>
          </cell>
          <cell r="EC25">
            <v>0</v>
          </cell>
          <cell r="EJ25">
            <v>24291</v>
          </cell>
          <cell r="EL25">
            <v>47064</v>
          </cell>
          <cell r="EM25">
            <v>0</v>
          </cell>
          <cell r="EN25">
            <v>0</v>
          </cell>
          <cell r="EO25">
            <v>0</v>
          </cell>
          <cell r="EP25">
            <v>10</v>
          </cell>
          <cell r="EQ25">
            <v>0</v>
          </cell>
          <cell r="ER25">
            <v>3000</v>
          </cell>
          <cell r="ES25">
            <v>0</v>
          </cell>
          <cell r="ET25">
            <v>44054</v>
          </cell>
        </row>
        <row r="26">
          <cell r="A26">
            <v>21</v>
          </cell>
          <cell r="B26">
            <v>14001</v>
          </cell>
          <cell r="C26">
            <v>43857</v>
          </cell>
          <cell r="D26">
            <v>1804</v>
          </cell>
          <cell r="E26">
            <v>27847</v>
          </cell>
          <cell r="F26">
            <v>0</v>
          </cell>
          <cell r="H26">
            <v>0</v>
          </cell>
          <cell r="I26">
            <v>31815</v>
          </cell>
          <cell r="J26">
            <v>27847</v>
          </cell>
          <cell r="K26">
            <v>0</v>
          </cell>
          <cell r="L26">
            <v>19214</v>
          </cell>
          <cell r="M26">
            <v>0</v>
          </cell>
          <cell r="N26">
            <v>41.82</v>
          </cell>
          <cell r="O26">
            <v>0</v>
          </cell>
          <cell r="P26">
            <v>47102.82</v>
          </cell>
          <cell r="Q26">
            <v>0</v>
          </cell>
          <cell r="R26">
            <v>47102.82</v>
          </cell>
          <cell r="S26">
            <v>47102.82</v>
          </cell>
          <cell r="V26">
            <v>40809.599999999999</v>
          </cell>
          <cell r="W26">
            <v>74.8</v>
          </cell>
          <cell r="X26">
            <v>1276</v>
          </cell>
          <cell r="AA26">
            <v>4942.420000000001</v>
          </cell>
          <cell r="AB26">
            <v>10.492832488585611</v>
          </cell>
          <cell r="AD26">
            <v>0</v>
          </cell>
          <cell r="AG26">
            <v>0</v>
          </cell>
          <cell r="AJ26">
            <v>0</v>
          </cell>
          <cell r="AK26">
            <v>20145.599999999999</v>
          </cell>
          <cell r="AM26">
            <v>1722</v>
          </cell>
          <cell r="AN26">
            <v>20664</v>
          </cell>
          <cell r="AR26">
            <v>4197</v>
          </cell>
          <cell r="AZ26">
            <v>18.8</v>
          </cell>
          <cell r="BA26">
            <v>56</v>
          </cell>
          <cell r="BF26">
            <v>74.8</v>
          </cell>
          <cell r="BH26">
            <v>36244</v>
          </cell>
          <cell r="BI26">
            <v>0</v>
          </cell>
          <cell r="BN26">
            <v>4929</v>
          </cell>
          <cell r="BP26">
            <v>31315</v>
          </cell>
          <cell r="BR26">
            <v>44626.003333333327</v>
          </cell>
          <cell r="BS26">
            <v>1722</v>
          </cell>
          <cell r="BX26">
            <v>4100</v>
          </cell>
          <cell r="BZ26">
            <v>42248.003333333327</v>
          </cell>
          <cell r="CB26">
            <v>8196</v>
          </cell>
          <cell r="CC26">
            <v>0</v>
          </cell>
          <cell r="CH26">
            <v>850</v>
          </cell>
          <cell r="CJ26">
            <v>7346</v>
          </cell>
          <cell r="CL26">
            <v>894</v>
          </cell>
          <cell r="CM26">
            <v>0</v>
          </cell>
          <cell r="CT26">
            <v>894</v>
          </cell>
          <cell r="CV26">
            <v>4428</v>
          </cell>
          <cell r="CW26">
            <v>4197</v>
          </cell>
          <cell r="DD26">
            <v>8625</v>
          </cell>
          <cell r="DH26">
            <v>227</v>
          </cell>
          <cell r="DI26">
            <v>0</v>
          </cell>
          <cell r="DP26">
            <v>227</v>
          </cell>
          <cell r="DR26">
            <v>3155</v>
          </cell>
          <cell r="DS26">
            <v>0</v>
          </cell>
          <cell r="DZ26">
            <v>3155</v>
          </cell>
          <cell r="EB26">
            <v>24291</v>
          </cell>
          <cell r="EC26">
            <v>0</v>
          </cell>
          <cell r="EH26">
            <v>5500</v>
          </cell>
          <cell r="EJ26">
            <v>18791</v>
          </cell>
          <cell r="EL26">
            <v>44054</v>
          </cell>
          <cell r="EM26">
            <v>4197</v>
          </cell>
          <cell r="EN26">
            <v>0</v>
          </cell>
          <cell r="EO26">
            <v>0</v>
          </cell>
          <cell r="EP26">
            <v>0</v>
          </cell>
          <cell r="EQ26">
            <v>0</v>
          </cell>
          <cell r="ER26">
            <v>4929</v>
          </cell>
          <cell r="ES26">
            <v>0</v>
          </cell>
          <cell r="ET26">
            <v>43322</v>
          </cell>
        </row>
        <row r="27">
          <cell r="A27">
            <v>22</v>
          </cell>
          <cell r="B27">
            <v>31815</v>
          </cell>
          <cell r="C27">
            <v>26800</v>
          </cell>
          <cell r="D27">
            <v>1276</v>
          </cell>
          <cell r="E27">
            <v>31982</v>
          </cell>
          <cell r="F27">
            <v>0</v>
          </cell>
          <cell r="H27">
            <v>0</v>
          </cell>
          <cell r="I27">
            <v>27909</v>
          </cell>
          <cell r="J27">
            <v>31982</v>
          </cell>
          <cell r="K27">
            <v>0</v>
          </cell>
          <cell r="L27">
            <v>22884</v>
          </cell>
          <cell r="M27">
            <v>0</v>
          </cell>
          <cell r="N27">
            <v>29.259999999999998</v>
          </cell>
          <cell r="O27">
            <v>55.64</v>
          </cell>
          <cell r="P27">
            <v>54950.9</v>
          </cell>
          <cell r="Q27">
            <v>0</v>
          </cell>
          <cell r="R27">
            <v>54950.9</v>
          </cell>
          <cell r="S27">
            <v>54950.9</v>
          </cell>
          <cell r="V27">
            <v>49682.399999999994</v>
          </cell>
          <cell r="W27">
            <v>81.290000000000006</v>
          </cell>
          <cell r="X27">
            <v>0</v>
          </cell>
          <cell r="AA27">
            <v>5187.2100000000073</v>
          </cell>
          <cell r="AB27">
            <v>9.439718002798875</v>
          </cell>
          <cell r="AD27">
            <v>0</v>
          </cell>
          <cell r="AG27">
            <v>0</v>
          </cell>
          <cell r="AJ27">
            <v>0</v>
          </cell>
          <cell r="AK27">
            <v>26030.399999999998</v>
          </cell>
          <cell r="AM27">
            <v>0</v>
          </cell>
          <cell r="AN27">
            <v>0</v>
          </cell>
          <cell r="AP27">
            <v>7300</v>
          </cell>
          <cell r="AR27">
            <v>5423</v>
          </cell>
          <cell r="AZ27">
            <v>25.400000000000002</v>
          </cell>
          <cell r="BA27">
            <v>0</v>
          </cell>
          <cell r="BC27">
            <v>55.89</v>
          </cell>
          <cell r="BF27">
            <v>81.290000000000006</v>
          </cell>
          <cell r="BH27">
            <v>31315</v>
          </cell>
          <cell r="BI27">
            <v>0</v>
          </cell>
          <cell r="BN27">
            <v>2700</v>
          </cell>
          <cell r="BP27">
            <v>28615</v>
          </cell>
          <cell r="BR27">
            <v>42248.003333333327</v>
          </cell>
          <cell r="BS27">
            <v>0</v>
          </cell>
          <cell r="BX27">
            <v>3300</v>
          </cell>
          <cell r="BZ27">
            <v>38948.003333333327</v>
          </cell>
          <cell r="CB27">
            <v>7346</v>
          </cell>
          <cell r="CC27">
            <v>0</v>
          </cell>
          <cell r="CH27">
            <v>50</v>
          </cell>
          <cell r="CJ27">
            <v>7296</v>
          </cell>
          <cell r="CL27">
            <v>894</v>
          </cell>
          <cell r="CM27">
            <v>0</v>
          </cell>
          <cell r="CT27">
            <v>894</v>
          </cell>
          <cell r="CV27">
            <v>8625</v>
          </cell>
          <cell r="CW27">
            <v>5423</v>
          </cell>
          <cell r="DD27">
            <v>14048</v>
          </cell>
          <cell r="DH27">
            <v>227</v>
          </cell>
          <cell r="DI27">
            <v>0</v>
          </cell>
          <cell r="DP27">
            <v>227</v>
          </cell>
          <cell r="DR27">
            <v>3155</v>
          </cell>
          <cell r="DS27">
            <v>0</v>
          </cell>
          <cell r="DX27">
            <v>2500</v>
          </cell>
          <cell r="DZ27">
            <v>655</v>
          </cell>
          <cell r="EB27">
            <v>18791</v>
          </cell>
          <cell r="EC27">
            <v>7300</v>
          </cell>
          <cell r="EH27">
            <v>5500</v>
          </cell>
          <cell r="EJ27">
            <v>20591</v>
          </cell>
          <cell r="EL27">
            <v>43322</v>
          </cell>
          <cell r="EM27">
            <v>5423</v>
          </cell>
          <cell r="EN27">
            <v>0</v>
          </cell>
          <cell r="EO27">
            <v>0</v>
          </cell>
          <cell r="EP27">
            <v>0</v>
          </cell>
          <cell r="EQ27">
            <v>0</v>
          </cell>
          <cell r="ER27">
            <v>5200</v>
          </cell>
          <cell r="ES27">
            <v>0</v>
          </cell>
          <cell r="ET27">
            <v>43545</v>
          </cell>
        </row>
        <row r="28">
          <cell r="A28">
            <v>23</v>
          </cell>
          <cell r="B28">
            <v>27909</v>
          </cell>
          <cell r="C28">
            <v>0</v>
          </cell>
          <cell r="D28">
            <v>0</v>
          </cell>
          <cell r="E28">
            <v>27909</v>
          </cell>
          <cell r="F28">
            <v>0</v>
          </cell>
          <cell r="H28">
            <v>0</v>
          </cell>
          <cell r="I28">
            <v>0</v>
          </cell>
          <cell r="J28">
            <v>27909</v>
          </cell>
          <cell r="K28">
            <v>0</v>
          </cell>
          <cell r="L28">
            <v>11226</v>
          </cell>
          <cell r="M28">
            <v>0</v>
          </cell>
          <cell r="N28">
            <v>14.51</v>
          </cell>
          <cell r="O28">
            <v>41.36</v>
          </cell>
          <cell r="P28">
            <v>39190.870000000003</v>
          </cell>
          <cell r="Q28">
            <v>0</v>
          </cell>
          <cell r="R28">
            <v>39190.870000000003</v>
          </cell>
          <cell r="S28">
            <v>39190.870000000003</v>
          </cell>
          <cell r="U28">
            <v>0</v>
          </cell>
          <cell r="V28">
            <v>35882.76</v>
          </cell>
          <cell r="W28">
            <v>94.67</v>
          </cell>
          <cell r="X28">
            <v>746</v>
          </cell>
          <cell r="AA28">
            <v>2467.4400000000005</v>
          </cell>
          <cell r="AB28">
            <v>6.2959561755072047</v>
          </cell>
          <cell r="AC28">
            <v>1878</v>
          </cell>
          <cell r="AD28">
            <v>9390</v>
          </cell>
          <cell r="AG28">
            <v>0</v>
          </cell>
          <cell r="AJ28">
            <v>0</v>
          </cell>
          <cell r="AK28">
            <v>9390</v>
          </cell>
          <cell r="AM28">
            <v>804</v>
          </cell>
          <cell r="AN28">
            <v>9648</v>
          </cell>
          <cell r="AP28">
            <v>5199</v>
          </cell>
          <cell r="AT28">
            <v>0</v>
          </cell>
          <cell r="AU28">
            <v>0</v>
          </cell>
          <cell r="AW28">
            <v>0</v>
          </cell>
          <cell r="AX28">
            <v>0</v>
          </cell>
          <cell r="AZ28">
            <v>15</v>
          </cell>
          <cell r="BA28">
            <v>38</v>
          </cell>
          <cell r="BB28">
            <v>0</v>
          </cell>
          <cell r="BC28">
            <v>41.67</v>
          </cell>
          <cell r="BD28">
            <v>0</v>
          </cell>
          <cell r="BF28">
            <v>94.67</v>
          </cell>
          <cell r="BH28">
            <v>28615</v>
          </cell>
          <cell r="BI28">
            <v>1878</v>
          </cell>
          <cell r="BP28">
            <v>30493</v>
          </cell>
          <cell r="BR28">
            <v>38948.003333333327</v>
          </cell>
          <cell r="BS28">
            <v>804</v>
          </cell>
          <cell r="BX28">
            <v>10</v>
          </cell>
          <cell r="BZ28">
            <v>39742.003333333327</v>
          </cell>
          <cell r="CB28">
            <v>7296</v>
          </cell>
          <cell r="CC28">
            <v>0</v>
          </cell>
          <cell r="CJ28">
            <v>7296</v>
          </cell>
          <cell r="CL28">
            <v>894</v>
          </cell>
          <cell r="CM28">
            <v>0</v>
          </cell>
          <cell r="CT28">
            <v>894</v>
          </cell>
          <cell r="CV28">
            <v>14048</v>
          </cell>
          <cell r="CW28">
            <v>0</v>
          </cell>
          <cell r="DD28">
            <v>14048</v>
          </cell>
          <cell r="DH28">
            <v>227</v>
          </cell>
          <cell r="DI28">
            <v>0</v>
          </cell>
          <cell r="DP28">
            <v>227</v>
          </cell>
          <cell r="DR28">
            <v>655</v>
          </cell>
          <cell r="DS28">
            <v>0</v>
          </cell>
          <cell r="DZ28">
            <v>655</v>
          </cell>
          <cell r="EB28">
            <v>20591</v>
          </cell>
          <cell r="EC28">
            <v>5199</v>
          </cell>
          <cell r="EJ28">
            <v>25790</v>
          </cell>
          <cell r="EL28">
            <v>43545</v>
          </cell>
          <cell r="EM28">
            <v>1878</v>
          </cell>
          <cell r="EN28">
            <v>0</v>
          </cell>
          <cell r="EO28">
            <v>0</v>
          </cell>
          <cell r="EP28">
            <v>0</v>
          </cell>
          <cell r="EQ28">
            <v>0</v>
          </cell>
          <cell r="ER28">
            <v>0</v>
          </cell>
          <cell r="ES28">
            <v>0</v>
          </cell>
          <cell r="ET28">
            <v>45423</v>
          </cell>
        </row>
        <row r="29">
          <cell r="A29">
            <v>24</v>
          </cell>
          <cell r="B29">
            <v>0</v>
          </cell>
          <cell r="C29">
            <v>39801</v>
          </cell>
          <cell r="D29">
            <v>495</v>
          </cell>
          <cell r="E29">
            <v>18369</v>
          </cell>
          <cell r="F29">
            <v>0</v>
          </cell>
          <cell r="H29">
            <v>0</v>
          </cell>
          <cell r="I29">
            <v>21927</v>
          </cell>
          <cell r="J29">
            <v>18369</v>
          </cell>
          <cell r="K29">
            <v>0</v>
          </cell>
          <cell r="L29">
            <v>17934</v>
          </cell>
          <cell r="M29">
            <v>0</v>
          </cell>
          <cell r="N29">
            <v>0</v>
          </cell>
          <cell r="O29">
            <v>0</v>
          </cell>
          <cell r="P29">
            <v>36303</v>
          </cell>
          <cell r="Q29">
            <v>0</v>
          </cell>
          <cell r="R29">
            <v>36303</v>
          </cell>
          <cell r="S29">
            <v>36303</v>
          </cell>
          <cell r="U29">
            <v>0</v>
          </cell>
          <cell r="V29">
            <v>33598.400000000001</v>
          </cell>
          <cell r="W29">
            <v>51</v>
          </cell>
          <cell r="X29">
            <v>1040</v>
          </cell>
          <cell r="AA29">
            <v>1613.5999999999985</v>
          </cell>
          <cell r="AB29">
            <v>4.4448117235490141</v>
          </cell>
          <cell r="AC29">
            <v>0</v>
          </cell>
          <cell r="AD29">
            <v>0</v>
          </cell>
          <cell r="AG29">
            <v>0</v>
          </cell>
          <cell r="AJ29">
            <v>0</v>
          </cell>
          <cell r="AK29">
            <v>0</v>
          </cell>
          <cell r="AM29">
            <v>0</v>
          </cell>
          <cell r="AN29">
            <v>0</v>
          </cell>
          <cell r="AT29">
            <v>0</v>
          </cell>
          <cell r="AU29">
            <v>0</v>
          </cell>
          <cell r="AW29">
            <v>166</v>
          </cell>
          <cell r="AX29">
            <v>33598.400000000001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51</v>
          </cell>
          <cell r="BF29">
            <v>51</v>
          </cell>
          <cell r="BH29">
            <v>30493</v>
          </cell>
          <cell r="BI29">
            <v>0</v>
          </cell>
          <cell r="BP29">
            <v>30493</v>
          </cell>
          <cell r="BR29">
            <v>39742.003333333327</v>
          </cell>
          <cell r="BS29">
            <v>0</v>
          </cell>
          <cell r="BZ29">
            <v>39742.003333333327</v>
          </cell>
          <cell r="CB29">
            <v>7296</v>
          </cell>
          <cell r="CC29">
            <v>0</v>
          </cell>
          <cell r="CJ29">
            <v>7296</v>
          </cell>
          <cell r="CL29">
            <v>894</v>
          </cell>
          <cell r="CM29">
            <v>166</v>
          </cell>
          <cell r="CR29">
            <v>160</v>
          </cell>
          <cell r="CT29">
            <v>900</v>
          </cell>
          <cell r="CV29">
            <v>14048</v>
          </cell>
          <cell r="CW29">
            <v>0</v>
          </cell>
          <cell r="DB29">
            <v>3700</v>
          </cell>
          <cell r="DD29">
            <v>10348</v>
          </cell>
          <cell r="DH29">
            <v>227</v>
          </cell>
          <cell r="DI29">
            <v>0</v>
          </cell>
          <cell r="DP29">
            <v>227</v>
          </cell>
          <cell r="DR29">
            <v>655</v>
          </cell>
          <cell r="DS29">
            <v>0</v>
          </cell>
          <cell r="DZ29">
            <v>655</v>
          </cell>
          <cell r="EB29">
            <v>25790</v>
          </cell>
          <cell r="EC29">
            <v>0</v>
          </cell>
          <cell r="EJ29">
            <v>25790</v>
          </cell>
          <cell r="EL29">
            <v>45423</v>
          </cell>
          <cell r="EM29">
            <v>0</v>
          </cell>
          <cell r="EN29">
            <v>0</v>
          </cell>
          <cell r="EO29">
            <v>0</v>
          </cell>
          <cell r="EP29">
            <v>0</v>
          </cell>
          <cell r="EQ29">
            <v>0</v>
          </cell>
          <cell r="ER29">
            <v>3700</v>
          </cell>
          <cell r="ES29">
            <v>0</v>
          </cell>
          <cell r="ET29">
            <v>41723</v>
          </cell>
        </row>
        <row r="30">
          <cell r="A30">
            <v>25</v>
          </cell>
          <cell r="B30">
            <v>21927</v>
          </cell>
          <cell r="C30">
            <v>35889</v>
          </cell>
          <cell r="D30">
            <v>1291</v>
          </cell>
          <cell r="E30">
            <v>33288</v>
          </cell>
          <cell r="F30">
            <v>0</v>
          </cell>
          <cell r="H30">
            <v>0</v>
          </cell>
          <cell r="I30">
            <v>25819</v>
          </cell>
          <cell r="J30">
            <v>33288</v>
          </cell>
          <cell r="K30">
            <v>0</v>
          </cell>
          <cell r="L30">
            <v>24741</v>
          </cell>
          <cell r="M30">
            <v>0</v>
          </cell>
          <cell r="N30">
            <v>51.64</v>
          </cell>
          <cell r="O30">
            <v>0</v>
          </cell>
          <cell r="P30">
            <v>58080.639999999999</v>
          </cell>
          <cell r="Q30">
            <v>0</v>
          </cell>
          <cell r="R30">
            <v>58080.639999999999</v>
          </cell>
          <cell r="S30">
            <v>53380.47</v>
          </cell>
          <cell r="U30">
            <v>4700.1699999999983</v>
          </cell>
          <cell r="V30">
            <v>47129.72</v>
          </cell>
          <cell r="W30">
            <v>121.6</v>
          </cell>
          <cell r="X30">
            <v>1062</v>
          </cell>
          <cell r="AA30">
            <v>5067.1499999999996</v>
          </cell>
          <cell r="AB30">
            <v>9.4925166451325733</v>
          </cell>
          <cell r="AD30">
            <v>0</v>
          </cell>
          <cell r="AG30">
            <v>0</v>
          </cell>
          <cell r="AJ30">
            <v>0</v>
          </cell>
          <cell r="AK30">
            <v>6969.5999999999995</v>
          </cell>
          <cell r="AM30">
            <v>1540</v>
          </cell>
          <cell r="AN30">
            <v>18480</v>
          </cell>
          <cell r="AR30">
            <v>1452</v>
          </cell>
          <cell r="AT30">
            <v>834</v>
          </cell>
          <cell r="AU30">
            <v>17664.12</v>
          </cell>
          <cell r="AW30">
            <v>20</v>
          </cell>
          <cell r="AX30">
            <v>4016</v>
          </cell>
          <cell r="AZ30">
            <v>15.600000000000001</v>
          </cell>
          <cell r="BA30">
            <v>67</v>
          </cell>
          <cell r="BB30">
            <v>26</v>
          </cell>
          <cell r="BC30">
            <v>0</v>
          </cell>
          <cell r="BD30">
            <v>13</v>
          </cell>
          <cell r="BF30">
            <v>121.6</v>
          </cell>
          <cell r="BH30">
            <v>30493</v>
          </cell>
          <cell r="BI30">
            <v>0</v>
          </cell>
          <cell r="BN30">
            <v>1300</v>
          </cell>
          <cell r="BP30">
            <v>29193</v>
          </cell>
          <cell r="BR30">
            <v>39742.003333333327</v>
          </cell>
          <cell r="BS30">
            <v>1540</v>
          </cell>
          <cell r="BX30">
            <v>500</v>
          </cell>
          <cell r="BZ30">
            <v>40782.003333333327</v>
          </cell>
          <cell r="CB30">
            <v>7296</v>
          </cell>
          <cell r="CC30">
            <v>834</v>
          </cell>
          <cell r="CF30">
            <v>3</v>
          </cell>
          <cell r="CJ30">
            <v>8127</v>
          </cell>
          <cell r="CL30">
            <v>900</v>
          </cell>
          <cell r="CM30">
            <v>20</v>
          </cell>
          <cell r="CT30">
            <v>920</v>
          </cell>
          <cell r="CV30">
            <v>10348</v>
          </cell>
          <cell r="CW30">
            <v>1452</v>
          </cell>
          <cell r="DD30">
            <v>11800</v>
          </cell>
          <cell r="DH30">
            <v>227</v>
          </cell>
          <cell r="DI30">
            <v>0</v>
          </cell>
          <cell r="DP30">
            <v>227</v>
          </cell>
          <cell r="DR30">
            <v>655</v>
          </cell>
          <cell r="DS30">
            <v>0</v>
          </cell>
          <cell r="DZ30">
            <v>655</v>
          </cell>
          <cell r="EB30">
            <v>25790</v>
          </cell>
          <cell r="EC30">
            <v>0</v>
          </cell>
          <cell r="EH30">
            <v>1700</v>
          </cell>
          <cell r="EJ30">
            <v>24090</v>
          </cell>
          <cell r="EL30">
            <v>41723</v>
          </cell>
          <cell r="EM30">
            <v>1452</v>
          </cell>
          <cell r="EN30">
            <v>0</v>
          </cell>
          <cell r="EO30">
            <v>0</v>
          </cell>
          <cell r="EP30">
            <v>0</v>
          </cell>
          <cell r="EQ30">
            <v>0</v>
          </cell>
          <cell r="ER30">
            <v>1300</v>
          </cell>
          <cell r="ES30">
            <v>0</v>
          </cell>
          <cell r="ET30">
            <v>41875</v>
          </cell>
        </row>
        <row r="31">
          <cell r="A31">
            <v>26</v>
          </cell>
          <cell r="B31">
            <v>25819</v>
          </cell>
          <cell r="C31">
            <v>28016</v>
          </cell>
          <cell r="D31">
            <v>1062</v>
          </cell>
          <cell r="E31">
            <v>35026</v>
          </cell>
          <cell r="F31">
            <v>0</v>
          </cell>
          <cell r="H31">
            <v>0</v>
          </cell>
          <cell r="I31">
            <v>19871</v>
          </cell>
          <cell r="J31">
            <v>35026</v>
          </cell>
          <cell r="K31">
            <v>0</v>
          </cell>
          <cell r="L31">
            <v>23495</v>
          </cell>
          <cell r="M31">
            <v>0</v>
          </cell>
          <cell r="N31">
            <v>18.240000000000002</v>
          </cell>
          <cell r="O31">
            <v>37.49</v>
          </cell>
          <cell r="P31">
            <v>58576.729999999996</v>
          </cell>
          <cell r="Q31">
            <v>4700.1699999999983</v>
          </cell>
          <cell r="R31">
            <v>58576.729999999996</v>
          </cell>
          <cell r="S31">
            <v>63276.899999999994</v>
          </cell>
          <cell r="U31">
            <v>0</v>
          </cell>
          <cell r="V31">
            <v>56916.6</v>
          </cell>
          <cell r="W31">
            <v>83.800000000000011</v>
          </cell>
          <cell r="X31">
            <v>905</v>
          </cell>
          <cell r="AA31">
            <v>5371.4999999999955</v>
          </cell>
          <cell r="AB31">
            <v>8.4888798281837392</v>
          </cell>
          <cell r="AC31">
            <v>5629</v>
          </cell>
          <cell r="AD31">
            <v>28145</v>
          </cell>
          <cell r="AG31">
            <v>0</v>
          </cell>
          <cell r="AJ31">
            <v>0</v>
          </cell>
          <cell r="AK31">
            <v>28145</v>
          </cell>
          <cell r="AM31">
            <v>0</v>
          </cell>
          <cell r="AN31">
            <v>0</v>
          </cell>
          <cell r="AT31">
            <v>0</v>
          </cell>
          <cell r="AU31">
            <v>0</v>
          </cell>
          <cell r="AW31">
            <v>143</v>
          </cell>
          <cell r="AX31">
            <v>28771.599999999999</v>
          </cell>
          <cell r="AZ31">
            <v>41.800000000000004</v>
          </cell>
          <cell r="BA31">
            <v>0</v>
          </cell>
          <cell r="BB31">
            <v>0</v>
          </cell>
          <cell r="BC31">
            <v>0</v>
          </cell>
          <cell r="BD31">
            <v>42</v>
          </cell>
          <cell r="BF31">
            <v>83.800000000000011</v>
          </cell>
          <cell r="BH31">
            <v>29193</v>
          </cell>
          <cell r="BI31">
            <v>5629</v>
          </cell>
          <cell r="BP31">
            <v>34822</v>
          </cell>
          <cell r="BR31">
            <v>40782.003333333327</v>
          </cell>
          <cell r="BS31">
            <v>0</v>
          </cell>
          <cell r="BZ31">
            <v>40782.003333333327</v>
          </cell>
          <cell r="CB31">
            <v>8127</v>
          </cell>
          <cell r="CC31">
            <v>0</v>
          </cell>
          <cell r="CJ31">
            <v>8127</v>
          </cell>
          <cell r="CL31">
            <v>920</v>
          </cell>
          <cell r="CM31">
            <v>143</v>
          </cell>
          <cell r="CT31">
            <v>1063</v>
          </cell>
          <cell r="CV31">
            <v>11800</v>
          </cell>
          <cell r="CW31">
            <v>0</v>
          </cell>
          <cell r="DD31">
            <v>11800</v>
          </cell>
          <cell r="DH31">
            <v>227</v>
          </cell>
          <cell r="DI31">
            <v>0</v>
          </cell>
          <cell r="DP31">
            <v>227</v>
          </cell>
          <cell r="DR31">
            <v>655</v>
          </cell>
          <cell r="DS31">
            <v>0</v>
          </cell>
          <cell r="DZ31">
            <v>655</v>
          </cell>
          <cell r="EB31">
            <v>24090</v>
          </cell>
          <cell r="EC31">
            <v>0</v>
          </cell>
          <cell r="EJ31">
            <v>24090</v>
          </cell>
          <cell r="EL31">
            <v>41875</v>
          </cell>
          <cell r="EM31">
            <v>5629</v>
          </cell>
          <cell r="EN31">
            <v>0</v>
          </cell>
          <cell r="EO31">
            <v>0</v>
          </cell>
          <cell r="EP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47504</v>
          </cell>
        </row>
        <row r="32">
          <cell r="A32">
            <v>27</v>
          </cell>
          <cell r="B32">
            <v>19871</v>
          </cell>
          <cell r="C32">
            <v>31796</v>
          </cell>
          <cell r="D32">
            <v>905</v>
          </cell>
          <cell r="E32">
            <v>24169</v>
          </cell>
          <cell r="F32">
            <v>0</v>
          </cell>
          <cell r="H32">
            <v>0</v>
          </cell>
          <cell r="I32">
            <v>28403</v>
          </cell>
          <cell r="J32">
            <v>24169</v>
          </cell>
          <cell r="K32">
            <v>0</v>
          </cell>
          <cell r="L32">
            <v>12360</v>
          </cell>
          <cell r="M32">
            <v>0</v>
          </cell>
          <cell r="N32">
            <v>25.39</v>
          </cell>
          <cell r="P32">
            <v>36554.39</v>
          </cell>
          <cell r="Q32">
            <v>0</v>
          </cell>
          <cell r="R32">
            <v>36554.39</v>
          </cell>
          <cell r="S32">
            <v>36554.39</v>
          </cell>
          <cell r="V32">
            <v>0</v>
          </cell>
          <cell r="W32">
            <v>0</v>
          </cell>
          <cell r="X32">
            <v>0</v>
          </cell>
          <cell r="AA32">
            <v>36554.39</v>
          </cell>
          <cell r="AB32">
            <v>100</v>
          </cell>
          <cell r="AC32">
            <v>0</v>
          </cell>
          <cell r="AD32">
            <v>0</v>
          </cell>
          <cell r="AG32">
            <v>0</v>
          </cell>
          <cell r="AJ32">
            <v>0</v>
          </cell>
          <cell r="AK32">
            <v>0</v>
          </cell>
          <cell r="AN32">
            <v>0</v>
          </cell>
          <cell r="BF32">
            <v>0</v>
          </cell>
          <cell r="BH32">
            <v>34822</v>
          </cell>
          <cell r="BI32">
            <v>0</v>
          </cell>
          <cell r="BP32">
            <v>34822</v>
          </cell>
          <cell r="BR32">
            <v>40782.003333333327</v>
          </cell>
          <cell r="BS32">
            <v>0</v>
          </cell>
          <cell r="BX32">
            <v>1500</v>
          </cell>
          <cell r="BZ32">
            <v>39282.003333333327</v>
          </cell>
          <cell r="CB32">
            <v>8127</v>
          </cell>
          <cell r="CC32">
            <v>0</v>
          </cell>
          <cell r="CJ32">
            <v>8127</v>
          </cell>
          <cell r="CL32">
            <v>1063</v>
          </cell>
          <cell r="CM32">
            <v>0</v>
          </cell>
          <cell r="CT32">
            <v>1063</v>
          </cell>
          <cell r="CV32">
            <v>11800</v>
          </cell>
          <cell r="CW32">
            <v>0</v>
          </cell>
          <cell r="DD32">
            <v>11800</v>
          </cell>
          <cell r="DH32">
            <v>227</v>
          </cell>
          <cell r="DI32">
            <v>0</v>
          </cell>
          <cell r="DP32">
            <v>227</v>
          </cell>
          <cell r="DR32">
            <v>655</v>
          </cell>
          <cell r="DS32">
            <v>0</v>
          </cell>
          <cell r="DZ32">
            <v>655</v>
          </cell>
          <cell r="EB32">
            <v>24090</v>
          </cell>
          <cell r="EC32">
            <v>0</v>
          </cell>
          <cell r="EJ32">
            <v>24090</v>
          </cell>
          <cell r="EL32">
            <v>47504</v>
          </cell>
          <cell r="EM32">
            <v>0</v>
          </cell>
          <cell r="EN32">
            <v>0</v>
          </cell>
          <cell r="EO32">
            <v>0</v>
          </cell>
          <cell r="EP32">
            <v>0</v>
          </cell>
          <cell r="EQ32">
            <v>0</v>
          </cell>
          <cell r="ER32">
            <v>0</v>
          </cell>
          <cell r="ES32">
            <v>0</v>
          </cell>
          <cell r="ET32">
            <v>47504</v>
          </cell>
        </row>
        <row r="33">
          <cell r="A33">
            <v>28</v>
          </cell>
          <cell r="B33">
            <v>28403</v>
          </cell>
          <cell r="E33">
            <v>0</v>
          </cell>
          <cell r="F33">
            <v>0</v>
          </cell>
          <cell r="H33">
            <v>0</v>
          </cell>
          <cell r="I33">
            <v>28403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V33">
            <v>0</v>
          </cell>
          <cell r="W33">
            <v>0</v>
          </cell>
          <cell r="AA33">
            <v>0</v>
          </cell>
          <cell r="AB33" t="e">
            <v>#DIV/0!</v>
          </cell>
          <cell r="AD33">
            <v>0</v>
          </cell>
          <cell r="AG33">
            <v>0</v>
          </cell>
          <cell r="AJ33">
            <v>0</v>
          </cell>
          <cell r="AK33">
            <v>0</v>
          </cell>
          <cell r="AN33">
            <v>0</v>
          </cell>
          <cell r="BF33">
            <v>0</v>
          </cell>
          <cell r="BH33">
            <v>34822</v>
          </cell>
          <cell r="BI33">
            <v>0</v>
          </cell>
          <cell r="BP33">
            <v>34822</v>
          </cell>
          <cell r="BR33">
            <v>39282.003333333327</v>
          </cell>
          <cell r="BS33">
            <v>0</v>
          </cell>
          <cell r="BZ33">
            <v>39282.003333333327</v>
          </cell>
          <cell r="CB33">
            <v>8127</v>
          </cell>
          <cell r="CC33">
            <v>0</v>
          </cell>
          <cell r="CJ33">
            <v>8127</v>
          </cell>
          <cell r="CL33">
            <v>1063</v>
          </cell>
          <cell r="CM33">
            <v>0</v>
          </cell>
          <cell r="CT33">
            <v>1063</v>
          </cell>
          <cell r="CV33">
            <v>11800</v>
          </cell>
          <cell r="CW33">
            <v>0</v>
          </cell>
          <cell r="DD33">
            <v>11800</v>
          </cell>
          <cell r="DH33">
            <v>227</v>
          </cell>
          <cell r="DI33">
            <v>0</v>
          </cell>
          <cell r="DP33">
            <v>227</v>
          </cell>
          <cell r="DR33">
            <v>655</v>
          </cell>
          <cell r="DS33">
            <v>0</v>
          </cell>
          <cell r="DZ33">
            <v>655</v>
          </cell>
          <cell r="EB33">
            <v>24090</v>
          </cell>
          <cell r="EC33">
            <v>0</v>
          </cell>
          <cell r="EJ33">
            <v>24090</v>
          </cell>
          <cell r="EL33">
            <v>47504</v>
          </cell>
          <cell r="EM33">
            <v>0</v>
          </cell>
          <cell r="EN33">
            <v>0</v>
          </cell>
          <cell r="EO33">
            <v>0</v>
          </cell>
          <cell r="EP33">
            <v>0</v>
          </cell>
          <cell r="EQ33">
            <v>0</v>
          </cell>
          <cell r="ER33">
            <v>0</v>
          </cell>
          <cell r="ES33">
            <v>0</v>
          </cell>
          <cell r="ET33">
            <v>47504</v>
          </cell>
        </row>
        <row r="34">
          <cell r="A34">
            <v>29</v>
          </cell>
          <cell r="B34">
            <v>28403</v>
          </cell>
          <cell r="E34">
            <v>0</v>
          </cell>
          <cell r="F34">
            <v>0</v>
          </cell>
          <cell r="H34">
            <v>0</v>
          </cell>
          <cell r="I34">
            <v>28403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V34">
            <v>0</v>
          </cell>
          <cell r="W34">
            <v>0</v>
          </cell>
          <cell r="AA34">
            <v>0</v>
          </cell>
          <cell r="AB34" t="e">
            <v>#DIV/0!</v>
          </cell>
          <cell r="AD34">
            <v>0</v>
          </cell>
          <cell r="AG34">
            <v>0</v>
          </cell>
          <cell r="AJ34">
            <v>0</v>
          </cell>
          <cell r="AK34">
            <v>0</v>
          </cell>
          <cell r="AN34">
            <v>0</v>
          </cell>
          <cell r="BF34">
            <v>0</v>
          </cell>
          <cell r="BH34">
            <v>34822</v>
          </cell>
          <cell r="BI34">
            <v>0</v>
          </cell>
          <cell r="BP34">
            <v>34822</v>
          </cell>
          <cell r="BR34">
            <v>39282.003333333327</v>
          </cell>
          <cell r="BS34">
            <v>0</v>
          </cell>
          <cell r="BZ34">
            <v>39282.003333333327</v>
          </cell>
          <cell r="CB34">
            <v>8127</v>
          </cell>
          <cell r="CC34">
            <v>0</v>
          </cell>
          <cell r="CJ34">
            <v>8127</v>
          </cell>
          <cell r="CL34">
            <v>1063</v>
          </cell>
          <cell r="CM34">
            <v>0</v>
          </cell>
          <cell r="CT34">
            <v>1063</v>
          </cell>
          <cell r="CV34">
            <v>11800</v>
          </cell>
          <cell r="CW34">
            <v>0</v>
          </cell>
          <cell r="DD34">
            <v>11800</v>
          </cell>
          <cell r="DH34">
            <v>227</v>
          </cell>
          <cell r="DI34">
            <v>0</v>
          </cell>
          <cell r="DP34">
            <v>227</v>
          </cell>
          <cell r="DR34">
            <v>655</v>
          </cell>
          <cell r="DS34">
            <v>0</v>
          </cell>
          <cell r="DZ34">
            <v>655</v>
          </cell>
          <cell r="EB34">
            <v>24090</v>
          </cell>
          <cell r="EC34">
            <v>0</v>
          </cell>
          <cell r="EJ34">
            <v>24090</v>
          </cell>
          <cell r="EL34">
            <v>47504</v>
          </cell>
          <cell r="EM34">
            <v>0</v>
          </cell>
          <cell r="EN34">
            <v>0</v>
          </cell>
          <cell r="EO34">
            <v>0</v>
          </cell>
          <cell r="EP34">
            <v>0</v>
          </cell>
          <cell r="EQ34">
            <v>0</v>
          </cell>
          <cell r="ER34">
            <v>0</v>
          </cell>
          <cell r="ES34">
            <v>0</v>
          </cell>
          <cell r="ET34">
            <v>47504</v>
          </cell>
        </row>
        <row r="35">
          <cell r="A35">
            <v>30</v>
          </cell>
          <cell r="B35">
            <v>28403</v>
          </cell>
          <cell r="E35">
            <v>0</v>
          </cell>
          <cell r="F35">
            <v>0</v>
          </cell>
          <cell r="H35">
            <v>0</v>
          </cell>
          <cell r="I35">
            <v>28403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V35">
            <v>0</v>
          </cell>
          <cell r="W35">
            <v>0</v>
          </cell>
          <cell r="AA35">
            <v>0</v>
          </cell>
          <cell r="AB35" t="e">
            <v>#DIV/0!</v>
          </cell>
          <cell r="AD35">
            <v>0</v>
          </cell>
          <cell r="AG35">
            <v>0</v>
          </cell>
          <cell r="AJ35">
            <v>0</v>
          </cell>
          <cell r="AK35">
            <v>0</v>
          </cell>
          <cell r="AN35">
            <v>0</v>
          </cell>
          <cell r="BF35">
            <v>0</v>
          </cell>
          <cell r="BH35">
            <v>34822</v>
          </cell>
          <cell r="BI35">
            <v>0</v>
          </cell>
          <cell r="BP35">
            <v>34822</v>
          </cell>
          <cell r="BR35">
            <v>39282.003333333327</v>
          </cell>
          <cell r="BS35">
            <v>0</v>
          </cell>
          <cell r="BZ35">
            <v>39282.003333333327</v>
          </cell>
          <cell r="CB35">
            <v>8127</v>
          </cell>
          <cell r="CC35">
            <v>0</v>
          </cell>
          <cell r="CJ35">
            <v>8127</v>
          </cell>
          <cell r="CL35">
            <v>1063</v>
          </cell>
          <cell r="CM35">
            <v>0</v>
          </cell>
          <cell r="CT35">
            <v>1063</v>
          </cell>
          <cell r="CV35">
            <v>11800</v>
          </cell>
          <cell r="CW35">
            <v>0</v>
          </cell>
          <cell r="DD35">
            <v>11800</v>
          </cell>
          <cell r="DH35">
            <v>227</v>
          </cell>
          <cell r="DI35">
            <v>0</v>
          </cell>
          <cell r="DP35">
            <v>227</v>
          </cell>
          <cell r="DR35">
            <v>655</v>
          </cell>
          <cell r="DS35">
            <v>0</v>
          </cell>
          <cell r="DZ35">
            <v>655</v>
          </cell>
          <cell r="EB35">
            <v>24090</v>
          </cell>
          <cell r="EC35">
            <v>0</v>
          </cell>
          <cell r="EJ35">
            <v>24090</v>
          </cell>
          <cell r="EL35">
            <v>47504</v>
          </cell>
          <cell r="EM35">
            <v>0</v>
          </cell>
          <cell r="EN35">
            <v>0</v>
          </cell>
          <cell r="EO35">
            <v>0</v>
          </cell>
          <cell r="EP35">
            <v>0</v>
          </cell>
          <cell r="EQ35">
            <v>0</v>
          </cell>
          <cell r="ER35">
            <v>0</v>
          </cell>
          <cell r="ES35">
            <v>0</v>
          </cell>
          <cell r="ET35">
            <v>47504</v>
          </cell>
        </row>
        <row r="36">
          <cell r="A36">
            <v>31</v>
          </cell>
          <cell r="B36">
            <v>28403</v>
          </cell>
          <cell r="E36">
            <v>0</v>
          </cell>
          <cell r="F36">
            <v>0</v>
          </cell>
          <cell r="H36">
            <v>0</v>
          </cell>
          <cell r="I36">
            <v>28403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V36">
            <v>0</v>
          </cell>
          <cell r="W36">
            <v>0</v>
          </cell>
          <cell r="AA36">
            <v>0</v>
          </cell>
          <cell r="AB36" t="e">
            <v>#DIV/0!</v>
          </cell>
          <cell r="AD36">
            <v>0</v>
          </cell>
          <cell r="AG36">
            <v>0</v>
          </cell>
          <cell r="AJ36">
            <v>0</v>
          </cell>
          <cell r="AK36">
            <v>0</v>
          </cell>
          <cell r="AN36">
            <v>0</v>
          </cell>
          <cell r="BF36">
            <v>0</v>
          </cell>
          <cell r="BH36">
            <v>34822</v>
          </cell>
          <cell r="BI36">
            <v>0</v>
          </cell>
          <cell r="BP36">
            <v>34822</v>
          </cell>
          <cell r="BR36">
            <v>39282.003333333327</v>
          </cell>
          <cell r="BS36">
            <v>0</v>
          </cell>
          <cell r="BZ36">
            <v>39282.003333333327</v>
          </cell>
          <cell r="CB36">
            <v>8127</v>
          </cell>
          <cell r="CC36">
            <v>0</v>
          </cell>
          <cell r="CJ36">
            <v>8127</v>
          </cell>
          <cell r="CL36">
            <v>1063</v>
          </cell>
          <cell r="CM36">
            <v>0</v>
          </cell>
          <cell r="CT36">
            <v>1063</v>
          </cell>
          <cell r="CV36">
            <v>11800</v>
          </cell>
          <cell r="CW36">
            <v>0</v>
          </cell>
          <cell r="DD36">
            <v>11800</v>
          </cell>
          <cell r="DH36">
            <v>227</v>
          </cell>
          <cell r="DI36">
            <v>0</v>
          </cell>
          <cell r="DP36">
            <v>227</v>
          </cell>
          <cell r="DR36">
            <v>655</v>
          </cell>
          <cell r="DS36">
            <v>0</v>
          </cell>
          <cell r="DZ36">
            <v>655</v>
          </cell>
          <cell r="EB36">
            <v>24090</v>
          </cell>
          <cell r="EC36">
            <v>0</v>
          </cell>
          <cell r="EJ36">
            <v>24090</v>
          </cell>
          <cell r="EL36">
            <v>47504</v>
          </cell>
          <cell r="EM36">
            <v>0</v>
          </cell>
          <cell r="EN36">
            <v>0</v>
          </cell>
          <cell r="EO36">
            <v>0</v>
          </cell>
          <cell r="EP36">
            <v>0</v>
          </cell>
          <cell r="EQ36">
            <v>0</v>
          </cell>
          <cell r="ER36">
            <v>0</v>
          </cell>
          <cell r="ES36">
            <v>0</v>
          </cell>
          <cell r="ET36">
            <v>47504</v>
          </cell>
        </row>
      </sheetData>
      <sheetData sheetId="7" refreshError="1">
        <row r="6">
          <cell r="A6">
            <v>1</v>
          </cell>
          <cell r="B6">
            <v>0</v>
          </cell>
          <cell r="C6">
            <v>109849</v>
          </cell>
          <cell r="E6">
            <v>44074</v>
          </cell>
          <cell r="G6">
            <v>5981</v>
          </cell>
          <cell r="H6">
            <v>59794</v>
          </cell>
          <cell r="I6">
            <v>44074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44074</v>
          </cell>
          <cell r="P6">
            <v>0</v>
          </cell>
          <cell r="Q6">
            <v>44074</v>
          </cell>
          <cell r="R6">
            <v>44074</v>
          </cell>
          <cell r="S6">
            <v>0</v>
          </cell>
          <cell r="T6">
            <v>42116.400000000016</v>
          </cell>
          <cell r="U6">
            <v>0</v>
          </cell>
          <cell r="X6">
            <v>1957.599999999984</v>
          </cell>
          <cell r="AA6">
            <v>0</v>
          </cell>
          <cell r="AB6">
            <v>0</v>
          </cell>
          <cell r="AE6">
            <v>42</v>
          </cell>
          <cell r="AF6">
            <v>42116.400000000016</v>
          </cell>
          <cell r="AH6">
            <v>0</v>
          </cell>
          <cell r="AJ6">
            <v>0</v>
          </cell>
          <cell r="AN6">
            <v>0</v>
          </cell>
          <cell r="AR6">
            <v>0</v>
          </cell>
          <cell r="AY6">
            <v>0</v>
          </cell>
          <cell r="BA6">
            <v>0</v>
          </cell>
          <cell r="BC6">
            <v>0</v>
          </cell>
          <cell r="BD6">
            <v>0</v>
          </cell>
          <cell r="BF6">
            <v>10374</v>
          </cell>
          <cell r="BG6">
            <v>0</v>
          </cell>
          <cell r="BN6">
            <v>10374</v>
          </cell>
          <cell r="BP6">
            <v>5853</v>
          </cell>
          <cell r="BQ6">
            <v>0</v>
          </cell>
          <cell r="BX6">
            <v>5853</v>
          </cell>
          <cell r="BZ6">
            <v>696</v>
          </cell>
          <cell r="CA6">
            <v>0</v>
          </cell>
          <cell r="CH6">
            <v>696</v>
          </cell>
          <cell r="CJ6">
            <v>0</v>
          </cell>
          <cell r="CK6">
            <v>0</v>
          </cell>
          <cell r="CR6">
            <v>0</v>
          </cell>
          <cell r="CT6">
            <v>171222.5</v>
          </cell>
          <cell r="CU6">
            <v>0</v>
          </cell>
          <cell r="CZ6">
            <v>10200</v>
          </cell>
          <cell r="DB6">
            <v>161022.5</v>
          </cell>
          <cell r="DD6">
            <v>136</v>
          </cell>
          <cell r="DE6">
            <v>42</v>
          </cell>
          <cell r="DL6">
            <v>178</v>
          </cell>
        </row>
        <row r="7">
          <cell r="A7">
            <v>2</v>
          </cell>
          <cell r="B7">
            <v>59794</v>
          </cell>
          <cell r="C7">
            <v>85456</v>
          </cell>
          <cell r="E7">
            <v>103688</v>
          </cell>
          <cell r="G7">
            <v>7114</v>
          </cell>
          <cell r="H7">
            <v>34448</v>
          </cell>
          <cell r="I7">
            <v>103688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1115</v>
          </cell>
          <cell r="O7">
            <v>104803</v>
          </cell>
          <cell r="P7">
            <v>0</v>
          </cell>
          <cell r="Q7">
            <v>104803</v>
          </cell>
          <cell r="R7">
            <v>104803</v>
          </cell>
          <cell r="S7">
            <v>0</v>
          </cell>
          <cell r="T7">
            <v>99616.6</v>
          </cell>
          <cell r="U7">
            <v>0</v>
          </cell>
          <cell r="X7">
            <v>5186.3999999999942</v>
          </cell>
          <cell r="AA7">
            <v>0</v>
          </cell>
          <cell r="AB7">
            <v>0</v>
          </cell>
          <cell r="AE7">
            <v>42</v>
          </cell>
          <cell r="AF7">
            <v>42088.600000000013</v>
          </cell>
          <cell r="AH7">
            <v>4794</v>
          </cell>
          <cell r="AJ7">
            <v>4794</v>
          </cell>
          <cell r="AN7">
            <v>0</v>
          </cell>
          <cell r="AR7">
            <v>0</v>
          </cell>
          <cell r="AY7">
            <v>0</v>
          </cell>
          <cell r="BA7">
            <v>0</v>
          </cell>
          <cell r="BC7">
            <v>0</v>
          </cell>
          <cell r="BD7">
            <v>0</v>
          </cell>
          <cell r="BF7">
            <v>10374</v>
          </cell>
          <cell r="BG7">
            <v>0</v>
          </cell>
          <cell r="BN7">
            <v>10374</v>
          </cell>
          <cell r="BP7">
            <v>5853</v>
          </cell>
          <cell r="BQ7">
            <v>0</v>
          </cell>
          <cell r="BX7">
            <v>5853</v>
          </cell>
          <cell r="BZ7">
            <v>696</v>
          </cell>
          <cell r="CA7">
            <v>0</v>
          </cell>
          <cell r="CH7">
            <v>696</v>
          </cell>
          <cell r="CJ7">
            <v>0</v>
          </cell>
          <cell r="CK7">
            <v>0</v>
          </cell>
          <cell r="CR7">
            <v>0</v>
          </cell>
          <cell r="CT7">
            <v>161022.5</v>
          </cell>
          <cell r="CU7">
            <v>4794</v>
          </cell>
          <cell r="CZ7">
            <v>1700</v>
          </cell>
          <cell r="DB7">
            <v>164116.5</v>
          </cell>
          <cell r="DD7">
            <v>178</v>
          </cell>
          <cell r="DE7">
            <v>42</v>
          </cell>
          <cell r="DL7">
            <v>220</v>
          </cell>
        </row>
        <row r="8">
          <cell r="A8">
            <v>3</v>
          </cell>
          <cell r="B8">
            <v>34448</v>
          </cell>
          <cell r="C8">
            <v>107186</v>
          </cell>
          <cell r="E8">
            <v>138725</v>
          </cell>
          <cell r="G8">
            <v>2909</v>
          </cell>
          <cell r="H8">
            <v>0</v>
          </cell>
          <cell r="I8">
            <v>138725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2585</v>
          </cell>
          <cell r="O8">
            <v>141310</v>
          </cell>
          <cell r="P8">
            <v>0</v>
          </cell>
          <cell r="Q8">
            <v>141310</v>
          </cell>
          <cell r="R8">
            <v>141310</v>
          </cell>
          <cell r="S8">
            <v>0</v>
          </cell>
          <cell r="T8">
            <v>133248</v>
          </cell>
          <cell r="U8">
            <v>471</v>
          </cell>
          <cell r="X8">
            <v>7591</v>
          </cell>
          <cell r="AA8">
            <v>0</v>
          </cell>
          <cell r="AB8">
            <v>0</v>
          </cell>
          <cell r="AE8">
            <v>0</v>
          </cell>
          <cell r="AF8">
            <v>0</v>
          </cell>
          <cell r="AH8">
            <v>11104</v>
          </cell>
          <cell r="AJ8">
            <v>11104</v>
          </cell>
          <cell r="AN8">
            <v>0</v>
          </cell>
          <cell r="AR8">
            <v>0</v>
          </cell>
          <cell r="AY8">
            <v>0</v>
          </cell>
          <cell r="BA8">
            <v>471</v>
          </cell>
          <cell r="BC8">
            <v>0</v>
          </cell>
          <cell r="BD8">
            <v>471</v>
          </cell>
          <cell r="BF8">
            <v>10374</v>
          </cell>
          <cell r="BG8">
            <v>0</v>
          </cell>
          <cell r="BN8">
            <v>10374</v>
          </cell>
          <cell r="BP8">
            <v>5853</v>
          </cell>
          <cell r="BQ8">
            <v>0</v>
          </cell>
          <cell r="BX8">
            <v>5853</v>
          </cell>
          <cell r="BZ8">
            <v>696</v>
          </cell>
          <cell r="CA8">
            <v>0</v>
          </cell>
          <cell r="CH8">
            <v>696</v>
          </cell>
          <cell r="CJ8">
            <v>0</v>
          </cell>
          <cell r="CK8">
            <v>0</v>
          </cell>
          <cell r="CR8">
            <v>0</v>
          </cell>
          <cell r="CT8">
            <v>164116.5</v>
          </cell>
          <cell r="CU8">
            <v>11104</v>
          </cell>
          <cell r="DB8">
            <v>175220.5</v>
          </cell>
          <cell r="DD8">
            <v>220</v>
          </cell>
          <cell r="DE8">
            <v>0</v>
          </cell>
          <cell r="DL8">
            <v>220</v>
          </cell>
        </row>
        <row r="9">
          <cell r="A9">
            <v>4</v>
          </cell>
          <cell r="B9">
            <v>0</v>
          </cell>
          <cell r="C9">
            <v>102167</v>
          </cell>
          <cell r="E9">
            <v>68063</v>
          </cell>
          <cell r="G9">
            <v>277</v>
          </cell>
          <cell r="H9">
            <v>33827</v>
          </cell>
          <cell r="I9">
            <v>68063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68063</v>
          </cell>
          <cell r="P9">
            <v>0</v>
          </cell>
          <cell r="Q9">
            <v>68063</v>
          </cell>
          <cell r="R9">
            <v>0</v>
          </cell>
          <cell r="S9">
            <v>68063</v>
          </cell>
          <cell r="T9">
            <v>0</v>
          </cell>
          <cell r="U9">
            <v>0</v>
          </cell>
          <cell r="X9">
            <v>0</v>
          </cell>
          <cell r="AA9">
            <v>0</v>
          </cell>
          <cell r="AB9">
            <v>0</v>
          </cell>
          <cell r="AE9">
            <v>0</v>
          </cell>
          <cell r="AF9">
            <v>0</v>
          </cell>
          <cell r="AH9">
            <v>0</v>
          </cell>
          <cell r="AJ9">
            <v>0</v>
          </cell>
          <cell r="AN9">
            <v>0</v>
          </cell>
          <cell r="AR9">
            <v>0</v>
          </cell>
          <cell r="AY9">
            <v>0</v>
          </cell>
          <cell r="BA9">
            <v>0</v>
          </cell>
          <cell r="BC9">
            <v>0</v>
          </cell>
          <cell r="BD9">
            <v>0</v>
          </cell>
          <cell r="BF9">
            <v>10374</v>
          </cell>
          <cell r="BG9">
            <v>0</v>
          </cell>
          <cell r="BN9">
            <v>10374</v>
          </cell>
          <cell r="BP9">
            <v>5853</v>
          </cell>
          <cell r="BQ9">
            <v>0</v>
          </cell>
          <cell r="BX9">
            <v>5853</v>
          </cell>
          <cell r="BZ9">
            <v>696</v>
          </cell>
          <cell r="CA9">
            <v>0</v>
          </cell>
          <cell r="CH9">
            <v>696</v>
          </cell>
          <cell r="CJ9">
            <v>0</v>
          </cell>
          <cell r="CK9">
            <v>0</v>
          </cell>
          <cell r="CR9">
            <v>0</v>
          </cell>
          <cell r="CT9">
            <v>175220.5</v>
          </cell>
          <cell r="CU9">
            <v>0</v>
          </cell>
          <cell r="DB9">
            <v>175220.5</v>
          </cell>
          <cell r="DD9">
            <v>220</v>
          </cell>
          <cell r="DE9">
            <v>0</v>
          </cell>
          <cell r="DL9">
            <v>220</v>
          </cell>
        </row>
        <row r="10">
          <cell r="A10">
            <v>5</v>
          </cell>
          <cell r="B10">
            <v>33827</v>
          </cell>
          <cell r="C10">
            <v>109950</v>
          </cell>
          <cell r="E10">
            <v>133069</v>
          </cell>
          <cell r="G10">
            <v>1708</v>
          </cell>
          <cell r="H10">
            <v>9000</v>
          </cell>
          <cell r="I10">
            <v>133069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1843</v>
          </cell>
          <cell r="O10">
            <v>134912</v>
          </cell>
          <cell r="P10">
            <v>68063</v>
          </cell>
          <cell r="Q10">
            <v>134912</v>
          </cell>
          <cell r="R10">
            <v>202975</v>
          </cell>
          <cell r="S10">
            <v>0</v>
          </cell>
          <cell r="T10">
            <v>192517.2</v>
          </cell>
          <cell r="U10">
            <v>404</v>
          </cell>
          <cell r="X10">
            <v>10053.799999999988</v>
          </cell>
          <cell r="AA10">
            <v>0</v>
          </cell>
          <cell r="AB10">
            <v>0</v>
          </cell>
          <cell r="AE10">
            <v>99</v>
          </cell>
          <cell r="AF10">
            <v>99277.2</v>
          </cell>
          <cell r="AH10">
            <v>7770</v>
          </cell>
          <cell r="AJ10">
            <v>7770</v>
          </cell>
          <cell r="AN10">
            <v>0</v>
          </cell>
          <cell r="AR10">
            <v>0</v>
          </cell>
          <cell r="AY10">
            <v>0</v>
          </cell>
          <cell r="BA10">
            <v>300</v>
          </cell>
          <cell r="BC10">
            <v>104</v>
          </cell>
          <cell r="BD10">
            <v>404</v>
          </cell>
          <cell r="BF10">
            <v>10374</v>
          </cell>
          <cell r="BG10">
            <v>0</v>
          </cell>
          <cell r="BL10">
            <v>10</v>
          </cell>
          <cell r="BN10">
            <v>10364</v>
          </cell>
          <cell r="BP10">
            <v>5853</v>
          </cell>
          <cell r="BQ10">
            <v>0</v>
          </cell>
          <cell r="BX10">
            <v>5853</v>
          </cell>
          <cell r="BZ10">
            <v>696</v>
          </cell>
          <cell r="CA10">
            <v>0</v>
          </cell>
          <cell r="CH10">
            <v>696</v>
          </cell>
          <cell r="CJ10">
            <v>0</v>
          </cell>
          <cell r="CK10">
            <v>0</v>
          </cell>
          <cell r="CR10">
            <v>0</v>
          </cell>
          <cell r="CT10">
            <v>175220.5</v>
          </cell>
          <cell r="CU10">
            <v>7770</v>
          </cell>
          <cell r="CZ10">
            <v>5100</v>
          </cell>
          <cell r="DB10">
            <v>177890.5</v>
          </cell>
          <cell r="DD10">
            <v>220</v>
          </cell>
          <cell r="DE10">
            <v>99</v>
          </cell>
          <cell r="DL10">
            <v>319</v>
          </cell>
        </row>
        <row r="11">
          <cell r="A11">
            <v>6</v>
          </cell>
          <cell r="B11">
            <v>9000</v>
          </cell>
          <cell r="C11">
            <v>78459</v>
          </cell>
          <cell r="E11">
            <v>9000</v>
          </cell>
          <cell r="G11">
            <v>587</v>
          </cell>
          <cell r="H11">
            <v>77872</v>
          </cell>
          <cell r="I11">
            <v>9000</v>
          </cell>
          <cell r="J11">
            <v>0</v>
          </cell>
          <cell r="K11">
            <v>126</v>
          </cell>
          <cell r="L11">
            <v>0</v>
          </cell>
          <cell r="M11">
            <v>0</v>
          </cell>
          <cell r="N11">
            <v>0</v>
          </cell>
          <cell r="O11">
            <v>9126</v>
          </cell>
          <cell r="P11">
            <v>0</v>
          </cell>
          <cell r="Q11">
            <v>9126</v>
          </cell>
          <cell r="R11">
            <v>9126</v>
          </cell>
          <cell r="S11">
            <v>0</v>
          </cell>
          <cell r="T11">
            <v>7812</v>
          </cell>
          <cell r="U11">
            <v>28</v>
          </cell>
          <cell r="X11">
            <v>1286</v>
          </cell>
          <cell r="AA11">
            <v>1302</v>
          </cell>
          <cell r="AB11">
            <v>1302</v>
          </cell>
          <cell r="AE11">
            <v>0</v>
          </cell>
          <cell r="AF11">
            <v>0</v>
          </cell>
          <cell r="AH11">
            <v>0</v>
          </cell>
          <cell r="AJ11">
            <v>0</v>
          </cell>
          <cell r="AN11">
            <v>0</v>
          </cell>
          <cell r="AR11">
            <v>0</v>
          </cell>
          <cell r="AY11">
            <v>28</v>
          </cell>
          <cell r="BA11">
            <v>0</v>
          </cell>
          <cell r="BC11">
            <v>0</v>
          </cell>
          <cell r="BD11">
            <v>28</v>
          </cell>
          <cell r="BF11">
            <v>10364</v>
          </cell>
          <cell r="BG11">
            <v>1302</v>
          </cell>
          <cell r="BN11">
            <v>11666</v>
          </cell>
          <cell r="BP11">
            <v>5853</v>
          </cell>
          <cell r="BQ11">
            <v>0</v>
          </cell>
          <cell r="BX11">
            <v>5853</v>
          </cell>
          <cell r="BZ11">
            <v>696</v>
          </cell>
          <cell r="CA11">
            <v>0</v>
          </cell>
          <cell r="CH11">
            <v>696</v>
          </cell>
          <cell r="CJ11">
            <v>0</v>
          </cell>
          <cell r="CK11">
            <v>0</v>
          </cell>
          <cell r="CR11">
            <v>0</v>
          </cell>
          <cell r="CT11">
            <v>177890.5</v>
          </cell>
          <cell r="CU11">
            <v>0</v>
          </cell>
          <cell r="DB11">
            <v>177890.5</v>
          </cell>
          <cell r="DD11">
            <v>319</v>
          </cell>
          <cell r="DE11">
            <v>0</v>
          </cell>
          <cell r="DL11">
            <v>319</v>
          </cell>
        </row>
        <row r="12">
          <cell r="A12">
            <v>7</v>
          </cell>
          <cell r="B12">
            <v>77872</v>
          </cell>
          <cell r="C12">
            <v>111273</v>
          </cell>
          <cell r="E12">
            <v>119686</v>
          </cell>
          <cell r="G12">
            <v>1245</v>
          </cell>
          <cell r="H12">
            <v>68214</v>
          </cell>
          <cell r="I12">
            <v>119686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2215</v>
          </cell>
          <cell r="O12">
            <v>121901</v>
          </cell>
          <cell r="P12">
            <v>0</v>
          </cell>
          <cell r="Q12">
            <v>121901</v>
          </cell>
          <cell r="R12">
            <v>121901</v>
          </cell>
          <cell r="S12">
            <v>0</v>
          </cell>
          <cell r="T12">
            <v>114972</v>
          </cell>
          <cell r="U12">
            <v>347</v>
          </cell>
          <cell r="X12">
            <v>6582</v>
          </cell>
          <cell r="AA12">
            <v>0</v>
          </cell>
          <cell r="AB12">
            <v>0</v>
          </cell>
          <cell r="AE12">
            <v>0</v>
          </cell>
          <cell r="AF12">
            <v>0</v>
          </cell>
          <cell r="AH12">
            <v>9581</v>
          </cell>
          <cell r="AJ12">
            <v>9581</v>
          </cell>
          <cell r="AN12">
            <v>0</v>
          </cell>
          <cell r="AR12">
            <v>0</v>
          </cell>
          <cell r="AY12">
            <v>0</v>
          </cell>
          <cell r="BA12">
            <v>347</v>
          </cell>
          <cell r="BC12">
            <v>0</v>
          </cell>
          <cell r="BD12">
            <v>347</v>
          </cell>
          <cell r="BF12">
            <v>11666</v>
          </cell>
          <cell r="BG12">
            <v>0</v>
          </cell>
          <cell r="BJ12">
            <v>15</v>
          </cell>
          <cell r="BN12">
            <v>11651</v>
          </cell>
          <cell r="BP12">
            <v>5853</v>
          </cell>
          <cell r="BQ12">
            <v>0</v>
          </cell>
          <cell r="BX12">
            <v>5853</v>
          </cell>
          <cell r="BZ12">
            <v>696</v>
          </cell>
          <cell r="CA12">
            <v>0</v>
          </cell>
          <cell r="CH12">
            <v>696</v>
          </cell>
          <cell r="CJ12">
            <v>0</v>
          </cell>
          <cell r="CK12">
            <v>0</v>
          </cell>
          <cell r="CR12">
            <v>0</v>
          </cell>
          <cell r="CT12">
            <v>177890.5</v>
          </cell>
          <cell r="CU12">
            <v>9581</v>
          </cell>
          <cell r="DB12">
            <v>187471.5</v>
          </cell>
          <cell r="DD12">
            <v>319</v>
          </cell>
          <cell r="DE12">
            <v>0</v>
          </cell>
          <cell r="DL12">
            <v>319</v>
          </cell>
        </row>
        <row r="13">
          <cell r="A13">
            <v>8</v>
          </cell>
          <cell r="B13">
            <v>68214</v>
          </cell>
          <cell r="C13">
            <v>75860</v>
          </cell>
          <cell r="E13">
            <v>143496</v>
          </cell>
          <cell r="G13">
            <v>578</v>
          </cell>
          <cell r="H13">
            <v>0</v>
          </cell>
          <cell r="I13">
            <v>143496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2671</v>
          </cell>
          <cell r="O13">
            <v>146167</v>
          </cell>
          <cell r="P13">
            <v>0</v>
          </cell>
          <cell r="Q13">
            <v>146167</v>
          </cell>
          <cell r="R13">
            <v>146167</v>
          </cell>
          <cell r="S13">
            <v>0</v>
          </cell>
          <cell r="T13">
            <v>138240</v>
          </cell>
          <cell r="U13">
            <v>418</v>
          </cell>
          <cell r="X13">
            <v>7509</v>
          </cell>
          <cell r="AA13">
            <v>0</v>
          </cell>
          <cell r="AB13">
            <v>0</v>
          </cell>
          <cell r="AE13">
            <v>0</v>
          </cell>
          <cell r="AF13">
            <v>0</v>
          </cell>
          <cell r="AH13">
            <v>11520</v>
          </cell>
          <cell r="AJ13">
            <v>11520</v>
          </cell>
          <cell r="AN13">
            <v>0</v>
          </cell>
          <cell r="AR13">
            <v>0</v>
          </cell>
          <cell r="AY13">
            <v>0</v>
          </cell>
          <cell r="BA13">
            <v>418</v>
          </cell>
          <cell r="BC13">
            <v>0</v>
          </cell>
          <cell r="BD13">
            <v>418</v>
          </cell>
          <cell r="BF13">
            <v>11651</v>
          </cell>
          <cell r="BG13">
            <v>0</v>
          </cell>
          <cell r="BN13">
            <v>11651</v>
          </cell>
          <cell r="BP13">
            <v>5853</v>
          </cell>
          <cell r="BQ13">
            <v>0</v>
          </cell>
          <cell r="BX13">
            <v>5853</v>
          </cell>
          <cell r="BZ13">
            <v>696</v>
          </cell>
          <cell r="CA13">
            <v>0</v>
          </cell>
          <cell r="CH13">
            <v>696</v>
          </cell>
          <cell r="CJ13">
            <v>0</v>
          </cell>
          <cell r="CK13">
            <v>0</v>
          </cell>
          <cell r="CR13">
            <v>0</v>
          </cell>
          <cell r="CT13">
            <v>187471.5</v>
          </cell>
          <cell r="CU13">
            <v>11520</v>
          </cell>
          <cell r="DB13">
            <v>198991.5</v>
          </cell>
          <cell r="DD13">
            <v>319</v>
          </cell>
          <cell r="DE13">
            <v>0</v>
          </cell>
          <cell r="DL13">
            <v>319</v>
          </cell>
        </row>
        <row r="14">
          <cell r="A14">
            <v>9</v>
          </cell>
          <cell r="B14">
            <v>0</v>
          </cell>
          <cell r="C14">
            <v>0</v>
          </cell>
          <cell r="E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X14">
            <v>0</v>
          </cell>
          <cell r="AA14">
            <v>0</v>
          </cell>
          <cell r="AB14">
            <v>0</v>
          </cell>
          <cell r="AE14">
            <v>0</v>
          </cell>
          <cell r="AF14">
            <v>0</v>
          </cell>
          <cell r="AH14">
            <v>0</v>
          </cell>
          <cell r="AJ14">
            <v>0</v>
          </cell>
          <cell r="AN14">
            <v>0</v>
          </cell>
          <cell r="AR14">
            <v>0</v>
          </cell>
          <cell r="AY14">
            <v>0</v>
          </cell>
          <cell r="BA14">
            <v>0</v>
          </cell>
          <cell r="BC14">
            <v>0</v>
          </cell>
          <cell r="BD14">
            <v>0</v>
          </cell>
          <cell r="BF14">
            <v>11651</v>
          </cell>
          <cell r="BG14">
            <v>0</v>
          </cell>
          <cell r="BN14">
            <v>11651</v>
          </cell>
          <cell r="BP14">
            <v>5853</v>
          </cell>
          <cell r="BQ14">
            <v>0</v>
          </cell>
          <cell r="BX14">
            <v>5853</v>
          </cell>
          <cell r="BZ14">
            <v>696</v>
          </cell>
          <cell r="CA14">
            <v>0</v>
          </cell>
          <cell r="CH14">
            <v>696</v>
          </cell>
          <cell r="CJ14">
            <v>0</v>
          </cell>
          <cell r="CK14">
            <v>0</v>
          </cell>
          <cell r="CR14">
            <v>0</v>
          </cell>
          <cell r="CT14">
            <v>198991.5</v>
          </cell>
          <cell r="CU14">
            <v>0</v>
          </cell>
          <cell r="DB14">
            <v>198991.5</v>
          </cell>
          <cell r="DD14">
            <v>319</v>
          </cell>
          <cell r="DE14">
            <v>0</v>
          </cell>
          <cell r="DL14">
            <v>319</v>
          </cell>
        </row>
        <row r="15">
          <cell r="A15">
            <v>10</v>
          </cell>
          <cell r="B15">
            <v>0</v>
          </cell>
          <cell r="C15">
            <v>109678</v>
          </cell>
          <cell r="E15">
            <v>108722</v>
          </cell>
          <cell r="G15">
            <v>956</v>
          </cell>
          <cell r="H15">
            <v>0</v>
          </cell>
          <cell r="I15">
            <v>108722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2003</v>
          </cell>
          <cell r="O15">
            <v>110725</v>
          </cell>
          <cell r="P15">
            <v>0</v>
          </cell>
          <cell r="Q15">
            <v>110725</v>
          </cell>
          <cell r="R15">
            <v>110725</v>
          </cell>
          <cell r="S15">
            <v>0</v>
          </cell>
          <cell r="T15">
            <v>105648</v>
          </cell>
          <cell r="U15">
            <v>410</v>
          </cell>
          <cell r="X15">
            <v>4667</v>
          </cell>
          <cell r="AA15">
            <v>0</v>
          </cell>
          <cell r="AB15">
            <v>0</v>
          </cell>
          <cell r="AE15">
            <v>0</v>
          </cell>
          <cell r="AF15">
            <v>0</v>
          </cell>
          <cell r="AH15">
            <v>8804</v>
          </cell>
          <cell r="AJ15">
            <v>8804</v>
          </cell>
          <cell r="AN15">
            <v>0</v>
          </cell>
          <cell r="AR15">
            <v>0</v>
          </cell>
          <cell r="AY15">
            <v>0</v>
          </cell>
          <cell r="BA15">
            <v>410</v>
          </cell>
          <cell r="BC15">
            <v>0</v>
          </cell>
          <cell r="BD15">
            <v>410</v>
          </cell>
          <cell r="BF15">
            <v>11651</v>
          </cell>
          <cell r="BG15">
            <v>0</v>
          </cell>
          <cell r="BN15">
            <v>11651</v>
          </cell>
          <cell r="BP15">
            <v>5853</v>
          </cell>
          <cell r="BQ15">
            <v>0</v>
          </cell>
          <cell r="BX15">
            <v>5853</v>
          </cell>
          <cell r="BZ15">
            <v>696</v>
          </cell>
          <cell r="CA15">
            <v>0</v>
          </cell>
          <cell r="CH15">
            <v>696</v>
          </cell>
          <cell r="CJ15">
            <v>0</v>
          </cell>
          <cell r="CK15">
            <v>0</v>
          </cell>
          <cell r="CR15">
            <v>0</v>
          </cell>
          <cell r="CT15">
            <v>198991.5</v>
          </cell>
          <cell r="CU15">
            <v>8804</v>
          </cell>
          <cell r="DB15">
            <v>207795.5</v>
          </cell>
          <cell r="DD15">
            <v>319</v>
          </cell>
          <cell r="DE15">
            <v>0</v>
          </cell>
          <cell r="DL15">
            <v>319</v>
          </cell>
        </row>
        <row r="16">
          <cell r="A16">
            <v>11</v>
          </cell>
          <cell r="B16">
            <v>0</v>
          </cell>
          <cell r="C16">
            <v>112135</v>
          </cell>
          <cell r="E16">
            <v>110340</v>
          </cell>
          <cell r="G16">
            <v>1795</v>
          </cell>
          <cell r="H16">
            <v>0</v>
          </cell>
          <cell r="I16">
            <v>110340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1691</v>
          </cell>
          <cell r="O16">
            <v>112031</v>
          </cell>
          <cell r="P16">
            <v>0</v>
          </cell>
          <cell r="Q16">
            <v>112031</v>
          </cell>
          <cell r="R16">
            <v>112031</v>
          </cell>
          <cell r="T16">
            <v>107496</v>
          </cell>
          <cell r="U16">
            <v>420</v>
          </cell>
          <cell r="X16">
            <v>4115</v>
          </cell>
          <cell r="AB16">
            <v>0</v>
          </cell>
          <cell r="AF16">
            <v>0</v>
          </cell>
          <cell r="AH16">
            <v>8958</v>
          </cell>
          <cell r="AJ16">
            <v>8958</v>
          </cell>
          <cell r="AN16">
            <v>0</v>
          </cell>
          <cell r="AR16">
            <v>0</v>
          </cell>
          <cell r="BA16">
            <v>420</v>
          </cell>
          <cell r="BD16">
            <v>420</v>
          </cell>
          <cell r="BF16">
            <v>11651</v>
          </cell>
          <cell r="BG16">
            <v>0</v>
          </cell>
          <cell r="BJ16">
            <v>12</v>
          </cell>
          <cell r="BN16">
            <v>11639</v>
          </cell>
          <cell r="BP16">
            <v>5853</v>
          </cell>
          <cell r="BQ16">
            <v>0</v>
          </cell>
          <cell r="BX16">
            <v>5853</v>
          </cell>
          <cell r="BZ16">
            <v>696</v>
          </cell>
          <cell r="CA16">
            <v>0</v>
          </cell>
          <cell r="CH16">
            <v>696</v>
          </cell>
          <cell r="CJ16">
            <v>0</v>
          </cell>
          <cell r="CK16">
            <v>0</v>
          </cell>
          <cell r="CR16">
            <v>0</v>
          </cell>
          <cell r="CT16">
            <v>207795.5</v>
          </cell>
          <cell r="CU16">
            <v>8958</v>
          </cell>
          <cell r="DB16">
            <v>216753.5</v>
          </cell>
          <cell r="DD16">
            <v>319</v>
          </cell>
          <cell r="DE16">
            <v>0</v>
          </cell>
          <cell r="DL16">
            <v>319</v>
          </cell>
        </row>
        <row r="17">
          <cell r="A17">
            <v>12</v>
          </cell>
          <cell r="B17">
            <v>0</v>
          </cell>
          <cell r="C17">
            <v>112457</v>
          </cell>
          <cell r="E17">
            <v>110175</v>
          </cell>
          <cell r="G17">
            <v>2282</v>
          </cell>
          <cell r="H17">
            <v>0</v>
          </cell>
          <cell r="I17">
            <v>110175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1931</v>
          </cell>
          <cell r="O17">
            <v>112106</v>
          </cell>
          <cell r="P17">
            <v>0</v>
          </cell>
          <cell r="Q17">
            <v>112106</v>
          </cell>
          <cell r="R17">
            <v>112106</v>
          </cell>
          <cell r="T17">
            <v>106128</v>
          </cell>
          <cell r="U17">
            <v>382</v>
          </cell>
          <cell r="X17">
            <v>5596</v>
          </cell>
          <cell r="AB17">
            <v>0</v>
          </cell>
          <cell r="AF17">
            <v>0</v>
          </cell>
          <cell r="AH17">
            <v>8844</v>
          </cell>
          <cell r="AJ17">
            <v>8844</v>
          </cell>
          <cell r="AN17">
            <v>0</v>
          </cell>
          <cell r="AR17">
            <v>0</v>
          </cell>
          <cell r="BA17">
            <v>382</v>
          </cell>
          <cell r="BD17">
            <v>382</v>
          </cell>
          <cell r="BF17">
            <v>11639</v>
          </cell>
          <cell r="BG17">
            <v>0</v>
          </cell>
          <cell r="BN17">
            <v>11639</v>
          </cell>
          <cell r="BP17">
            <v>5853</v>
          </cell>
          <cell r="BQ17">
            <v>0</v>
          </cell>
          <cell r="BX17">
            <v>5853</v>
          </cell>
          <cell r="BZ17">
            <v>696</v>
          </cell>
          <cell r="CA17">
            <v>0</v>
          </cell>
          <cell r="CH17">
            <v>696</v>
          </cell>
          <cell r="CJ17">
            <v>0</v>
          </cell>
          <cell r="CK17">
            <v>0</v>
          </cell>
          <cell r="CR17">
            <v>0</v>
          </cell>
          <cell r="CT17">
            <v>216753.5</v>
          </cell>
          <cell r="CU17">
            <v>8844</v>
          </cell>
          <cell r="DB17">
            <v>225597.5</v>
          </cell>
          <cell r="DD17">
            <v>319</v>
          </cell>
          <cell r="DE17">
            <v>0</v>
          </cell>
          <cell r="DL17">
            <v>319</v>
          </cell>
        </row>
        <row r="18">
          <cell r="A18">
            <v>13</v>
          </cell>
          <cell r="B18">
            <v>0</v>
          </cell>
          <cell r="C18">
            <v>106075</v>
          </cell>
          <cell r="E18">
            <v>105163</v>
          </cell>
          <cell r="G18">
            <v>912</v>
          </cell>
          <cell r="H18">
            <v>0</v>
          </cell>
          <cell r="I18">
            <v>105163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1636</v>
          </cell>
          <cell r="O18">
            <v>106799</v>
          </cell>
          <cell r="P18">
            <v>0</v>
          </cell>
          <cell r="Q18">
            <v>106799</v>
          </cell>
          <cell r="R18">
            <v>106799</v>
          </cell>
          <cell r="T18">
            <v>101484</v>
          </cell>
          <cell r="U18">
            <v>303</v>
          </cell>
          <cell r="X18">
            <v>5012</v>
          </cell>
          <cell r="AB18">
            <v>0</v>
          </cell>
          <cell r="AF18">
            <v>0</v>
          </cell>
          <cell r="AH18">
            <v>8457</v>
          </cell>
          <cell r="AJ18">
            <v>8457</v>
          </cell>
          <cell r="AN18">
            <v>0</v>
          </cell>
          <cell r="AR18">
            <v>0</v>
          </cell>
          <cell r="BA18">
            <v>303</v>
          </cell>
          <cell r="BD18">
            <v>303</v>
          </cell>
          <cell r="BF18">
            <v>11639</v>
          </cell>
          <cell r="BG18">
            <v>0</v>
          </cell>
          <cell r="BN18">
            <v>11639</v>
          </cell>
          <cell r="BP18">
            <v>5853</v>
          </cell>
          <cell r="BQ18">
            <v>0</v>
          </cell>
          <cell r="BT18">
            <v>4</v>
          </cell>
          <cell r="BX18">
            <v>5849</v>
          </cell>
          <cell r="BZ18">
            <v>696</v>
          </cell>
          <cell r="CA18">
            <v>0</v>
          </cell>
          <cell r="CH18">
            <v>696</v>
          </cell>
          <cell r="CJ18">
            <v>0</v>
          </cell>
          <cell r="CK18">
            <v>0</v>
          </cell>
          <cell r="CR18">
            <v>0</v>
          </cell>
          <cell r="CT18">
            <v>225597.5</v>
          </cell>
          <cell r="CU18">
            <v>8457</v>
          </cell>
          <cell r="DB18">
            <v>234054.5</v>
          </cell>
          <cell r="DD18">
            <v>319</v>
          </cell>
          <cell r="DE18">
            <v>0</v>
          </cell>
          <cell r="DL18">
            <v>319</v>
          </cell>
        </row>
        <row r="19">
          <cell r="A19">
            <v>14</v>
          </cell>
          <cell r="B19">
            <v>0</v>
          </cell>
          <cell r="C19">
            <v>92351</v>
          </cell>
          <cell r="E19">
            <v>56045</v>
          </cell>
          <cell r="G19">
            <v>641</v>
          </cell>
          <cell r="H19">
            <v>35665</v>
          </cell>
          <cell r="I19">
            <v>56045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934</v>
          </cell>
          <cell r="O19">
            <v>56979</v>
          </cell>
          <cell r="P19">
            <v>0</v>
          </cell>
          <cell r="Q19">
            <v>56979</v>
          </cell>
          <cell r="R19">
            <v>56979</v>
          </cell>
          <cell r="T19">
            <v>53964</v>
          </cell>
          <cell r="U19">
            <v>200</v>
          </cell>
          <cell r="X19">
            <v>2815</v>
          </cell>
          <cell r="AB19">
            <v>0</v>
          </cell>
          <cell r="AF19">
            <v>0</v>
          </cell>
          <cell r="AH19">
            <v>4497</v>
          </cell>
          <cell r="AJ19">
            <v>4497</v>
          </cell>
          <cell r="AN19">
            <v>0</v>
          </cell>
          <cell r="AR19">
            <v>0</v>
          </cell>
          <cell r="BA19">
            <v>200</v>
          </cell>
          <cell r="BD19">
            <v>200</v>
          </cell>
          <cell r="BF19">
            <v>11639</v>
          </cell>
          <cell r="BG19">
            <v>0</v>
          </cell>
          <cell r="BJ19">
            <v>30</v>
          </cell>
          <cell r="BN19">
            <v>11609</v>
          </cell>
          <cell r="BP19">
            <v>5849</v>
          </cell>
          <cell r="BQ19">
            <v>0</v>
          </cell>
          <cell r="BV19">
            <v>1479</v>
          </cell>
          <cell r="BX19">
            <v>4370</v>
          </cell>
          <cell r="BZ19">
            <v>696</v>
          </cell>
          <cell r="CA19">
            <v>0</v>
          </cell>
          <cell r="CH19">
            <v>696</v>
          </cell>
          <cell r="CJ19">
            <v>0</v>
          </cell>
          <cell r="CK19">
            <v>0</v>
          </cell>
          <cell r="CR19">
            <v>0</v>
          </cell>
          <cell r="CT19">
            <v>234054.5</v>
          </cell>
          <cell r="CU19">
            <v>4497</v>
          </cell>
          <cell r="DB19">
            <v>238551.5</v>
          </cell>
          <cell r="DD19">
            <v>319</v>
          </cell>
          <cell r="DE19">
            <v>0</v>
          </cell>
          <cell r="DL19">
            <v>319</v>
          </cell>
        </row>
        <row r="20">
          <cell r="A20">
            <v>15</v>
          </cell>
          <cell r="B20">
            <v>35665</v>
          </cell>
          <cell r="C20">
            <v>70842</v>
          </cell>
          <cell r="E20">
            <v>105846</v>
          </cell>
          <cell r="G20">
            <v>661</v>
          </cell>
          <cell r="H20">
            <v>0</v>
          </cell>
          <cell r="I20">
            <v>105846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105846</v>
          </cell>
          <cell r="P20">
            <v>0</v>
          </cell>
          <cell r="Q20">
            <v>105846</v>
          </cell>
          <cell r="R20">
            <v>105846</v>
          </cell>
          <cell r="T20">
            <v>101141.4</v>
          </cell>
          <cell r="U20">
            <v>107</v>
          </cell>
          <cell r="X20">
            <v>4597.6000000000058</v>
          </cell>
          <cell r="Z20">
            <v>0</v>
          </cell>
          <cell r="AB20">
            <v>0</v>
          </cell>
          <cell r="AE20">
            <v>101</v>
          </cell>
          <cell r="AF20">
            <v>101141.4</v>
          </cell>
          <cell r="AH20">
            <v>0</v>
          </cell>
          <cell r="AJ20">
            <v>0</v>
          </cell>
          <cell r="AN20">
            <v>0</v>
          </cell>
          <cell r="AR20">
            <v>0</v>
          </cell>
          <cell r="AY20">
            <v>0</v>
          </cell>
          <cell r="BA20">
            <v>0</v>
          </cell>
          <cell r="BC20">
            <v>107</v>
          </cell>
          <cell r="BD20">
            <v>107</v>
          </cell>
          <cell r="BF20">
            <v>11609</v>
          </cell>
          <cell r="BG20">
            <v>0</v>
          </cell>
          <cell r="BN20">
            <v>11609</v>
          </cell>
          <cell r="BP20">
            <v>4370</v>
          </cell>
          <cell r="BQ20">
            <v>0</v>
          </cell>
          <cell r="BX20">
            <v>4370</v>
          </cell>
          <cell r="BZ20">
            <v>696</v>
          </cell>
          <cell r="CA20">
            <v>0</v>
          </cell>
          <cell r="CH20">
            <v>696</v>
          </cell>
          <cell r="CJ20">
            <v>0</v>
          </cell>
          <cell r="CK20">
            <v>0</v>
          </cell>
          <cell r="CR20">
            <v>0</v>
          </cell>
          <cell r="CT20">
            <v>238551.5</v>
          </cell>
          <cell r="CU20">
            <v>0</v>
          </cell>
          <cell r="CZ20">
            <v>10200</v>
          </cell>
          <cell r="DB20">
            <v>228351.5</v>
          </cell>
          <cell r="DD20">
            <v>319</v>
          </cell>
          <cell r="DE20">
            <v>101</v>
          </cell>
          <cell r="DL20">
            <v>420</v>
          </cell>
        </row>
        <row r="21">
          <cell r="A21">
            <v>16</v>
          </cell>
          <cell r="B21">
            <v>0</v>
          </cell>
          <cell r="C21">
            <v>0</v>
          </cell>
          <cell r="E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T21">
            <v>0</v>
          </cell>
          <cell r="U21">
            <v>0</v>
          </cell>
          <cell r="X21">
            <v>0</v>
          </cell>
          <cell r="Z21">
            <v>0</v>
          </cell>
          <cell r="AB21">
            <v>0</v>
          </cell>
          <cell r="AE21">
            <v>0</v>
          </cell>
          <cell r="AF21">
            <v>0</v>
          </cell>
          <cell r="AH21">
            <v>0</v>
          </cell>
          <cell r="AJ21">
            <v>0</v>
          </cell>
          <cell r="AN21">
            <v>0</v>
          </cell>
          <cell r="AR21">
            <v>0</v>
          </cell>
          <cell r="AY21">
            <v>0</v>
          </cell>
          <cell r="BA21">
            <v>0</v>
          </cell>
          <cell r="BC21">
            <v>0</v>
          </cell>
          <cell r="BD21">
            <v>0</v>
          </cell>
          <cell r="BF21">
            <v>11609</v>
          </cell>
          <cell r="BG21">
            <v>0</v>
          </cell>
          <cell r="BN21">
            <v>11609</v>
          </cell>
          <cell r="BP21">
            <v>4370</v>
          </cell>
          <cell r="BQ21">
            <v>0</v>
          </cell>
          <cell r="BX21">
            <v>4370</v>
          </cell>
          <cell r="BZ21">
            <v>696</v>
          </cell>
          <cell r="CA21">
            <v>0</v>
          </cell>
          <cell r="CH21">
            <v>696</v>
          </cell>
          <cell r="CJ21">
            <v>0</v>
          </cell>
          <cell r="CK21">
            <v>0</v>
          </cell>
          <cell r="CR21">
            <v>0</v>
          </cell>
          <cell r="CT21">
            <v>228351.5</v>
          </cell>
          <cell r="CU21">
            <v>0</v>
          </cell>
          <cell r="CZ21">
            <v>11900</v>
          </cell>
          <cell r="DB21">
            <v>216451.5</v>
          </cell>
          <cell r="DD21">
            <v>420</v>
          </cell>
          <cell r="DE21">
            <v>0</v>
          </cell>
          <cell r="DL21">
            <v>420</v>
          </cell>
        </row>
        <row r="22">
          <cell r="A22">
            <v>17</v>
          </cell>
          <cell r="B22">
            <v>0</v>
          </cell>
          <cell r="C22">
            <v>77033</v>
          </cell>
          <cell r="D22">
            <v>156</v>
          </cell>
          <cell r="E22">
            <v>41986</v>
          </cell>
          <cell r="G22">
            <v>1083</v>
          </cell>
          <cell r="H22">
            <v>33808</v>
          </cell>
          <cell r="I22">
            <v>41986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41986</v>
          </cell>
          <cell r="P22">
            <v>0</v>
          </cell>
          <cell r="Q22">
            <v>41986</v>
          </cell>
          <cell r="R22">
            <v>41986</v>
          </cell>
          <cell r="T22">
            <v>31081.800000000007</v>
          </cell>
          <cell r="U22">
            <v>43</v>
          </cell>
          <cell r="X22">
            <v>10861.199999999993</v>
          </cell>
          <cell r="Y22">
            <v>10861.199999999993</v>
          </cell>
          <cell r="Z22">
            <v>0</v>
          </cell>
          <cell r="AB22">
            <v>0</v>
          </cell>
          <cell r="AE22">
            <v>31</v>
          </cell>
          <cell r="AF22">
            <v>31081.800000000007</v>
          </cell>
          <cell r="AH22">
            <v>0</v>
          </cell>
          <cell r="AJ22">
            <v>0</v>
          </cell>
          <cell r="AN22">
            <v>0</v>
          </cell>
          <cell r="AR22">
            <v>0</v>
          </cell>
          <cell r="AY22">
            <v>0</v>
          </cell>
          <cell r="BA22">
            <v>0</v>
          </cell>
          <cell r="BC22">
            <v>43</v>
          </cell>
          <cell r="BD22">
            <v>43</v>
          </cell>
          <cell r="BF22">
            <v>11609</v>
          </cell>
          <cell r="BG22">
            <v>0</v>
          </cell>
          <cell r="BN22">
            <v>11609</v>
          </cell>
          <cell r="BP22">
            <v>4370</v>
          </cell>
          <cell r="BQ22">
            <v>0</v>
          </cell>
          <cell r="BX22">
            <v>4370</v>
          </cell>
          <cell r="BZ22">
            <v>696</v>
          </cell>
          <cell r="CA22">
            <v>0</v>
          </cell>
          <cell r="CH22">
            <v>696</v>
          </cell>
          <cell r="CJ22">
            <v>0</v>
          </cell>
          <cell r="CK22">
            <v>0</v>
          </cell>
          <cell r="CR22">
            <v>0</v>
          </cell>
          <cell r="CT22">
            <v>216451.5</v>
          </cell>
          <cell r="CU22">
            <v>0</v>
          </cell>
          <cell r="CZ22">
            <v>5100</v>
          </cell>
          <cell r="DB22">
            <v>211351.5</v>
          </cell>
          <cell r="DD22">
            <v>420</v>
          </cell>
          <cell r="DE22">
            <v>31</v>
          </cell>
          <cell r="DL22">
            <v>451</v>
          </cell>
        </row>
        <row r="23">
          <cell r="A23">
            <v>18</v>
          </cell>
          <cell r="B23">
            <v>33808</v>
          </cell>
          <cell r="C23">
            <v>100861</v>
          </cell>
          <cell r="E23">
            <v>103557</v>
          </cell>
          <cell r="G23">
            <v>831</v>
          </cell>
          <cell r="H23">
            <v>30281</v>
          </cell>
          <cell r="I23">
            <v>103557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1664</v>
          </cell>
          <cell r="O23">
            <v>105221</v>
          </cell>
          <cell r="P23">
            <v>0</v>
          </cell>
          <cell r="Q23">
            <v>105221</v>
          </cell>
          <cell r="R23">
            <v>105221</v>
          </cell>
          <cell r="T23">
            <v>98700</v>
          </cell>
          <cell r="U23">
            <v>362</v>
          </cell>
          <cell r="X23">
            <v>6159</v>
          </cell>
          <cell r="Z23">
            <v>0</v>
          </cell>
          <cell r="AB23">
            <v>0</v>
          </cell>
          <cell r="AE23">
            <v>0</v>
          </cell>
          <cell r="AF23">
            <v>0</v>
          </cell>
          <cell r="AH23">
            <v>8225</v>
          </cell>
          <cell r="AJ23">
            <v>8225</v>
          </cell>
          <cell r="AN23">
            <v>0</v>
          </cell>
          <cell r="AR23">
            <v>0</v>
          </cell>
          <cell r="AY23">
            <v>0</v>
          </cell>
          <cell r="BA23">
            <v>362</v>
          </cell>
          <cell r="BC23">
            <v>0</v>
          </cell>
          <cell r="BD23">
            <v>362</v>
          </cell>
          <cell r="BF23">
            <v>11609</v>
          </cell>
          <cell r="BG23">
            <v>0</v>
          </cell>
          <cell r="BJ23">
            <v>2</v>
          </cell>
          <cell r="BL23">
            <v>1300</v>
          </cell>
          <cell r="BN23">
            <v>10307</v>
          </cell>
          <cell r="BP23">
            <v>4370</v>
          </cell>
          <cell r="BQ23">
            <v>0</v>
          </cell>
          <cell r="BX23">
            <v>4370</v>
          </cell>
          <cell r="BZ23">
            <v>696</v>
          </cell>
          <cell r="CA23">
            <v>0</v>
          </cell>
          <cell r="CH23">
            <v>696</v>
          </cell>
          <cell r="CJ23">
            <v>0</v>
          </cell>
          <cell r="CK23">
            <v>0</v>
          </cell>
          <cell r="CR23">
            <v>0</v>
          </cell>
          <cell r="CT23">
            <v>211351.5</v>
          </cell>
          <cell r="CU23">
            <v>8225</v>
          </cell>
          <cell r="CZ23">
            <v>1700</v>
          </cell>
          <cell r="DB23">
            <v>217876.5</v>
          </cell>
          <cell r="DD23">
            <v>451</v>
          </cell>
          <cell r="DE23">
            <v>0</v>
          </cell>
          <cell r="DL23">
            <v>451</v>
          </cell>
        </row>
        <row r="24">
          <cell r="A24">
            <v>19</v>
          </cell>
          <cell r="B24">
            <v>30281</v>
          </cell>
          <cell r="C24">
            <v>95129</v>
          </cell>
          <cell r="E24">
            <v>93855</v>
          </cell>
          <cell r="G24">
            <v>820</v>
          </cell>
          <cell r="H24">
            <v>30735</v>
          </cell>
          <cell r="I24">
            <v>93855</v>
          </cell>
          <cell r="J24">
            <v>2268</v>
          </cell>
          <cell r="K24">
            <v>179.2</v>
          </cell>
          <cell r="L24">
            <v>0</v>
          </cell>
          <cell r="M24">
            <v>0</v>
          </cell>
          <cell r="N24">
            <v>1442.5</v>
          </cell>
          <cell r="O24">
            <v>97744.7</v>
          </cell>
          <cell r="P24">
            <v>0</v>
          </cell>
          <cell r="Q24">
            <v>97744.7</v>
          </cell>
          <cell r="R24">
            <v>22264.699999999997</v>
          </cell>
          <cell r="S24">
            <v>75480</v>
          </cell>
          <cell r="T24">
            <v>19422</v>
          </cell>
          <cell r="U24">
            <v>52.5</v>
          </cell>
          <cell r="X24">
            <v>2790.1999999999971</v>
          </cell>
          <cell r="Z24">
            <v>3237</v>
          </cell>
          <cell r="AB24">
            <v>3237</v>
          </cell>
          <cell r="AE24">
            <v>0</v>
          </cell>
          <cell r="AF24">
            <v>0</v>
          </cell>
          <cell r="AH24">
            <v>0</v>
          </cell>
          <cell r="AJ24">
            <v>0</v>
          </cell>
          <cell r="AN24">
            <v>0</v>
          </cell>
          <cell r="AR24">
            <v>0</v>
          </cell>
          <cell r="AY24">
            <v>52.5</v>
          </cell>
          <cell r="BA24">
            <v>0</v>
          </cell>
          <cell r="BC24">
            <v>0</v>
          </cell>
          <cell r="BD24">
            <v>52.5</v>
          </cell>
          <cell r="BF24">
            <v>10307</v>
          </cell>
          <cell r="BG24">
            <v>3237</v>
          </cell>
          <cell r="BN24">
            <v>13544</v>
          </cell>
          <cell r="BP24">
            <v>4370</v>
          </cell>
          <cell r="BQ24">
            <v>0</v>
          </cell>
          <cell r="BX24">
            <v>4370</v>
          </cell>
          <cell r="BZ24">
            <v>696</v>
          </cell>
          <cell r="CA24">
            <v>0</v>
          </cell>
          <cell r="CH24">
            <v>696</v>
          </cell>
          <cell r="CJ24">
            <v>0</v>
          </cell>
          <cell r="CK24">
            <v>0</v>
          </cell>
          <cell r="CR24">
            <v>0</v>
          </cell>
          <cell r="CT24">
            <v>217876.5</v>
          </cell>
          <cell r="CU24">
            <v>0</v>
          </cell>
          <cell r="DB24">
            <v>217876.5</v>
          </cell>
          <cell r="DD24">
            <v>451</v>
          </cell>
          <cell r="DE24">
            <v>0</v>
          </cell>
          <cell r="DL24">
            <v>451</v>
          </cell>
        </row>
        <row r="25">
          <cell r="A25">
            <v>20</v>
          </cell>
          <cell r="B25">
            <v>30735</v>
          </cell>
          <cell r="C25">
            <v>110367</v>
          </cell>
          <cell r="E25">
            <v>97374</v>
          </cell>
          <cell r="F25">
            <v>0</v>
          </cell>
          <cell r="G25">
            <v>1092</v>
          </cell>
          <cell r="H25">
            <v>42636</v>
          </cell>
          <cell r="I25">
            <v>97374</v>
          </cell>
          <cell r="J25">
            <v>0</v>
          </cell>
          <cell r="K25">
            <v>0</v>
          </cell>
          <cell r="N25">
            <v>1500</v>
          </cell>
          <cell r="O25">
            <v>98874</v>
          </cell>
          <cell r="P25">
            <v>75480</v>
          </cell>
          <cell r="Q25">
            <v>98874</v>
          </cell>
          <cell r="R25">
            <v>174354</v>
          </cell>
          <cell r="S25">
            <v>0</v>
          </cell>
          <cell r="T25">
            <v>164940</v>
          </cell>
          <cell r="U25">
            <v>599</v>
          </cell>
          <cell r="X25">
            <v>8815</v>
          </cell>
          <cell r="AB25">
            <v>0</v>
          </cell>
          <cell r="AH25">
            <v>13745</v>
          </cell>
          <cell r="AJ25">
            <v>13745</v>
          </cell>
          <cell r="AN25">
            <v>0</v>
          </cell>
          <cell r="AR25">
            <v>0</v>
          </cell>
          <cell r="BA25">
            <v>599</v>
          </cell>
          <cell r="BD25">
            <v>599</v>
          </cell>
          <cell r="BF25">
            <v>13544</v>
          </cell>
          <cell r="BG25">
            <v>0</v>
          </cell>
          <cell r="BN25">
            <v>13544</v>
          </cell>
          <cell r="BP25">
            <v>4370</v>
          </cell>
          <cell r="BQ25">
            <v>0</v>
          </cell>
          <cell r="BX25">
            <v>4370</v>
          </cell>
          <cell r="BZ25">
            <v>696</v>
          </cell>
          <cell r="CA25">
            <v>0</v>
          </cell>
          <cell r="CH25">
            <v>696</v>
          </cell>
          <cell r="CJ25">
            <v>0</v>
          </cell>
          <cell r="CK25">
            <v>0</v>
          </cell>
          <cell r="CR25">
            <v>0</v>
          </cell>
          <cell r="CT25">
            <v>217876.5</v>
          </cell>
          <cell r="CU25">
            <v>13745</v>
          </cell>
          <cell r="DB25">
            <v>231621.5</v>
          </cell>
          <cell r="DD25">
            <v>451</v>
          </cell>
          <cell r="DE25">
            <v>0</v>
          </cell>
          <cell r="DL25">
            <v>451</v>
          </cell>
        </row>
        <row r="26">
          <cell r="A26">
            <v>21</v>
          </cell>
          <cell r="B26">
            <v>42636</v>
          </cell>
          <cell r="C26">
            <v>103871</v>
          </cell>
          <cell r="E26">
            <v>102839</v>
          </cell>
          <cell r="F26">
            <v>0</v>
          </cell>
          <cell r="G26">
            <v>1212</v>
          </cell>
          <cell r="H26">
            <v>42456</v>
          </cell>
          <cell r="I26">
            <v>102839</v>
          </cell>
          <cell r="J26">
            <v>0</v>
          </cell>
          <cell r="K26">
            <v>0</v>
          </cell>
          <cell r="N26">
            <v>0</v>
          </cell>
          <cell r="O26">
            <v>102839</v>
          </cell>
          <cell r="P26">
            <v>0</v>
          </cell>
          <cell r="Q26">
            <v>102839</v>
          </cell>
          <cell r="R26">
            <v>87968</v>
          </cell>
          <cell r="S26">
            <v>14871</v>
          </cell>
          <cell r="T26">
            <v>82180.400000000009</v>
          </cell>
          <cell r="U26">
            <v>94</v>
          </cell>
          <cell r="X26">
            <v>5693.5999999999913</v>
          </cell>
          <cell r="AB26">
            <v>0</v>
          </cell>
          <cell r="AE26">
            <v>82</v>
          </cell>
          <cell r="AF26">
            <v>82180.400000000009</v>
          </cell>
          <cell r="AJ26">
            <v>0</v>
          </cell>
          <cell r="AN26">
            <v>0</v>
          </cell>
          <cell r="AR26">
            <v>0</v>
          </cell>
          <cell r="BA26">
            <v>0</v>
          </cell>
          <cell r="BC26">
            <v>94</v>
          </cell>
          <cell r="BD26">
            <v>94</v>
          </cell>
          <cell r="BF26">
            <v>13544</v>
          </cell>
          <cell r="BG26">
            <v>0</v>
          </cell>
          <cell r="BN26">
            <v>13544</v>
          </cell>
          <cell r="BP26">
            <v>4370</v>
          </cell>
          <cell r="BQ26">
            <v>0</v>
          </cell>
          <cell r="BX26">
            <v>4370</v>
          </cell>
          <cell r="BZ26">
            <v>696</v>
          </cell>
          <cell r="CA26">
            <v>0</v>
          </cell>
          <cell r="CH26">
            <v>696</v>
          </cell>
          <cell r="CJ26">
            <v>0</v>
          </cell>
          <cell r="CK26">
            <v>0</v>
          </cell>
          <cell r="CR26">
            <v>0</v>
          </cell>
          <cell r="CT26">
            <v>231621.5</v>
          </cell>
          <cell r="CU26">
            <v>0</v>
          </cell>
          <cell r="DB26">
            <v>231621.5</v>
          </cell>
          <cell r="DD26">
            <v>451</v>
          </cell>
          <cell r="DE26">
            <v>82</v>
          </cell>
          <cell r="DL26">
            <v>533</v>
          </cell>
        </row>
        <row r="27">
          <cell r="A27">
            <v>22</v>
          </cell>
          <cell r="B27">
            <v>42456</v>
          </cell>
          <cell r="C27">
            <v>72221</v>
          </cell>
          <cell r="E27">
            <v>102659</v>
          </cell>
          <cell r="F27">
            <v>9067</v>
          </cell>
          <cell r="G27">
            <v>2951</v>
          </cell>
          <cell r="H27">
            <v>0</v>
          </cell>
          <cell r="I27">
            <v>102659</v>
          </cell>
          <cell r="J27">
            <v>0</v>
          </cell>
          <cell r="K27">
            <v>0</v>
          </cell>
          <cell r="N27">
            <v>0</v>
          </cell>
          <cell r="O27">
            <v>102659</v>
          </cell>
          <cell r="P27">
            <v>14871</v>
          </cell>
          <cell r="Q27">
            <v>102659</v>
          </cell>
          <cell r="R27">
            <v>117530</v>
          </cell>
          <cell r="S27">
            <v>0</v>
          </cell>
          <cell r="T27">
            <v>113542.39999999999</v>
          </cell>
          <cell r="U27">
            <v>113</v>
          </cell>
          <cell r="X27">
            <v>3874.6000000000058</v>
          </cell>
          <cell r="AB27">
            <v>0</v>
          </cell>
          <cell r="AE27">
            <v>113</v>
          </cell>
          <cell r="AF27">
            <v>113542.39999999999</v>
          </cell>
          <cell r="AJ27">
            <v>0</v>
          </cell>
          <cell r="AN27">
            <v>0</v>
          </cell>
          <cell r="AR27">
            <v>0</v>
          </cell>
          <cell r="BA27">
            <v>0</v>
          </cell>
          <cell r="BC27">
            <v>113</v>
          </cell>
          <cell r="BD27">
            <v>113</v>
          </cell>
          <cell r="BF27">
            <v>13544</v>
          </cell>
          <cell r="BG27">
            <v>0</v>
          </cell>
          <cell r="BJ27">
            <v>5</v>
          </cell>
          <cell r="BN27">
            <v>13539</v>
          </cell>
          <cell r="BP27">
            <v>4370</v>
          </cell>
          <cell r="BQ27">
            <v>0</v>
          </cell>
          <cell r="BX27">
            <v>4370</v>
          </cell>
          <cell r="BZ27">
            <v>696</v>
          </cell>
          <cell r="CA27">
            <v>0</v>
          </cell>
          <cell r="CH27">
            <v>696</v>
          </cell>
          <cell r="CJ27">
            <v>0</v>
          </cell>
          <cell r="CK27">
            <v>0</v>
          </cell>
          <cell r="CR27">
            <v>0</v>
          </cell>
          <cell r="CT27">
            <v>231621.5</v>
          </cell>
          <cell r="CU27">
            <v>0</v>
          </cell>
          <cell r="CZ27">
            <v>1700</v>
          </cell>
          <cell r="DB27">
            <v>229921.5</v>
          </cell>
          <cell r="DD27">
            <v>533</v>
          </cell>
          <cell r="DE27">
            <v>113</v>
          </cell>
          <cell r="DL27">
            <v>646</v>
          </cell>
        </row>
        <row r="28">
          <cell r="A28">
            <v>23</v>
          </cell>
          <cell r="B28">
            <v>0</v>
          </cell>
          <cell r="E28">
            <v>0</v>
          </cell>
          <cell r="H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X28">
            <v>0</v>
          </cell>
          <cell r="AB28">
            <v>0</v>
          </cell>
          <cell r="AJ28">
            <v>0</v>
          </cell>
          <cell r="AN28">
            <v>0</v>
          </cell>
          <cell r="AR28">
            <v>0</v>
          </cell>
          <cell r="BA28">
            <v>0</v>
          </cell>
          <cell r="BD28">
            <v>0</v>
          </cell>
          <cell r="BF28">
            <v>13539</v>
          </cell>
          <cell r="BG28">
            <v>0</v>
          </cell>
          <cell r="BN28">
            <v>13539</v>
          </cell>
          <cell r="BP28">
            <v>4370</v>
          </cell>
          <cell r="BQ28">
            <v>0</v>
          </cell>
          <cell r="BX28">
            <v>4370</v>
          </cell>
          <cell r="BZ28">
            <v>696</v>
          </cell>
          <cell r="CA28">
            <v>0</v>
          </cell>
          <cell r="CH28">
            <v>696</v>
          </cell>
          <cell r="CJ28">
            <v>0</v>
          </cell>
          <cell r="CK28">
            <v>0</v>
          </cell>
          <cell r="CR28">
            <v>0</v>
          </cell>
          <cell r="CT28">
            <v>229921.5</v>
          </cell>
          <cell r="CU28">
            <v>0</v>
          </cell>
          <cell r="CZ28">
            <v>5100</v>
          </cell>
          <cell r="DB28">
            <v>224821.5</v>
          </cell>
          <cell r="DD28">
            <v>646</v>
          </cell>
          <cell r="DE28">
            <v>0</v>
          </cell>
          <cell r="DJ28">
            <v>66</v>
          </cell>
          <cell r="DL28">
            <v>580</v>
          </cell>
        </row>
        <row r="29">
          <cell r="A29">
            <v>24</v>
          </cell>
          <cell r="B29">
            <v>0</v>
          </cell>
          <cell r="C29">
            <v>98440</v>
          </cell>
          <cell r="E29">
            <v>65000</v>
          </cell>
          <cell r="F29">
            <v>0</v>
          </cell>
          <cell r="G29">
            <v>1443</v>
          </cell>
          <cell r="H29">
            <v>31997</v>
          </cell>
          <cell r="I29">
            <v>65000</v>
          </cell>
          <cell r="J29">
            <v>7560</v>
          </cell>
          <cell r="K29">
            <v>597.5</v>
          </cell>
          <cell r="N29">
            <v>1058.5</v>
          </cell>
          <cell r="O29">
            <v>74216</v>
          </cell>
          <cell r="P29">
            <v>0</v>
          </cell>
          <cell r="Q29">
            <v>74216</v>
          </cell>
          <cell r="R29">
            <v>0</v>
          </cell>
          <cell r="S29">
            <v>74216</v>
          </cell>
          <cell r="T29">
            <v>0</v>
          </cell>
          <cell r="U29">
            <v>0</v>
          </cell>
          <cell r="X29">
            <v>0</v>
          </cell>
          <cell r="AB29">
            <v>0</v>
          </cell>
          <cell r="AJ29">
            <v>0</v>
          </cell>
          <cell r="AN29">
            <v>0</v>
          </cell>
          <cell r="AR29">
            <v>0</v>
          </cell>
          <cell r="BA29">
            <v>0</v>
          </cell>
          <cell r="BD29">
            <v>0</v>
          </cell>
          <cell r="BF29">
            <v>13539</v>
          </cell>
          <cell r="BG29">
            <v>0</v>
          </cell>
          <cell r="BN29">
            <v>13539</v>
          </cell>
          <cell r="BP29">
            <v>4370</v>
          </cell>
          <cell r="BQ29">
            <v>0</v>
          </cell>
          <cell r="BX29">
            <v>4370</v>
          </cell>
          <cell r="BZ29">
            <v>696</v>
          </cell>
          <cell r="CA29">
            <v>0</v>
          </cell>
          <cell r="CH29">
            <v>696</v>
          </cell>
          <cell r="CJ29">
            <v>0</v>
          </cell>
          <cell r="CK29">
            <v>0</v>
          </cell>
          <cell r="CR29">
            <v>0</v>
          </cell>
          <cell r="CT29">
            <v>224821.5</v>
          </cell>
          <cell r="CU29">
            <v>0</v>
          </cell>
          <cell r="DB29">
            <v>224821.5</v>
          </cell>
          <cell r="DD29">
            <v>580</v>
          </cell>
          <cell r="DE29">
            <v>0</v>
          </cell>
          <cell r="DJ29">
            <v>204</v>
          </cell>
          <cell r="DL29">
            <v>376</v>
          </cell>
        </row>
        <row r="30">
          <cell r="A30">
            <v>25</v>
          </cell>
          <cell r="B30">
            <v>31997</v>
          </cell>
          <cell r="C30">
            <v>102629</v>
          </cell>
          <cell r="E30">
            <v>29595</v>
          </cell>
          <cell r="F30">
            <v>0</v>
          </cell>
          <cell r="G30">
            <v>2957</v>
          </cell>
          <cell r="H30">
            <v>102074</v>
          </cell>
          <cell r="I30">
            <v>29595</v>
          </cell>
          <cell r="J30">
            <v>3431</v>
          </cell>
          <cell r="K30">
            <v>271</v>
          </cell>
          <cell r="N30">
            <v>480.4</v>
          </cell>
          <cell r="O30">
            <v>33777.4</v>
          </cell>
          <cell r="P30">
            <v>74216</v>
          </cell>
          <cell r="Q30">
            <v>33777.4</v>
          </cell>
          <cell r="R30">
            <v>107993.4</v>
          </cell>
          <cell r="S30">
            <v>0</v>
          </cell>
          <cell r="T30">
            <v>97716</v>
          </cell>
          <cell r="U30">
            <v>443</v>
          </cell>
          <cell r="X30">
            <v>9834.3999999999942</v>
          </cell>
          <cell r="Z30">
            <v>16286</v>
          </cell>
          <cell r="AB30">
            <v>16286</v>
          </cell>
          <cell r="AJ30">
            <v>0</v>
          </cell>
          <cell r="AN30">
            <v>0</v>
          </cell>
          <cell r="AR30">
            <v>0</v>
          </cell>
          <cell r="BA30">
            <v>443</v>
          </cell>
          <cell r="BD30">
            <v>443</v>
          </cell>
          <cell r="BF30">
            <v>13539</v>
          </cell>
          <cell r="BG30">
            <v>16286</v>
          </cell>
          <cell r="BN30">
            <v>29825</v>
          </cell>
          <cell r="BP30">
            <v>4370</v>
          </cell>
          <cell r="BQ30">
            <v>0</v>
          </cell>
          <cell r="BX30">
            <v>4370</v>
          </cell>
          <cell r="BZ30">
            <v>696</v>
          </cell>
          <cell r="CA30">
            <v>0</v>
          </cell>
          <cell r="CH30">
            <v>696</v>
          </cell>
          <cell r="CJ30">
            <v>0</v>
          </cell>
          <cell r="CK30">
            <v>0</v>
          </cell>
          <cell r="CR30">
            <v>0</v>
          </cell>
          <cell r="CT30">
            <v>224821.5</v>
          </cell>
          <cell r="CU30">
            <v>0</v>
          </cell>
          <cell r="DB30">
            <v>224821.5</v>
          </cell>
          <cell r="DD30">
            <v>376</v>
          </cell>
          <cell r="DE30">
            <v>0</v>
          </cell>
          <cell r="DL30">
            <v>376</v>
          </cell>
        </row>
        <row r="31">
          <cell r="A31">
            <v>26</v>
          </cell>
          <cell r="B31">
            <v>102074</v>
          </cell>
          <cell r="C31">
            <v>91701</v>
          </cell>
          <cell r="E31">
            <v>163113</v>
          </cell>
          <cell r="F31">
            <v>0</v>
          </cell>
          <cell r="G31">
            <v>1514</v>
          </cell>
          <cell r="H31">
            <v>29148</v>
          </cell>
          <cell r="I31">
            <v>163113</v>
          </cell>
          <cell r="J31">
            <v>0</v>
          </cell>
          <cell r="K31">
            <v>0</v>
          </cell>
          <cell r="N31">
            <v>2410</v>
          </cell>
          <cell r="O31">
            <v>165523</v>
          </cell>
          <cell r="P31">
            <v>0</v>
          </cell>
          <cell r="Q31">
            <v>165523</v>
          </cell>
          <cell r="R31">
            <v>165523</v>
          </cell>
          <cell r="S31">
            <v>0</v>
          </cell>
          <cell r="T31">
            <v>154800</v>
          </cell>
          <cell r="U31">
            <v>486</v>
          </cell>
          <cell r="X31">
            <v>10237</v>
          </cell>
          <cell r="AB31">
            <v>0</v>
          </cell>
          <cell r="AH31">
            <v>12900</v>
          </cell>
          <cell r="AJ31">
            <v>12900</v>
          </cell>
          <cell r="AN31">
            <v>0</v>
          </cell>
          <cell r="AR31">
            <v>0</v>
          </cell>
          <cell r="BA31">
            <v>486</v>
          </cell>
          <cell r="BD31">
            <v>486</v>
          </cell>
          <cell r="BF31">
            <v>29825</v>
          </cell>
          <cell r="BG31">
            <v>0</v>
          </cell>
          <cell r="BN31">
            <v>29825</v>
          </cell>
          <cell r="BP31">
            <v>4370</v>
          </cell>
          <cell r="BQ31">
            <v>0</v>
          </cell>
          <cell r="BX31">
            <v>4370</v>
          </cell>
          <cell r="BZ31">
            <v>696</v>
          </cell>
          <cell r="CA31">
            <v>0</v>
          </cell>
          <cell r="CH31">
            <v>696</v>
          </cell>
          <cell r="CJ31">
            <v>0</v>
          </cell>
          <cell r="CK31">
            <v>0</v>
          </cell>
          <cell r="CR31">
            <v>0</v>
          </cell>
          <cell r="CT31">
            <v>224821.5</v>
          </cell>
          <cell r="CU31">
            <v>12900</v>
          </cell>
          <cell r="DB31">
            <v>237721.5</v>
          </cell>
          <cell r="DD31">
            <v>376</v>
          </cell>
          <cell r="DE31">
            <v>0</v>
          </cell>
          <cell r="DL31">
            <v>376</v>
          </cell>
        </row>
        <row r="32">
          <cell r="A32">
            <v>27</v>
          </cell>
          <cell r="B32">
            <v>29148</v>
          </cell>
          <cell r="C32">
            <v>104499</v>
          </cell>
          <cell r="E32">
            <v>103557</v>
          </cell>
          <cell r="G32">
            <v>1481</v>
          </cell>
          <cell r="H32">
            <v>28609</v>
          </cell>
          <cell r="I32">
            <v>103557</v>
          </cell>
          <cell r="O32">
            <v>103557</v>
          </cell>
          <cell r="P32">
            <v>0</v>
          </cell>
          <cell r="Q32">
            <v>103557</v>
          </cell>
          <cell r="R32">
            <v>103557</v>
          </cell>
          <cell r="S32">
            <v>0</v>
          </cell>
          <cell r="T32">
            <v>0</v>
          </cell>
          <cell r="U32">
            <v>0</v>
          </cell>
          <cell r="X32">
            <v>103557</v>
          </cell>
          <cell r="AB32">
            <v>0</v>
          </cell>
          <cell r="AJ32">
            <v>0</v>
          </cell>
          <cell r="AN32">
            <v>0</v>
          </cell>
          <cell r="AR32">
            <v>0</v>
          </cell>
          <cell r="BD32">
            <v>0</v>
          </cell>
          <cell r="BF32">
            <v>29825</v>
          </cell>
          <cell r="BG32">
            <v>0</v>
          </cell>
          <cell r="BJ32">
            <v>10</v>
          </cell>
          <cell r="BN32">
            <v>29815</v>
          </cell>
          <cell r="BP32">
            <v>4370</v>
          </cell>
          <cell r="BQ32">
            <v>0</v>
          </cell>
          <cell r="BX32">
            <v>4370</v>
          </cell>
          <cell r="BZ32">
            <v>696</v>
          </cell>
          <cell r="CA32">
            <v>0</v>
          </cell>
          <cell r="CH32">
            <v>696</v>
          </cell>
          <cell r="CJ32">
            <v>0</v>
          </cell>
          <cell r="CK32">
            <v>0</v>
          </cell>
          <cell r="CR32">
            <v>0</v>
          </cell>
          <cell r="CT32">
            <v>237721.5</v>
          </cell>
          <cell r="CU32">
            <v>0</v>
          </cell>
          <cell r="DB32">
            <v>237721.5</v>
          </cell>
          <cell r="DD32">
            <v>376</v>
          </cell>
          <cell r="DE32">
            <v>0</v>
          </cell>
          <cell r="DL32">
            <v>376</v>
          </cell>
        </row>
        <row r="33">
          <cell r="A33">
            <v>28</v>
          </cell>
          <cell r="B33">
            <v>28609</v>
          </cell>
          <cell r="E33">
            <v>0</v>
          </cell>
          <cell r="H33">
            <v>28609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T33">
            <v>0</v>
          </cell>
          <cell r="U33">
            <v>0</v>
          </cell>
          <cell r="X33">
            <v>0</v>
          </cell>
          <cell r="AB33">
            <v>0</v>
          </cell>
          <cell r="AJ33">
            <v>0</v>
          </cell>
          <cell r="AN33">
            <v>0</v>
          </cell>
          <cell r="AR33">
            <v>0</v>
          </cell>
          <cell r="BD33">
            <v>0</v>
          </cell>
          <cell r="BF33">
            <v>29815</v>
          </cell>
          <cell r="BG33">
            <v>0</v>
          </cell>
          <cell r="BN33">
            <v>29815</v>
          </cell>
          <cell r="BP33">
            <v>4370</v>
          </cell>
          <cell r="BQ33">
            <v>0</v>
          </cell>
          <cell r="BX33">
            <v>4370</v>
          </cell>
          <cell r="BZ33">
            <v>696</v>
          </cell>
          <cell r="CA33">
            <v>0</v>
          </cell>
          <cell r="CH33">
            <v>696</v>
          </cell>
          <cell r="CJ33">
            <v>0</v>
          </cell>
          <cell r="CK33">
            <v>0</v>
          </cell>
          <cell r="CR33">
            <v>0</v>
          </cell>
          <cell r="CT33">
            <v>237721.5</v>
          </cell>
          <cell r="CU33">
            <v>0</v>
          </cell>
          <cell r="DB33">
            <v>237721.5</v>
          </cell>
          <cell r="DD33">
            <v>376</v>
          </cell>
          <cell r="DE33">
            <v>0</v>
          </cell>
          <cell r="DL33">
            <v>376</v>
          </cell>
        </row>
        <row r="34">
          <cell r="A34">
            <v>29</v>
          </cell>
          <cell r="B34">
            <v>28609</v>
          </cell>
          <cell r="E34">
            <v>0</v>
          </cell>
          <cell r="H34">
            <v>28609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T34">
            <v>0</v>
          </cell>
          <cell r="U34">
            <v>0</v>
          </cell>
          <cell r="X34">
            <v>0</v>
          </cell>
          <cell r="AB34">
            <v>0</v>
          </cell>
          <cell r="AJ34">
            <v>0</v>
          </cell>
          <cell r="AN34">
            <v>0</v>
          </cell>
          <cell r="AR34">
            <v>0</v>
          </cell>
          <cell r="BD34">
            <v>0</v>
          </cell>
          <cell r="BF34">
            <v>29815</v>
          </cell>
          <cell r="BG34">
            <v>0</v>
          </cell>
          <cell r="BN34">
            <v>29815</v>
          </cell>
          <cell r="BP34">
            <v>4370</v>
          </cell>
          <cell r="BQ34">
            <v>0</v>
          </cell>
          <cell r="BX34">
            <v>4370</v>
          </cell>
          <cell r="BZ34">
            <v>696</v>
          </cell>
          <cell r="CA34">
            <v>0</v>
          </cell>
          <cell r="CH34">
            <v>696</v>
          </cell>
          <cell r="CJ34">
            <v>0</v>
          </cell>
          <cell r="CK34">
            <v>0</v>
          </cell>
          <cell r="CR34">
            <v>0</v>
          </cell>
          <cell r="CT34">
            <v>237721.5</v>
          </cell>
          <cell r="CU34">
            <v>0</v>
          </cell>
          <cell r="DB34">
            <v>237721.5</v>
          </cell>
          <cell r="DD34">
            <v>376</v>
          </cell>
          <cell r="DE34">
            <v>0</v>
          </cell>
          <cell r="DL34">
            <v>376</v>
          </cell>
        </row>
        <row r="35">
          <cell r="A35">
            <v>30</v>
          </cell>
          <cell r="B35">
            <v>28609</v>
          </cell>
          <cell r="E35">
            <v>0</v>
          </cell>
          <cell r="H35">
            <v>28609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T35">
            <v>0</v>
          </cell>
          <cell r="U35">
            <v>0</v>
          </cell>
          <cell r="X35">
            <v>0</v>
          </cell>
          <cell r="AB35">
            <v>0</v>
          </cell>
          <cell r="AJ35">
            <v>0</v>
          </cell>
          <cell r="AN35">
            <v>0</v>
          </cell>
          <cell r="AR35">
            <v>0</v>
          </cell>
          <cell r="BD35">
            <v>0</v>
          </cell>
          <cell r="BF35">
            <v>29815</v>
          </cell>
          <cell r="BG35">
            <v>0</v>
          </cell>
          <cell r="BN35">
            <v>29815</v>
          </cell>
          <cell r="BP35">
            <v>4370</v>
          </cell>
          <cell r="BQ35">
            <v>0</v>
          </cell>
          <cell r="BX35">
            <v>4370</v>
          </cell>
          <cell r="BZ35">
            <v>696</v>
          </cell>
          <cell r="CA35">
            <v>0</v>
          </cell>
          <cell r="CH35">
            <v>696</v>
          </cell>
          <cell r="CJ35">
            <v>0</v>
          </cell>
          <cell r="CK35">
            <v>0</v>
          </cell>
          <cell r="CR35">
            <v>0</v>
          </cell>
          <cell r="CT35">
            <v>237721.5</v>
          </cell>
          <cell r="CU35">
            <v>0</v>
          </cell>
          <cell r="DB35">
            <v>237721.5</v>
          </cell>
          <cell r="DD35">
            <v>376</v>
          </cell>
          <cell r="DE35">
            <v>0</v>
          </cell>
          <cell r="DL35">
            <v>376</v>
          </cell>
        </row>
        <row r="36">
          <cell r="A36">
            <v>31</v>
          </cell>
          <cell r="B36">
            <v>28609</v>
          </cell>
          <cell r="E36">
            <v>0</v>
          </cell>
          <cell r="H36">
            <v>28609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T36">
            <v>0</v>
          </cell>
          <cell r="U36">
            <v>0</v>
          </cell>
          <cell r="X36">
            <v>0</v>
          </cell>
          <cell r="AB36">
            <v>0</v>
          </cell>
          <cell r="AJ36">
            <v>0</v>
          </cell>
          <cell r="AN36">
            <v>0</v>
          </cell>
          <cell r="AR36">
            <v>0</v>
          </cell>
          <cell r="BD36">
            <v>0</v>
          </cell>
          <cell r="BF36">
            <v>29815</v>
          </cell>
          <cell r="BG36">
            <v>0</v>
          </cell>
          <cell r="BN36">
            <v>29815</v>
          </cell>
          <cell r="BP36">
            <v>4370</v>
          </cell>
          <cell r="BQ36">
            <v>0</v>
          </cell>
          <cell r="BX36">
            <v>4370</v>
          </cell>
          <cell r="BZ36">
            <v>696</v>
          </cell>
          <cell r="CA36">
            <v>0</v>
          </cell>
          <cell r="CH36">
            <v>696</v>
          </cell>
          <cell r="CJ36">
            <v>0</v>
          </cell>
          <cell r="CK36">
            <v>0</v>
          </cell>
          <cell r="CR36">
            <v>0</v>
          </cell>
          <cell r="CT36">
            <v>237721.5</v>
          </cell>
          <cell r="CU36">
            <v>0</v>
          </cell>
          <cell r="DB36">
            <v>237721.5</v>
          </cell>
          <cell r="DD36">
            <v>376</v>
          </cell>
          <cell r="DE36">
            <v>0</v>
          </cell>
          <cell r="DL36">
            <v>376</v>
          </cell>
        </row>
      </sheetData>
      <sheetData sheetId="8" refreshError="1">
        <row r="6">
          <cell r="A6">
            <v>1</v>
          </cell>
          <cell r="B6">
            <v>3013.0729999999999</v>
          </cell>
          <cell r="E6">
            <v>503535.33333333331</v>
          </cell>
          <cell r="H6">
            <v>503535.33333333331</v>
          </cell>
          <cell r="I6">
            <v>0</v>
          </cell>
          <cell r="J6">
            <v>71985.666666666657</v>
          </cell>
          <cell r="K6">
            <v>575521</v>
          </cell>
          <cell r="L6">
            <v>155390.67000000001</v>
          </cell>
          <cell r="M6">
            <v>2960</v>
          </cell>
          <cell r="N6">
            <v>32780.150200000004</v>
          </cell>
          <cell r="O6">
            <v>10516.099799999996</v>
          </cell>
          <cell r="P6">
            <v>3908</v>
          </cell>
          <cell r="Q6">
            <v>47204.25</v>
          </cell>
          <cell r="R6">
            <v>21595.7</v>
          </cell>
          <cell r="U6">
            <v>151732.1</v>
          </cell>
          <cell r="W6">
            <v>151732.1</v>
          </cell>
          <cell r="X6">
            <v>0</v>
          </cell>
          <cell r="Y6">
            <v>0</v>
          </cell>
          <cell r="Z6">
            <v>0</v>
          </cell>
          <cell r="AA6">
            <v>151732.1</v>
          </cell>
          <cell r="AB6">
            <v>0.30133357076563977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4007</v>
          </cell>
          <cell r="AH6">
            <v>112260</v>
          </cell>
          <cell r="AI6">
            <v>19</v>
          </cell>
          <cell r="AJ6">
            <v>527</v>
          </cell>
          <cell r="AK6">
            <v>110660</v>
          </cell>
          <cell r="AL6">
            <v>1600</v>
          </cell>
        </row>
        <row r="7">
          <cell r="A7">
            <v>2</v>
          </cell>
          <cell r="B7">
            <v>17812.679</v>
          </cell>
          <cell r="E7">
            <v>369287</v>
          </cell>
          <cell r="H7">
            <v>369287</v>
          </cell>
          <cell r="I7">
            <v>0</v>
          </cell>
          <cell r="J7">
            <v>57735</v>
          </cell>
          <cell r="K7">
            <v>427022</v>
          </cell>
          <cell r="L7">
            <v>115295.94</v>
          </cell>
          <cell r="M7">
            <v>2120</v>
          </cell>
          <cell r="N7">
            <v>24040.583699999996</v>
          </cell>
          <cell r="O7">
            <v>7800.3463000000011</v>
          </cell>
          <cell r="P7">
            <v>2422.62</v>
          </cell>
          <cell r="Q7">
            <v>34263.550000000003</v>
          </cell>
          <cell r="R7">
            <v>17320.5</v>
          </cell>
          <cell r="U7">
            <v>112033.38</v>
          </cell>
          <cell r="W7">
            <v>112033.38</v>
          </cell>
          <cell r="X7">
            <v>0</v>
          </cell>
          <cell r="Y7">
            <v>0</v>
          </cell>
          <cell r="Z7">
            <v>0</v>
          </cell>
          <cell r="AA7">
            <v>112033.38</v>
          </cell>
          <cell r="AB7">
            <v>0.30337753562946979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3431</v>
          </cell>
          <cell r="AH7">
            <v>87080</v>
          </cell>
          <cell r="AI7">
            <v>14.5</v>
          </cell>
          <cell r="AJ7">
            <v>431</v>
          </cell>
          <cell r="AK7">
            <v>85660</v>
          </cell>
          <cell r="AL7">
            <v>1420</v>
          </cell>
        </row>
        <row r="8">
          <cell r="A8">
            <v>3</v>
          </cell>
          <cell r="B8">
            <v>18480.562000000002</v>
          </cell>
          <cell r="E8">
            <v>467134.33333333337</v>
          </cell>
          <cell r="H8">
            <v>467134.33333333337</v>
          </cell>
          <cell r="I8">
            <v>0</v>
          </cell>
          <cell r="J8">
            <v>63454.666666666672</v>
          </cell>
          <cell r="K8">
            <v>530589</v>
          </cell>
          <cell r="L8">
            <v>143259.03</v>
          </cell>
          <cell r="M8">
            <v>3800</v>
          </cell>
          <cell r="N8">
            <v>30410.445100000004</v>
          </cell>
          <cell r="O8">
            <v>8204.8748999999934</v>
          </cell>
          <cell r="P8">
            <v>3616.63</v>
          </cell>
          <cell r="Q8">
            <v>42231.95</v>
          </cell>
          <cell r="R8">
            <v>19036.400000000001</v>
          </cell>
          <cell r="U8">
            <v>142817.76999999999</v>
          </cell>
          <cell r="W8">
            <v>142817.76999999999</v>
          </cell>
          <cell r="X8">
            <v>0</v>
          </cell>
          <cell r="Y8">
            <v>0</v>
          </cell>
          <cell r="Z8">
            <v>0</v>
          </cell>
          <cell r="AA8">
            <v>142817.76999999999</v>
          </cell>
          <cell r="AB8">
            <v>0.30573169174034875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3922</v>
          </cell>
          <cell r="AH8">
            <v>109050</v>
          </cell>
          <cell r="AI8">
            <v>18.5</v>
          </cell>
          <cell r="AJ8">
            <v>556</v>
          </cell>
          <cell r="AK8">
            <v>107390</v>
          </cell>
          <cell r="AL8">
            <v>1660</v>
          </cell>
        </row>
        <row r="9">
          <cell r="A9">
            <v>4</v>
          </cell>
          <cell r="B9">
            <v>17814.202000000001</v>
          </cell>
          <cell r="E9">
            <v>471451.33333333331</v>
          </cell>
          <cell r="H9">
            <v>471451.33333333331</v>
          </cell>
          <cell r="I9">
            <v>0</v>
          </cell>
          <cell r="J9">
            <v>62177.666666666672</v>
          </cell>
          <cell r="K9">
            <v>533629</v>
          </cell>
          <cell r="L9">
            <v>144079.82999999999</v>
          </cell>
          <cell r="M9">
            <v>2520</v>
          </cell>
          <cell r="N9">
            <v>30691.481800000001</v>
          </cell>
          <cell r="O9">
            <v>10189.988199999996</v>
          </cell>
          <cell r="P9">
            <v>3473.98</v>
          </cell>
          <cell r="Q9">
            <v>44355.45</v>
          </cell>
          <cell r="R9">
            <v>18653.3</v>
          </cell>
          <cell r="U9">
            <v>141809.22</v>
          </cell>
          <cell r="W9">
            <v>141809.22</v>
          </cell>
          <cell r="X9">
            <v>0</v>
          </cell>
          <cell r="Y9">
            <v>0</v>
          </cell>
          <cell r="Z9">
            <v>0</v>
          </cell>
          <cell r="AA9">
            <v>141809.22</v>
          </cell>
          <cell r="AB9">
            <v>0.30079291323105811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3967</v>
          </cell>
          <cell r="AH9">
            <v>104890</v>
          </cell>
          <cell r="AI9">
            <v>18.5</v>
          </cell>
          <cell r="AJ9">
            <v>555</v>
          </cell>
          <cell r="AK9">
            <v>102380</v>
          </cell>
          <cell r="AL9">
            <v>2510</v>
          </cell>
        </row>
        <row r="10">
          <cell r="A10">
            <v>5</v>
          </cell>
          <cell r="B10">
            <v>19670.093000000001</v>
          </cell>
          <cell r="E10">
            <v>517953</v>
          </cell>
          <cell r="H10">
            <v>517953</v>
          </cell>
          <cell r="I10">
            <v>0</v>
          </cell>
          <cell r="J10">
            <v>64962</v>
          </cell>
          <cell r="K10">
            <v>582915</v>
          </cell>
          <cell r="L10">
            <v>157387.04999999999</v>
          </cell>
          <cell r="M10">
            <v>3020</v>
          </cell>
          <cell r="N10">
            <v>33718.740299999998</v>
          </cell>
          <cell r="O10">
            <v>11261.029699999999</v>
          </cell>
          <cell r="P10">
            <v>3793.88</v>
          </cell>
          <cell r="Q10">
            <v>48773.65</v>
          </cell>
          <cell r="R10">
            <v>19488.599999999999</v>
          </cell>
          <cell r="U10">
            <v>154860.51999999999</v>
          </cell>
          <cell r="W10">
            <v>154860.51999999999</v>
          </cell>
          <cell r="X10">
            <v>0</v>
          </cell>
          <cell r="Y10">
            <v>0</v>
          </cell>
          <cell r="Z10">
            <v>0</v>
          </cell>
          <cell r="AA10">
            <v>154860.51999999999</v>
          </cell>
          <cell r="AB10">
            <v>0.29898566086112066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4168</v>
          </cell>
          <cell r="AH10">
            <v>113380</v>
          </cell>
          <cell r="AI10">
            <v>18.5</v>
          </cell>
          <cell r="AJ10">
            <v>528</v>
          </cell>
          <cell r="AK10">
            <v>110200</v>
          </cell>
          <cell r="AL10">
            <v>3180</v>
          </cell>
        </row>
        <row r="11">
          <cell r="A11">
            <v>6</v>
          </cell>
          <cell r="B11">
            <v>21469.518</v>
          </cell>
          <cell r="E11">
            <v>421267.33333333337</v>
          </cell>
          <cell r="H11">
            <v>421267.33333333337</v>
          </cell>
          <cell r="I11">
            <v>0</v>
          </cell>
          <cell r="J11">
            <v>49912.666666666672</v>
          </cell>
          <cell r="K11">
            <v>471180</v>
          </cell>
          <cell r="L11">
            <v>127218.6</v>
          </cell>
          <cell r="M11">
            <v>2200</v>
          </cell>
          <cell r="N11">
            <v>27424.503400000001</v>
          </cell>
          <cell r="O11">
            <v>9576.1165999999976</v>
          </cell>
          <cell r="P11">
            <v>3154.08</v>
          </cell>
          <cell r="Q11">
            <v>40154.699999999997</v>
          </cell>
          <cell r="R11">
            <v>14973.8</v>
          </cell>
          <cell r="U11">
            <v>125520.92</v>
          </cell>
          <cell r="W11">
            <v>125520.92</v>
          </cell>
          <cell r="X11">
            <v>0</v>
          </cell>
          <cell r="Y11">
            <v>0</v>
          </cell>
          <cell r="Z11">
            <v>0</v>
          </cell>
          <cell r="AA11">
            <v>125520.92</v>
          </cell>
          <cell r="AB11">
            <v>0.29796025010246857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3488</v>
          </cell>
          <cell r="AH11">
            <v>79260</v>
          </cell>
          <cell r="AI11">
            <v>15</v>
          </cell>
          <cell r="AJ11">
            <v>502</v>
          </cell>
          <cell r="AK11">
            <v>78620</v>
          </cell>
          <cell r="AL11">
            <v>640</v>
          </cell>
        </row>
        <row r="12">
          <cell r="A12">
            <v>7</v>
          </cell>
          <cell r="B12">
            <v>24306.345000000001</v>
          </cell>
          <cell r="E12">
            <v>512801.66666666663</v>
          </cell>
          <cell r="H12">
            <v>512801.66666666663</v>
          </cell>
          <cell r="I12">
            <v>0</v>
          </cell>
          <cell r="J12">
            <v>64871.333333333336</v>
          </cell>
          <cell r="K12">
            <v>577673</v>
          </cell>
          <cell r="L12">
            <v>155971.71</v>
          </cell>
          <cell r="M12">
            <v>3200</v>
          </cell>
          <cell r="N12">
            <v>33383.388500000001</v>
          </cell>
          <cell r="O12">
            <v>11383.411499999998</v>
          </cell>
          <cell r="P12">
            <v>3622.7</v>
          </cell>
          <cell r="Q12">
            <v>48389.5</v>
          </cell>
          <cell r="R12">
            <v>19461.400000000001</v>
          </cell>
          <cell r="U12">
            <v>153177.9</v>
          </cell>
          <cell r="W12">
            <v>153177.9</v>
          </cell>
          <cell r="X12">
            <v>0</v>
          </cell>
          <cell r="Y12">
            <v>0</v>
          </cell>
          <cell r="Z12">
            <v>0</v>
          </cell>
          <cell r="AA12">
            <v>153177.9</v>
          </cell>
          <cell r="AB12">
            <v>0.29870788251468244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4085</v>
          </cell>
          <cell r="AH12">
            <v>112440</v>
          </cell>
          <cell r="AI12">
            <v>18.5</v>
          </cell>
          <cell r="AJ12">
            <v>546</v>
          </cell>
          <cell r="AK12">
            <v>111480</v>
          </cell>
          <cell r="AL12">
            <v>960</v>
          </cell>
        </row>
        <row r="13">
          <cell r="A13">
            <v>8</v>
          </cell>
          <cell r="B13">
            <v>22386.355</v>
          </cell>
          <cell r="E13">
            <v>336773.66666666663</v>
          </cell>
          <cell r="H13">
            <v>336773.66666666663</v>
          </cell>
          <cell r="I13">
            <v>0</v>
          </cell>
          <cell r="J13">
            <v>44412.333333333328</v>
          </cell>
          <cell r="K13">
            <v>381186</v>
          </cell>
          <cell r="L13">
            <v>102920.22</v>
          </cell>
          <cell r="M13">
            <v>2020</v>
          </cell>
          <cell r="N13">
            <v>21923.965699999997</v>
          </cell>
          <cell r="O13">
            <v>7315.3443000000025</v>
          </cell>
          <cell r="P13">
            <v>2502.14</v>
          </cell>
          <cell r="Q13">
            <v>31741.45</v>
          </cell>
          <cell r="R13">
            <v>13323.7</v>
          </cell>
          <cell r="U13">
            <v>101529.46</v>
          </cell>
          <cell r="W13">
            <v>101529.46</v>
          </cell>
          <cell r="X13">
            <v>0</v>
          </cell>
          <cell r="Y13">
            <v>0</v>
          </cell>
          <cell r="Z13">
            <v>0</v>
          </cell>
          <cell r="AA13">
            <v>101529.46</v>
          </cell>
          <cell r="AB13">
            <v>0.30147683755954791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3548</v>
          </cell>
          <cell r="AH13">
            <v>76960</v>
          </cell>
          <cell r="AI13">
            <v>12.5</v>
          </cell>
          <cell r="AJ13">
            <v>408</v>
          </cell>
          <cell r="AK13">
            <v>76040</v>
          </cell>
          <cell r="AL13">
            <v>920</v>
          </cell>
        </row>
        <row r="14">
          <cell r="A14">
            <v>9</v>
          </cell>
          <cell r="B14">
            <v>0</v>
          </cell>
          <cell r="E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U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 t="e">
            <v>#DIV/0!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751</v>
          </cell>
          <cell r="AH14">
            <v>0</v>
          </cell>
          <cell r="AI14">
            <v>0</v>
          </cell>
          <cell r="AJ14">
            <v>90</v>
          </cell>
          <cell r="AK14">
            <v>0</v>
          </cell>
          <cell r="AL14">
            <v>0</v>
          </cell>
        </row>
        <row r="15">
          <cell r="A15">
            <v>10</v>
          </cell>
          <cell r="B15">
            <v>27247.789000000001</v>
          </cell>
          <cell r="E15">
            <v>498070.33333333337</v>
          </cell>
          <cell r="H15">
            <v>498070.33333333337</v>
          </cell>
          <cell r="I15">
            <v>0</v>
          </cell>
          <cell r="J15">
            <v>68270.666666666672</v>
          </cell>
          <cell r="K15">
            <v>566341</v>
          </cell>
          <cell r="L15">
            <v>152912.07</v>
          </cell>
          <cell r="M15">
            <v>2300</v>
          </cell>
          <cell r="N15">
            <v>32424.378699999997</v>
          </cell>
          <cell r="O15">
            <v>8404.7113000000008</v>
          </cell>
          <cell r="P15">
            <v>3502.51</v>
          </cell>
          <cell r="Q15">
            <v>44331.6</v>
          </cell>
          <cell r="R15">
            <v>20481.2</v>
          </cell>
          <cell r="U15">
            <v>151574.39000000001</v>
          </cell>
          <cell r="W15">
            <v>151574.39000000001</v>
          </cell>
          <cell r="X15">
            <v>0</v>
          </cell>
          <cell r="Y15">
            <v>0</v>
          </cell>
          <cell r="Z15">
            <v>0</v>
          </cell>
          <cell r="AA15">
            <v>151574.39000000001</v>
          </cell>
          <cell r="AB15">
            <v>0.30432326492041611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3917</v>
          </cell>
          <cell r="AH15">
            <v>110800</v>
          </cell>
          <cell r="AI15">
            <v>19</v>
          </cell>
          <cell r="AJ15">
            <v>545</v>
          </cell>
          <cell r="AK15">
            <v>109200</v>
          </cell>
          <cell r="AL15">
            <v>1600</v>
          </cell>
        </row>
        <row r="16">
          <cell r="A16">
            <v>11</v>
          </cell>
          <cell r="B16">
            <v>22391.432999999997</v>
          </cell>
          <cell r="E16">
            <v>505065</v>
          </cell>
          <cell r="H16">
            <v>505065</v>
          </cell>
          <cell r="I16">
            <v>0</v>
          </cell>
          <cell r="J16">
            <v>70837</v>
          </cell>
          <cell r="K16">
            <v>575902</v>
          </cell>
          <cell r="L16">
            <v>155493.54</v>
          </cell>
          <cell r="M16">
            <v>2480</v>
          </cell>
          <cell r="N16">
            <v>32879.731500000002</v>
          </cell>
          <cell r="O16">
            <v>7508.5584999999974</v>
          </cell>
          <cell r="P16">
            <v>3679.76</v>
          </cell>
          <cell r="Q16">
            <v>44068.05</v>
          </cell>
          <cell r="R16">
            <v>21251.1</v>
          </cell>
          <cell r="U16">
            <v>154403.44</v>
          </cell>
          <cell r="W16">
            <v>154403.44</v>
          </cell>
          <cell r="X16">
            <v>0</v>
          </cell>
          <cell r="Y16">
            <v>0</v>
          </cell>
          <cell r="Z16">
            <v>0</v>
          </cell>
          <cell r="AA16">
            <v>154403.44</v>
          </cell>
          <cell r="AB16">
            <v>0.30571003732192886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4395</v>
          </cell>
          <cell r="AH16">
            <v>114360</v>
          </cell>
          <cell r="AI16">
            <v>19</v>
          </cell>
          <cell r="AJ16">
            <v>583</v>
          </cell>
          <cell r="AK16">
            <v>112380</v>
          </cell>
          <cell r="AL16">
            <v>1980</v>
          </cell>
        </row>
        <row r="17">
          <cell r="A17">
            <v>12</v>
          </cell>
          <cell r="B17">
            <v>22274.484</v>
          </cell>
          <cell r="E17">
            <v>497650.66666666674</v>
          </cell>
          <cell r="H17">
            <v>497650.66666666674</v>
          </cell>
          <cell r="I17">
            <v>0</v>
          </cell>
          <cell r="J17">
            <v>66630.333333333343</v>
          </cell>
          <cell r="K17">
            <v>564281</v>
          </cell>
          <cell r="L17">
            <v>152355.87</v>
          </cell>
          <cell r="M17">
            <v>2800</v>
          </cell>
          <cell r="N17">
            <v>32397.058400000002</v>
          </cell>
          <cell r="O17">
            <v>10537.751599999989</v>
          </cell>
          <cell r="P17">
            <v>3565.64</v>
          </cell>
          <cell r="Q17">
            <v>46500.45</v>
          </cell>
          <cell r="R17">
            <v>19989.099999999999</v>
          </cell>
          <cell r="U17">
            <v>149295.56</v>
          </cell>
          <cell r="W17">
            <v>149295.56</v>
          </cell>
          <cell r="X17">
            <v>0</v>
          </cell>
          <cell r="Y17">
            <v>0</v>
          </cell>
          <cell r="Z17">
            <v>0</v>
          </cell>
          <cell r="AA17">
            <v>149295.56</v>
          </cell>
          <cell r="AB17">
            <v>0.30000072339901079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3572</v>
          </cell>
          <cell r="AH17">
            <v>114080</v>
          </cell>
          <cell r="AI17">
            <v>18.5</v>
          </cell>
          <cell r="AJ17">
            <v>534</v>
          </cell>
          <cell r="AK17">
            <v>111960</v>
          </cell>
          <cell r="AL17">
            <v>2120</v>
          </cell>
        </row>
        <row r="18">
          <cell r="A18">
            <v>13</v>
          </cell>
          <cell r="B18">
            <v>22850.735000000001</v>
          </cell>
          <cell r="E18">
            <v>491946.66666666663</v>
          </cell>
          <cell r="H18">
            <v>491946.66666666663</v>
          </cell>
          <cell r="I18">
            <v>0</v>
          </cell>
          <cell r="J18">
            <v>66348.333333333343</v>
          </cell>
          <cell r="K18">
            <v>558295</v>
          </cell>
          <cell r="L18">
            <v>150739.65</v>
          </cell>
          <cell r="M18">
            <v>2740</v>
          </cell>
          <cell r="N18">
            <v>32025.727999999996</v>
          </cell>
          <cell r="O18">
            <v>11651.851999999997</v>
          </cell>
          <cell r="P18">
            <v>3524.97</v>
          </cell>
          <cell r="Q18">
            <v>47202.55</v>
          </cell>
          <cell r="R18">
            <v>19904.5</v>
          </cell>
          <cell r="U18">
            <v>146107.23000000001</v>
          </cell>
          <cell r="W18">
            <v>146107.23000000001</v>
          </cell>
          <cell r="X18">
            <v>0</v>
          </cell>
          <cell r="Y18">
            <v>0</v>
          </cell>
          <cell r="Z18">
            <v>0</v>
          </cell>
          <cell r="AA18">
            <v>146107.23000000001</v>
          </cell>
          <cell r="AB18">
            <v>0.2969981095511709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4303</v>
          </cell>
          <cell r="AH18">
            <v>108160</v>
          </cell>
          <cell r="AI18">
            <v>19</v>
          </cell>
          <cell r="AJ18">
            <v>603</v>
          </cell>
          <cell r="AK18">
            <v>106300</v>
          </cell>
          <cell r="AL18">
            <v>1860</v>
          </cell>
        </row>
        <row r="19">
          <cell r="A19">
            <v>14</v>
          </cell>
          <cell r="B19">
            <v>22008.136999999999</v>
          </cell>
          <cell r="E19">
            <v>431883.66666666663</v>
          </cell>
          <cell r="H19">
            <v>431883.66666666663</v>
          </cell>
          <cell r="I19">
            <v>0</v>
          </cell>
          <cell r="J19">
            <v>50379.333333333343</v>
          </cell>
          <cell r="K19">
            <v>482263</v>
          </cell>
          <cell r="L19">
            <v>130211.01</v>
          </cell>
          <cell r="M19">
            <v>2300</v>
          </cell>
          <cell r="N19">
            <v>28115.626699999993</v>
          </cell>
          <cell r="O19">
            <v>9776.5733000000037</v>
          </cell>
          <cell r="P19">
            <v>3268.2</v>
          </cell>
          <cell r="Q19">
            <v>41160.400000000001</v>
          </cell>
          <cell r="R19">
            <v>15113.8</v>
          </cell>
          <cell r="U19">
            <v>127579.1</v>
          </cell>
          <cell r="W19">
            <v>127579.1</v>
          </cell>
          <cell r="X19">
            <v>0</v>
          </cell>
          <cell r="Y19">
            <v>0</v>
          </cell>
          <cell r="Z19">
            <v>0</v>
          </cell>
          <cell r="AA19">
            <v>127579.1</v>
          </cell>
          <cell r="AB19">
            <v>0.2954015394577707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3876</v>
          </cell>
          <cell r="AH19">
            <v>93920</v>
          </cell>
          <cell r="AI19">
            <v>16</v>
          </cell>
          <cell r="AJ19">
            <v>529</v>
          </cell>
          <cell r="AK19">
            <v>92620</v>
          </cell>
          <cell r="AL19">
            <v>1300</v>
          </cell>
        </row>
        <row r="20">
          <cell r="A20">
            <v>15</v>
          </cell>
          <cell r="B20">
            <v>26691.671000000002</v>
          </cell>
          <cell r="E20">
            <v>338170.66666666663</v>
          </cell>
          <cell r="H20">
            <v>338170.66666666663</v>
          </cell>
          <cell r="I20">
            <v>0</v>
          </cell>
          <cell r="J20">
            <v>42630.333333333343</v>
          </cell>
          <cell r="K20">
            <v>380801</v>
          </cell>
          <cell r="L20">
            <v>102816.27</v>
          </cell>
          <cell r="M20">
            <v>1900</v>
          </cell>
          <cell r="N20">
            <v>22014.910400000001</v>
          </cell>
          <cell r="O20">
            <v>7831.9295999999958</v>
          </cell>
          <cell r="P20">
            <v>2365.56</v>
          </cell>
          <cell r="Q20">
            <v>32212.400000000001</v>
          </cell>
          <cell r="R20">
            <v>12789.1</v>
          </cell>
          <cell r="U20">
            <v>99760.44</v>
          </cell>
          <cell r="W20">
            <v>99760.44</v>
          </cell>
          <cell r="X20">
            <v>0</v>
          </cell>
          <cell r="Y20">
            <v>0</v>
          </cell>
          <cell r="Z20">
            <v>0</v>
          </cell>
          <cell r="AA20">
            <v>99760.44</v>
          </cell>
          <cell r="AB20">
            <v>0.29500027599476403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2464</v>
          </cell>
          <cell r="AH20">
            <v>72200</v>
          </cell>
          <cell r="AI20">
            <v>12</v>
          </cell>
          <cell r="AJ20">
            <v>445</v>
          </cell>
          <cell r="AK20">
            <v>70980</v>
          </cell>
          <cell r="AL20">
            <v>1220</v>
          </cell>
        </row>
        <row r="21">
          <cell r="A21">
            <v>16</v>
          </cell>
          <cell r="B21">
            <v>0</v>
          </cell>
          <cell r="E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U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 t="e">
            <v>#DIV/0!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775</v>
          </cell>
          <cell r="AH21">
            <v>0</v>
          </cell>
          <cell r="AI21">
            <v>0</v>
          </cell>
          <cell r="AJ21">
            <v>104</v>
          </cell>
          <cell r="AK21">
            <v>0</v>
          </cell>
          <cell r="AL21">
            <v>0</v>
          </cell>
        </row>
        <row r="22">
          <cell r="A22">
            <v>17</v>
          </cell>
          <cell r="B22">
            <v>29647.298999999999</v>
          </cell>
          <cell r="E22">
            <v>382078</v>
          </cell>
          <cell r="H22">
            <v>382078</v>
          </cell>
          <cell r="I22">
            <v>0</v>
          </cell>
          <cell r="J22">
            <v>50281</v>
          </cell>
          <cell r="K22">
            <v>432359</v>
          </cell>
          <cell r="L22">
            <v>116736.93</v>
          </cell>
          <cell r="M22">
            <v>2160</v>
          </cell>
          <cell r="N22">
            <v>24873.277799999996</v>
          </cell>
          <cell r="O22">
            <v>9625.1322000000018</v>
          </cell>
          <cell r="P22">
            <v>2571.34</v>
          </cell>
          <cell r="Q22">
            <v>37069.75</v>
          </cell>
          <cell r="R22">
            <v>15084.3</v>
          </cell>
          <cell r="U22">
            <v>112713.43</v>
          </cell>
          <cell r="W22">
            <v>112713.43</v>
          </cell>
          <cell r="X22">
            <v>0</v>
          </cell>
          <cell r="Y22">
            <v>0</v>
          </cell>
          <cell r="Z22">
            <v>0</v>
          </cell>
          <cell r="AA22">
            <v>112713.43</v>
          </cell>
          <cell r="AB22">
            <v>0.2950010992519852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3016</v>
          </cell>
          <cell r="AH22">
            <v>78600</v>
          </cell>
          <cell r="AI22">
            <v>15.5</v>
          </cell>
          <cell r="AJ22">
            <v>470</v>
          </cell>
          <cell r="AK22">
            <v>77220</v>
          </cell>
          <cell r="AL22">
            <v>1380</v>
          </cell>
        </row>
        <row r="23">
          <cell r="A23">
            <v>18</v>
          </cell>
          <cell r="B23">
            <v>25496.993999999999</v>
          </cell>
          <cell r="E23">
            <v>482179</v>
          </cell>
          <cell r="H23">
            <v>482179</v>
          </cell>
          <cell r="I23">
            <v>0</v>
          </cell>
          <cell r="J23">
            <v>63511</v>
          </cell>
          <cell r="K23">
            <v>545690</v>
          </cell>
          <cell r="L23">
            <v>147336.29999999999</v>
          </cell>
          <cell r="M23">
            <v>2660</v>
          </cell>
          <cell r="N23">
            <v>31389.852899999998</v>
          </cell>
          <cell r="O23">
            <v>12360.687099999999</v>
          </cell>
          <cell r="P23">
            <v>3148.01</v>
          </cell>
          <cell r="Q23">
            <v>46898.55</v>
          </cell>
          <cell r="R23">
            <v>19053.3</v>
          </cell>
          <cell r="U23">
            <v>141615.89000000001</v>
          </cell>
          <cell r="W23">
            <v>141615.89000000001</v>
          </cell>
          <cell r="X23">
            <v>0</v>
          </cell>
          <cell r="Y23">
            <v>0</v>
          </cell>
          <cell r="Z23">
            <v>0</v>
          </cell>
          <cell r="AA23">
            <v>141615.89000000001</v>
          </cell>
          <cell r="AB23">
            <v>0.29369982931649868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3820</v>
          </cell>
          <cell r="AH23">
            <v>102860</v>
          </cell>
          <cell r="AI23">
            <v>18</v>
          </cell>
          <cell r="AJ23">
            <v>638</v>
          </cell>
          <cell r="AK23">
            <v>101140</v>
          </cell>
          <cell r="AL23">
            <v>1720</v>
          </cell>
        </row>
        <row r="24">
          <cell r="A24">
            <v>19</v>
          </cell>
          <cell r="B24">
            <v>24071.177</v>
          </cell>
          <cell r="E24">
            <v>491359.66666666674</v>
          </cell>
          <cell r="H24">
            <v>491359.66666666674</v>
          </cell>
          <cell r="I24">
            <v>0</v>
          </cell>
          <cell r="J24">
            <v>60121.333333333343</v>
          </cell>
          <cell r="K24">
            <v>551481</v>
          </cell>
          <cell r="L24">
            <v>148899.87</v>
          </cell>
          <cell r="M24">
            <v>2600</v>
          </cell>
          <cell r="N24">
            <v>31987.514299999995</v>
          </cell>
          <cell r="O24">
            <v>13868.325699999998</v>
          </cell>
          <cell r="P24">
            <v>2945.96</v>
          </cell>
          <cell r="Q24">
            <v>48801.8</v>
          </cell>
          <cell r="R24">
            <v>18036.400000000001</v>
          </cell>
          <cell r="U24">
            <v>143789.84</v>
          </cell>
          <cell r="W24">
            <v>143789.84</v>
          </cell>
          <cell r="X24">
            <v>0</v>
          </cell>
          <cell r="Y24">
            <v>0</v>
          </cell>
          <cell r="Z24">
            <v>0</v>
          </cell>
          <cell r="AA24">
            <v>143789.84</v>
          </cell>
          <cell r="AB24">
            <v>0.2926366361640047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4000</v>
          </cell>
          <cell r="AH24">
            <v>97680</v>
          </cell>
          <cell r="AI24">
            <v>19</v>
          </cell>
          <cell r="AJ24">
            <v>468</v>
          </cell>
          <cell r="AK24">
            <v>95580</v>
          </cell>
          <cell r="AL24">
            <v>2100</v>
          </cell>
        </row>
        <row r="25">
          <cell r="A25">
            <v>20</v>
          </cell>
          <cell r="B25">
            <v>23677.23</v>
          </cell>
          <cell r="E25">
            <v>511283</v>
          </cell>
          <cell r="H25">
            <v>511283</v>
          </cell>
          <cell r="I25">
            <v>0</v>
          </cell>
          <cell r="J25">
            <v>66366</v>
          </cell>
          <cell r="K25">
            <v>577649</v>
          </cell>
          <cell r="L25">
            <v>155965.23000000001</v>
          </cell>
          <cell r="M25">
            <v>2520</v>
          </cell>
          <cell r="N25">
            <v>33284.523300000001</v>
          </cell>
          <cell r="O25">
            <v>12495.866699999997</v>
          </cell>
          <cell r="P25">
            <v>3679.76</v>
          </cell>
          <cell r="Q25">
            <v>49460.15</v>
          </cell>
          <cell r="R25">
            <v>19909.8</v>
          </cell>
          <cell r="U25">
            <v>151512.24</v>
          </cell>
          <cell r="W25">
            <v>151512.24</v>
          </cell>
          <cell r="X25">
            <v>0</v>
          </cell>
          <cell r="Y25">
            <v>0</v>
          </cell>
          <cell r="Z25">
            <v>0</v>
          </cell>
          <cell r="AA25">
            <v>151512.24</v>
          </cell>
          <cell r="AB25">
            <v>0.29633733177124993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3795</v>
          </cell>
          <cell r="AH25">
            <v>112940</v>
          </cell>
          <cell r="AI25">
            <v>19</v>
          </cell>
          <cell r="AJ25">
            <v>593</v>
          </cell>
          <cell r="AK25">
            <v>110560</v>
          </cell>
          <cell r="AL25">
            <v>2380</v>
          </cell>
        </row>
        <row r="26">
          <cell r="A26">
            <v>21</v>
          </cell>
          <cell r="B26">
            <v>24150.865000000002</v>
          </cell>
          <cell r="E26">
            <v>497057</v>
          </cell>
          <cell r="H26">
            <v>497057</v>
          </cell>
          <cell r="I26">
            <v>0</v>
          </cell>
          <cell r="J26">
            <v>70802</v>
          </cell>
          <cell r="K26">
            <v>567859</v>
          </cell>
          <cell r="L26">
            <v>153321.93</v>
          </cell>
          <cell r="M26">
            <v>2600</v>
          </cell>
          <cell r="N26">
            <v>32358.4107</v>
          </cell>
          <cell r="O26">
            <v>9862.7293000000027</v>
          </cell>
          <cell r="P26">
            <v>3787.81</v>
          </cell>
          <cell r="Q26">
            <v>46008.95</v>
          </cell>
          <cell r="R26">
            <v>21240.6</v>
          </cell>
          <cell r="U26">
            <v>148452.69</v>
          </cell>
          <cell r="W26">
            <v>148452.69</v>
          </cell>
          <cell r="X26">
            <v>0</v>
          </cell>
          <cell r="Y26">
            <v>0</v>
          </cell>
          <cell r="Z26">
            <v>0</v>
          </cell>
          <cell r="AA26">
            <v>148452.69</v>
          </cell>
          <cell r="AB26">
            <v>0.29866331225593845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4165</v>
          </cell>
          <cell r="AH26">
            <v>106480</v>
          </cell>
          <cell r="AI26">
            <v>18.5</v>
          </cell>
          <cell r="AJ26">
            <v>587</v>
          </cell>
          <cell r="AK26">
            <v>104100</v>
          </cell>
          <cell r="AL26">
            <v>2380</v>
          </cell>
        </row>
        <row r="27">
          <cell r="A27">
            <v>22</v>
          </cell>
          <cell r="B27">
            <v>24141.016</v>
          </cell>
          <cell r="E27">
            <v>331801.66666666663</v>
          </cell>
          <cell r="H27">
            <v>331801.66666666663</v>
          </cell>
          <cell r="I27">
            <v>0</v>
          </cell>
          <cell r="J27">
            <v>45672.333333333328</v>
          </cell>
          <cell r="K27">
            <v>377474</v>
          </cell>
          <cell r="L27">
            <v>101917.98</v>
          </cell>
          <cell r="M27">
            <v>1640</v>
          </cell>
          <cell r="N27">
            <v>21600.288499999999</v>
          </cell>
          <cell r="O27">
            <v>6612.3215000000018</v>
          </cell>
          <cell r="P27">
            <v>2359.4899999999998</v>
          </cell>
          <cell r="Q27">
            <v>30572.1</v>
          </cell>
          <cell r="R27">
            <v>13701.7</v>
          </cell>
          <cell r="U27">
            <v>99705.81</v>
          </cell>
          <cell r="W27">
            <v>99705.81</v>
          </cell>
          <cell r="X27">
            <v>0</v>
          </cell>
          <cell r="Y27">
            <v>0</v>
          </cell>
          <cell r="Z27">
            <v>0</v>
          </cell>
          <cell r="AA27">
            <v>99705.81</v>
          </cell>
          <cell r="AB27">
            <v>0.30049821931776516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3339</v>
          </cell>
          <cell r="AH27">
            <v>74080</v>
          </cell>
          <cell r="AI27">
            <v>13</v>
          </cell>
          <cell r="AJ27">
            <v>429</v>
          </cell>
          <cell r="AK27">
            <v>72380</v>
          </cell>
          <cell r="AL27">
            <v>1700</v>
          </cell>
        </row>
        <row r="28">
          <cell r="A28">
            <v>23</v>
          </cell>
          <cell r="B28">
            <v>0</v>
          </cell>
          <cell r="E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U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 t="e">
            <v>#DIV/0!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219</v>
          </cell>
          <cell r="AH28">
            <v>0</v>
          </cell>
          <cell r="AI28">
            <v>0</v>
          </cell>
          <cell r="AJ28">
            <v>72</v>
          </cell>
          <cell r="AK28">
            <v>0</v>
          </cell>
          <cell r="AL28">
            <v>0</v>
          </cell>
        </row>
        <row r="29">
          <cell r="A29">
            <v>24</v>
          </cell>
          <cell r="B29">
            <v>27233.43</v>
          </cell>
          <cell r="E29">
            <v>469981.33333333337</v>
          </cell>
          <cell r="H29">
            <v>469981.33333333337</v>
          </cell>
          <cell r="I29">
            <v>0</v>
          </cell>
          <cell r="J29">
            <v>68593.666666666672</v>
          </cell>
          <cell r="K29">
            <v>538575</v>
          </cell>
          <cell r="L29">
            <v>145415.25</v>
          </cell>
          <cell r="M29">
            <v>2380</v>
          </cell>
          <cell r="N29">
            <v>30595.784800000001</v>
          </cell>
          <cell r="O29">
            <v>7671.425199999996</v>
          </cell>
          <cell r="P29">
            <v>3245.74</v>
          </cell>
          <cell r="Q29">
            <v>41512.949999999997</v>
          </cell>
          <cell r="R29">
            <v>20578.099999999999</v>
          </cell>
          <cell r="U29">
            <v>142214.16</v>
          </cell>
          <cell r="W29">
            <v>142214.16</v>
          </cell>
          <cell r="X29">
            <v>0</v>
          </cell>
          <cell r="Y29">
            <v>0</v>
          </cell>
          <cell r="Z29">
            <v>0</v>
          </cell>
          <cell r="AA29">
            <v>142214.16</v>
          </cell>
          <cell r="AB29">
            <v>0.3025953371197721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3621</v>
          </cell>
          <cell r="AH29">
            <v>100960</v>
          </cell>
          <cell r="AI29">
            <v>19</v>
          </cell>
          <cell r="AJ29">
            <v>504</v>
          </cell>
          <cell r="AK29">
            <v>98660</v>
          </cell>
          <cell r="AL29">
            <v>2300</v>
          </cell>
        </row>
        <row r="30">
          <cell r="A30">
            <v>25</v>
          </cell>
          <cell r="B30">
            <v>23526.069000000003</v>
          </cell>
          <cell r="E30">
            <v>474638.66666666663</v>
          </cell>
          <cell r="H30">
            <v>474638.66666666663</v>
          </cell>
          <cell r="I30">
            <v>0</v>
          </cell>
          <cell r="J30">
            <v>68044.333333333328</v>
          </cell>
          <cell r="K30">
            <v>542683</v>
          </cell>
          <cell r="L30">
            <v>146524.41</v>
          </cell>
          <cell r="M30">
            <v>2340</v>
          </cell>
          <cell r="N30">
            <v>30898.977199999994</v>
          </cell>
          <cell r="O30">
            <v>6286.3228000000017</v>
          </cell>
          <cell r="P30">
            <v>3194.75</v>
          </cell>
          <cell r="Q30">
            <v>40380.050000000003</v>
          </cell>
          <cell r="R30">
            <v>20413.3</v>
          </cell>
          <cell r="U30">
            <v>144781</v>
          </cell>
          <cell r="W30">
            <v>144781</v>
          </cell>
          <cell r="X30">
            <v>0</v>
          </cell>
          <cell r="Y30">
            <v>0</v>
          </cell>
          <cell r="Z30">
            <v>0</v>
          </cell>
          <cell r="AA30">
            <v>144781</v>
          </cell>
          <cell r="AB30">
            <v>0.30503414527261441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3727</v>
          </cell>
          <cell r="AH30">
            <v>105840</v>
          </cell>
          <cell r="AI30">
            <v>18.5</v>
          </cell>
          <cell r="AJ30">
            <v>534</v>
          </cell>
          <cell r="AK30">
            <v>102880</v>
          </cell>
          <cell r="AL30">
            <v>2960</v>
          </cell>
        </row>
        <row r="31">
          <cell r="A31">
            <v>26</v>
          </cell>
          <cell r="B31">
            <v>23524.201999999997</v>
          </cell>
          <cell r="E31">
            <v>415632.33333333337</v>
          </cell>
          <cell r="H31">
            <v>415632.33333333337</v>
          </cell>
          <cell r="I31">
            <v>0</v>
          </cell>
          <cell r="J31">
            <v>55270.666666666672</v>
          </cell>
          <cell r="K31">
            <v>470903</v>
          </cell>
          <cell r="L31">
            <v>127143.81</v>
          </cell>
          <cell r="M31">
            <v>2500</v>
          </cell>
          <cell r="N31">
            <v>27057.664900000003</v>
          </cell>
          <cell r="O31">
            <v>6244.4150999999974</v>
          </cell>
          <cell r="P31">
            <v>2777.12</v>
          </cell>
          <cell r="Q31">
            <v>36079.199999999997</v>
          </cell>
          <cell r="R31">
            <v>16581.2</v>
          </cell>
          <cell r="U31">
            <v>127042.78</v>
          </cell>
          <cell r="W31">
            <v>127042.78</v>
          </cell>
          <cell r="X31">
            <v>0</v>
          </cell>
          <cell r="Y31">
            <v>0</v>
          </cell>
          <cell r="Z31">
            <v>0</v>
          </cell>
          <cell r="AA31">
            <v>127042.78</v>
          </cell>
          <cell r="AB31">
            <v>0.30566144597348455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3570</v>
          </cell>
          <cell r="AH31">
            <v>94580</v>
          </cell>
          <cell r="AI31">
            <v>18</v>
          </cell>
          <cell r="AJ31">
            <v>539</v>
          </cell>
          <cell r="AK31">
            <v>91940</v>
          </cell>
          <cell r="AL31">
            <v>2640</v>
          </cell>
        </row>
        <row r="32">
          <cell r="A32">
            <v>27</v>
          </cell>
          <cell r="B32">
            <v>24178.146000000004</v>
          </cell>
          <cell r="E32">
            <v>471908.66666666674</v>
          </cell>
          <cell r="H32">
            <v>471908.66666666674</v>
          </cell>
          <cell r="I32">
            <v>0</v>
          </cell>
          <cell r="J32">
            <v>64610.333333333343</v>
          </cell>
          <cell r="K32">
            <v>536519</v>
          </cell>
          <cell r="L32">
            <v>144860.13</v>
          </cell>
          <cell r="M32">
            <v>2540</v>
          </cell>
          <cell r="N32">
            <v>30721.254199999999</v>
          </cell>
          <cell r="O32">
            <v>6762.9057999999968</v>
          </cell>
          <cell r="P32">
            <v>3388.39</v>
          </cell>
          <cell r="Q32">
            <v>40872.550000000003</v>
          </cell>
          <cell r="R32">
            <v>19383.099999999999</v>
          </cell>
          <cell r="U32">
            <v>144094.41</v>
          </cell>
          <cell r="W32">
            <v>144094.41</v>
          </cell>
          <cell r="X32">
            <v>0</v>
          </cell>
          <cell r="Y32">
            <v>0</v>
          </cell>
          <cell r="Z32">
            <v>0</v>
          </cell>
          <cell r="AA32">
            <v>144094.41</v>
          </cell>
          <cell r="AB32">
            <v>0.30534385184703816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4272</v>
          </cell>
          <cell r="AH32">
            <v>107680</v>
          </cell>
          <cell r="AI32">
            <v>18.5</v>
          </cell>
          <cell r="AJ32">
            <v>584</v>
          </cell>
          <cell r="AK32">
            <v>104740</v>
          </cell>
          <cell r="AL32">
            <v>2940</v>
          </cell>
        </row>
        <row r="33">
          <cell r="A33">
            <v>28</v>
          </cell>
          <cell r="B33">
            <v>24851.822</v>
          </cell>
          <cell r="E33">
            <v>456108.66666666669</v>
          </cell>
          <cell r="H33">
            <v>456108.66666666669</v>
          </cell>
          <cell r="I33">
            <v>0</v>
          </cell>
          <cell r="J33">
            <v>64502.333333333336</v>
          </cell>
          <cell r="K33">
            <v>520611</v>
          </cell>
          <cell r="L33">
            <v>140564.97</v>
          </cell>
          <cell r="M33">
            <v>2560</v>
          </cell>
          <cell r="N33">
            <v>29692.674200000001</v>
          </cell>
          <cell r="O33">
            <v>6554.7158000000009</v>
          </cell>
          <cell r="P33">
            <v>3359.86</v>
          </cell>
          <cell r="Q33">
            <v>39607.25</v>
          </cell>
          <cell r="R33">
            <v>19350.7</v>
          </cell>
          <cell r="U33">
            <v>139446.44</v>
          </cell>
          <cell r="W33">
            <v>139446.44</v>
          </cell>
          <cell r="X33">
            <v>0</v>
          </cell>
          <cell r="Y33">
            <v>0</v>
          </cell>
          <cell r="Z33">
            <v>0</v>
          </cell>
          <cell r="AA33">
            <v>139446.44</v>
          </cell>
          <cell r="AB33">
            <v>0.30573073960445096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3577</v>
          </cell>
          <cell r="AH33">
            <v>103700</v>
          </cell>
          <cell r="AI33">
            <v>19</v>
          </cell>
          <cell r="AJ33">
            <v>562</v>
          </cell>
          <cell r="AK33">
            <v>100840</v>
          </cell>
          <cell r="AL33">
            <v>2860</v>
          </cell>
        </row>
        <row r="34">
          <cell r="A34">
            <v>29</v>
          </cell>
        </row>
        <row r="35">
          <cell r="A35">
            <v>30</v>
          </cell>
        </row>
        <row r="36">
          <cell r="A36">
            <v>31</v>
          </cell>
        </row>
      </sheetData>
      <sheetData sheetId="9" refreshError="1">
        <row r="6">
          <cell r="A6">
            <v>1</v>
          </cell>
          <cell r="B6">
            <v>0</v>
          </cell>
          <cell r="C6">
            <v>0</v>
          </cell>
          <cell r="G6">
            <v>0</v>
          </cell>
          <cell r="H6">
            <v>0</v>
          </cell>
          <cell r="I6">
            <v>503535.33333333331</v>
          </cell>
          <cell r="J6">
            <v>151732.1</v>
          </cell>
          <cell r="K6">
            <v>35268</v>
          </cell>
          <cell r="N6">
            <v>7.0040765096921365E-2</v>
          </cell>
          <cell r="O6">
            <v>23.24359842116467</v>
          </cell>
          <cell r="P6">
            <v>0</v>
          </cell>
          <cell r="Q6">
            <v>0</v>
          </cell>
          <cell r="U6">
            <v>0</v>
          </cell>
          <cell r="V6">
            <v>0</v>
          </cell>
          <cell r="W6">
            <v>503535.33333333331</v>
          </cell>
          <cell r="X6">
            <v>151732.1</v>
          </cell>
          <cell r="Y6">
            <v>35268</v>
          </cell>
          <cell r="Z6">
            <v>0</v>
          </cell>
          <cell r="AA6">
            <v>0</v>
          </cell>
          <cell r="AB6">
            <v>7.0040765096921365E-2</v>
          </cell>
          <cell r="AC6">
            <v>23.24359842116467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</row>
        <row r="7">
          <cell r="A7">
            <v>2</v>
          </cell>
          <cell r="B7">
            <v>0</v>
          </cell>
          <cell r="C7">
            <v>0</v>
          </cell>
          <cell r="G7">
            <v>0</v>
          </cell>
          <cell r="H7">
            <v>0</v>
          </cell>
          <cell r="I7">
            <v>369287</v>
          </cell>
          <cell r="J7">
            <v>112033.38</v>
          </cell>
          <cell r="K7">
            <v>26094</v>
          </cell>
          <cell r="N7">
            <v>7.0660488996363263E-2</v>
          </cell>
          <cell r="O7">
            <v>23.291272654632039</v>
          </cell>
          <cell r="P7">
            <v>0</v>
          </cell>
          <cell r="Q7">
            <v>0</v>
          </cell>
          <cell r="U7">
            <v>0</v>
          </cell>
          <cell r="V7">
            <v>0</v>
          </cell>
          <cell r="W7">
            <v>369287</v>
          </cell>
          <cell r="X7">
            <v>112033.38</v>
          </cell>
          <cell r="Y7">
            <v>26094</v>
          </cell>
          <cell r="Z7">
            <v>0</v>
          </cell>
          <cell r="AA7">
            <v>0</v>
          </cell>
          <cell r="AB7">
            <v>7.0660488996363263E-2</v>
          </cell>
          <cell r="AC7">
            <v>23.291272654632039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A8">
            <v>3</v>
          </cell>
          <cell r="B8">
            <v>0</v>
          </cell>
          <cell r="C8">
            <v>0</v>
          </cell>
          <cell r="G8">
            <v>0</v>
          </cell>
          <cell r="H8">
            <v>0</v>
          </cell>
          <cell r="I8">
            <v>467134.33333333337</v>
          </cell>
          <cell r="J8">
            <v>142817.76999999999</v>
          </cell>
          <cell r="K8">
            <v>27800</v>
          </cell>
          <cell r="N8">
            <v>5.9511789256908962E-2</v>
          </cell>
          <cell r="O8">
            <v>19.46536484920609</v>
          </cell>
          <cell r="P8">
            <v>0</v>
          </cell>
          <cell r="Q8">
            <v>0</v>
          </cell>
          <cell r="U8">
            <v>0</v>
          </cell>
          <cell r="V8">
            <v>0</v>
          </cell>
          <cell r="W8">
            <v>467134.33333333337</v>
          </cell>
          <cell r="X8">
            <v>142817.76999999999</v>
          </cell>
          <cell r="Y8">
            <v>27800</v>
          </cell>
          <cell r="Z8">
            <v>0</v>
          </cell>
          <cell r="AA8">
            <v>0</v>
          </cell>
          <cell r="AB8">
            <v>5.9511789256908962E-2</v>
          </cell>
          <cell r="AC8">
            <v>19.46536484920609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</row>
        <row r="9">
          <cell r="A9">
            <v>4</v>
          </cell>
          <cell r="B9">
            <v>0</v>
          </cell>
          <cell r="C9">
            <v>0</v>
          </cell>
          <cell r="G9">
            <v>0</v>
          </cell>
          <cell r="H9">
            <v>0</v>
          </cell>
          <cell r="I9">
            <v>471451.33333333331</v>
          </cell>
          <cell r="J9">
            <v>141809.22</v>
          </cell>
          <cell r="K9">
            <v>33138</v>
          </cell>
          <cell r="N9">
            <v>7.0289333504907542E-2</v>
          </cell>
          <cell r="O9">
            <v>23.36801514034137</v>
          </cell>
          <cell r="P9">
            <v>0</v>
          </cell>
          <cell r="Q9">
            <v>0</v>
          </cell>
          <cell r="U9">
            <v>0</v>
          </cell>
          <cell r="V9">
            <v>0</v>
          </cell>
          <cell r="W9">
            <v>471451.33333333331</v>
          </cell>
          <cell r="X9">
            <v>141809.22</v>
          </cell>
          <cell r="Y9">
            <v>33138</v>
          </cell>
          <cell r="Z9">
            <v>0</v>
          </cell>
          <cell r="AA9">
            <v>0</v>
          </cell>
          <cell r="AB9">
            <v>7.0289333504907542E-2</v>
          </cell>
          <cell r="AC9">
            <v>23.36801514034137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</row>
        <row r="10">
          <cell r="A10">
            <v>5</v>
          </cell>
          <cell r="B10">
            <v>0</v>
          </cell>
          <cell r="C10">
            <v>0</v>
          </cell>
          <cell r="G10">
            <v>0</v>
          </cell>
          <cell r="H10">
            <v>0</v>
          </cell>
          <cell r="I10">
            <v>517953</v>
          </cell>
          <cell r="J10">
            <v>154860.51999999999</v>
          </cell>
          <cell r="K10">
            <v>38539</v>
          </cell>
          <cell r="N10">
            <v>7.4406365056288892E-2</v>
          </cell>
          <cell r="O10">
            <v>24.88626539546684</v>
          </cell>
          <cell r="P10">
            <v>0</v>
          </cell>
          <cell r="Q10">
            <v>0</v>
          </cell>
          <cell r="U10">
            <v>0</v>
          </cell>
          <cell r="V10">
            <v>0</v>
          </cell>
          <cell r="W10">
            <v>517953</v>
          </cell>
          <cell r="X10">
            <v>154860.51999999999</v>
          </cell>
          <cell r="Y10">
            <v>38539</v>
          </cell>
          <cell r="Z10">
            <v>0</v>
          </cell>
          <cell r="AA10">
            <v>0</v>
          </cell>
          <cell r="AB10">
            <v>7.4406365056288892E-2</v>
          </cell>
          <cell r="AC10">
            <v>24.88626539546684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</row>
        <row r="11">
          <cell r="A11">
            <v>6</v>
          </cell>
          <cell r="B11">
            <v>0</v>
          </cell>
          <cell r="C11">
            <v>0</v>
          </cell>
          <cell r="G11">
            <v>0</v>
          </cell>
          <cell r="H11">
            <v>0</v>
          </cell>
          <cell r="I11">
            <v>421267.33333333337</v>
          </cell>
          <cell r="J11">
            <v>125520.92</v>
          </cell>
          <cell r="K11">
            <v>28615</v>
          </cell>
          <cell r="N11">
            <v>6.7925988406411758E-2</v>
          </cell>
          <cell r="O11">
            <v>22.796996707799781</v>
          </cell>
          <cell r="P11">
            <v>0</v>
          </cell>
          <cell r="Q11">
            <v>0</v>
          </cell>
          <cell r="U11">
            <v>0</v>
          </cell>
          <cell r="V11">
            <v>0</v>
          </cell>
          <cell r="W11">
            <v>421267.33333333337</v>
          </cell>
          <cell r="X11">
            <v>125520.92</v>
          </cell>
          <cell r="Y11">
            <v>28615</v>
          </cell>
          <cell r="Z11">
            <v>0</v>
          </cell>
          <cell r="AA11">
            <v>0</v>
          </cell>
          <cell r="AB11">
            <v>6.7925988406411758E-2</v>
          </cell>
          <cell r="AC11">
            <v>22.796996707799781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A12">
            <v>7</v>
          </cell>
          <cell r="B12">
            <v>0</v>
          </cell>
          <cell r="C12">
            <v>0</v>
          </cell>
          <cell r="G12">
            <v>0</v>
          </cell>
          <cell r="H12">
            <v>0</v>
          </cell>
          <cell r="I12">
            <v>512801.66666666663</v>
          </cell>
          <cell r="J12">
            <v>153177.9</v>
          </cell>
          <cell r="K12">
            <v>36591</v>
          </cell>
          <cell r="N12">
            <v>7.1355072298906988E-2</v>
          </cell>
          <cell r="O12">
            <v>23.887910723413757</v>
          </cell>
          <cell r="P12">
            <v>0</v>
          </cell>
          <cell r="Q12">
            <v>0</v>
          </cell>
          <cell r="U12">
            <v>0</v>
          </cell>
          <cell r="V12">
            <v>0</v>
          </cell>
          <cell r="W12">
            <v>512801.66666666663</v>
          </cell>
          <cell r="X12">
            <v>153177.9</v>
          </cell>
          <cell r="Y12">
            <v>36591</v>
          </cell>
          <cell r="Z12">
            <v>0</v>
          </cell>
          <cell r="AA12">
            <v>0</v>
          </cell>
          <cell r="AB12">
            <v>7.1355072298906988E-2</v>
          </cell>
          <cell r="AC12">
            <v>23.887910723413757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</row>
        <row r="13">
          <cell r="A13">
            <v>8</v>
          </cell>
          <cell r="B13">
            <v>0</v>
          </cell>
          <cell r="C13">
            <v>0</v>
          </cell>
          <cell r="G13">
            <v>0</v>
          </cell>
          <cell r="H13">
            <v>0</v>
          </cell>
          <cell r="I13">
            <v>336773.66666666663</v>
          </cell>
          <cell r="J13">
            <v>101529.46</v>
          </cell>
          <cell r="K13">
            <v>22681</v>
          </cell>
          <cell r="N13">
            <v>6.7347902300358017E-2</v>
          </cell>
          <cell r="O13">
            <v>22.339328900202954</v>
          </cell>
          <cell r="P13">
            <v>0</v>
          </cell>
          <cell r="Q13">
            <v>0</v>
          </cell>
          <cell r="U13">
            <v>0</v>
          </cell>
          <cell r="V13">
            <v>0</v>
          </cell>
          <cell r="W13">
            <v>336773.66666666663</v>
          </cell>
          <cell r="X13">
            <v>101529.46</v>
          </cell>
          <cell r="Y13">
            <v>22681</v>
          </cell>
          <cell r="Z13">
            <v>0</v>
          </cell>
          <cell r="AA13">
            <v>0</v>
          </cell>
          <cell r="AB13">
            <v>6.7347902300358017E-2</v>
          </cell>
          <cell r="AC13">
            <v>22.339328900202954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</row>
        <row r="14">
          <cell r="A14">
            <v>9</v>
          </cell>
          <cell r="B14">
            <v>0</v>
          </cell>
          <cell r="C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</row>
        <row r="15">
          <cell r="A15">
            <v>10</v>
          </cell>
          <cell r="B15">
            <v>0</v>
          </cell>
          <cell r="C15">
            <v>0</v>
          </cell>
          <cell r="G15">
            <v>0</v>
          </cell>
          <cell r="H15">
            <v>0</v>
          </cell>
          <cell r="I15">
            <v>498070.33333333337</v>
          </cell>
          <cell r="J15">
            <v>151574.39000000001</v>
          </cell>
          <cell r="K15">
            <v>39893</v>
          </cell>
          <cell r="N15">
            <v>8.0095113742302784E-2</v>
          </cell>
          <cell r="O15">
            <v>26.319089920137561</v>
          </cell>
          <cell r="P15">
            <v>0</v>
          </cell>
          <cell r="Q15">
            <v>0</v>
          </cell>
          <cell r="U15">
            <v>0</v>
          </cell>
          <cell r="V15">
            <v>0</v>
          </cell>
          <cell r="W15">
            <v>498070.33333333337</v>
          </cell>
          <cell r="X15">
            <v>151574.39000000001</v>
          </cell>
          <cell r="Y15">
            <v>39893</v>
          </cell>
          <cell r="Z15">
            <v>0</v>
          </cell>
          <cell r="AA15">
            <v>0</v>
          </cell>
          <cell r="AB15">
            <v>8.0095113742302784E-2</v>
          </cell>
          <cell r="AC15">
            <v>26.319089920137561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</row>
        <row r="16">
          <cell r="A16">
            <v>11</v>
          </cell>
          <cell r="B16">
            <v>0</v>
          </cell>
          <cell r="C16">
            <v>0</v>
          </cell>
          <cell r="G16">
            <v>0</v>
          </cell>
          <cell r="H16">
            <v>0</v>
          </cell>
          <cell r="I16">
            <v>505065</v>
          </cell>
          <cell r="J16">
            <v>154403.44</v>
          </cell>
          <cell r="K16">
            <v>39257</v>
          </cell>
          <cell r="N16">
            <v>7.7726629245740642E-2</v>
          </cell>
          <cell r="O16">
            <v>25.424951672061191</v>
          </cell>
          <cell r="P16">
            <v>0</v>
          </cell>
          <cell r="Q16">
            <v>0</v>
          </cell>
          <cell r="U16">
            <v>0</v>
          </cell>
          <cell r="V16">
            <v>0</v>
          </cell>
          <cell r="W16">
            <v>505065</v>
          </cell>
          <cell r="X16">
            <v>154403.44</v>
          </cell>
          <cell r="Y16">
            <v>39257</v>
          </cell>
          <cell r="Z16">
            <v>0</v>
          </cell>
          <cell r="AA16">
            <v>0</v>
          </cell>
          <cell r="AB16">
            <v>7.7726629245740642E-2</v>
          </cell>
          <cell r="AC16">
            <v>25.424951672061191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</row>
        <row r="17">
          <cell r="A17">
            <v>12</v>
          </cell>
          <cell r="B17">
            <v>0</v>
          </cell>
          <cell r="C17">
            <v>0</v>
          </cell>
          <cell r="G17">
            <v>0</v>
          </cell>
          <cell r="H17">
            <v>0</v>
          </cell>
          <cell r="I17">
            <v>497650.66666666674</v>
          </cell>
          <cell r="J17">
            <v>149295.56</v>
          </cell>
          <cell r="K17">
            <v>36113</v>
          </cell>
          <cell r="N17">
            <v>7.2566967993612647E-2</v>
          </cell>
          <cell r="O17">
            <v>24.188931003708351</v>
          </cell>
          <cell r="P17">
            <v>0</v>
          </cell>
          <cell r="Q17">
            <v>0</v>
          </cell>
          <cell r="U17">
            <v>0</v>
          </cell>
          <cell r="V17">
            <v>0</v>
          </cell>
          <cell r="W17">
            <v>497650.66666666674</v>
          </cell>
          <cell r="X17">
            <v>149295.56</v>
          </cell>
          <cell r="Y17">
            <v>36113</v>
          </cell>
          <cell r="Z17">
            <v>0</v>
          </cell>
          <cell r="AA17">
            <v>0</v>
          </cell>
          <cell r="AB17">
            <v>7.2566967993612647E-2</v>
          </cell>
          <cell r="AC17">
            <v>24.188931003708351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</row>
        <row r="18">
          <cell r="A18">
            <v>13</v>
          </cell>
          <cell r="B18">
            <v>0</v>
          </cell>
          <cell r="C18">
            <v>0</v>
          </cell>
          <cell r="G18">
            <v>0</v>
          </cell>
          <cell r="H18">
            <v>0</v>
          </cell>
          <cell r="I18">
            <v>491946.66666666663</v>
          </cell>
          <cell r="J18">
            <v>146107.23000000001</v>
          </cell>
          <cell r="K18">
            <v>23140</v>
          </cell>
          <cell r="N18">
            <v>4.7037619254119693E-2</v>
          </cell>
          <cell r="O18">
            <v>15.83768304963416</v>
          </cell>
          <cell r="P18">
            <v>0</v>
          </cell>
          <cell r="Q18">
            <v>0</v>
          </cell>
          <cell r="U18">
            <v>0</v>
          </cell>
          <cell r="V18">
            <v>0</v>
          </cell>
          <cell r="W18">
            <v>491946.66666666663</v>
          </cell>
          <cell r="X18">
            <v>146107.23000000001</v>
          </cell>
          <cell r="Y18">
            <v>23140</v>
          </cell>
          <cell r="Z18">
            <v>0</v>
          </cell>
          <cell r="AA18">
            <v>0</v>
          </cell>
          <cell r="AB18">
            <v>4.7037619254119693E-2</v>
          </cell>
          <cell r="AC18">
            <v>15.83768304963416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</row>
        <row r="19">
          <cell r="A19">
            <v>14</v>
          </cell>
          <cell r="B19">
            <v>0</v>
          </cell>
          <cell r="C19">
            <v>0</v>
          </cell>
          <cell r="G19">
            <v>0</v>
          </cell>
          <cell r="H19">
            <v>0</v>
          </cell>
          <cell r="I19">
            <v>431883.66666666663</v>
          </cell>
          <cell r="J19">
            <v>127579.1</v>
          </cell>
          <cell r="K19">
            <v>35011</v>
          </cell>
          <cell r="N19">
            <v>8.1065811703923366E-2</v>
          </cell>
          <cell r="O19">
            <v>27.442582680078477</v>
          </cell>
          <cell r="P19">
            <v>0</v>
          </cell>
          <cell r="Q19">
            <v>0</v>
          </cell>
          <cell r="U19">
            <v>0</v>
          </cell>
          <cell r="V19">
            <v>0</v>
          </cell>
          <cell r="W19">
            <v>431883.66666666663</v>
          </cell>
          <cell r="X19">
            <v>127579.1</v>
          </cell>
          <cell r="Y19">
            <v>35011</v>
          </cell>
          <cell r="Z19">
            <v>0</v>
          </cell>
          <cell r="AA19">
            <v>0</v>
          </cell>
          <cell r="AB19">
            <v>8.1065811703923366E-2</v>
          </cell>
          <cell r="AC19">
            <v>27.442582680078477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A20">
            <v>15</v>
          </cell>
          <cell r="B20">
            <v>0</v>
          </cell>
          <cell r="C20">
            <v>0</v>
          </cell>
          <cell r="G20">
            <v>0</v>
          </cell>
          <cell r="H20">
            <v>0</v>
          </cell>
          <cell r="I20">
            <v>338170.66666666663</v>
          </cell>
          <cell r="J20">
            <v>99760.44</v>
          </cell>
          <cell r="K20">
            <v>25110</v>
          </cell>
          <cell r="N20">
            <v>7.4252448467834783E-2</v>
          </cell>
          <cell r="O20">
            <v>25.170297965806888</v>
          </cell>
          <cell r="P20">
            <v>0</v>
          </cell>
          <cell r="Q20">
            <v>0</v>
          </cell>
          <cell r="U20">
            <v>0</v>
          </cell>
          <cell r="V20">
            <v>0</v>
          </cell>
          <cell r="W20">
            <v>338170.66666666663</v>
          </cell>
          <cell r="X20">
            <v>99760.44</v>
          </cell>
          <cell r="Y20">
            <v>25110</v>
          </cell>
          <cell r="Z20">
            <v>0</v>
          </cell>
          <cell r="AA20">
            <v>0</v>
          </cell>
          <cell r="AB20">
            <v>7.4252448467834783E-2</v>
          </cell>
          <cell r="AC20">
            <v>25.170297965806888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</row>
        <row r="21">
          <cell r="A21">
            <v>16</v>
          </cell>
          <cell r="B21">
            <v>0</v>
          </cell>
          <cell r="C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</row>
        <row r="22">
          <cell r="A22">
            <v>17</v>
          </cell>
          <cell r="B22">
            <v>0</v>
          </cell>
          <cell r="C22">
            <v>0</v>
          </cell>
          <cell r="G22">
            <v>0</v>
          </cell>
          <cell r="H22">
            <v>0</v>
          </cell>
          <cell r="I22">
            <v>382078</v>
          </cell>
          <cell r="J22">
            <v>112713.43</v>
          </cell>
          <cell r="K22">
            <v>26660</v>
          </cell>
          <cell r="N22">
            <v>6.9776328393678783E-2</v>
          </cell>
          <cell r="O22">
            <v>23.652904538527487</v>
          </cell>
          <cell r="P22">
            <v>0</v>
          </cell>
          <cell r="Q22">
            <v>0</v>
          </cell>
          <cell r="U22">
            <v>0</v>
          </cell>
          <cell r="V22">
            <v>0</v>
          </cell>
          <cell r="W22">
            <v>382078</v>
          </cell>
          <cell r="X22">
            <v>112713.43</v>
          </cell>
          <cell r="Y22">
            <v>26660</v>
          </cell>
          <cell r="Z22">
            <v>0</v>
          </cell>
          <cell r="AA22">
            <v>0</v>
          </cell>
          <cell r="AB22">
            <v>6.9776328393678783E-2</v>
          </cell>
          <cell r="AC22">
            <v>23.652904538527487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</row>
        <row r="23">
          <cell r="A23">
            <v>18</v>
          </cell>
          <cell r="B23">
            <v>0</v>
          </cell>
          <cell r="C23">
            <v>0</v>
          </cell>
          <cell r="G23">
            <v>0</v>
          </cell>
          <cell r="H23">
            <v>0</v>
          </cell>
          <cell r="I23">
            <v>482179</v>
          </cell>
          <cell r="J23">
            <v>141615.89000000001</v>
          </cell>
          <cell r="K23">
            <v>26966</v>
          </cell>
          <cell r="N23">
            <v>5.592528915610178E-2</v>
          </cell>
          <cell r="O23">
            <v>19.041648504274484</v>
          </cell>
          <cell r="P23">
            <v>0</v>
          </cell>
          <cell r="Q23">
            <v>0</v>
          </cell>
          <cell r="U23">
            <v>0</v>
          </cell>
          <cell r="V23">
            <v>0</v>
          </cell>
          <cell r="W23">
            <v>482179</v>
          </cell>
          <cell r="X23">
            <v>141615.89000000001</v>
          </cell>
          <cell r="Y23">
            <v>26966</v>
          </cell>
          <cell r="Z23">
            <v>0</v>
          </cell>
          <cell r="AA23">
            <v>0</v>
          </cell>
          <cell r="AB23">
            <v>5.592528915610178E-2</v>
          </cell>
          <cell r="AC23">
            <v>19.041648504274484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</row>
        <row r="24">
          <cell r="A24">
            <v>19</v>
          </cell>
          <cell r="B24">
            <v>0</v>
          </cell>
          <cell r="C24">
            <v>0</v>
          </cell>
          <cell r="G24">
            <v>0</v>
          </cell>
          <cell r="H24">
            <v>0</v>
          </cell>
          <cell r="I24">
            <v>491359.66666666674</v>
          </cell>
          <cell r="J24">
            <v>143789.84</v>
          </cell>
          <cell r="K24">
            <v>32521</v>
          </cell>
          <cell r="N24">
            <v>6.618573360043796E-2</v>
          </cell>
          <cell r="O24">
            <v>22.617036085442479</v>
          </cell>
          <cell r="P24">
            <v>0</v>
          </cell>
          <cell r="Q24">
            <v>0</v>
          </cell>
          <cell r="U24">
            <v>0</v>
          </cell>
          <cell r="V24">
            <v>0</v>
          </cell>
          <cell r="W24">
            <v>491359.66666666674</v>
          </cell>
          <cell r="X24">
            <v>143789.84</v>
          </cell>
          <cell r="Y24">
            <v>32521</v>
          </cell>
          <cell r="Z24">
            <v>0</v>
          </cell>
          <cell r="AA24">
            <v>0</v>
          </cell>
          <cell r="AB24">
            <v>6.618573360043796E-2</v>
          </cell>
          <cell r="AC24">
            <v>22.617036085442479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</row>
        <row r="25">
          <cell r="A25">
            <v>20</v>
          </cell>
          <cell r="B25">
            <v>0</v>
          </cell>
          <cell r="C25">
            <v>0</v>
          </cell>
          <cell r="G25">
            <v>0</v>
          </cell>
          <cell r="H25">
            <v>0</v>
          </cell>
          <cell r="I25">
            <v>511283</v>
          </cell>
          <cell r="J25">
            <v>151512.24</v>
          </cell>
          <cell r="K25">
            <v>33349</v>
          </cell>
          <cell r="N25">
            <v>6.5226107654664828E-2</v>
          </cell>
          <cell r="O25">
            <v>22.010762958821019</v>
          </cell>
          <cell r="P25">
            <v>0</v>
          </cell>
          <cell r="Q25">
            <v>0</v>
          </cell>
          <cell r="U25">
            <v>0</v>
          </cell>
          <cell r="V25">
            <v>0</v>
          </cell>
          <cell r="W25">
            <v>511283</v>
          </cell>
          <cell r="X25">
            <v>151512.24</v>
          </cell>
          <cell r="Y25">
            <v>33349</v>
          </cell>
          <cell r="Z25">
            <v>0</v>
          </cell>
          <cell r="AA25">
            <v>0</v>
          </cell>
          <cell r="AB25">
            <v>6.5226107654664828E-2</v>
          </cell>
          <cell r="AC25">
            <v>22.010762958821019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</row>
        <row r="26">
          <cell r="A26">
            <v>21</v>
          </cell>
          <cell r="B26">
            <v>0</v>
          </cell>
          <cell r="C26">
            <v>0</v>
          </cell>
          <cell r="G26">
            <v>0</v>
          </cell>
          <cell r="H26">
            <v>0</v>
          </cell>
          <cell r="I26">
            <v>497057</v>
          </cell>
          <cell r="J26">
            <v>148452.69</v>
          </cell>
          <cell r="K26">
            <v>43857</v>
          </cell>
          <cell r="N26">
            <v>8.8233341447761529E-2</v>
          </cell>
          <cell r="O26">
            <v>29.54274523418875</v>
          </cell>
          <cell r="P26">
            <v>0</v>
          </cell>
          <cell r="Q26">
            <v>0</v>
          </cell>
          <cell r="U26">
            <v>0</v>
          </cell>
          <cell r="V26">
            <v>0</v>
          </cell>
          <cell r="W26">
            <v>497057</v>
          </cell>
          <cell r="X26">
            <v>148452.69</v>
          </cell>
          <cell r="Y26">
            <v>43857</v>
          </cell>
          <cell r="Z26">
            <v>0</v>
          </cell>
          <cell r="AA26">
            <v>0</v>
          </cell>
          <cell r="AB26">
            <v>8.8233341447761529E-2</v>
          </cell>
          <cell r="AC26">
            <v>29.54274523418875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</row>
        <row r="27">
          <cell r="A27">
            <v>22</v>
          </cell>
          <cell r="B27">
            <v>0</v>
          </cell>
          <cell r="C27">
            <v>0</v>
          </cell>
          <cell r="G27">
            <v>0</v>
          </cell>
          <cell r="H27">
            <v>0</v>
          </cell>
          <cell r="I27">
            <v>331801.66666666663</v>
          </cell>
          <cell r="J27">
            <v>99705.81</v>
          </cell>
          <cell r="K27">
            <v>26800</v>
          </cell>
          <cell r="N27">
            <v>8.077114340394112E-2</v>
          </cell>
          <cell r="O27">
            <v>26.87907555236751</v>
          </cell>
          <cell r="P27">
            <v>0</v>
          </cell>
          <cell r="Q27">
            <v>0</v>
          </cell>
          <cell r="U27">
            <v>0</v>
          </cell>
          <cell r="V27">
            <v>0</v>
          </cell>
          <cell r="W27">
            <v>331801.66666666663</v>
          </cell>
          <cell r="X27">
            <v>99705.81</v>
          </cell>
          <cell r="Y27">
            <v>26800</v>
          </cell>
          <cell r="Z27">
            <v>0</v>
          </cell>
          <cell r="AA27">
            <v>0</v>
          </cell>
          <cell r="AB27">
            <v>8.077114340394112E-2</v>
          </cell>
          <cell r="AC27">
            <v>26.87907555236751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</row>
        <row r="28">
          <cell r="A28">
            <v>23</v>
          </cell>
          <cell r="B28">
            <v>0</v>
          </cell>
          <cell r="C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</row>
        <row r="29">
          <cell r="A29">
            <v>24</v>
          </cell>
          <cell r="B29">
            <v>0</v>
          </cell>
          <cell r="C29">
            <v>0</v>
          </cell>
          <cell r="G29">
            <v>0</v>
          </cell>
          <cell r="H29">
            <v>0</v>
          </cell>
          <cell r="I29">
            <v>469981.33333333337</v>
          </cell>
          <cell r="J29">
            <v>142214.16</v>
          </cell>
          <cell r="K29">
            <v>39801</v>
          </cell>
          <cell r="N29">
            <v>8.4686342152596128E-2</v>
          </cell>
          <cell r="O29">
            <v>27.986664619050593</v>
          </cell>
          <cell r="P29">
            <v>0</v>
          </cell>
          <cell r="Q29">
            <v>0</v>
          </cell>
          <cell r="U29">
            <v>0</v>
          </cell>
          <cell r="V29">
            <v>0</v>
          </cell>
          <cell r="W29">
            <v>469981.33333333337</v>
          </cell>
          <cell r="X29">
            <v>142214.16</v>
          </cell>
          <cell r="Y29">
            <v>39801</v>
          </cell>
          <cell r="Z29">
            <v>0</v>
          </cell>
          <cell r="AA29">
            <v>0</v>
          </cell>
          <cell r="AB29">
            <v>8.4686342152596128E-2</v>
          </cell>
          <cell r="AC29">
            <v>27.986664619050593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</row>
        <row r="30">
          <cell r="A30">
            <v>25</v>
          </cell>
          <cell r="B30">
            <v>0</v>
          </cell>
          <cell r="C30">
            <v>0</v>
          </cell>
          <cell r="G30">
            <v>0</v>
          </cell>
          <cell r="H30">
            <v>0</v>
          </cell>
          <cell r="I30">
            <v>474638.66666666663</v>
          </cell>
          <cell r="J30">
            <v>144781</v>
          </cell>
          <cell r="K30">
            <v>35889</v>
          </cell>
          <cell r="N30">
            <v>7.5613308650229374E-2</v>
          </cell>
          <cell r="O30">
            <v>24.788473625682926</v>
          </cell>
          <cell r="P30">
            <v>0</v>
          </cell>
          <cell r="Q30">
            <v>0</v>
          </cell>
          <cell r="U30">
            <v>0</v>
          </cell>
          <cell r="V30">
            <v>0</v>
          </cell>
          <cell r="W30">
            <v>474638.66666666663</v>
          </cell>
          <cell r="X30">
            <v>144781</v>
          </cell>
          <cell r="Y30">
            <v>35889</v>
          </cell>
          <cell r="Z30">
            <v>0</v>
          </cell>
          <cell r="AA30">
            <v>0</v>
          </cell>
          <cell r="AB30">
            <v>7.5613308650229374E-2</v>
          </cell>
          <cell r="AC30">
            <v>24.788473625682926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A31">
            <v>26</v>
          </cell>
          <cell r="B31">
            <v>0</v>
          </cell>
          <cell r="C31">
            <v>0</v>
          </cell>
          <cell r="G31">
            <v>0</v>
          </cell>
          <cell r="H31">
            <v>0</v>
          </cell>
          <cell r="I31">
            <v>415632.33333333337</v>
          </cell>
          <cell r="J31">
            <v>127042.78</v>
          </cell>
          <cell r="K31">
            <v>28016</v>
          </cell>
          <cell r="N31">
            <v>6.7405727979135396E-2</v>
          </cell>
          <cell r="O31">
            <v>22.052414155294777</v>
          </cell>
          <cell r="P31">
            <v>0</v>
          </cell>
          <cell r="Q31">
            <v>0</v>
          </cell>
          <cell r="U31">
            <v>0</v>
          </cell>
          <cell r="V31">
            <v>0</v>
          </cell>
          <cell r="W31">
            <v>415632.33333333337</v>
          </cell>
          <cell r="X31">
            <v>127042.78</v>
          </cell>
          <cell r="Y31">
            <v>28016</v>
          </cell>
          <cell r="Z31">
            <v>0</v>
          </cell>
          <cell r="AA31">
            <v>0</v>
          </cell>
          <cell r="AB31">
            <v>6.7405727979135396E-2</v>
          </cell>
          <cell r="AC31">
            <v>22.052414155294777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A32">
            <v>27</v>
          </cell>
          <cell r="B32">
            <v>0</v>
          </cell>
          <cell r="C32">
            <v>0</v>
          </cell>
          <cell r="G32">
            <v>0</v>
          </cell>
          <cell r="H32">
            <v>0</v>
          </cell>
          <cell r="I32">
            <v>471908.66666666674</v>
          </cell>
          <cell r="J32">
            <v>144094.41</v>
          </cell>
          <cell r="K32">
            <v>31796</v>
          </cell>
          <cell r="N32">
            <v>6.7377444505504591E-2</v>
          </cell>
          <cell r="O32">
            <v>22.066088476298283</v>
          </cell>
          <cell r="P32">
            <v>0</v>
          </cell>
          <cell r="Q32">
            <v>0</v>
          </cell>
          <cell r="U32">
            <v>0</v>
          </cell>
          <cell r="V32">
            <v>0</v>
          </cell>
          <cell r="W32">
            <v>471908.66666666674</v>
          </cell>
          <cell r="X32">
            <v>144094.41</v>
          </cell>
          <cell r="Y32">
            <v>31796</v>
          </cell>
          <cell r="Z32">
            <v>0</v>
          </cell>
          <cell r="AA32">
            <v>0</v>
          </cell>
          <cell r="AB32">
            <v>6.7377444505504591E-2</v>
          </cell>
          <cell r="AC32">
            <v>22.066088476298283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</row>
        <row r="33">
          <cell r="A33">
            <v>28</v>
          </cell>
          <cell r="B33">
            <v>0</v>
          </cell>
          <cell r="C33">
            <v>0</v>
          </cell>
          <cell r="G33">
            <v>0</v>
          </cell>
          <cell r="H33">
            <v>0</v>
          </cell>
          <cell r="I33">
            <v>456108.66666666669</v>
          </cell>
          <cell r="J33">
            <v>139446.44</v>
          </cell>
          <cell r="K33">
            <v>36556</v>
          </cell>
          <cell r="N33">
            <v>8.0147567173319806E-2</v>
          </cell>
          <cell r="O33">
            <v>26.215083009648723</v>
          </cell>
          <cell r="P33">
            <v>0</v>
          </cell>
          <cell r="Q33">
            <v>0</v>
          </cell>
          <cell r="U33">
            <v>0</v>
          </cell>
          <cell r="V33">
            <v>0</v>
          </cell>
          <cell r="W33">
            <v>456108.66666666669</v>
          </cell>
          <cell r="X33">
            <v>139446.44</v>
          </cell>
          <cell r="Y33">
            <v>36556</v>
          </cell>
          <cell r="Z33">
            <v>0</v>
          </cell>
          <cell r="AA33">
            <v>0</v>
          </cell>
          <cell r="AB33">
            <v>8.0147567173319806E-2</v>
          </cell>
          <cell r="AC33">
            <v>26.215083009648723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</row>
        <row r="34">
          <cell r="A34">
            <v>29</v>
          </cell>
          <cell r="I34">
            <v>0</v>
          </cell>
          <cell r="J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</row>
        <row r="35">
          <cell r="A35">
            <v>30</v>
          </cell>
          <cell r="I35">
            <v>0</v>
          </cell>
          <cell r="J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</row>
        <row r="36">
          <cell r="A36">
            <v>31</v>
          </cell>
          <cell r="B36">
            <v>0</v>
          </cell>
          <cell r="C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</row>
      </sheetData>
      <sheetData sheetId="10" refreshError="1"/>
      <sheetData sheetId="11" refreshError="1">
        <row r="6">
          <cell r="A6">
            <v>1</v>
          </cell>
          <cell r="B6">
            <v>80917.743093777462</v>
          </cell>
          <cell r="C6">
            <v>21457.440000000002</v>
          </cell>
          <cell r="D6">
            <v>47683.200000000004</v>
          </cell>
          <cell r="E6">
            <v>0</v>
          </cell>
          <cell r="F6">
            <v>0</v>
          </cell>
          <cell r="G6">
            <v>0</v>
          </cell>
          <cell r="H6">
            <v>21595.7</v>
          </cell>
          <cell r="I6">
            <v>47204.25</v>
          </cell>
          <cell r="J6">
            <v>68799.95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1280</v>
          </cell>
          <cell r="P6">
            <v>0</v>
          </cell>
          <cell r="Q6">
            <v>1181.568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P6">
            <v>0</v>
          </cell>
          <cell r="AV6">
            <v>0</v>
          </cell>
          <cell r="AW6">
            <v>69981.517999999996</v>
          </cell>
          <cell r="AY6">
            <v>90826.666666666672</v>
          </cell>
          <cell r="BA6">
            <v>90826.666666666672</v>
          </cell>
          <cell r="BB6">
            <v>107755.79442711077</v>
          </cell>
          <cell r="BC6">
            <v>1402940.723625286</v>
          </cell>
          <cell r="BE6">
            <v>0</v>
          </cell>
          <cell r="BF6">
            <v>0</v>
          </cell>
          <cell r="BG6">
            <v>24131</v>
          </cell>
          <cell r="BJ6">
            <v>0</v>
          </cell>
          <cell r="BL6">
            <v>1427071.723625286</v>
          </cell>
          <cell r="BM6">
            <v>1112901</v>
          </cell>
          <cell r="BN6">
            <v>813678.27</v>
          </cell>
          <cell r="BP6">
            <v>14559</v>
          </cell>
          <cell r="BQ6">
            <v>0</v>
          </cell>
          <cell r="BS6">
            <v>828237.27</v>
          </cell>
          <cell r="BT6">
            <v>828237.27</v>
          </cell>
          <cell r="BV6">
            <v>828237.27</v>
          </cell>
          <cell r="CA6">
            <v>8.68</v>
          </cell>
          <cell r="CC6">
            <v>24</v>
          </cell>
          <cell r="CD6">
            <v>1</v>
          </cell>
          <cell r="CF6">
            <v>23</v>
          </cell>
          <cell r="CG6">
            <v>3948.985507246377</v>
          </cell>
          <cell r="CH6">
            <v>1</v>
          </cell>
          <cell r="CI6">
            <v>167500</v>
          </cell>
          <cell r="CK6">
            <v>110175.88999999998</v>
          </cell>
          <cell r="CL6">
            <v>57324.110000000015</v>
          </cell>
          <cell r="CM6">
            <v>0</v>
          </cell>
          <cell r="CN6">
            <v>0</v>
          </cell>
          <cell r="CO6">
            <v>0</v>
          </cell>
          <cell r="CP6">
            <v>0</v>
          </cell>
        </row>
        <row r="7">
          <cell r="A7">
            <v>2</v>
          </cell>
          <cell r="B7">
            <v>107755.79442711077</v>
          </cell>
          <cell r="C7">
            <v>16581.846000000001</v>
          </cell>
          <cell r="D7">
            <v>36848.546666666669</v>
          </cell>
          <cell r="E7">
            <v>0</v>
          </cell>
          <cell r="F7">
            <v>5818.2619999999997</v>
          </cell>
          <cell r="G7">
            <v>8781.7379999999994</v>
          </cell>
          <cell r="H7">
            <v>17320.5</v>
          </cell>
          <cell r="I7">
            <v>34263.550000000003</v>
          </cell>
          <cell r="J7">
            <v>51584.05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P7">
            <v>0</v>
          </cell>
          <cell r="AV7">
            <v>0</v>
          </cell>
          <cell r="AW7">
            <v>66184.05</v>
          </cell>
          <cell r="AY7">
            <v>65144.444444444445</v>
          </cell>
          <cell r="BA7">
            <v>65144.444444444445</v>
          </cell>
          <cell r="BB7">
            <v>145643.946649333</v>
          </cell>
          <cell r="BC7">
            <v>1427071.723625286</v>
          </cell>
          <cell r="BE7">
            <v>0</v>
          </cell>
          <cell r="BF7">
            <v>0</v>
          </cell>
          <cell r="BG7">
            <v>17132</v>
          </cell>
          <cell r="BJ7">
            <v>0</v>
          </cell>
          <cell r="BL7">
            <v>1444203.723625286</v>
          </cell>
          <cell r="BM7">
            <v>1112901</v>
          </cell>
          <cell r="BN7">
            <v>828237.27</v>
          </cell>
          <cell r="BP7">
            <v>10439</v>
          </cell>
          <cell r="BQ7">
            <v>0</v>
          </cell>
          <cell r="BS7">
            <v>838676.27</v>
          </cell>
          <cell r="BT7">
            <v>838676.27</v>
          </cell>
          <cell r="BV7">
            <v>838676.27</v>
          </cell>
          <cell r="CA7">
            <v>8.59</v>
          </cell>
          <cell r="CC7">
            <v>24</v>
          </cell>
          <cell r="CF7">
            <v>24</v>
          </cell>
          <cell r="CG7">
            <v>2714.3518518518517</v>
          </cell>
          <cell r="CH7">
            <v>2</v>
          </cell>
          <cell r="CI7">
            <v>110175.88999999998</v>
          </cell>
          <cell r="CK7">
            <v>135175.94</v>
          </cell>
          <cell r="CL7">
            <v>-25000.050000000017</v>
          </cell>
          <cell r="CM7">
            <v>0</v>
          </cell>
          <cell r="CN7">
            <v>0</v>
          </cell>
          <cell r="CO7">
            <v>0</v>
          </cell>
          <cell r="CP7">
            <v>0</v>
          </cell>
        </row>
        <row r="8">
          <cell r="A8">
            <v>3</v>
          </cell>
          <cell r="B8">
            <v>145643.946649333</v>
          </cell>
          <cell r="C8">
            <v>21324.059999999998</v>
          </cell>
          <cell r="D8">
            <v>47386.799999999996</v>
          </cell>
          <cell r="E8">
            <v>0</v>
          </cell>
          <cell r="F8">
            <v>6027.8760000000002</v>
          </cell>
          <cell r="G8">
            <v>9082.1239999999998</v>
          </cell>
          <cell r="H8">
            <v>19036.400000000001</v>
          </cell>
          <cell r="I8">
            <v>42231.95</v>
          </cell>
          <cell r="J8">
            <v>61268.35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P8">
            <v>0</v>
          </cell>
          <cell r="AV8">
            <v>0</v>
          </cell>
          <cell r="AW8">
            <v>76378.350000000006</v>
          </cell>
          <cell r="AY8">
            <v>85872.222222222219</v>
          </cell>
          <cell r="BA8">
            <v>85872.222222222219</v>
          </cell>
          <cell r="BB8">
            <v>183536.8744271108</v>
          </cell>
          <cell r="BC8">
            <v>1444203.723625286</v>
          </cell>
          <cell r="BE8">
            <v>0</v>
          </cell>
          <cell r="BF8">
            <v>0</v>
          </cell>
          <cell r="BG8">
            <v>22526</v>
          </cell>
          <cell r="BJ8">
            <v>0</v>
          </cell>
          <cell r="BL8">
            <v>1466729.723625286</v>
          </cell>
          <cell r="BM8">
            <v>1175023</v>
          </cell>
          <cell r="BN8">
            <v>838676.27</v>
          </cell>
          <cell r="BP8">
            <v>13982</v>
          </cell>
          <cell r="BQ8">
            <v>0</v>
          </cell>
          <cell r="BS8">
            <v>852658.27</v>
          </cell>
          <cell r="BT8">
            <v>852658.27</v>
          </cell>
          <cell r="BV8">
            <v>852658.27</v>
          </cell>
          <cell r="CA8">
            <v>0</v>
          </cell>
          <cell r="CC8">
            <v>24</v>
          </cell>
          <cell r="CF8">
            <v>24</v>
          </cell>
          <cell r="CG8">
            <v>3578.0092592592591</v>
          </cell>
          <cell r="CH8">
            <v>3</v>
          </cell>
          <cell r="CI8">
            <v>135175.94</v>
          </cell>
          <cell r="CK8">
            <v>160176.29</v>
          </cell>
          <cell r="CL8">
            <v>-25000.350000000006</v>
          </cell>
          <cell r="CM8">
            <v>0</v>
          </cell>
          <cell r="CN8">
            <v>0</v>
          </cell>
          <cell r="CO8">
            <v>0</v>
          </cell>
          <cell r="CP8">
            <v>0</v>
          </cell>
        </row>
        <row r="9">
          <cell r="A9">
            <v>4</v>
          </cell>
          <cell r="B9">
            <v>183536.8744271108</v>
          </cell>
          <cell r="C9">
            <v>13104.251000000004</v>
          </cell>
          <cell r="D9">
            <v>29120.557777777787</v>
          </cell>
          <cell r="E9">
            <v>0</v>
          </cell>
          <cell r="F9">
            <v>5924.3339999999998</v>
          </cell>
          <cell r="G9">
            <v>8935.6659999999993</v>
          </cell>
          <cell r="H9">
            <v>18653.3</v>
          </cell>
          <cell r="I9">
            <v>44355.45</v>
          </cell>
          <cell r="J9">
            <v>63008.75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P9">
            <v>430</v>
          </cell>
          <cell r="AV9">
            <v>0</v>
          </cell>
          <cell r="AW9">
            <v>78298.75</v>
          </cell>
          <cell r="AY9">
            <v>83200</v>
          </cell>
          <cell r="BA9">
            <v>83200</v>
          </cell>
          <cell r="BB9">
            <v>207756.18220488855</v>
          </cell>
          <cell r="BC9">
            <v>1466729.723625286</v>
          </cell>
          <cell r="BE9">
            <v>0</v>
          </cell>
          <cell r="BF9">
            <v>0</v>
          </cell>
          <cell r="BG9">
            <v>21378</v>
          </cell>
          <cell r="BJ9">
            <v>0</v>
          </cell>
          <cell r="BL9">
            <v>1488107.723625286</v>
          </cell>
          <cell r="BM9">
            <v>1175023</v>
          </cell>
          <cell r="BN9">
            <v>852658.27</v>
          </cell>
          <cell r="BP9">
            <v>13404</v>
          </cell>
          <cell r="BQ9">
            <v>0</v>
          </cell>
          <cell r="BS9">
            <v>866062.27</v>
          </cell>
          <cell r="BT9">
            <v>866062.27</v>
          </cell>
          <cell r="BV9">
            <v>866062.27</v>
          </cell>
          <cell r="CA9">
            <v>8.49</v>
          </cell>
          <cell r="CC9">
            <v>24</v>
          </cell>
          <cell r="CD9">
            <v>1</v>
          </cell>
          <cell r="CF9">
            <v>23</v>
          </cell>
          <cell r="CG9">
            <v>3617.391304347826</v>
          </cell>
          <cell r="CH9">
            <v>4</v>
          </cell>
          <cell r="CI9">
            <v>160176.29</v>
          </cell>
          <cell r="CK9">
            <v>180176.04</v>
          </cell>
          <cell r="CL9">
            <v>-19999.75</v>
          </cell>
          <cell r="CM9">
            <v>0</v>
          </cell>
          <cell r="CN9">
            <v>0</v>
          </cell>
          <cell r="CO9">
            <v>0</v>
          </cell>
          <cell r="CP9">
            <v>0</v>
          </cell>
        </row>
        <row r="10">
          <cell r="A10">
            <v>5</v>
          </cell>
          <cell r="B10">
            <v>207756.18220488855</v>
          </cell>
          <cell r="C10">
            <v>16999.623999999996</v>
          </cell>
          <cell r="D10">
            <v>37776.942222222213</v>
          </cell>
          <cell r="E10">
            <v>0</v>
          </cell>
          <cell r="F10">
            <v>6405.018</v>
          </cell>
          <cell r="G10">
            <v>9664.982</v>
          </cell>
          <cell r="H10">
            <v>19488.599999999999</v>
          </cell>
          <cell r="I10">
            <v>48773.65</v>
          </cell>
          <cell r="J10">
            <v>68262.25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P10">
            <v>0</v>
          </cell>
          <cell r="AV10">
            <v>0</v>
          </cell>
          <cell r="AW10">
            <v>84332.25</v>
          </cell>
          <cell r="AY10">
            <v>142711.11111111112</v>
          </cell>
          <cell r="BA10">
            <v>142711.11111111112</v>
          </cell>
          <cell r="BB10">
            <v>187154.26331599965</v>
          </cell>
          <cell r="BC10">
            <v>1488107.723625286</v>
          </cell>
          <cell r="BE10">
            <v>0</v>
          </cell>
          <cell r="BF10">
            <v>0</v>
          </cell>
          <cell r="BG10">
            <v>38204</v>
          </cell>
          <cell r="BJ10">
            <v>0</v>
          </cell>
          <cell r="BL10">
            <v>1526311.723625286</v>
          </cell>
          <cell r="BM10">
            <v>1238451</v>
          </cell>
          <cell r="BN10">
            <v>866062.27</v>
          </cell>
          <cell r="BP10">
            <v>23388</v>
          </cell>
          <cell r="BQ10">
            <v>18410</v>
          </cell>
          <cell r="BS10">
            <v>871040.27</v>
          </cell>
          <cell r="BT10">
            <v>871040.27</v>
          </cell>
          <cell r="BV10">
            <v>871040.27</v>
          </cell>
          <cell r="CA10">
            <v>9.25</v>
          </cell>
          <cell r="CC10">
            <v>24</v>
          </cell>
          <cell r="CF10">
            <v>24</v>
          </cell>
          <cell r="CG10">
            <v>5946.2962962962965</v>
          </cell>
          <cell r="CH10">
            <v>5</v>
          </cell>
          <cell r="CI10">
            <v>180176.04</v>
          </cell>
          <cell r="CK10">
            <v>185176.29</v>
          </cell>
          <cell r="CL10">
            <v>-5000.25</v>
          </cell>
          <cell r="CM10">
            <v>0</v>
          </cell>
          <cell r="CN10">
            <v>0</v>
          </cell>
          <cell r="CO10">
            <v>0</v>
          </cell>
          <cell r="CP10">
            <v>0</v>
          </cell>
        </row>
        <row r="11">
          <cell r="A11">
            <v>6</v>
          </cell>
          <cell r="B11">
            <v>187154.26331599965</v>
          </cell>
          <cell r="C11">
            <v>10161.998999999998</v>
          </cell>
          <cell r="D11">
            <v>22582.219999999994</v>
          </cell>
          <cell r="E11">
            <v>0</v>
          </cell>
          <cell r="F11">
            <v>7151.3739999999998</v>
          </cell>
          <cell r="G11">
            <v>10778.626</v>
          </cell>
          <cell r="H11">
            <v>14973.8</v>
          </cell>
          <cell r="I11">
            <v>40154.699999999997</v>
          </cell>
          <cell r="J11">
            <v>55128.5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P11">
            <v>0</v>
          </cell>
          <cell r="AV11">
            <v>0</v>
          </cell>
          <cell r="AW11">
            <v>73058.5</v>
          </cell>
          <cell r="AY11">
            <v>172755.55555555553</v>
          </cell>
          <cell r="BA11">
            <v>172755.55555555553</v>
          </cell>
          <cell r="BB11">
            <v>110039.42776044409</v>
          </cell>
          <cell r="BC11">
            <v>1526311.723625286</v>
          </cell>
          <cell r="BE11">
            <v>0</v>
          </cell>
          <cell r="BF11">
            <v>0</v>
          </cell>
          <cell r="BG11">
            <v>46673</v>
          </cell>
          <cell r="BJ11">
            <v>0</v>
          </cell>
          <cell r="BL11">
            <v>1572984.723625286</v>
          </cell>
          <cell r="BM11">
            <v>1238451</v>
          </cell>
          <cell r="BN11">
            <v>871040.27</v>
          </cell>
          <cell r="BP11">
            <v>27715</v>
          </cell>
          <cell r="BQ11">
            <v>0</v>
          </cell>
          <cell r="BS11">
            <v>898755.27</v>
          </cell>
          <cell r="BT11">
            <v>898755.27</v>
          </cell>
          <cell r="BV11">
            <v>898755.27</v>
          </cell>
          <cell r="CA11">
            <v>9.31</v>
          </cell>
          <cell r="CC11">
            <v>24</v>
          </cell>
          <cell r="CF11">
            <v>24</v>
          </cell>
          <cell r="CG11">
            <v>7198.1481481481469</v>
          </cell>
          <cell r="CH11">
            <v>6</v>
          </cell>
          <cell r="CI11">
            <v>185176.29</v>
          </cell>
          <cell r="CK11">
            <v>135175.79</v>
          </cell>
          <cell r="CL11">
            <v>50000.5</v>
          </cell>
          <cell r="CM11">
            <v>0</v>
          </cell>
          <cell r="CN11">
            <v>0</v>
          </cell>
          <cell r="CO11">
            <v>0</v>
          </cell>
          <cell r="CP11">
            <v>0</v>
          </cell>
        </row>
        <row r="12">
          <cell r="A12">
            <v>7</v>
          </cell>
          <cell r="B12">
            <v>110039.42776044409</v>
          </cell>
          <cell r="C12">
            <v>14286.878999999999</v>
          </cell>
          <cell r="D12">
            <v>31748.619999999995</v>
          </cell>
          <cell r="E12">
            <v>0</v>
          </cell>
          <cell r="F12">
            <v>7832.723</v>
          </cell>
          <cell r="G12">
            <v>11787.277</v>
          </cell>
          <cell r="H12">
            <v>19461.400000000001</v>
          </cell>
          <cell r="I12">
            <v>48389.5</v>
          </cell>
          <cell r="J12">
            <v>67850.899999999994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P12">
            <v>0</v>
          </cell>
          <cell r="AV12">
            <v>0</v>
          </cell>
          <cell r="AW12">
            <v>87470.9</v>
          </cell>
          <cell r="AY12">
            <v>176071.76051111112</v>
          </cell>
          <cell r="BA12">
            <v>176071.76051111112</v>
          </cell>
          <cell r="BB12">
            <v>53187.187249332957</v>
          </cell>
          <cell r="BC12">
            <v>1572984.723625286</v>
          </cell>
          <cell r="BE12">
            <v>0</v>
          </cell>
          <cell r="BF12">
            <v>0</v>
          </cell>
          <cell r="BG12">
            <v>46984</v>
          </cell>
          <cell r="BJ12">
            <v>0</v>
          </cell>
          <cell r="BL12">
            <v>1619968.723625286</v>
          </cell>
          <cell r="BM12">
            <v>1277627</v>
          </cell>
          <cell r="BN12">
            <v>898755.27</v>
          </cell>
          <cell r="BP12">
            <v>28527</v>
          </cell>
          <cell r="BQ12">
            <v>154030</v>
          </cell>
          <cell r="BS12">
            <v>773252.27</v>
          </cell>
          <cell r="BT12">
            <v>773252.27</v>
          </cell>
          <cell r="BV12">
            <v>773252.27</v>
          </cell>
          <cell r="CA12">
            <v>8.76</v>
          </cell>
          <cell r="CC12">
            <v>24</v>
          </cell>
          <cell r="CF12">
            <v>24</v>
          </cell>
          <cell r="CG12">
            <v>7336.3233546296296</v>
          </cell>
          <cell r="CH12">
            <v>7</v>
          </cell>
          <cell r="CI12">
            <v>135175.79</v>
          </cell>
          <cell r="CK12">
            <v>73175.69</v>
          </cell>
          <cell r="CL12">
            <v>62000.100000000006</v>
          </cell>
          <cell r="CM12">
            <v>0</v>
          </cell>
          <cell r="CN12">
            <v>0</v>
          </cell>
          <cell r="CO12">
            <v>0</v>
          </cell>
          <cell r="CP12">
            <v>0</v>
          </cell>
        </row>
        <row r="13">
          <cell r="A13">
            <v>8</v>
          </cell>
          <cell r="B13">
            <v>53187.187249332957</v>
          </cell>
          <cell r="C13">
            <v>14123.395</v>
          </cell>
          <cell r="D13">
            <v>31385.322222222221</v>
          </cell>
          <cell r="E13">
            <v>0</v>
          </cell>
          <cell r="F13">
            <v>7503.5739999999996</v>
          </cell>
          <cell r="G13">
            <v>11266.425999999999</v>
          </cell>
          <cell r="H13">
            <v>13323.7</v>
          </cell>
          <cell r="I13">
            <v>31741.45</v>
          </cell>
          <cell r="J13">
            <v>45065.15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P13">
            <v>1100</v>
          </cell>
          <cell r="AV13">
            <v>0</v>
          </cell>
          <cell r="AW13">
            <v>64935.15</v>
          </cell>
          <cell r="AY13">
            <v>109334.92093333334</v>
          </cell>
          <cell r="BA13">
            <v>109334.92093333334</v>
          </cell>
          <cell r="BB13">
            <v>40172.738538221834</v>
          </cell>
          <cell r="BC13">
            <v>1619968.723625286</v>
          </cell>
          <cell r="BE13">
            <v>44090</v>
          </cell>
          <cell r="BF13">
            <v>44090</v>
          </cell>
          <cell r="BG13">
            <v>29393</v>
          </cell>
          <cell r="BJ13">
            <v>0</v>
          </cell>
          <cell r="BL13">
            <v>1693451.723625286</v>
          </cell>
          <cell r="BM13">
            <v>1397268</v>
          </cell>
          <cell r="BN13">
            <v>773252.27</v>
          </cell>
          <cell r="BP13">
            <v>18040</v>
          </cell>
          <cell r="BQ13">
            <v>0</v>
          </cell>
          <cell r="BS13">
            <v>791292.27</v>
          </cell>
          <cell r="BT13">
            <v>791292.27</v>
          </cell>
          <cell r="BV13">
            <v>791292.27</v>
          </cell>
          <cell r="CA13">
            <v>0</v>
          </cell>
          <cell r="CC13">
            <v>24</v>
          </cell>
          <cell r="CD13">
            <v>2</v>
          </cell>
          <cell r="CF13">
            <v>22</v>
          </cell>
          <cell r="CG13">
            <v>4969.7691333333341</v>
          </cell>
          <cell r="CH13">
            <v>8</v>
          </cell>
          <cell r="CI13">
            <v>73175.69</v>
          </cell>
          <cell r="CK13">
            <v>60175.839999999989</v>
          </cell>
          <cell r="CL13">
            <v>12999.850000000013</v>
          </cell>
          <cell r="CM13">
            <v>0</v>
          </cell>
          <cell r="CN13">
            <v>0</v>
          </cell>
          <cell r="CO13">
            <v>0</v>
          </cell>
          <cell r="CP13">
            <v>0</v>
          </cell>
        </row>
        <row r="14">
          <cell r="A14">
            <v>9</v>
          </cell>
          <cell r="B14">
            <v>40172.738538221834</v>
          </cell>
          <cell r="C14">
            <v>8490.67</v>
          </cell>
          <cell r="D14">
            <v>18868.155555555557</v>
          </cell>
          <cell r="E14">
            <v>9511.1111111111113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P14">
            <v>0</v>
          </cell>
          <cell r="AV14">
            <v>0</v>
          </cell>
          <cell r="AW14">
            <v>9511.1111111111113</v>
          </cell>
          <cell r="AY14">
            <v>0</v>
          </cell>
          <cell r="BA14">
            <v>0</v>
          </cell>
          <cell r="BB14">
            <v>68552.005204888497</v>
          </cell>
          <cell r="BC14">
            <v>1693451.723625286</v>
          </cell>
          <cell r="BE14">
            <v>0</v>
          </cell>
          <cell r="BF14">
            <v>0</v>
          </cell>
          <cell r="BG14">
            <v>0</v>
          </cell>
          <cell r="BJ14">
            <v>0</v>
          </cell>
          <cell r="BL14">
            <v>1693451.723625286</v>
          </cell>
          <cell r="BM14">
            <v>1397268</v>
          </cell>
          <cell r="BN14">
            <v>791292.27</v>
          </cell>
          <cell r="BP14">
            <v>0</v>
          </cell>
          <cell r="BQ14">
            <v>0</v>
          </cell>
          <cell r="BS14">
            <v>791292.27</v>
          </cell>
          <cell r="BT14">
            <v>791292.27</v>
          </cell>
          <cell r="BV14">
            <v>791292.27</v>
          </cell>
          <cell r="CA14">
            <v>0</v>
          </cell>
          <cell r="CF14">
            <v>0</v>
          </cell>
          <cell r="CG14" t="e">
            <v>#DIV/0!</v>
          </cell>
          <cell r="CH14">
            <v>9</v>
          </cell>
          <cell r="CI14">
            <v>60175.839999999989</v>
          </cell>
          <cell r="CK14">
            <v>77335.839999999997</v>
          </cell>
          <cell r="CL14">
            <v>-17160.000000000007</v>
          </cell>
          <cell r="CM14">
            <v>0</v>
          </cell>
          <cell r="CN14">
            <v>0</v>
          </cell>
          <cell r="CO14">
            <v>0</v>
          </cell>
          <cell r="CP14">
            <v>0</v>
          </cell>
        </row>
        <row r="15">
          <cell r="A15">
            <v>10</v>
          </cell>
          <cell r="B15">
            <v>68552.005204888497</v>
          </cell>
          <cell r="C15">
            <v>19847.105</v>
          </cell>
          <cell r="D15">
            <v>44104.677777777775</v>
          </cell>
          <cell r="E15">
            <v>0</v>
          </cell>
          <cell r="F15">
            <v>9006.6569999999992</v>
          </cell>
          <cell r="G15">
            <v>13503.343000000001</v>
          </cell>
          <cell r="H15">
            <v>20481.2</v>
          </cell>
          <cell r="I15">
            <v>44331.6</v>
          </cell>
          <cell r="J15">
            <v>64812.800000000003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P15">
            <v>0</v>
          </cell>
          <cell r="AV15">
            <v>0</v>
          </cell>
          <cell r="AW15">
            <v>87322.8</v>
          </cell>
          <cell r="AY15">
            <v>134477.77777777778</v>
          </cell>
          <cell r="BA15">
            <v>134477.77777777778</v>
          </cell>
          <cell r="BB15">
            <v>65501.705204888509</v>
          </cell>
          <cell r="BC15">
            <v>1693451.723625286</v>
          </cell>
          <cell r="BE15">
            <v>0</v>
          </cell>
          <cell r="BF15">
            <v>0</v>
          </cell>
          <cell r="BG15">
            <v>36208</v>
          </cell>
          <cell r="BJ15">
            <v>0</v>
          </cell>
          <cell r="BL15">
            <v>1729659.723625286</v>
          </cell>
          <cell r="BM15">
            <v>1451941</v>
          </cell>
          <cell r="BN15">
            <v>791292.27</v>
          </cell>
          <cell r="BP15">
            <v>21822</v>
          </cell>
          <cell r="BQ15">
            <v>0</v>
          </cell>
          <cell r="BS15">
            <v>813114.27</v>
          </cell>
          <cell r="BT15">
            <v>813114.27</v>
          </cell>
          <cell r="BV15">
            <v>813114.27</v>
          </cell>
          <cell r="CA15">
            <v>9.24</v>
          </cell>
          <cell r="CC15">
            <v>24</v>
          </cell>
          <cell r="CF15">
            <v>24</v>
          </cell>
          <cell r="CG15">
            <v>5603.2407407407409</v>
          </cell>
          <cell r="CH15">
            <v>10</v>
          </cell>
          <cell r="CI15">
            <v>77335.839999999997</v>
          </cell>
          <cell r="CK15">
            <v>85175.639999999985</v>
          </cell>
          <cell r="CL15">
            <v>-7839.7999999999884</v>
          </cell>
          <cell r="CM15">
            <v>0</v>
          </cell>
          <cell r="CN15">
            <v>0</v>
          </cell>
          <cell r="CO15">
            <v>0</v>
          </cell>
          <cell r="CP15">
            <v>0</v>
          </cell>
        </row>
        <row r="16">
          <cell r="A16">
            <v>11</v>
          </cell>
          <cell r="B16">
            <v>65501.705204888509</v>
          </cell>
          <cell r="C16">
            <v>23768.145000000008</v>
          </cell>
          <cell r="D16">
            <v>52818.100000000013</v>
          </cell>
          <cell r="E16">
            <v>0</v>
          </cell>
          <cell r="F16">
            <v>7370.366</v>
          </cell>
          <cell r="G16">
            <v>11099.634</v>
          </cell>
          <cell r="H16">
            <v>21251.1</v>
          </cell>
          <cell r="I16">
            <v>44068.05</v>
          </cell>
          <cell r="J16">
            <v>65319.15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P16">
            <v>0</v>
          </cell>
          <cell r="AV16">
            <v>0</v>
          </cell>
          <cell r="AW16">
            <v>83789.149999999994</v>
          </cell>
          <cell r="AY16">
            <v>146682.8792</v>
          </cell>
          <cell r="BA16">
            <v>146682.8792</v>
          </cell>
          <cell r="BB16">
            <v>55426.076004888513</v>
          </cell>
          <cell r="BC16">
            <v>1729659.723625286</v>
          </cell>
          <cell r="BE16">
            <v>0</v>
          </cell>
          <cell r="BF16">
            <v>0</v>
          </cell>
          <cell r="BG16">
            <v>39464</v>
          </cell>
          <cell r="BJ16">
            <v>0</v>
          </cell>
          <cell r="BL16">
            <v>1769123.723625286</v>
          </cell>
          <cell r="BM16">
            <v>1451941</v>
          </cell>
          <cell r="BN16">
            <v>813114.27</v>
          </cell>
          <cell r="BP16">
            <v>25636</v>
          </cell>
          <cell r="BQ16">
            <v>0</v>
          </cell>
          <cell r="BS16">
            <v>838750.27</v>
          </cell>
          <cell r="BT16">
            <v>838750.27</v>
          </cell>
          <cell r="BV16">
            <v>838750.27</v>
          </cell>
          <cell r="CA16">
            <v>9.14</v>
          </cell>
          <cell r="CC16">
            <v>24</v>
          </cell>
          <cell r="CF16">
            <v>24</v>
          </cell>
          <cell r="CG16">
            <v>6111.7866333333332</v>
          </cell>
          <cell r="CH16">
            <v>11</v>
          </cell>
          <cell r="CI16">
            <v>85175.639999999985</v>
          </cell>
          <cell r="CK16">
            <v>75175.789999999979</v>
          </cell>
          <cell r="CL16">
            <v>9999.8500000000058</v>
          </cell>
          <cell r="CM16">
            <v>0</v>
          </cell>
          <cell r="CN16">
            <v>0</v>
          </cell>
          <cell r="CO16">
            <v>0</v>
          </cell>
          <cell r="CP16">
            <v>0</v>
          </cell>
        </row>
        <row r="17">
          <cell r="A17">
            <v>12</v>
          </cell>
          <cell r="B17">
            <v>55426.076004888513</v>
          </cell>
          <cell r="C17">
            <v>16619.976999999999</v>
          </cell>
          <cell r="D17">
            <v>36933.282222222217</v>
          </cell>
          <cell r="E17">
            <v>0</v>
          </cell>
          <cell r="F17">
            <v>7006.076</v>
          </cell>
          <cell r="G17">
            <v>10533.924000000001</v>
          </cell>
          <cell r="H17">
            <v>19989.099999999999</v>
          </cell>
          <cell r="I17">
            <v>46500.45</v>
          </cell>
          <cell r="J17">
            <v>66489.549999999988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P17">
            <v>1280</v>
          </cell>
          <cell r="AV17">
            <v>0</v>
          </cell>
          <cell r="AW17">
            <v>85309.549999999988</v>
          </cell>
          <cell r="AY17">
            <v>106166.66666666667</v>
          </cell>
          <cell r="BA17">
            <v>106166.66666666667</v>
          </cell>
          <cell r="BB17">
            <v>71502.241560444047</v>
          </cell>
          <cell r="BC17">
            <v>1769123.723625286</v>
          </cell>
          <cell r="BD17">
            <v>208020</v>
          </cell>
          <cell r="BE17">
            <v>0</v>
          </cell>
          <cell r="BF17">
            <v>208020</v>
          </cell>
          <cell r="BG17">
            <v>28556</v>
          </cell>
          <cell r="BJ17">
            <v>0</v>
          </cell>
          <cell r="BL17">
            <v>2005699.723625286</v>
          </cell>
          <cell r="BM17">
            <v>1661359</v>
          </cell>
          <cell r="BN17">
            <v>838750.27</v>
          </cell>
          <cell r="BP17">
            <v>17193</v>
          </cell>
          <cell r="BQ17">
            <v>20780</v>
          </cell>
          <cell r="BS17">
            <v>835163.27</v>
          </cell>
          <cell r="BT17">
            <v>835163.27</v>
          </cell>
          <cell r="BV17">
            <v>835163.27</v>
          </cell>
          <cell r="CA17">
            <v>8.86</v>
          </cell>
          <cell r="CC17">
            <v>24</v>
          </cell>
          <cell r="CF17">
            <v>24</v>
          </cell>
          <cell r="CG17">
            <v>4423.6111111111113</v>
          </cell>
          <cell r="CH17">
            <v>12</v>
          </cell>
          <cell r="CI17">
            <v>75175.789999999979</v>
          </cell>
          <cell r="CK17">
            <v>80175.339999999967</v>
          </cell>
          <cell r="CL17">
            <v>-4999.5499999999884</v>
          </cell>
          <cell r="CM17">
            <v>208020</v>
          </cell>
          <cell r="CN17">
            <v>-41.607744697022831</v>
          </cell>
          <cell r="CO17">
            <v>0</v>
          </cell>
          <cell r="CP17">
            <v>0</v>
          </cell>
        </row>
        <row r="18">
          <cell r="A18">
            <v>13</v>
          </cell>
          <cell r="B18">
            <v>71502.241560444047</v>
          </cell>
          <cell r="C18">
            <v>9499.7369999999992</v>
          </cell>
          <cell r="D18">
            <v>21110.526666666665</v>
          </cell>
          <cell r="E18">
            <v>0</v>
          </cell>
          <cell r="F18">
            <v>7475.0140000000001</v>
          </cell>
          <cell r="G18">
            <v>11154.986000000001</v>
          </cell>
          <cell r="H18">
            <v>19904.5</v>
          </cell>
          <cell r="I18">
            <v>47202.55</v>
          </cell>
          <cell r="J18">
            <v>67107.05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P18">
            <v>0</v>
          </cell>
          <cell r="AV18">
            <v>0</v>
          </cell>
          <cell r="AW18">
            <v>85737.05</v>
          </cell>
          <cell r="AY18">
            <v>83055.555555555562</v>
          </cell>
          <cell r="BA18">
            <v>83055.555555555562</v>
          </cell>
          <cell r="BB18">
            <v>95294.26267155516</v>
          </cell>
          <cell r="BC18">
            <v>2005699.723625286</v>
          </cell>
          <cell r="BD18">
            <v>50850</v>
          </cell>
          <cell r="BE18">
            <v>0</v>
          </cell>
          <cell r="BF18">
            <v>50850</v>
          </cell>
          <cell r="BG18">
            <v>21919</v>
          </cell>
          <cell r="BJ18">
            <v>0</v>
          </cell>
          <cell r="BL18">
            <v>2078468.723625286</v>
          </cell>
          <cell r="BM18">
            <v>1819402</v>
          </cell>
          <cell r="BN18">
            <v>835163.27</v>
          </cell>
          <cell r="BP18">
            <v>13760</v>
          </cell>
          <cell r="BQ18">
            <v>0</v>
          </cell>
          <cell r="BS18">
            <v>848923.27</v>
          </cell>
          <cell r="BT18">
            <v>848923.27</v>
          </cell>
          <cell r="BV18">
            <v>848923.27</v>
          </cell>
          <cell r="CA18">
            <v>8.51</v>
          </cell>
          <cell r="CC18">
            <v>24</v>
          </cell>
          <cell r="CF18">
            <v>24</v>
          </cell>
          <cell r="CG18">
            <v>3460.6481481481483</v>
          </cell>
          <cell r="CH18">
            <v>13</v>
          </cell>
          <cell r="CI18">
            <v>80175.339999999967</v>
          </cell>
          <cell r="CK18">
            <v>110175.38999999998</v>
          </cell>
          <cell r="CL18">
            <v>-30000.050000000017</v>
          </cell>
          <cell r="CM18">
            <v>50850</v>
          </cell>
          <cell r="CN18">
            <v>-1.6949971750047073</v>
          </cell>
          <cell r="CO18">
            <v>0</v>
          </cell>
          <cell r="CP18">
            <v>0</v>
          </cell>
        </row>
        <row r="19">
          <cell r="A19">
            <v>14</v>
          </cell>
          <cell r="B19">
            <v>95294.26267155516</v>
          </cell>
          <cell r="C19">
            <v>2386.875</v>
          </cell>
          <cell r="D19">
            <v>5304.166666666667</v>
          </cell>
          <cell r="E19">
            <v>0</v>
          </cell>
          <cell r="F19">
            <v>7365.2640000000001</v>
          </cell>
          <cell r="G19">
            <v>11054.736000000001</v>
          </cell>
          <cell r="H19">
            <v>15113.8</v>
          </cell>
          <cell r="I19">
            <v>41160.400000000001</v>
          </cell>
          <cell r="J19">
            <v>56274.2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P19">
            <v>830</v>
          </cell>
          <cell r="AV19">
            <v>0</v>
          </cell>
          <cell r="AW19">
            <v>75524.2</v>
          </cell>
          <cell r="AY19">
            <v>135402.22222222222</v>
          </cell>
          <cell r="BA19">
            <v>135402.22222222222</v>
          </cell>
          <cell r="BB19">
            <v>40720.407115999609</v>
          </cell>
          <cell r="BC19">
            <v>2078468.723625286</v>
          </cell>
          <cell r="BE19">
            <v>0</v>
          </cell>
          <cell r="BF19">
            <v>0</v>
          </cell>
          <cell r="BG19">
            <v>36590</v>
          </cell>
          <cell r="BJ19">
            <v>0</v>
          </cell>
          <cell r="BL19">
            <v>2115058.723625286</v>
          </cell>
          <cell r="BM19">
            <v>1819402</v>
          </cell>
          <cell r="BN19">
            <v>848923.27</v>
          </cell>
          <cell r="BP19">
            <v>22283</v>
          </cell>
          <cell r="BQ19">
            <v>55650</v>
          </cell>
          <cell r="BS19">
            <v>815556.27</v>
          </cell>
          <cell r="BT19">
            <v>815556.27</v>
          </cell>
          <cell r="BV19">
            <v>815556.27</v>
          </cell>
          <cell r="CA19">
            <v>8.58</v>
          </cell>
          <cell r="CC19">
            <v>24</v>
          </cell>
          <cell r="CF19">
            <v>24</v>
          </cell>
          <cell r="CG19">
            <v>5641.7592592592591</v>
          </cell>
          <cell r="CH19">
            <v>14</v>
          </cell>
          <cell r="CI19">
            <v>110175.38999999998</v>
          </cell>
          <cell r="CK19">
            <v>60175.589999999975</v>
          </cell>
          <cell r="CL19">
            <v>49999.80000000001</v>
          </cell>
          <cell r="CM19">
            <v>0</v>
          </cell>
          <cell r="CN19">
            <v>0</v>
          </cell>
          <cell r="CO19">
            <v>0</v>
          </cell>
          <cell r="CP19">
            <v>0</v>
          </cell>
        </row>
        <row r="20">
          <cell r="A20">
            <v>15</v>
          </cell>
          <cell r="B20">
            <v>40720.407115999609</v>
          </cell>
          <cell r="C20">
            <v>7316.6679999999988</v>
          </cell>
          <cell r="D20">
            <v>16259.26222222222</v>
          </cell>
          <cell r="E20">
            <v>5677.7777777777774</v>
          </cell>
          <cell r="F20">
            <v>8942.2440000000006</v>
          </cell>
          <cell r="G20">
            <v>13237.755999999999</v>
          </cell>
          <cell r="H20">
            <v>12789.1</v>
          </cell>
          <cell r="I20">
            <v>32212.400000000001</v>
          </cell>
          <cell r="J20">
            <v>45001.5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1870</v>
          </cell>
          <cell r="P20">
            <v>0</v>
          </cell>
          <cell r="Q20">
            <v>1726.1970000000001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P20">
            <v>0</v>
          </cell>
          <cell r="AV20">
            <v>0</v>
          </cell>
          <cell r="AW20">
            <v>74585.474777777781</v>
          </cell>
          <cell r="AY20">
            <v>91392.393299999982</v>
          </cell>
          <cell r="BA20">
            <v>91392.393299999982</v>
          </cell>
          <cell r="BB20">
            <v>40172.750815999621</v>
          </cell>
          <cell r="BC20">
            <v>2115058.723625286</v>
          </cell>
          <cell r="BF20">
            <v>0</v>
          </cell>
          <cell r="BG20">
            <v>24416</v>
          </cell>
          <cell r="BJ20">
            <v>0</v>
          </cell>
          <cell r="BL20">
            <v>2139474.723625286</v>
          </cell>
          <cell r="BM20">
            <v>1859334</v>
          </cell>
          <cell r="BN20">
            <v>815556.27</v>
          </cell>
          <cell r="BP20">
            <v>14753</v>
          </cell>
          <cell r="BQ20">
            <v>20390</v>
          </cell>
          <cell r="BS20">
            <v>809919.27</v>
          </cell>
          <cell r="BT20">
            <v>809919.27</v>
          </cell>
          <cell r="BV20">
            <v>809919.27</v>
          </cell>
          <cell r="CA20">
            <v>0</v>
          </cell>
          <cell r="CC20">
            <v>24</v>
          </cell>
          <cell r="CD20">
            <v>6</v>
          </cell>
          <cell r="CF20">
            <v>18</v>
          </cell>
          <cell r="CG20">
            <v>5077.3551833333322</v>
          </cell>
          <cell r="CH20">
            <v>15</v>
          </cell>
          <cell r="CI20">
            <v>60175.589999999975</v>
          </cell>
          <cell r="CK20">
            <v>60176.089999999975</v>
          </cell>
          <cell r="CL20">
            <v>-0.5</v>
          </cell>
          <cell r="CM20">
            <v>0</v>
          </cell>
          <cell r="CN20">
            <v>0</v>
          </cell>
          <cell r="CO20">
            <v>0</v>
          </cell>
          <cell r="CP20">
            <v>0</v>
          </cell>
        </row>
        <row r="21">
          <cell r="A21">
            <v>16</v>
          </cell>
          <cell r="B21">
            <v>40172.750815999621</v>
          </cell>
          <cell r="C21">
            <v>11439.128000000001</v>
          </cell>
          <cell r="D21">
            <v>25420.284444444445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P21">
            <v>0</v>
          </cell>
          <cell r="AV21">
            <v>0</v>
          </cell>
          <cell r="AW21">
            <v>0</v>
          </cell>
          <cell r="AY21">
            <v>0</v>
          </cell>
          <cell r="BA21">
            <v>0</v>
          </cell>
          <cell r="BB21">
            <v>65593.03526044407</v>
          </cell>
          <cell r="BC21">
            <v>2139474.723625286</v>
          </cell>
          <cell r="BF21">
            <v>0</v>
          </cell>
          <cell r="BG21">
            <v>0</v>
          </cell>
          <cell r="BJ21">
            <v>0</v>
          </cell>
          <cell r="BL21">
            <v>2139474.723625286</v>
          </cell>
          <cell r="BM21">
            <v>1859334</v>
          </cell>
          <cell r="BN21">
            <v>809919.27</v>
          </cell>
          <cell r="BP21">
            <v>0</v>
          </cell>
          <cell r="BQ21">
            <v>60670</v>
          </cell>
          <cell r="BS21">
            <v>749249.27</v>
          </cell>
          <cell r="BT21">
            <v>749249.27</v>
          </cell>
          <cell r="BV21">
            <v>749249.27</v>
          </cell>
          <cell r="CA21">
            <v>0</v>
          </cell>
          <cell r="CF21">
            <v>0</v>
          </cell>
          <cell r="CG21" t="e">
            <v>#DIV/0!</v>
          </cell>
          <cell r="CH21">
            <v>16</v>
          </cell>
          <cell r="CI21">
            <v>60176.089999999975</v>
          </cell>
          <cell r="CK21">
            <v>77586.089999999967</v>
          </cell>
          <cell r="CL21">
            <v>-17409.999999999993</v>
          </cell>
          <cell r="CM21">
            <v>0</v>
          </cell>
          <cell r="CN21">
            <v>0</v>
          </cell>
          <cell r="CO21">
            <v>0</v>
          </cell>
          <cell r="CP21">
            <v>0</v>
          </cell>
        </row>
        <row r="22">
          <cell r="A22">
            <v>17</v>
          </cell>
          <cell r="B22">
            <v>65593.03526044407</v>
          </cell>
          <cell r="C22">
            <v>15441.323999999999</v>
          </cell>
          <cell r="D22">
            <v>34314.05333333333</v>
          </cell>
          <cell r="E22">
            <v>0</v>
          </cell>
          <cell r="F22">
            <v>9830.4320000000007</v>
          </cell>
          <cell r="G22">
            <v>14809.567999999999</v>
          </cell>
          <cell r="H22">
            <v>15084.3</v>
          </cell>
          <cell r="I22">
            <v>37069.75</v>
          </cell>
          <cell r="J22">
            <v>52154.05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P22">
            <v>1530</v>
          </cell>
          <cell r="AV22">
            <v>0</v>
          </cell>
          <cell r="AW22">
            <v>78324.05</v>
          </cell>
          <cell r="AY22">
            <v>66924</v>
          </cell>
          <cell r="BA22">
            <v>66924</v>
          </cell>
          <cell r="BB22">
            <v>111307.1385937774</v>
          </cell>
          <cell r="BC22">
            <v>2139474.723625286</v>
          </cell>
          <cell r="BF22">
            <v>0</v>
          </cell>
          <cell r="BG22">
            <v>17675</v>
          </cell>
          <cell r="BJ22">
            <v>0</v>
          </cell>
          <cell r="BL22">
            <v>2157149.723625286</v>
          </cell>
          <cell r="BM22">
            <v>1859334</v>
          </cell>
          <cell r="BN22">
            <v>749249.27</v>
          </cell>
          <cell r="BP22">
            <v>10720</v>
          </cell>
          <cell r="BQ22">
            <v>0</v>
          </cell>
          <cell r="BS22">
            <v>759969.27</v>
          </cell>
          <cell r="BT22">
            <v>759969.27</v>
          </cell>
          <cell r="BV22">
            <v>759969.27</v>
          </cell>
          <cell r="CA22">
            <v>8.83</v>
          </cell>
          <cell r="CC22">
            <v>24</v>
          </cell>
          <cell r="CF22">
            <v>24</v>
          </cell>
          <cell r="CG22">
            <v>2788.5</v>
          </cell>
          <cell r="CH22">
            <v>17</v>
          </cell>
          <cell r="CI22">
            <v>77586.089999999967</v>
          </cell>
          <cell r="CK22">
            <v>125176.13999999998</v>
          </cell>
          <cell r="CL22">
            <v>-47590.050000000017</v>
          </cell>
          <cell r="CM22">
            <v>0</v>
          </cell>
          <cell r="CN22">
            <v>0</v>
          </cell>
          <cell r="CO22">
            <v>0</v>
          </cell>
          <cell r="CP22">
            <v>0</v>
          </cell>
        </row>
        <row r="23">
          <cell r="A23">
            <v>18</v>
          </cell>
          <cell r="B23">
            <v>111307.1385937774</v>
          </cell>
          <cell r="C23">
            <v>6617.0660000000007</v>
          </cell>
          <cell r="D23">
            <v>14704.591111111113</v>
          </cell>
          <cell r="E23">
            <v>0</v>
          </cell>
          <cell r="F23">
            <v>8415.5759999999991</v>
          </cell>
          <cell r="G23">
            <v>12644.424000000001</v>
          </cell>
          <cell r="H23">
            <v>19053.3</v>
          </cell>
          <cell r="I23">
            <v>46898.55</v>
          </cell>
          <cell r="J23">
            <v>65951.850000000006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P23">
            <v>0</v>
          </cell>
          <cell r="AV23">
            <v>0</v>
          </cell>
          <cell r="AW23">
            <v>87011.85</v>
          </cell>
          <cell r="AY23">
            <v>172850.82966666669</v>
          </cell>
          <cell r="BA23">
            <v>172850.82966666669</v>
          </cell>
          <cell r="BB23">
            <v>40172.750038221828</v>
          </cell>
          <cell r="BC23">
            <v>2157149.723625286</v>
          </cell>
          <cell r="BF23">
            <v>0</v>
          </cell>
          <cell r="BG23">
            <v>46034</v>
          </cell>
          <cell r="BJ23">
            <v>0</v>
          </cell>
          <cell r="BL23">
            <v>2203183.723625286</v>
          </cell>
          <cell r="BM23">
            <v>1891748</v>
          </cell>
          <cell r="BN23">
            <v>759969.27</v>
          </cell>
          <cell r="BP23">
            <v>27745</v>
          </cell>
          <cell r="BQ23">
            <v>0</v>
          </cell>
          <cell r="BS23">
            <v>787714.27</v>
          </cell>
          <cell r="BT23">
            <v>787714.27</v>
          </cell>
          <cell r="BV23">
            <v>787714.27</v>
          </cell>
          <cell r="CA23">
            <v>8.51</v>
          </cell>
          <cell r="CC23">
            <v>24</v>
          </cell>
          <cell r="CF23">
            <v>24</v>
          </cell>
          <cell r="CG23">
            <v>7202.1179027777789</v>
          </cell>
          <cell r="CH23">
            <v>18</v>
          </cell>
          <cell r="CI23">
            <v>125176.13999999998</v>
          </cell>
          <cell r="CK23">
            <v>60175.989999999983</v>
          </cell>
          <cell r="CL23">
            <v>65000.15</v>
          </cell>
          <cell r="CM23">
            <v>0</v>
          </cell>
          <cell r="CN23">
            <v>0</v>
          </cell>
          <cell r="CO23">
            <v>0</v>
          </cell>
          <cell r="CP23">
            <v>0</v>
          </cell>
        </row>
        <row r="24">
          <cell r="A24">
            <v>19</v>
          </cell>
          <cell r="B24">
            <v>40172.750038221828</v>
          </cell>
          <cell r="C24">
            <v>9235.3919999999998</v>
          </cell>
          <cell r="D24">
            <v>20523.093333333334</v>
          </cell>
          <cell r="E24">
            <v>0</v>
          </cell>
          <cell r="F24">
            <v>7975.884</v>
          </cell>
          <cell r="G24">
            <v>12014.116</v>
          </cell>
          <cell r="H24">
            <v>18036.400000000001</v>
          </cell>
          <cell r="I24">
            <v>48801.8</v>
          </cell>
          <cell r="J24">
            <v>66838.200000000012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P24">
            <v>0</v>
          </cell>
          <cell r="AV24">
            <v>0</v>
          </cell>
          <cell r="AW24">
            <v>86828.200000000012</v>
          </cell>
          <cell r="AY24">
            <v>82333.333333333328</v>
          </cell>
          <cell r="BA24">
            <v>82333.333333333328</v>
          </cell>
          <cell r="BB24">
            <v>65190.710038221834</v>
          </cell>
          <cell r="BC24">
            <v>2203183.723625286</v>
          </cell>
          <cell r="BF24">
            <v>0</v>
          </cell>
          <cell r="BG24">
            <v>21896</v>
          </cell>
          <cell r="BJ24">
            <v>0</v>
          </cell>
          <cell r="BL24">
            <v>2225079.723625286</v>
          </cell>
          <cell r="BM24">
            <v>1972008</v>
          </cell>
          <cell r="BN24">
            <v>787714.27</v>
          </cell>
          <cell r="BP24">
            <v>13312</v>
          </cell>
          <cell r="BQ24">
            <v>40630</v>
          </cell>
          <cell r="BS24">
            <v>760396.27</v>
          </cell>
          <cell r="BT24">
            <v>760396.27</v>
          </cell>
          <cell r="BV24">
            <v>760396.27</v>
          </cell>
          <cell r="CA24">
            <v>8.83</v>
          </cell>
          <cell r="CC24">
            <v>24</v>
          </cell>
          <cell r="CF24">
            <v>24</v>
          </cell>
          <cell r="CG24">
            <v>3430.5555555555552</v>
          </cell>
          <cell r="CH24">
            <v>19</v>
          </cell>
          <cell r="CI24">
            <v>60175.989999999983</v>
          </cell>
          <cell r="CK24">
            <v>85176.19</v>
          </cell>
          <cell r="CL24">
            <v>-25000.200000000019</v>
          </cell>
          <cell r="CM24">
            <v>0</v>
          </cell>
          <cell r="CN24">
            <v>0</v>
          </cell>
          <cell r="CO24">
            <v>0</v>
          </cell>
          <cell r="CP24">
            <v>0</v>
          </cell>
        </row>
        <row r="25">
          <cell r="A25">
            <v>20</v>
          </cell>
          <cell r="B25">
            <v>65190.710038221834</v>
          </cell>
          <cell r="C25">
            <v>9329.4150000000009</v>
          </cell>
          <cell r="D25">
            <v>20732.033333333336</v>
          </cell>
          <cell r="E25">
            <v>0</v>
          </cell>
          <cell r="F25">
            <v>7680.4989999999998</v>
          </cell>
          <cell r="G25">
            <v>11469.501</v>
          </cell>
          <cell r="H25">
            <v>19909.8</v>
          </cell>
          <cell r="I25">
            <v>49460.15</v>
          </cell>
          <cell r="J25">
            <v>69369.95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P25">
            <v>1590</v>
          </cell>
          <cell r="AV25">
            <v>0</v>
          </cell>
          <cell r="AW25">
            <v>90109.95</v>
          </cell>
          <cell r="AY25">
            <v>110760</v>
          </cell>
          <cell r="BA25">
            <v>110760</v>
          </cell>
          <cell r="BB25">
            <v>65272.693371555186</v>
          </cell>
          <cell r="BC25">
            <v>2225079.723625286</v>
          </cell>
          <cell r="BF25">
            <v>0</v>
          </cell>
          <cell r="BG25">
            <v>29427</v>
          </cell>
          <cell r="BJ25">
            <v>0</v>
          </cell>
          <cell r="BL25">
            <v>2254506.723625286</v>
          </cell>
          <cell r="BM25">
            <v>1972008</v>
          </cell>
          <cell r="BN25">
            <v>760396.27</v>
          </cell>
          <cell r="BP25">
            <v>17795</v>
          </cell>
          <cell r="BQ25">
            <v>0</v>
          </cell>
          <cell r="BS25">
            <v>778191.27</v>
          </cell>
          <cell r="BT25">
            <v>778191.27</v>
          </cell>
          <cell r="BV25">
            <v>778191.27</v>
          </cell>
          <cell r="CA25">
            <v>8.57</v>
          </cell>
          <cell r="CC25">
            <v>24</v>
          </cell>
          <cell r="CF25">
            <v>24</v>
          </cell>
          <cell r="CG25">
            <v>4615</v>
          </cell>
          <cell r="CH25">
            <v>20</v>
          </cell>
          <cell r="CI25">
            <v>85176.19</v>
          </cell>
          <cell r="CK25">
            <v>85176.139999999985</v>
          </cell>
          <cell r="CL25">
            <v>5.0000000017462298E-2</v>
          </cell>
          <cell r="CM25">
            <v>0</v>
          </cell>
          <cell r="CN25">
            <v>0</v>
          </cell>
          <cell r="CO25">
            <v>0</v>
          </cell>
          <cell r="CP25">
            <v>0</v>
          </cell>
        </row>
        <row r="26">
          <cell r="A26">
            <v>21</v>
          </cell>
          <cell r="B26">
            <v>65272.693371555186</v>
          </cell>
          <cell r="C26">
            <v>1791.7559999999999</v>
          </cell>
          <cell r="D26">
            <v>3981.6799999999994</v>
          </cell>
          <cell r="E26">
            <v>11511.111111111111</v>
          </cell>
          <cell r="F26">
            <v>7857.3140000000003</v>
          </cell>
          <cell r="G26">
            <v>11712.686</v>
          </cell>
          <cell r="H26">
            <v>21240.6</v>
          </cell>
          <cell r="I26">
            <v>46008.95</v>
          </cell>
          <cell r="J26">
            <v>67249.549999999988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P26">
            <v>0</v>
          </cell>
          <cell r="AV26">
            <v>0</v>
          </cell>
          <cell r="AW26">
            <v>98330.661111111098</v>
          </cell>
          <cell r="AY26">
            <v>127412.28499999997</v>
          </cell>
          <cell r="BA26">
            <v>127412.28499999997</v>
          </cell>
          <cell r="BB26">
            <v>40172.749482666317</v>
          </cell>
          <cell r="BC26">
            <v>2254506.723625286</v>
          </cell>
          <cell r="BF26">
            <v>0</v>
          </cell>
          <cell r="BG26">
            <v>33960</v>
          </cell>
          <cell r="BJ26">
            <v>0</v>
          </cell>
          <cell r="BL26">
            <v>2288466.723625286</v>
          </cell>
          <cell r="BM26">
            <v>1972008</v>
          </cell>
          <cell r="BN26">
            <v>778191.27</v>
          </cell>
          <cell r="BP26">
            <v>20852</v>
          </cell>
          <cell r="BQ26">
            <v>0</v>
          </cell>
          <cell r="BS26">
            <v>799043.27</v>
          </cell>
          <cell r="BT26">
            <v>799043.27</v>
          </cell>
          <cell r="BV26">
            <v>799043.27</v>
          </cell>
          <cell r="CA26">
            <v>8.7100000000000009</v>
          </cell>
          <cell r="CC26">
            <v>24</v>
          </cell>
          <cell r="CF26">
            <v>24</v>
          </cell>
          <cell r="CG26">
            <v>5308.8452083333323</v>
          </cell>
          <cell r="CH26">
            <v>21</v>
          </cell>
          <cell r="CI26">
            <v>85176.139999999985</v>
          </cell>
          <cell r="CK26">
            <v>60175.839999999989</v>
          </cell>
          <cell r="CL26">
            <v>25000.299999999996</v>
          </cell>
          <cell r="CM26">
            <v>0</v>
          </cell>
          <cell r="CN26">
            <v>0</v>
          </cell>
          <cell r="CO26">
            <v>0</v>
          </cell>
          <cell r="CP26">
            <v>0</v>
          </cell>
        </row>
        <row r="27">
          <cell r="A27">
            <v>22</v>
          </cell>
          <cell r="B27">
            <v>40172.749482666317</v>
          </cell>
          <cell r="C27">
            <v>6918.5210000000006</v>
          </cell>
          <cell r="D27">
            <v>15374.491111111112</v>
          </cell>
          <cell r="E27">
            <v>0</v>
          </cell>
          <cell r="F27">
            <v>7987.66</v>
          </cell>
          <cell r="G27">
            <v>11842.34</v>
          </cell>
          <cell r="H27">
            <v>13701.7</v>
          </cell>
          <cell r="I27">
            <v>30572.1</v>
          </cell>
          <cell r="J27">
            <v>44273.8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P27">
            <v>0</v>
          </cell>
          <cell r="AV27">
            <v>0</v>
          </cell>
          <cell r="AW27">
            <v>64103.8</v>
          </cell>
          <cell r="AY27">
            <v>79478.291533333337</v>
          </cell>
          <cell r="BA27">
            <v>79478.291533333337</v>
          </cell>
          <cell r="BB27">
            <v>40172.749060444097</v>
          </cell>
          <cell r="BC27">
            <v>2288466.723625286</v>
          </cell>
          <cell r="BF27">
            <v>0</v>
          </cell>
          <cell r="BG27">
            <v>21221</v>
          </cell>
          <cell r="BJ27">
            <v>0</v>
          </cell>
          <cell r="BL27">
            <v>2309687.723625286</v>
          </cell>
          <cell r="BM27">
            <v>1972008</v>
          </cell>
          <cell r="BN27">
            <v>799043.27</v>
          </cell>
          <cell r="BP27">
            <v>12803</v>
          </cell>
          <cell r="BQ27">
            <v>0</v>
          </cell>
          <cell r="BS27">
            <v>811846.27</v>
          </cell>
          <cell r="BT27">
            <v>811846.27</v>
          </cell>
          <cell r="BV27">
            <v>811846.27</v>
          </cell>
          <cell r="CA27">
            <v>0</v>
          </cell>
          <cell r="CC27">
            <v>24</v>
          </cell>
          <cell r="CD27">
            <v>4</v>
          </cell>
          <cell r="CF27">
            <v>20</v>
          </cell>
          <cell r="CG27">
            <v>3973.914576666667</v>
          </cell>
          <cell r="CH27">
            <v>22</v>
          </cell>
          <cell r="CI27">
            <v>60175.839999999989</v>
          </cell>
          <cell r="CK27">
            <v>60175.839999999989</v>
          </cell>
          <cell r="CL27">
            <v>0</v>
          </cell>
          <cell r="CM27">
            <v>0</v>
          </cell>
          <cell r="CN27" t="e">
            <v>#DIV/0!</v>
          </cell>
          <cell r="CO27">
            <v>0</v>
          </cell>
          <cell r="CP27" t="e">
            <v>#DIV/0!</v>
          </cell>
        </row>
        <row r="28">
          <cell r="A28">
            <v>23</v>
          </cell>
          <cell r="B28">
            <v>40172.749060444097</v>
          </cell>
          <cell r="C28">
            <v>10440.759</v>
          </cell>
          <cell r="D28">
            <v>23201.686666666665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P28">
            <v>0</v>
          </cell>
          <cell r="AV28">
            <v>0</v>
          </cell>
          <cell r="AW28">
            <v>0</v>
          </cell>
          <cell r="AY28">
            <v>0</v>
          </cell>
          <cell r="BA28">
            <v>0</v>
          </cell>
          <cell r="BB28">
            <v>63374.435727110758</v>
          </cell>
          <cell r="BC28">
            <v>2309687.723625286</v>
          </cell>
          <cell r="BF28">
            <v>0</v>
          </cell>
          <cell r="BG28">
            <v>0</v>
          </cell>
          <cell r="BJ28">
            <v>0</v>
          </cell>
          <cell r="BL28">
            <v>2309687.723625286</v>
          </cell>
          <cell r="BM28">
            <v>2054864</v>
          </cell>
          <cell r="BN28">
            <v>811846.27</v>
          </cell>
          <cell r="BP28">
            <v>0</v>
          </cell>
          <cell r="BQ28">
            <v>0</v>
          </cell>
          <cell r="BS28">
            <v>811846.27</v>
          </cell>
          <cell r="BT28">
            <v>811846.27</v>
          </cell>
          <cell r="BV28">
            <v>811846.27</v>
          </cell>
          <cell r="CA28">
            <v>0</v>
          </cell>
          <cell r="CF28">
            <v>0</v>
          </cell>
          <cell r="CG28" t="e">
            <v>#DIV/0!</v>
          </cell>
          <cell r="CH28">
            <v>23</v>
          </cell>
          <cell r="CI28">
            <v>60175.839999999989</v>
          </cell>
          <cell r="CK28">
            <v>75925.84</v>
          </cell>
          <cell r="CL28">
            <v>-15750.000000000007</v>
          </cell>
          <cell r="CM28">
            <v>0</v>
          </cell>
          <cell r="CN28">
            <v>0</v>
          </cell>
          <cell r="CO28">
            <v>0</v>
          </cell>
          <cell r="CP28">
            <v>0</v>
          </cell>
        </row>
        <row r="29">
          <cell r="A29">
            <v>24</v>
          </cell>
          <cell r="B29">
            <v>63374.435727110758</v>
          </cell>
          <cell r="C29">
            <v>9288.3719999999994</v>
          </cell>
          <cell r="D29">
            <v>20640.826666666664</v>
          </cell>
          <cell r="E29">
            <v>0</v>
          </cell>
          <cell r="F29">
            <v>9154.6980000000003</v>
          </cell>
          <cell r="G29">
            <v>13725.302</v>
          </cell>
          <cell r="H29">
            <v>20578.099999999999</v>
          </cell>
          <cell r="I29">
            <v>41512.949999999997</v>
          </cell>
          <cell r="J29">
            <v>62091.049999999996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1540</v>
          </cell>
          <cell r="P29">
            <v>0</v>
          </cell>
          <cell r="Q29">
            <v>1421.5740000000001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P29">
            <v>0</v>
          </cell>
          <cell r="AV29">
            <v>0</v>
          </cell>
          <cell r="AW29">
            <v>86392.623999999982</v>
          </cell>
          <cell r="AY29">
            <v>122146.24644444443</v>
          </cell>
          <cell r="BA29">
            <v>122146.24644444443</v>
          </cell>
          <cell r="BB29">
            <v>48261.639949332952</v>
          </cell>
          <cell r="BC29">
            <v>2309687.723625286</v>
          </cell>
          <cell r="BF29">
            <v>0</v>
          </cell>
          <cell r="BG29">
            <v>33073</v>
          </cell>
          <cell r="BJ29">
            <v>0</v>
          </cell>
          <cell r="BL29">
            <v>2342760.723625286</v>
          </cell>
          <cell r="BM29">
            <v>2054864</v>
          </cell>
          <cell r="BN29">
            <v>811846.27</v>
          </cell>
          <cell r="BP29">
            <v>19611</v>
          </cell>
          <cell r="BQ29">
            <v>47410</v>
          </cell>
          <cell r="BS29">
            <v>784047.27</v>
          </cell>
          <cell r="BT29">
            <v>784047.27</v>
          </cell>
          <cell r="BV29">
            <v>784047.27</v>
          </cell>
          <cell r="CA29">
            <v>0</v>
          </cell>
          <cell r="CC29">
            <v>24</v>
          </cell>
          <cell r="CD29">
            <v>4</v>
          </cell>
          <cell r="CF29">
            <v>20</v>
          </cell>
          <cell r="CG29">
            <v>6107.3123222222221</v>
          </cell>
          <cell r="CH29">
            <v>24</v>
          </cell>
          <cell r="CI29">
            <v>75925.84</v>
          </cell>
          <cell r="CK29">
            <v>68264.889999999985</v>
          </cell>
          <cell r="CL29">
            <v>7660.9500000000116</v>
          </cell>
          <cell r="CM29">
            <v>0</v>
          </cell>
          <cell r="CN29">
            <v>0</v>
          </cell>
          <cell r="CO29">
            <v>0</v>
          </cell>
          <cell r="CP29">
            <v>0</v>
          </cell>
        </row>
        <row r="30">
          <cell r="A30">
            <v>25</v>
          </cell>
          <cell r="B30">
            <v>48261.639949332952</v>
          </cell>
          <cell r="C30">
            <v>5062.9690000000001</v>
          </cell>
          <cell r="D30">
            <v>11251.042222222222</v>
          </cell>
          <cell r="E30">
            <v>7300</v>
          </cell>
          <cell r="F30">
            <v>7594.3919999999998</v>
          </cell>
          <cell r="G30">
            <v>11415.608</v>
          </cell>
          <cell r="H30">
            <v>20413.3</v>
          </cell>
          <cell r="I30">
            <v>40380.050000000003</v>
          </cell>
          <cell r="J30">
            <v>60793.350000000006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P30">
            <v>0</v>
          </cell>
          <cell r="AV30">
            <v>0</v>
          </cell>
          <cell r="AW30">
            <v>87103.35</v>
          </cell>
          <cell r="AY30">
            <v>106443.28240000001</v>
          </cell>
          <cell r="BA30">
            <v>106443.28240000001</v>
          </cell>
          <cell r="BB30">
            <v>40172.749771555173</v>
          </cell>
          <cell r="BC30">
            <v>2342760.723625286</v>
          </cell>
          <cell r="BF30">
            <v>0</v>
          </cell>
          <cell r="BG30">
            <v>28319</v>
          </cell>
          <cell r="BJ30">
            <v>0</v>
          </cell>
          <cell r="BL30">
            <v>2371079.723625286</v>
          </cell>
          <cell r="BM30">
            <v>2054864</v>
          </cell>
          <cell r="BN30">
            <v>784047.27</v>
          </cell>
          <cell r="BP30">
            <v>17134</v>
          </cell>
          <cell r="BQ30">
            <v>101150</v>
          </cell>
          <cell r="BS30">
            <v>700031.27</v>
          </cell>
          <cell r="BT30">
            <v>700031.27</v>
          </cell>
          <cell r="BV30">
            <v>700031.27</v>
          </cell>
          <cell r="CA30">
            <v>8.4</v>
          </cell>
          <cell r="CC30">
            <v>24</v>
          </cell>
          <cell r="CF30">
            <v>24</v>
          </cell>
          <cell r="CG30">
            <v>4435.1367666666674</v>
          </cell>
          <cell r="CH30">
            <v>25</v>
          </cell>
          <cell r="CI30">
            <v>68264.889999999985</v>
          </cell>
          <cell r="CK30">
            <v>60176.239999999983</v>
          </cell>
          <cell r="CL30">
            <v>8088.6500000000015</v>
          </cell>
          <cell r="CM30">
            <v>0</v>
          </cell>
          <cell r="CN30">
            <v>0</v>
          </cell>
          <cell r="CO30">
            <v>0</v>
          </cell>
          <cell r="CP30">
            <v>0</v>
          </cell>
        </row>
        <row r="31">
          <cell r="A31">
            <v>26</v>
          </cell>
          <cell r="B31">
            <v>40172.749771555173</v>
          </cell>
          <cell r="C31">
            <v>3822.17</v>
          </cell>
          <cell r="D31">
            <v>8493.7111111111117</v>
          </cell>
          <cell r="E31">
            <v>0</v>
          </cell>
          <cell r="F31">
            <v>7682.692</v>
          </cell>
          <cell r="G31">
            <v>11527.308000000001</v>
          </cell>
          <cell r="H31">
            <v>16581.2</v>
          </cell>
          <cell r="I31">
            <v>36079.199999999997</v>
          </cell>
          <cell r="J31">
            <v>52660.399999999994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P31">
            <v>0</v>
          </cell>
          <cell r="AV31">
            <v>0</v>
          </cell>
          <cell r="AW31">
            <v>71870.399999999994</v>
          </cell>
          <cell r="AY31">
            <v>80364.109799999991</v>
          </cell>
          <cell r="BA31">
            <v>80364.109799999991</v>
          </cell>
          <cell r="BB31">
            <v>40172.751082666291</v>
          </cell>
          <cell r="BC31">
            <v>2371079.723625286</v>
          </cell>
          <cell r="BE31">
            <v>44920</v>
          </cell>
          <cell r="BF31">
            <v>44920</v>
          </cell>
          <cell r="BG31">
            <v>21494</v>
          </cell>
          <cell r="BJ31">
            <v>0</v>
          </cell>
          <cell r="BL31">
            <v>2437493.723625286</v>
          </cell>
          <cell r="BM31">
            <v>2172501</v>
          </cell>
          <cell r="BN31">
            <v>700031.27</v>
          </cell>
          <cell r="BP31">
            <v>12957</v>
          </cell>
          <cell r="BQ31">
            <v>0</v>
          </cell>
          <cell r="BS31">
            <v>712988.27</v>
          </cell>
          <cell r="BT31">
            <v>712988.27</v>
          </cell>
          <cell r="BV31">
            <v>712988.27</v>
          </cell>
          <cell r="CA31">
            <v>8.41</v>
          </cell>
          <cell r="CC31">
            <v>24</v>
          </cell>
          <cell r="CF31">
            <v>24</v>
          </cell>
          <cell r="CG31">
            <v>3348.5045749999995</v>
          </cell>
          <cell r="CH31">
            <v>26</v>
          </cell>
          <cell r="CI31">
            <v>60176.239999999983</v>
          </cell>
          <cell r="CK31">
            <v>60175.839999999989</v>
          </cell>
          <cell r="CL31">
            <v>0.39999999999417923</v>
          </cell>
          <cell r="CM31">
            <v>0</v>
          </cell>
          <cell r="CN31">
            <v>0</v>
          </cell>
          <cell r="CO31">
            <v>0</v>
          </cell>
          <cell r="CP31">
            <v>0</v>
          </cell>
        </row>
        <row r="32">
          <cell r="A32">
            <v>27</v>
          </cell>
          <cell r="B32">
            <v>40172.751082666291</v>
          </cell>
          <cell r="C32">
            <v>3708.4839999999999</v>
          </cell>
          <cell r="D32">
            <v>8241.0755555555552</v>
          </cell>
          <cell r="E32">
            <v>0</v>
          </cell>
          <cell r="F32">
            <v>8029.7520000000004</v>
          </cell>
          <cell r="G32">
            <v>12120.248</v>
          </cell>
          <cell r="H32">
            <v>19383.099999999999</v>
          </cell>
          <cell r="I32">
            <v>40872.550000000003</v>
          </cell>
          <cell r="J32">
            <v>60255.65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P32">
            <v>0</v>
          </cell>
          <cell r="AV32">
            <v>0</v>
          </cell>
          <cell r="AW32">
            <v>80405.649999999994</v>
          </cell>
          <cell r="AY32">
            <v>73305.555555555562</v>
          </cell>
          <cell r="BA32">
            <v>73305.555555555562</v>
          </cell>
          <cell r="BB32">
            <v>55513.921082666275</v>
          </cell>
          <cell r="BC32">
            <v>2437493.723625286</v>
          </cell>
          <cell r="BF32">
            <v>0</v>
          </cell>
          <cell r="BG32">
            <v>19486</v>
          </cell>
          <cell r="BJ32">
            <v>0</v>
          </cell>
          <cell r="BL32">
            <v>2456979.723625286</v>
          </cell>
          <cell r="BM32">
            <v>2172501</v>
          </cell>
          <cell r="BN32">
            <v>712988.27</v>
          </cell>
          <cell r="BP32">
            <v>11807</v>
          </cell>
          <cell r="BQ32">
            <v>66750</v>
          </cell>
          <cell r="BS32">
            <v>658045.27</v>
          </cell>
          <cell r="BT32">
            <v>658045.27</v>
          </cell>
          <cell r="BV32">
            <v>658045.27</v>
          </cell>
          <cell r="CA32">
            <v>8.65</v>
          </cell>
          <cell r="CC32">
            <v>24</v>
          </cell>
          <cell r="CF32">
            <v>24</v>
          </cell>
          <cell r="CG32">
            <v>3054.3981481481483</v>
          </cell>
          <cell r="CH32">
            <v>27</v>
          </cell>
          <cell r="CI32">
            <v>60175.839999999989</v>
          </cell>
          <cell r="CK32">
            <v>75516.489999999991</v>
          </cell>
          <cell r="CL32">
            <v>-15340.650000000001</v>
          </cell>
          <cell r="CM32">
            <v>0</v>
          </cell>
          <cell r="CN32">
            <v>0</v>
          </cell>
          <cell r="CO32">
            <v>0</v>
          </cell>
          <cell r="CP32">
            <v>0</v>
          </cell>
        </row>
        <row r="33">
          <cell r="A33">
            <v>28</v>
          </cell>
          <cell r="B33">
            <v>55513.921082666275</v>
          </cell>
          <cell r="C33">
            <v>10282.790000000001</v>
          </cell>
          <cell r="D33">
            <v>22850.644444444446</v>
          </cell>
          <cell r="E33">
            <v>8133.333333333333</v>
          </cell>
          <cell r="F33">
            <v>8151.4960000000001</v>
          </cell>
          <cell r="G33">
            <v>12168.504000000001</v>
          </cell>
          <cell r="H33">
            <v>19350.7</v>
          </cell>
          <cell r="I33">
            <v>39607.25</v>
          </cell>
          <cell r="J33">
            <v>58957.95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V33">
            <v>0</v>
          </cell>
          <cell r="AW33">
            <v>87411.283333333326</v>
          </cell>
          <cell r="AY33">
            <v>113100</v>
          </cell>
          <cell r="BA33">
            <v>113100</v>
          </cell>
          <cell r="BB33">
            <v>52675.848860444035</v>
          </cell>
          <cell r="BC33">
            <v>2456979.723625286</v>
          </cell>
          <cell r="BF33">
            <v>0</v>
          </cell>
          <cell r="BG33">
            <v>29970</v>
          </cell>
          <cell r="BJ33">
            <v>0</v>
          </cell>
          <cell r="BL33">
            <v>2486949.723625286</v>
          </cell>
          <cell r="BM33">
            <v>2172501</v>
          </cell>
          <cell r="BN33">
            <v>658045.27</v>
          </cell>
          <cell r="BP33">
            <v>18149</v>
          </cell>
          <cell r="BQ33">
            <v>40300</v>
          </cell>
          <cell r="BS33">
            <v>635894.27</v>
          </cell>
          <cell r="BT33">
            <v>635894.27</v>
          </cell>
          <cell r="BV33">
            <v>635894.27</v>
          </cell>
          <cell r="CA33">
            <v>0</v>
          </cell>
          <cell r="CC33">
            <v>24</v>
          </cell>
          <cell r="CF33">
            <v>24</v>
          </cell>
          <cell r="CG33">
            <v>4712.5</v>
          </cell>
          <cell r="CH33">
            <v>28</v>
          </cell>
          <cell r="CI33">
            <v>75516.489999999991</v>
          </cell>
          <cell r="CK33">
            <v>72678.439999999973</v>
          </cell>
          <cell r="CL33">
            <v>2838.0500000000175</v>
          </cell>
          <cell r="CM33">
            <v>0</v>
          </cell>
          <cell r="CN33">
            <v>0</v>
          </cell>
          <cell r="CO33">
            <v>0</v>
          </cell>
          <cell r="CP33">
            <v>0</v>
          </cell>
        </row>
        <row r="34">
          <cell r="A34">
            <v>29</v>
          </cell>
          <cell r="B34">
            <v>52675.848860444035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V34">
            <v>0</v>
          </cell>
          <cell r="AW34">
            <v>0</v>
          </cell>
          <cell r="BA34">
            <v>0</v>
          </cell>
          <cell r="BB34">
            <v>52675.848860444035</v>
          </cell>
          <cell r="BC34">
            <v>2486949.723625286</v>
          </cell>
          <cell r="BF34">
            <v>0</v>
          </cell>
          <cell r="BJ34">
            <v>0</v>
          </cell>
          <cell r="BL34">
            <v>2486949.723625286</v>
          </cell>
          <cell r="BN34">
            <v>635894.27</v>
          </cell>
          <cell r="BS34">
            <v>635894.27</v>
          </cell>
          <cell r="BT34">
            <v>635894.27</v>
          </cell>
          <cell r="BV34">
            <v>635894.27</v>
          </cell>
          <cell r="CF34">
            <v>0</v>
          </cell>
          <cell r="CG34" t="e">
            <v>#DIV/0!</v>
          </cell>
          <cell r="CH34">
            <v>29</v>
          </cell>
          <cell r="CI34">
            <v>72678.439999999973</v>
          </cell>
          <cell r="CK34">
            <v>72678.439999999973</v>
          </cell>
          <cell r="CL34">
            <v>0</v>
          </cell>
          <cell r="CM34">
            <v>0</v>
          </cell>
          <cell r="CN34" t="e">
            <v>#DIV/0!</v>
          </cell>
          <cell r="CO34">
            <v>0</v>
          </cell>
          <cell r="CP34" t="e">
            <v>#DIV/0!</v>
          </cell>
        </row>
        <row r="35">
          <cell r="A35">
            <v>30</v>
          </cell>
          <cell r="B35">
            <v>52675.848860444035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V35">
            <v>0</v>
          </cell>
          <cell r="AW35">
            <v>0</v>
          </cell>
          <cell r="BA35">
            <v>0</v>
          </cell>
          <cell r="BB35">
            <v>52675.848860444035</v>
          </cell>
          <cell r="BC35">
            <v>2486949.723625286</v>
          </cell>
          <cell r="BF35">
            <v>0</v>
          </cell>
          <cell r="BJ35">
            <v>0</v>
          </cell>
          <cell r="BL35">
            <v>2486949.723625286</v>
          </cell>
          <cell r="BN35">
            <v>635894.27</v>
          </cell>
          <cell r="BS35">
            <v>635894.27</v>
          </cell>
          <cell r="BT35">
            <v>635894.27</v>
          </cell>
          <cell r="BV35">
            <v>635894.27</v>
          </cell>
          <cell r="CF35">
            <v>0</v>
          </cell>
          <cell r="CG35" t="e">
            <v>#DIV/0!</v>
          </cell>
          <cell r="CH35">
            <v>30</v>
          </cell>
          <cell r="CI35">
            <v>72678.439999999973</v>
          </cell>
          <cell r="CK35">
            <v>72678.439999999973</v>
          </cell>
          <cell r="CL35">
            <v>0</v>
          </cell>
          <cell r="CM35">
            <v>0</v>
          </cell>
          <cell r="CN35" t="e">
            <v>#DIV/0!</v>
          </cell>
          <cell r="CO35">
            <v>0</v>
          </cell>
          <cell r="CP35" t="e">
            <v>#DIV/0!</v>
          </cell>
        </row>
        <row r="36">
          <cell r="A36">
            <v>31</v>
          </cell>
          <cell r="B36">
            <v>52675.848860444035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V36">
            <v>0</v>
          </cell>
          <cell r="AW36">
            <v>0</v>
          </cell>
          <cell r="BA36">
            <v>0</v>
          </cell>
          <cell r="BB36">
            <v>52675.848860444035</v>
          </cell>
          <cell r="BC36">
            <v>2486949.723625286</v>
          </cell>
          <cell r="BF36">
            <v>0</v>
          </cell>
          <cell r="BJ36">
            <v>0</v>
          </cell>
          <cell r="BL36">
            <v>2486949.723625286</v>
          </cell>
          <cell r="BN36">
            <v>635894.27</v>
          </cell>
          <cell r="BS36">
            <v>635894.27</v>
          </cell>
          <cell r="BT36">
            <v>635894.27</v>
          </cell>
          <cell r="BV36">
            <v>635894.27</v>
          </cell>
          <cell r="CF36">
            <v>0</v>
          </cell>
          <cell r="CG36" t="e">
            <v>#DIV/0!</v>
          </cell>
          <cell r="CH36">
            <v>31</v>
          </cell>
          <cell r="CI36">
            <v>72678.439999999973</v>
          </cell>
          <cell r="CK36">
            <v>72678.439999999973</v>
          </cell>
          <cell r="CL36">
            <v>0</v>
          </cell>
          <cell r="CM36">
            <v>0</v>
          </cell>
          <cell r="CN36" t="e">
            <v>#DIV/0!</v>
          </cell>
          <cell r="CO36">
            <v>0</v>
          </cell>
          <cell r="CP36" t="e">
            <v>#DIV/0!</v>
          </cell>
        </row>
      </sheetData>
      <sheetData sheetId="12" refreshError="1"/>
      <sheetData sheetId="13" refreshError="1">
        <row r="6">
          <cell r="A6">
            <v>1</v>
          </cell>
          <cell r="B6">
            <v>0</v>
          </cell>
          <cell r="K6">
            <v>0</v>
          </cell>
          <cell r="M6">
            <v>0</v>
          </cell>
          <cell r="O6">
            <v>0</v>
          </cell>
          <cell r="R6">
            <v>0</v>
          </cell>
          <cell r="S6">
            <v>0</v>
          </cell>
          <cell r="W6">
            <v>0</v>
          </cell>
          <cell r="AT6">
            <v>685794.62669999781</v>
          </cell>
          <cell r="AU6">
            <v>0</v>
          </cell>
          <cell r="BB6">
            <v>685794.62669999781</v>
          </cell>
        </row>
        <row r="7">
          <cell r="A7">
            <v>2</v>
          </cell>
          <cell r="B7">
            <v>0</v>
          </cell>
          <cell r="K7">
            <v>0</v>
          </cell>
          <cell r="M7">
            <v>0</v>
          </cell>
          <cell r="O7">
            <v>0</v>
          </cell>
          <cell r="R7">
            <v>0</v>
          </cell>
          <cell r="S7">
            <v>0</v>
          </cell>
          <cell r="W7">
            <v>0</v>
          </cell>
          <cell r="AT7">
            <v>685794.62669999781</v>
          </cell>
          <cell r="AU7">
            <v>0</v>
          </cell>
          <cell r="BB7">
            <v>685794.62669999781</v>
          </cell>
        </row>
        <row r="8">
          <cell r="A8">
            <v>3</v>
          </cell>
          <cell r="B8">
            <v>0</v>
          </cell>
          <cell r="K8">
            <v>0</v>
          </cell>
          <cell r="M8">
            <v>0</v>
          </cell>
          <cell r="O8">
            <v>0</v>
          </cell>
          <cell r="R8">
            <v>0</v>
          </cell>
          <cell r="S8">
            <v>0</v>
          </cell>
          <cell r="W8">
            <v>0</v>
          </cell>
          <cell r="AT8">
            <v>685794.62669999781</v>
          </cell>
          <cell r="AU8">
            <v>0</v>
          </cell>
          <cell r="BB8">
            <v>685794.62669999781</v>
          </cell>
        </row>
        <row r="9">
          <cell r="A9">
            <v>4</v>
          </cell>
          <cell r="B9">
            <v>0</v>
          </cell>
          <cell r="K9">
            <v>0</v>
          </cell>
          <cell r="M9">
            <v>0</v>
          </cell>
          <cell r="O9">
            <v>0</v>
          </cell>
          <cell r="R9">
            <v>0</v>
          </cell>
          <cell r="S9">
            <v>0</v>
          </cell>
          <cell r="W9">
            <v>0</v>
          </cell>
          <cell r="AT9">
            <v>685794.62669999781</v>
          </cell>
          <cell r="AU9">
            <v>0</v>
          </cell>
          <cell r="BB9">
            <v>685794.62669999781</v>
          </cell>
        </row>
        <row r="10">
          <cell r="A10">
            <v>5</v>
          </cell>
          <cell r="B10">
            <v>0</v>
          </cell>
          <cell r="K10">
            <v>0</v>
          </cell>
          <cell r="M10">
            <v>0</v>
          </cell>
          <cell r="O10">
            <v>0</v>
          </cell>
          <cell r="R10">
            <v>0</v>
          </cell>
          <cell r="S10">
            <v>0</v>
          </cell>
          <cell r="W10">
            <v>0</v>
          </cell>
          <cell r="AT10">
            <v>685794.62669999781</v>
          </cell>
          <cell r="AU10">
            <v>0</v>
          </cell>
          <cell r="BB10">
            <v>685794.62669999781</v>
          </cell>
        </row>
        <row r="11">
          <cell r="A11">
            <v>6</v>
          </cell>
          <cell r="B11">
            <v>0</v>
          </cell>
          <cell r="K11">
            <v>0</v>
          </cell>
          <cell r="M11">
            <v>0</v>
          </cell>
          <cell r="O11">
            <v>0</v>
          </cell>
          <cell r="R11">
            <v>0</v>
          </cell>
          <cell r="S11">
            <v>0</v>
          </cell>
          <cell r="W11">
            <v>0</v>
          </cell>
          <cell r="AT11">
            <v>685794.62669999781</v>
          </cell>
          <cell r="AU11">
            <v>0</v>
          </cell>
          <cell r="BB11">
            <v>685794.62669999781</v>
          </cell>
        </row>
        <row r="12">
          <cell r="A12">
            <v>7</v>
          </cell>
          <cell r="B12">
            <v>4800</v>
          </cell>
          <cell r="D12">
            <v>4222</v>
          </cell>
          <cell r="J12">
            <v>18</v>
          </cell>
          <cell r="K12">
            <v>9040</v>
          </cell>
          <cell r="M12">
            <v>9040</v>
          </cell>
          <cell r="O12">
            <v>9040</v>
          </cell>
          <cell r="R12">
            <v>8283.2000000000007</v>
          </cell>
          <cell r="S12">
            <v>44</v>
          </cell>
          <cell r="V12">
            <v>44</v>
          </cell>
          <cell r="W12">
            <v>668.79999999999927</v>
          </cell>
          <cell r="AF12">
            <v>20708</v>
          </cell>
          <cell r="AG12">
            <v>8283.2000000000007</v>
          </cell>
          <cell r="AQ12">
            <v>110</v>
          </cell>
          <cell r="AR12">
            <v>44</v>
          </cell>
          <cell r="AT12">
            <v>685794.62669999781</v>
          </cell>
          <cell r="AU12">
            <v>8283.2000000000007</v>
          </cell>
          <cell r="BB12">
            <v>694077.82669999776</v>
          </cell>
        </row>
        <row r="13">
          <cell r="A13">
            <v>8</v>
          </cell>
          <cell r="B13">
            <v>4750</v>
          </cell>
          <cell r="D13">
            <v>4336.1000000000004</v>
          </cell>
          <cell r="J13">
            <v>18.100000000000001</v>
          </cell>
          <cell r="K13">
            <v>9104.2000000000007</v>
          </cell>
          <cell r="M13">
            <v>9104.2000000000007</v>
          </cell>
          <cell r="N13">
            <v>400</v>
          </cell>
          <cell r="O13">
            <v>8704.2000000000007</v>
          </cell>
          <cell r="R13">
            <v>8294</v>
          </cell>
          <cell r="S13">
            <v>44</v>
          </cell>
          <cell r="V13">
            <v>26</v>
          </cell>
          <cell r="W13">
            <v>340.20000000000073</v>
          </cell>
          <cell r="AF13">
            <v>20735</v>
          </cell>
          <cell r="AG13">
            <v>8294</v>
          </cell>
          <cell r="AQ13">
            <v>110</v>
          </cell>
          <cell r="AR13">
            <v>44</v>
          </cell>
          <cell r="AT13">
            <v>694077.82669999776</v>
          </cell>
          <cell r="AU13">
            <v>8294</v>
          </cell>
          <cell r="BB13">
            <v>702371.82669999776</v>
          </cell>
        </row>
        <row r="14">
          <cell r="A14">
            <v>9</v>
          </cell>
          <cell r="B14">
            <v>0</v>
          </cell>
          <cell r="K14">
            <v>0</v>
          </cell>
          <cell r="M14">
            <v>0</v>
          </cell>
          <cell r="O14">
            <v>0</v>
          </cell>
          <cell r="R14">
            <v>0</v>
          </cell>
          <cell r="S14">
            <v>0</v>
          </cell>
          <cell r="W14">
            <v>0</v>
          </cell>
          <cell r="AT14">
            <v>702371.82669999776</v>
          </cell>
          <cell r="AU14">
            <v>0</v>
          </cell>
          <cell r="BB14">
            <v>702371.82669999776</v>
          </cell>
        </row>
        <row r="15">
          <cell r="A15">
            <v>10</v>
          </cell>
          <cell r="B15">
            <v>0</v>
          </cell>
          <cell r="K15">
            <v>0</v>
          </cell>
          <cell r="M15">
            <v>0</v>
          </cell>
          <cell r="O15">
            <v>0</v>
          </cell>
          <cell r="R15">
            <v>0</v>
          </cell>
          <cell r="S15">
            <v>0</v>
          </cell>
          <cell r="W15">
            <v>0</v>
          </cell>
          <cell r="AT15">
            <v>702371.82669999776</v>
          </cell>
          <cell r="AU15">
            <v>0</v>
          </cell>
          <cell r="BB15">
            <v>702371.82669999776</v>
          </cell>
        </row>
        <row r="16">
          <cell r="A16">
            <v>11</v>
          </cell>
          <cell r="B16">
            <v>5164</v>
          </cell>
          <cell r="D16">
            <v>3947.17</v>
          </cell>
          <cell r="G16">
            <v>13.5</v>
          </cell>
          <cell r="I16">
            <v>36</v>
          </cell>
          <cell r="J16">
            <v>0</v>
          </cell>
          <cell r="K16">
            <v>9160.67</v>
          </cell>
          <cell r="M16">
            <v>9160.67</v>
          </cell>
          <cell r="O16">
            <v>9160.67</v>
          </cell>
          <cell r="R16">
            <v>7576.8</v>
          </cell>
          <cell r="S16">
            <v>44</v>
          </cell>
          <cell r="V16">
            <v>38.400000000000006</v>
          </cell>
          <cell r="W16">
            <v>1501.4699999999998</v>
          </cell>
          <cell r="AF16">
            <v>18942</v>
          </cell>
          <cell r="AG16">
            <v>7576.8</v>
          </cell>
          <cell r="AQ16">
            <v>110</v>
          </cell>
          <cell r="AR16">
            <v>44</v>
          </cell>
          <cell r="AT16">
            <v>702371.82669999776</v>
          </cell>
          <cell r="AU16">
            <v>7576.8</v>
          </cell>
          <cell r="BB16">
            <v>709948.62669999781</v>
          </cell>
        </row>
        <row r="17">
          <cell r="A17">
            <v>12</v>
          </cell>
          <cell r="B17">
            <v>5175</v>
          </cell>
          <cell r="D17">
            <v>3732.4399999999996</v>
          </cell>
          <cell r="E17">
            <v>0</v>
          </cell>
          <cell r="F17">
            <v>0</v>
          </cell>
          <cell r="G17">
            <v>13.4</v>
          </cell>
          <cell r="H17">
            <v>7.22</v>
          </cell>
          <cell r="I17">
            <v>36</v>
          </cell>
          <cell r="K17">
            <v>8964.0599999999977</v>
          </cell>
          <cell r="M17">
            <v>8964.0599999999977</v>
          </cell>
          <cell r="O17">
            <v>8964.0599999999977</v>
          </cell>
          <cell r="R17">
            <v>8229.6</v>
          </cell>
          <cell r="S17">
            <v>44</v>
          </cell>
          <cell r="V17">
            <v>26</v>
          </cell>
          <cell r="W17">
            <v>664.45999999999731</v>
          </cell>
          <cell r="AF17">
            <v>20574</v>
          </cell>
          <cell r="AG17">
            <v>8229.6</v>
          </cell>
          <cell r="AQ17">
            <v>110</v>
          </cell>
          <cell r="AR17">
            <v>44</v>
          </cell>
          <cell r="AT17">
            <v>709948.62669999781</v>
          </cell>
          <cell r="AU17">
            <v>8229.6</v>
          </cell>
          <cell r="BB17">
            <v>718178.22669999779</v>
          </cell>
        </row>
        <row r="18">
          <cell r="A18">
            <v>13</v>
          </cell>
          <cell r="B18">
            <v>1900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K18">
            <v>1900</v>
          </cell>
          <cell r="M18">
            <v>1900</v>
          </cell>
          <cell r="O18">
            <v>1900</v>
          </cell>
          <cell r="R18">
            <v>0</v>
          </cell>
          <cell r="S18">
            <v>0</v>
          </cell>
          <cell r="V18">
            <v>0</v>
          </cell>
          <cell r="W18">
            <v>1900</v>
          </cell>
          <cell r="AF18">
            <v>0</v>
          </cell>
          <cell r="AG18">
            <v>0</v>
          </cell>
          <cell r="AQ18">
            <v>0</v>
          </cell>
          <cell r="AR18">
            <v>0</v>
          </cell>
          <cell r="AT18">
            <v>718178.22669999779</v>
          </cell>
          <cell r="AU18">
            <v>0</v>
          </cell>
          <cell r="BB18">
            <v>718178.22669999779</v>
          </cell>
        </row>
        <row r="19">
          <cell r="A19">
            <v>14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K19">
            <v>0</v>
          </cell>
          <cell r="M19">
            <v>0</v>
          </cell>
          <cell r="O19">
            <v>0</v>
          </cell>
          <cell r="R19">
            <v>0</v>
          </cell>
          <cell r="S19">
            <v>0</v>
          </cell>
          <cell r="V19">
            <v>0</v>
          </cell>
          <cell r="W19">
            <v>0</v>
          </cell>
          <cell r="AF19">
            <v>0</v>
          </cell>
          <cell r="AG19">
            <v>0</v>
          </cell>
          <cell r="AQ19">
            <v>0</v>
          </cell>
          <cell r="AR19">
            <v>0</v>
          </cell>
          <cell r="AT19">
            <v>718178.22669999779</v>
          </cell>
          <cell r="AU19">
            <v>0</v>
          </cell>
          <cell r="BB19">
            <v>718178.22669999779</v>
          </cell>
        </row>
        <row r="20">
          <cell r="A20">
            <v>15</v>
          </cell>
          <cell r="B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K20">
            <v>0</v>
          </cell>
          <cell r="M20">
            <v>0</v>
          </cell>
          <cell r="O20">
            <v>0</v>
          </cell>
          <cell r="R20">
            <v>0</v>
          </cell>
          <cell r="S20">
            <v>0</v>
          </cell>
          <cell r="V20">
            <v>0</v>
          </cell>
          <cell r="W20">
            <v>0</v>
          </cell>
          <cell r="AF20">
            <v>0</v>
          </cell>
          <cell r="AG20">
            <v>0</v>
          </cell>
          <cell r="AQ20">
            <v>0</v>
          </cell>
          <cell r="AR20">
            <v>0</v>
          </cell>
          <cell r="AT20">
            <v>718178.22669999779</v>
          </cell>
          <cell r="AU20">
            <v>0</v>
          </cell>
          <cell r="BB20">
            <v>718178.22669999779</v>
          </cell>
        </row>
        <row r="21">
          <cell r="A21">
            <v>16</v>
          </cell>
          <cell r="B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K21">
            <v>0</v>
          </cell>
          <cell r="M21">
            <v>0</v>
          </cell>
          <cell r="O21">
            <v>0</v>
          </cell>
          <cell r="R21">
            <v>0</v>
          </cell>
          <cell r="S21">
            <v>0</v>
          </cell>
          <cell r="V21">
            <v>0</v>
          </cell>
          <cell r="W21">
            <v>0</v>
          </cell>
          <cell r="AF21">
            <v>0</v>
          </cell>
          <cell r="AG21">
            <v>0</v>
          </cell>
          <cell r="AQ21">
            <v>0</v>
          </cell>
          <cell r="AR21">
            <v>0</v>
          </cell>
          <cell r="AT21">
            <v>718178.22669999779</v>
          </cell>
          <cell r="AU21">
            <v>0</v>
          </cell>
          <cell r="BB21">
            <v>718178.22669999779</v>
          </cell>
        </row>
        <row r="22">
          <cell r="A22">
            <v>17</v>
          </cell>
          <cell r="B22">
            <v>2350</v>
          </cell>
          <cell r="D22">
            <v>1305.06</v>
          </cell>
          <cell r="E22">
            <v>0</v>
          </cell>
          <cell r="F22">
            <v>0</v>
          </cell>
          <cell r="G22">
            <v>2.7</v>
          </cell>
          <cell r="H22">
            <v>1.44</v>
          </cell>
          <cell r="I22">
            <v>7.2</v>
          </cell>
          <cell r="J22">
            <v>3.6</v>
          </cell>
          <cell r="K22">
            <v>3669.9999999999995</v>
          </cell>
          <cell r="M22">
            <v>3669.9999999999995</v>
          </cell>
          <cell r="O22">
            <v>3669.9999999999995</v>
          </cell>
          <cell r="R22">
            <v>3254.4</v>
          </cell>
          <cell r="S22">
            <v>17.600000000000001</v>
          </cell>
          <cell r="V22">
            <v>12.4</v>
          </cell>
          <cell r="W22">
            <v>385.59999999999945</v>
          </cell>
          <cell r="AF22">
            <v>8136</v>
          </cell>
          <cell r="AG22">
            <v>3254.4</v>
          </cell>
          <cell r="AQ22">
            <v>44</v>
          </cell>
          <cell r="AR22">
            <v>17.600000000000001</v>
          </cell>
          <cell r="AT22">
            <v>718178.22669999779</v>
          </cell>
          <cell r="AU22">
            <v>3254.4</v>
          </cell>
          <cell r="BB22">
            <v>721432.62669999781</v>
          </cell>
        </row>
        <row r="23">
          <cell r="A23">
            <v>18</v>
          </cell>
          <cell r="B23">
            <v>0</v>
          </cell>
          <cell r="K23">
            <v>0</v>
          </cell>
          <cell r="M23">
            <v>0</v>
          </cell>
          <cell r="O23">
            <v>0</v>
          </cell>
          <cell r="R23">
            <v>0</v>
          </cell>
          <cell r="S23">
            <v>0</v>
          </cell>
          <cell r="W23">
            <v>0</v>
          </cell>
          <cell r="AT23">
            <v>721432.62669999781</v>
          </cell>
          <cell r="AU23">
            <v>0</v>
          </cell>
          <cell r="AZ23">
            <v>960</v>
          </cell>
          <cell r="BB23">
            <v>720472.62669999781</v>
          </cell>
        </row>
        <row r="24">
          <cell r="A24">
            <v>19</v>
          </cell>
          <cell r="B24">
            <v>0</v>
          </cell>
          <cell r="K24">
            <v>0</v>
          </cell>
          <cell r="M24">
            <v>0</v>
          </cell>
          <cell r="O24">
            <v>0</v>
          </cell>
          <cell r="R24">
            <v>0</v>
          </cell>
          <cell r="S24">
            <v>0</v>
          </cell>
          <cell r="W24">
            <v>0</v>
          </cell>
          <cell r="AT24">
            <v>720472.62669999781</v>
          </cell>
          <cell r="AU24">
            <v>0</v>
          </cell>
          <cell r="BB24">
            <v>720472.62669999781</v>
          </cell>
        </row>
        <row r="25">
          <cell r="A25">
            <v>20</v>
          </cell>
          <cell r="B25">
            <v>0</v>
          </cell>
          <cell r="K25">
            <v>0</v>
          </cell>
          <cell r="M25">
            <v>0</v>
          </cell>
          <cell r="O25">
            <v>0</v>
          </cell>
          <cell r="R25">
            <v>0</v>
          </cell>
          <cell r="S25">
            <v>0</v>
          </cell>
          <cell r="W25">
            <v>0</v>
          </cell>
          <cell r="AT25">
            <v>720472.62669999781</v>
          </cell>
          <cell r="AU25">
            <v>0</v>
          </cell>
          <cell r="BB25">
            <v>720472.62669999781</v>
          </cell>
        </row>
        <row r="26">
          <cell r="A26">
            <v>21</v>
          </cell>
          <cell r="B26">
            <v>0</v>
          </cell>
          <cell r="K26">
            <v>0</v>
          </cell>
          <cell r="M26">
            <v>0</v>
          </cell>
          <cell r="O26">
            <v>0</v>
          </cell>
          <cell r="R26">
            <v>0</v>
          </cell>
          <cell r="S26">
            <v>0</v>
          </cell>
          <cell r="W26">
            <v>0</v>
          </cell>
          <cell r="AT26">
            <v>720472.62669999781</v>
          </cell>
          <cell r="AU26">
            <v>0</v>
          </cell>
          <cell r="AZ26">
            <v>14208</v>
          </cell>
          <cell r="BB26">
            <v>706264.62669999781</v>
          </cell>
        </row>
        <row r="27">
          <cell r="A27">
            <v>22</v>
          </cell>
          <cell r="B27">
            <v>0</v>
          </cell>
          <cell r="K27">
            <v>0</v>
          </cell>
          <cell r="M27">
            <v>0</v>
          </cell>
          <cell r="O27">
            <v>0</v>
          </cell>
          <cell r="R27">
            <v>0</v>
          </cell>
          <cell r="S27">
            <v>0</v>
          </cell>
          <cell r="W27">
            <v>0</v>
          </cell>
          <cell r="AT27">
            <v>706264.62669999781</v>
          </cell>
          <cell r="AU27">
            <v>0</v>
          </cell>
          <cell r="BB27">
            <v>706264.62669999781</v>
          </cell>
        </row>
        <row r="28">
          <cell r="A28">
            <v>23</v>
          </cell>
          <cell r="B28">
            <v>0</v>
          </cell>
          <cell r="K28">
            <v>0</v>
          </cell>
          <cell r="M28">
            <v>0</v>
          </cell>
          <cell r="O28">
            <v>0</v>
          </cell>
          <cell r="R28">
            <v>0</v>
          </cell>
          <cell r="S28">
            <v>0</v>
          </cell>
          <cell r="W28">
            <v>0</v>
          </cell>
          <cell r="AT28">
            <v>706264.62669999781</v>
          </cell>
          <cell r="AU28">
            <v>0</v>
          </cell>
          <cell r="BB28">
            <v>706264.62669999781</v>
          </cell>
        </row>
        <row r="29">
          <cell r="A29">
            <v>24</v>
          </cell>
          <cell r="B29">
            <v>0</v>
          </cell>
          <cell r="K29">
            <v>0</v>
          </cell>
          <cell r="M29">
            <v>0</v>
          </cell>
          <cell r="O29">
            <v>0</v>
          </cell>
          <cell r="R29">
            <v>0</v>
          </cell>
          <cell r="S29">
            <v>0</v>
          </cell>
          <cell r="W29">
            <v>0</v>
          </cell>
          <cell r="AT29">
            <v>706264.62669999781</v>
          </cell>
          <cell r="AU29">
            <v>0</v>
          </cell>
          <cell r="BB29">
            <v>706264.62669999781</v>
          </cell>
        </row>
        <row r="30">
          <cell r="A30">
            <v>25</v>
          </cell>
          <cell r="B30">
            <v>0</v>
          </cell>
          <cell r="K30">
            <v>0</v>
          </cell>
          <cell r="M30">
            <v>0</v>
          </cell>
          <cell r="O30">
            <v>0</v>
          </cell>
          <cell r="R30">
            <v>0</v>
          </cell>
          <cell r="S30">
            <v>0</v>
          </cell>
          <cell r="W30">
            <v>0</v>
          </cell>
          <cell r="AT30">
            <v>706264.62669999781</v>
          </cell>
          <cell r="AU30">
            <v>0</v>
          </cell>
          <cell r="BB30">
            <v>706264.62669999781</v>
          </cell>
        </row>
        <row r="31">
          <cell r="A31">
            <v>26</v>
          </cell>
          <cell r="B31">
            <v>0</v>
          </cell>
          <cell r="K31">
            <v>0</v>
          </cell>
          <cell r="M31">
            <v>0</v>
          </cell>
          <cell r="O31">
            <v>0</v>
          </cell>
          <cell r="R31">
            <v>0</v>
          </cell>
          <cell r="S31">
            <v>0</v>
          </cell>
          <cell r="W31">
            <v>0</v>
          </cell>
          <cell r="AT31">
            <v>706264.62669999781</v>
          </cell>
          <cell r="AU31">
            <v>0</v>
          </cell>
          <cell r="BB31">
            <v>706264.62669999781</v>
          </cell>
        </row>
        <row r="32">
          <cell r="A32">
            <v>27</v>
          </cell>
          <cell r="B32">
            <v>0</v>
          </cell>
          <cell r="K32">
            <v>0</v>
          </cell>
          <cell r="M32">
            <v>0</v>
          </cell>
          <cell r="O32">
            <v>0</v>
          </cell>
          <cell r="R32">
            <v>0</v>
          </cell>
          <cell r="S32">
            <v>0</v>
          </cell>
          <cell r="W32">
            <v>0</v>
          </cell>
          <cell r="AT32">
            <v>706264.62669999781</v>
          </cell>
          <cell r="AU32">
            <v>0</v>
          </cell>
          <cell r="BB32">
            <v>706264.62669999781</v>
          </cell>
        </row>
        <row r="33">
          <cell r="A33">
            <v>28</v>
          </cell>
          <cell r="B33">
            <v>0</v>
          </cell>
          <cell r="K33">
            <v>0</v>
          </cell>
          <cell r="M33">
            <v>0</v>
          </cell>
          <cell r="O33">
            <v>0</v>
          </cell>
          <cell r="R33">
            <v>0</v>
          </cell>
          <cell r="S33">
            <v>0</v>
          </cell>
          <cell r="W33">
            <v>0</v>
          </cell>
          <cell r="AT33">
            <v>706264.62669999781</v>
          </cell>
          <cell r="AU33">
            <v>0</v>
          </cell>
          <cell r="BB33">
            <v>706264.62669999781</v>
          </cell>
        </row>
        <row r="34">
          <cell r="A34">
            <v>29</v>
          </cell>
          <cell r="B34">
            <v>0</v>
          </cell>
          <cell r="K34">
            <v>0</v>
          </cell>
          <cell r="M34">
            <v>0</v>
          </cell>
          <cell r="O34">
            <v>0</v>
          </cell>
          <cell r="R34">
            <v>0</v>
          </cell>
          <cell r="S34">
            <v>0</v>
          </cell>
          <cell r="W34">
            <v>0</v>
          </cell>
          <cell r="AT34">
            <v>706264.62669999781</v>
          </cell>
          <cell r="AU34">
            <v>0</v>
          </cell>
          <cell r="BB34">
            <v>706264.62669999781</v>
          </cell>
        </row>
        <row r="35">
          <cell r="A35">
            <v>30</v>
          </cell>
          <cell r="B35">
            <v>0</v>
          </cell>
          <cell r="K35">
            <v>0</v>
          </cell>
          <cell r="M35">
            <v>0</v>
          </cell>
          <cell r="O35">
            <v>0</v>
          </cell>
          <cell r="R35">
            <v>0</v>
          </cell>
          <cell r="S35">
            <v>0</v>
          </cell>
          <cell r="W35">
            <v>0</v>
          </cell>
          <cell r="AT35">
            <v>706264.62669999781</v>
          </cell>
          <cell r="AU35">
            <v>0</v>
          </cell>
          <cell r="BB35">
            <v>706264.62669999781</v>
          </cell>
        </row>
        <row r="36">
          <cell r="A36">
            <v>31</v>
          </cell>
          <cell r="B36">
            <v>0</v>
          </cell>
          <cell r="K36">
            <v>0</v>
          </cell>
          <cell r="M36">
            <v>0</v>
          </cell>
          <cell r="O36">
            <v>0</v>
          </cell>
          <cell r="R36">
            <v>0</v>
          </cell>
          <cell r="S36">
            <v>0</v>
          </cell>
          <cell r="W36">
            <v>0</v>
          </cell>
          <cell r="AT36">
            <v>706264.62669999781</v>
          </cell>
          <cell r="AU36">
            <v>0</v>
          </cell>
          <cell r="BB36">
            <v>706264.62669999781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FRM1-13"/>
      <sheetName val="#REF"/>
    </sheetNames>
    <definedNames>
      <definedName name="Macro6"/>
    </definedNames>
    <sheetDataSet>
      <sheetData sheetId="0" refreshError="1"/>
      <sheetData sheetId="1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FRM1-13"/>
    </sheetNames>
    <definedNames>
      <definedName name="Macro4"/>
      <definedName name="Macro9"/>
    </defined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FRM1-13"/>
      <sheetName val="#REF"/>
    </sheetNames>
    <definedNames>
      <definedName name="Macro7"/>
    </definedNames>
    <sheetDataSet>
      <sheetData sheetId="0" refreshError="1"/>
      <sheetData sheetId="1" refreshError="1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HRNOF"/>
    </sheetNames>
    <definedNames>
      <definedName name="Macro2"/>
    </defined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XXXXXXX"/>
      <sheetName val="XXXXXX0"/>
      <sheetName val="XXXXXX1"/>
      <sheetName val="results"/>
      <sheetName val="KB-WKB"/>
      <sheetName val="ADM"/>
      <sheetName val="KS"/>
      <sheetName val="WKS"/>
      <sheetName val="KR"/>
      <sheetName val="WKR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FRM1-13"/>
    </sheetNames>
    <definedNames>
      <definedName name="Macro4"/>
      <definedName name="Macro5"/>
      <definedName name="Macro6"/>
      <definedName name="Macro7"/>
      <definedName name="Macro8"/>
      <definedName name="Macro9"/>
    </defined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>
  <externalBook xmlns:r="http://schemas.openxmlformats.org/officeDocument/2006/relationships" r:id="rId1">
    <sheetNames>
      <sheetName val="2004"/>
      <sheetName val="Cover "/>
      <sheetName val="FORMULIR (2)"/>
      <sheetName val="WIN"/>
      <sheetName val="KODE A"/>
      <sheetName val="KODE B"/>
      <sheetName val="FORM"/>
      <sheetName val="Rekap "/>
      <sheetName val="Sheet1"/>
      <sheetName val="ddc"/>
      <sheetName val="pp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2.xml><?xml version="1.0" encoding="utf-8"?>
<externalLink xmlns="http://schemas.openxmlformats.org/spreadsheetml/2006/main">
  <externalBook xmlns:r="http://schemas.openxmlformats.org/officeDocument/2006/relationships" r:id="rId1">
    <sheetNames>
      <sheetName val="FRM1-13"/>
    </sheetNames>
    <definedNames>
      <definedName name="Macro9"/>
    </defined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>
  <externalBook xmlns:r="http://schemas.openxmlformats.org/officeDocument/2006/relationships" r:id="rId1">
    <sheetNames>
      <sheetName val="lap"/>
      <sheetName val="Sheet1"/>
      <sheetName val="TO PAK PENNY"/>
      <sheetName val="Sheet2"/>
    </sheetNames>
    <sheetDataSet>
      <sheetData sheetId="0"/>
      <sheetData sheetId="1">
        <row r="1">
          <cell r="E1" t="str">
            <v>TANGGAL</v>
          </cell>
          <cell r="F1">
            <v>1</v>
          </cell>
          <cell r="G1">
            <v>2</v>
          </cell>
          <cell r="H1">
            <v>3</v>
          </cell>
          <cell r="I1">
            <v>4</v>
          </cell>
          <cell r="J1">
            <v>5</v>
          </cell>
          <cell r="K1">
            <v>6</v>
          </cell>
          <cell r="L1">
            <v>7</v>
          </cell>
          <cell r="M1">
            <v>8</v>
          </cell>
          <cell r="N1">
            <v>9</v>
          </cell>
          <cell r="O1">
            <v>10</v>
          </cell>
          <cell r="P1">
            <v>11</v>
          </cell>
          <cell r="Q1">
            <v>12</v>
          </cell>
          <cell r="R1">
            <v>13</v>
          </cell>
          <cell r="S1">
            <v>14</v>
          </cell>
          <cell r="T1">
            <v>15</v>
          </cell>
          <cell r="U1">
            <v>16</v>
          </cell>
          <cell r="V1">
            <v>17</v>
          </cell>
          <cell r="W1">
            <v>18</v>
          </cell>
          <cell r="X1">
            <v>19</v>
          </cell>
          <cell r="Y1">
            <v>20</v>
          </cell>
          <cell r="Z1">
            <v>21</v>
          </cell>
          <cell r="AA1">
            <v>22</v>
          </cell>
          <cell r="AB1">
            <v>23</v>
          </cell>
          <cell r="AC1">
            <v>24</v>
          </cell>
          <cell r="AD1">
            <v>25</v>
          </cell>
          <cell r="AE1">
            <v>26</v>
          </cell>
          <cell r="AF1">
            <v>27</v>
          </cell>
          <cell r="AG1">
            <v>28</v>
          </cell>
          <cell r="AH1">
            <v>29</v>
          </cell>
          <cell r="AI1">
            <v>30</v>
          </cell>
          <cell r="AJ1">
            <v>31</v>
          </cell>
        </row>
        <row r="2">
          <cell r="B2" t="str">
            <v>TEMPURUNG</v>
          </cell>
        </row>
        <row r="3">
          <cell r="C3" t="str">
            <v>Stock Awal</v>
          </cell>
          <cell r="F3">
            <v>201376.80000000002</v>
          </cell>
          <cell r="G3">
            <v>201376.80000000002</v>
          </cell>
          <cell r="H3">
            <v>202877.80000000002</v>
          </cell>
          <cell r="I3">
            <v>202877.80000000002</v>
          </cell>
          <cell r="J3">
            <v>205594.80000000002</v>
          </cell>
          <cell r="K3">
            <v>206440.30000000002</v>
          </cell>
          <cell r="L3">
            <v>209594.30000000002</v>
          </cell>
          <cell r="M3">
            <v>215123.30000000002</v>
          </cell>
          <cell r="N3">
            <v>222894.30000000002</v>
          </cell>
          <cell r="O3">
            <v>219715.80000000002</v>
          </cell>
          <cell r="P3">
            <v>213086.30000000002</v>
          </cell>
          <cell r="Q3">
            <v>200235.80000000002</v>
          </cell>
          <cell r="R3">
            <v>189739.80000000002</v>
          </cell>
          <cell r="S3">
            <v>181085.30000000002</v>
          </cell>
          <cell r="T3">
            <v>161641.80000000002</v>
          </cell>
          <cell r="U3">
            <v>147921.80000000002</v>
          </cell>
          <cell r="V3">
            <v>145023.30000000002</v>
          </cell>
          <cell r="W3">
            <v>149269.80000000002</v>
          </cell>
          <cell r="X3">
            <v>144636.30000000002</v>
          </cell>
          <cell r="Y3">
            <v>151200.80000000002</v>
          </cell>
          <cell r="Z3">
            <v>146780.30000000002</v>
          </cell>
          <cell r="AA3">
            <v>152014.80000000002</v>
          </cell>
          <cell r="AB3">
            <v>157144.80000000002</v>
          </cell>
          <cell r="AC3">
            <v>163623.80000000002</v>
          </cell>
          <cell r="AD3">
            <v>168468.80000000002</v>
          </cell>
          <cell r="AE3">
            <v>176211.30000000002</v>
          </cell>
          <cell r="AF3">
            <v>174520.30000000002</v>
          </cell>
          <cell r="AG3">
            <v>174520.30000000002</v>
          </cell>
          <cell r="AH3">
            <v>174520.30000000002</v>
          </cell>
          <cell r="AI3">
            <v>174520.30000000002</v>
          </cell>
          <cell r="AJ3">
            <v>174520.30000000002</v>
          </cell>
        </row>
        <row r="4">
          <cell r="C4" t="str">
            <v>Terima Tempurung</v>
          </cell>
          <cell r="F4">
            <v>0</v>
          </cell>
          <cell r="G4">
            <v>1501</v>
          </cell>
          <cell r="H4">
            <v>0</v>
          </cell>
          <cell r="I4">
            <v>2717</v>
          </cell>
          <cell r="J4">
            <v>845.5</v>
          </cell>
          <cell r="K4">
            <v>3154</v>
          </cell>
          <cell r="L4">
            <v>5529</v>
          </cell>
          <cell r="M4">
            <v>7771</v>
          </cell>
          <cell r="N4">
            <v>6621.5</v>
          </cell>
          <cell r="O4">
            <v>7020.5</v>
          </cell>
          <cell r="P4">
            <v>1149.5</v>
          </cell>
          <cell r="Q4">
            <v>3154</v>
          </cell>
          <cell r="R4">
            <v>4645.5</v>
          </cell>
          <cell r="S4">
            <v>6906.5</v>
          </cell>
          <cell r="T4">
            <v>1330</v>
          </cell>
          <cell r="U4">
            <v>1301.5</v>
          </cell>
          <cell r="V4">
            <v>4246.5</v>
          </cell>
          <cell r="W4">
            <v>2916.5</v>
          </cell>
          <cell r="X4">
            <v>6564.5</v>
          </cell>
          <cell r="Y4">
            <v>3429.5</v>
          </cell>
          <cell r="Z4">
            <v>5234.5</v>
          </cell>
          <cell r="AA4">
            <v>5130</v>
          </cell>
          <cell r="AB4">
            <v>6479</v>
          </cell>
          <cell r="AC4">
            <v>4845</v>
          </cell>
          <cell r="AD4">
            <v>7742.5</v>
          </cell>
          <cell r="AE4">
            <v>-1691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</row>
        <row r="5">
          <cell r="D5" t="str">
            <v>Dari Pembelian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</row>
        <row r="6">
          <cell r="D6" t="str">
            <v>Dari MPD</v>
          </cell>
          <cell r="F6">
            <v>0</v>
          </cell>
          <cell r="G6">
            <v>1501</v>
          </cell>
          <cell r="H6">
            <v>0</v>
          </cell>
          <cell r="I6">
            <v>2717</v>
          </cell>
          <cell r="J6">
            <v>845.5</v>
          </cell>
          <cell r="K6">
            <v>3154</v>
          </cell>
          <cell r="L6">
            <v>5529</v>
          </cell>
          <cell r="M6">
            <v>7771</v>
          </cell>
          <cell r="N6">
            <v>6621.5</v>
          </cell>
          <cell r="O6">
            <v>7020.5</v>
          </cell>
          <cell r="P6">
            <v>1149.5</v>
          </cell>
          <cell r="Q6">
            <v>3154</v>
          </cell>
          <cell r="R6">
            <v>4645.5</v>
          </cell>
          <cell r="S6">
            <v>6906.5</v>
          </cell>
          <cell r="T6">
            <v>1330</v>
          </cell>
          <cell r="U6">
            <v>1301.5</v>
          </cell>
          <cell r="V6">
            <v>4246.5</v>
          </cell>
          <cell r="W6">
            <v>2916.5</v>
          </cell>
          <cell r="X6">
            <v>6564.5</v>
          </cell>
          <cell r="Y6">
            <v>3429.5</v>
          </cell>
          <cell r="Z6">
            <v>5234.5</v>
          </cell>
          <cell r="AA6">
            <v>5130</v>
          </cell>
          <cell r="AB6">
            <v>6479</v>
          </cell>
          <cell r="AC6">
            <v>4845</v>
          </cell>
          <cell r="AD6">
            <v>7742.5</v>
          </cell>
          <cell r="AE6">
            <v>-1691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</row>
        <row r="7">
          <cell r="C7" t="str">
            <v>Pemakaian TPR u/ Arang</v>
          </cell>
          <cell r="N7">
            <v>9800</v>
          </cell>
          <cell r="O7">
            <v>13650</v>
          </cell>
          <cell r="P7">
            <v>14000</v>
          </cell>
          <cell r="Q7">
            <v>13650</v>
          </cell>
          <cell r="R7">
            <v>13300</v>
          </cell>
          <cell r="S7">
            <v>26350</v>
          </cell>
          <cell r="T7">
            <v>15050</v>
          </cell>
          <cell r="U7">
            <v>4200</v>
          </cell>
          <cell r="W7">
            <v>7550</v>
          </cell>
          <cell r="Y7">
            <v>7850</v>
          </cell>
        </row>
        <row r="8">
          <cell r="C8" t="str">
            <v>Pengiriman Tempurung</v>
          </cell>
        </row>
        <row r="9">
          <cell r="C9" t="str">
            <v xml:space="preserve">Stock Akhir </v>
          </cell>
          <cell r="F9">
            <v>201376.80000000002</v>
          </cell>
          <cell r="G9">
            <v>202877.80000000002</v>
          </cell>
          <cell r="H9">
            <v>202877.80000000002</v>
          </cell>
          <cell r="I9">
            <v>205594.80000000002</v>
          </cell>
          <cell r="J9">
            <v>206440.30000000002</v>
          </cell>
          <cell r="K9">
            <v>209594.30000000002</v>
          </cell>
          <cell r="L9">
            <v>215123.30000000002</v>
          </cell>
          <cell r="M9">
            <v>222894.30000000002</v>
          </cell>
          <cell r="N9">
            <v>219715.80000000002</v>
          </cell>
          <cell r="O9">
            <v>213086.30000000002</v>
          </cell>
          <cell r="P9">
            <v>200235.80000000002</v>
          </cell>
          <cell r="Q9">
            <v>189739.80000000002</v>
          </cell>
          <cell r="R9">
            <v>181085.30000000002</v>
          </cell>
          <cell r="S9">
            <v>161641.80000000002</v>
          </cell>
          <cell r="T9">
            <v>147921.80000000002</v>
          </cell>
          <cell r="U9">
            <v>145023.30000000002</v>
          </cell>
          <cell r="V9">
            <v>149269.80000000002</v>
          </cell>
          <cell r="W9">
            <v>144636.30000000002</v>
          </cell>
          <cell r="X9">
            <v>151200.80000000002</v>
          </cell>
          <cell r="Y9">
            <v>146780.30000000002</v>
          </cell>
          <cell r="Z9">
            <v>152014.80000000002</v>
          </cell>
          <cell r="AA9">
            <v>157144.80000000002</v>
          </cell>
          <cell r="AB9">
            <v>163623.80000000002</v>
          </cell>
          <cell r="AC9">
            <v>168468.80000000002</v>
          </cell>
          <cell r="AD9">
            <v>176211.30000000002</v>
          </cell>
          <cell r="AE9">
            <v>174520.30000000002</v>
          </cell>
          <cell r="AF9">
            <v>174520.30000000002</v>
          </cell>
          <cell r="AG9">
            <v>174520.30000000002</v>
          </cell>
          <cell r="AH9">
            <v>174520.30000000002</v>
          </cell>
          <cell r="AI9">
            <v>174520.30000000002</v>
          </cell>
          <cell r="AJ9">
            <v>174520.30000000002</v>
          </cell>
        </row>
        <row r="11">
          <cell r="B11" t="str">
            <v>ARANG</v>
          </cell>
        </row>
        <row r="12">
          <cell r="C12" t="str">
            <v>Stock Awal</v>
          </cell>
          <cell r="F12">
            <v>164400.6</v>
          </cell>
          <cell r="G12">
            <v>156440.6</v>
          </cell>
          <cell r="H12">
            <v>151147.6</v>
          </cell>
          <cell r="I12">
            <v>151147.6</v>
          </cell>
          <cell r="J12">
            <v>153425.30000000002</v>
          </cell>
          <cell r="K12">
            <v>156932.80000000002</v>
          </cell>
          <cell r="L12">
            <v>164734.50000000003</v>
          </cell>
          <cell r="M12">
            <v>165537.00000000003</v>
          </cell>
          <cell r="N12">
            <v>177052.00000000003</v>
          </cell>
          <cell r="O12">
            <v>176022.80000000002</v>
          </cell>
          <cell r="P12">
            <v>170839.00000000003</v>
          </cell>
          <cell r="Q12">
            <v>165805.00000000003</v>
          </cell>
          <cell r="R12">
            <v>160126.00000000003</v>
          </cell>
          <cell r="S12">
            <v>154774.00000000003</v>
          </cell>
          <cell r="T12">
            <v>150094.00000000003</v>
          </cell>
          <cell r="U12">
            <v>152890.10000000003</v>
          </cell>
          <cell r="V12">
            <v>153498.70000000004</v>
          </cell>
          <cell r="W12">
            <v>149570.70000000004</v>
          </cell>
          <cell r="X12">
            <v>155267.20000000004</v>
          </cell>
          <cell r="Y12">
            <v>181935.50000000006</v>
          </cell>
          <cell r="Z12">
            <v>189352.00000000006</v>
          </cell>
          <cell r="AA12">
            <v>186340.00000000006</v>
          </cell>
          <cell r="AB12">
            <v>186340.00000000006</v>
          </cell>
          <cell r="AC12">
            <v>186340.00000000006</v>
          </cell>
          <cell r="AD12">
            <v>188061.00000000006</v>
          </cell>
          <cell r="AE12">
            <v>211034.30000000005</v>
          </cell>
          <cell r="AF12">
            <v>197623.60000000003</v>
          </cell>
          <cell r="AG12">
            <v>197623.60000000003</v>
          </cell>
          <cell r="AH12">
            <v>197623.60000000003</v>
          </cell>
          <cell r="AI12">
            <v>197623.60000000003</v>
          </cell>
          <cell r="AJ12">
            <v>197623.60000000003</v>
          </cell>
        </row>
        <row r="13">
          <cell r="C13" t="str">
            <v>Terima  Arang</v>
          </cell>
          <cell r="F13">
            <v>0</v>
          </cell>
          <cell r="G13">
            <v>0</v>
          </cell>
          <cell r="H13">
            <v>0</v>
          </cell>
          <cell r="I13">
            <v>2277.6999999999998</v>
          </cell>
          <cell r="J13">
            <v>3507.5</v>
          </cell>
          <cell r="K13">
            <v>7801.7</v>
          </cell>
          <cell r="L13">
            <v>802.5</v>
          </cell>
          <cell r="M13">
            <v>11515</v>
          </cell>
          <cell r="N13">
            <v>5348.8</v>
          </cell>
          <cell r="O13">
            <v>1262.2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8701.0999999999985</v>
          </cell>
          <cell r="U13">
            <v>2568.6</v>
          </cell>
          <cell r="V13">
            <v>0</v>
          </cell>
          <cell r="W13">
            <v>5866.5</v>
          </cell>
          <cell r="X13">
            <v>32831.300000000003</v>
          </cell>
          <cell r="Y13">
            <v>12257.5</v>
          </cell>
          <cell r="Z13">
            <v>0</v>
          </cell>
          <cell r="AA13">
            <v>0</v>
          </cell>
          <cell r="AB13">
            <v>0</v>
          </cell>
          <cell r="AC13">
            <v>1721</v>
          </cell>
          <cell r="AD13">
            <v>29660.3</v>
          </cell>
          <cell r="AE13">
            <v>-7332.6999999999971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</row>
        <row r="14">
          <cell r="D14" t="str">
            <v>Dari Pembelian</v>
          </cell>
          <cell r="F14">
            <v>0</v>
          </cell>
          <cell r="G14">
            <v>0</v>
          </cell>
          <cell r="H14">
            <v>0</v>
          </cell>
          <cell r="I14">
            <v>2277.6999999999998</v>
          </cell>
          <cell r="J14">
            <v>3507.5</v>
          </cell>
          <cell r="K14">
            <v>7801.7</v>
          </cell>
          <cell r="L14">
            <v>802.5</v>
          </cell>
          <cell r="M14">
            <v>11515</v>
          </cell>
          <cell r="N14">
            <v>5348.8</v>
          </cell>
          <cell r="O14">
            <v>1262.2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8701.0999999999985</v>
          </cell>
          <cell r="U14">
            <v>2568.6</v>
          </cell>
          <cell r="V14">
            <v>0</v>
          </cell>
          <cell r="W14">
            <v>5866.5</v>
          </cell>
          <cell r="X14">
            <v>32831.300000000003</v>
          </cell>
          <cell r="Y14">
            <v>12257.5</v>
          </cell>
          <cell r="Z14">
            <v>0</v>
          </cell>
          <cell r="AA14">
            <v>0</v>
          </cell>
          <cell r="AB14">
            <v>0</v>
          </cell>
          <cell r="AC14">
            <v>1721</v>
          </cell>
          <cell r="AD14">
            <v>29660.3</v>
          </cell>
          <cell r="AE14">
            <v>-7332.6999999999971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</row>
        <row r="15">
          <cell r="D15" t="str">
            <v>Dari Boiler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</row>
        <row r="16">
          <cell r="C16" t="str">
            <v>Hasil Produksi Arang</v>
          </cell>
          <cell r="F16">
            <v>0</v>
          </cell>
          <cell r="G16">
            <v>0</v>
          </cell>
          <cell r="H16">
            <v>0</v>
          </cell>
          <cell r="N16">
            <v>900</v>
          </cell>
          <cell r="O16">
            <v>1260</v>
          </cell>
          <cell r="P16">
            <v>2110</v>
          </cell>
          <cell r="Q16">
            <v>2286</v>
          </cell>
          <cell r="R16">
            <v>2784</v>
          </cell>
          <cell r="S16">
            <v>4013</v>
          </cell>
          <cell r="T16">
            <v>2845</v>
          </cell>
          <cell r="U16">
            <v>455</v>
          </cell>
          <cell r="V16">
            <v>275</v>
          </cell>
          <cell r="W16">
            <v>2029</v>
          </cell>
          <cell r="Y16">
            <v>1413</v>
          </cell>
        </row>
        <row r="17">
          <cell r="C17" t="str">
            <v>Pemakaian u/proses Carbon</v>
          </cell>
          <cell r="F17">
            <v>7960</v>
          </cell>
          <cell r="G17">
            <v>5293</v>
          </cell>
          <cell r="N17">
            <v>7278</v>
          </cell>
          <cell r="O17">
            <v>7706</v>
          </cell>
          <cell r="P17">
            <v>7144</v>
          </cell>
          <cell r="Q17">
            <v>7965</v>
          </cell>
          <cell r="R17">
            <v>8136</v>
          </cell>
          <cell r="S17">
            <v>8693</v>
          </cell>
          <cell r="T17">
            <v>8750</v>
          </cell>
          <cell r="U17">
            <v>2415</v>
          </cell>
          <cell r="V17">
            <v>4203</v>
          </cell>
          <cell r="W17">
            <v>2199</v>
          </cell>
          <cell r="X17">
            <v>6163</v>
          </cell>
          <cell r="Y17">
            <v>6254</v>
          </cell>
          <cell r="Z17">
            <v>3012</v>
          </cell>
          <cell r="AD17">
            <v>6687</v>
          </cell>
          <cell r="AE17">
            <v>6078</v>
          </cell>
        </row>
        <row r="18">
          <cell r="C18" t="str">
            <v xml:space="preserve">Stock Akhir </v>
          </cell>
          <cell r="F18">
            <v>156440.6</v>
          </cell>
          <cell r="G18">
            <v>151147.6</v>
          </cell>
          <cell r="H18">
            <v>151147.6</v>
          </cell>
          <cell r="I18">
            <v>153425.30000000002</v>
          </cell>
          <cell r="J18">
            <v>156932.80000000002</v>
          </cell>
          <cell r="K18">
            <v>164734.50000000003</v>
          </cell>
          <cell r="L18">
            <v>165537.00000000003</v>
          </cell>
          <cell r="M18">
            <v>177052.00000000003</v>
          </cell>
          <cell r="N18">
            <v>176022.80000000002</v>
          </cell>
          <cell r="O18">
            <v>170839.00000000003</v>
          </cell>
          <cell r="P18">
            <v>165805.00000000003</v>
          </cell>
          <cell r="Q18">
            <v>160126.00000000003</v>
          </cell>
          <cell r="R18">
            <v>154774.00000000003</v>
          </cell>
          <cell r="S18">
            <v>150094.00000000003</v>
          </cell>
          <cell r="T18">
            <v>152890.10000000003</v>
          </cell>
          <cell r="U18">
            <v>153498.70000000004</v>
          </cell>
          <cell r="V18">
            <v>149570.70000000004</v>
          </cell>
          <cell r="W18">
            <v>155267.20000000004</v>
          </cell>
          <cell r="X18">
            <v>181935.50000000006</v>
          </cell>
          <cell r="Y18">
            <v>189352.00000000006</v>
          </cell>
          <cell r="Z18">
            <v>186340.00000000006</v>
          </cell>
          <cell r="AA18">
            <v>186340.00000000006</v>
          </cell>
          <cell r="AB18">
            <v>186340.00000000006</v>
          </cell>
          <cell r="AC18">
            <v>188061.00000000006</v>
          </cell>
          <cell r="AD18">
            <v>211034.30000000005</v>
          </cell>
          <cell r="AE18">
            <v>197623.60000000003</v>
          </cell>
          <cell r="AF18">
            <v>197623.60000000003</v>
          </cell>
          <cell r="AG18">
            <v>197623.60000000003</v>
          </cell>
          <cell r="AH18">
            <v>197623.60000000003</v>
          </cell>
          <cell r="AI18">
            <v>197623.60000000003</v>
          </cell>
          <cell r="AJ18">
            <v>197623.60000000003</v>
          </cell>
        </row>
        <row r="20">
          <cell r="B20" t="str">
            <v>PROSES CARBON</v>
          </cell>
        </row>
        <row r="21">
          <cell r="C21" t="str">
            <v>Stock Awal</v>
          </cell>
          <cell r="F21">
            <v>4325</v>
          </cell>
          <cell r="G21">
            <v>4741</v>
          </cell>
          <cell r="H21">
            <v>3621</v>
          </cell>
          <cell r="I21">
            <v>8728</v>
          </cell>
          <cell r="J21">
            <v>7228</v>
          </cell>
          <cell r="K21">
            <v>6117</v>
          </cell>
          <cell r="L21">
            <v>6117</v>
          </cell>
          <cell r="M21">
            <v>6117</v>
          </cell>
          <cell r="N21">
            <v>6117</v>
          </cell>
          <cell r="O21">
            <v>7579</v>
          </cell>
          <cell r="P21">
            <v>10029</v>
          </cell>
          <cell r="Q21">
            <v>9589</v>
          </cell>
          <cell r="R21">
            <v>12159</v>
          </cell>
          <cell r="S21">
            <v>4474</v>
          </cell>
          <cell r="T21">
            <v>5457</v>
          </cell>
          <cell r="U21">
            <v>6547</v>
          </cell>
          <cell r="V21">
            <v>7547</v>
          </cell>
          <cell r="W21">
            <v>4852</v>
          </cell>
          <cell r="X21">
            <v>4047</v>
          </cell>
          <cell r="Y21">
            <v>2767</v>
          </cell>
          <cell r="Z21">
            <v>3312</v>
          </cell>
          <cell r="AA21">
            <v>2295</v>
          </cell>
          <cell r="AB21">
            <v>2295</v>
          </cell>
          <cell r="AC21">
            <v>1662</v>
          </cell>
          <cell r="AD21">
            <v>1662</v>
          </cell>
          <cell r="AE21">
            <v>2417</v>
          </cell>
          <cell r="AF21">
            <v>2458</v>
          </cell>
          <cell r="AG21">
            <v>2458</v>
          </cell>
          <cell r="AH21">
            <v>2458</v>
          </cell>
          <cell r="AI21">
            <v>2458</v>
          </cell>
          <cell r="AJ21">
            <v>2458</v>
          </cell>
        </row>
        <row r="22">
          <cell r="C22" t="str">
            <v>Hasil Produksi Carbon Aktif</v>
          </cell>
          <cell r="F22">
            <v>916</v>
          </cell>
          <cell r="G22">
            <v>850</v>
          </cell>
          <cell r="H22">
            <v>5937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1462</v>
          </cell>
          <cell r="O22">
            <v>2450</v>
          </cell>
          <cell r="P22">
            <v>2510</v>
          </cell>
          <cell r="Q22">
            <v>2570</v>
          </cell>
          <cell r="R22">
            <v>5370</v>
          </cell>
          <cell r="S22">
            <v>3707</v>
          </cell>
          <cell r="T22">
            <v>3090</v>
          </cell>
          <cell r="U22">
            <v>1810</v>
          </cell>
          <cell r="V22">
            <v>435</v>
          </cell>
          <cell r="W22">
            <v>1269</v>
          </cell>
          <cell r="X22">
            <v>455</v>
          </cell>
          <cell r="Y22">
            <v>1957</v>
          </cell>
          <cell r="Z22">
            <v>2120</v>
          </cell>
          <cell r="AA22">
            <v>0</v>
          </cell>
          <cell r="AB22">
            <v>0</v>
          </cell>
          <cell r="AC22">
            <v>0</v>
          </cell>
          <cell r="AD22">
            <v>755</v>
          </cell>
          <cell r="AE22">
            <v>2050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</row>
        <row r="23">
          <cell r="D23" t="str">
            <v>Rotary A</v>
          </cell>
          <cell r="H23">
            <v>5937</v>
          </cell>
          <cell r="N23">
            <v>1462</v>
          </cell>
          <cell r="O23">
            <v>2450</v>
          </cell>
          <cell r="P23">
            <v>2510</v>
          </cell>
          <cell r="Q23">
            <v>2570</v>
          </cell>
          <cell r="R23">
            <v>5370</v>
          </cell>
          <cell r="S23">
            <v>3707</v>
          </cell>
          <cell r="T23">
            <v>3090</v>
          </cell>
          <cell r="U23">
            <v>1810</v>
          </cell>
          <cell r="X23">
            <v>455</v>
          </cell>
          <cell r="Y23">
            <v>1957</v>
          </cell>
          <cell r="Z23">
            <v>2120</v>
          </cell>
        </row>
        <row r="24">
          <cell r="D24" t="str">
            <v>Rotary B</v>
          </cell>
          <cell r="F24">
            <v>916</v>
          </cell>
          <cell r="G24">
            <v>850</v>
          </cell>
          <cell r="V24">
            <v>435</v>
          </cell>
          <cell r="W24">
            <v>1269</v>
          </cell>
          <cell r="AD24">
            <v>755</v>
          </cell>
          <cell r="AE24">
            <v>2050</v>
          </cell>
        </row>
        <row r="25">
          <cell r="D25" t="str">
            <v>Rotary C</v>
          </cell>
        </row>
        <row r="26">
          <cell r="D26" t="str">
            <v>Rotary D</v>
          </cell>
        </row>
        <row r="27">
          <cell r="C27" t="str">
            <v>Hasil Penyaringan Carbon</v>
          </cell>
          <cell r="F27">
            <v>1260</v>
          </cell>
          <cell r="G27">
            <v>1210</v>
          </cell>
          <cell r="H27">
            <v>1084</v>
          </cell>
          <cell r="I27">
            <v>1281</v>
          </cell>
          <cell r="J27">
            <v>420</v>
          </cell>
          <cell r="P27">
            <v>2410</v>
          </cell>
          <cell r="Q27">
            <v>3070</v>
          </cell>
          <cell r="R27">
            <v>3476</v>
          </cell>
          <cell r="S27">
            <v>-61</v>
          </cell>
          <cell r="T27">
            <v>1945</v>
          </cell>
          <cell r="U27">
            <v>810</v>
          </cell>
          <cell r="V27">
            <v>3130</v>
          </cell>
          <cell r="W27">
            <v>2074</v>
          </cell>
          <cell r="X27">
            <v>1735</v>
          </cell>
          <cell r="Y27">
            <v>1412</v>
          </cell>
          <cell r="Z27">
            <v>3137</v>
          </cell>
          <cell r="AB27">
            <v>633</v>
          </cell>
          <cell r="AE27">
            <v>2009</v>
          </cell>
        </row>
        <row r="28">
          <cell r="C28" t="str">
            <v>Reproses Carbon</v>
          </cell>
        </row>
        <row r="29">
          <cell r="D29" t="str">
            <v>Hasil Reproses</v>
          </cell>
        </row>
        <row r="30">
          <cell r="D30" t="str">
            <v>Total Reproses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5050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</row>
        <row r="31">
          <cell r="C31" t="str">
            <v>Loss / Batu</v>
          </cell>
          <cell r="R31">
            <v>2490</v>
          </cell>
          <cell r="S31">
            <v>224</v>
          </cell>
          <cell r="U31">
            <v>-190</v>
          </cell>
          <cell r="V31">
            <v>130</v>
          </cell>
          <cell r="W31">
            <v>74</v>
          </cell>
          <cell r="X31">
            <v>235</v>
          </cell>
          <cell r="Y31">
            <v>412</v>
          </cell>
          <cell r="Z31">
            <v>137</v>
          </cell>
          <cell r="AA31">
            <v>-39.200000000000003</v>
          </cell>
          <cell r="AB31">
            <v>133</v>
          </cell>
          <cell r="AC31">
            <v>0</v>
          </cell>
          <cell r="AD31">
            <v>0</v>
          </cell>
          <cell r="AE31">
            <v>509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</row>
        <row r="32">
          <cell r="C32" t="str">
            <v xml:space="preserve">Stock Akhir </v>
          </cell>
          <cell r="F32">
            <v>4741</v>
          </cell>
          <cell r="G32">
            <v>3621</v>
          </cell>
          <cell r="H32">
            <v>8728</v>
          </cell>
          <cell r="I32">
            <v>7228</v>
          </cell>
          <cell r="J32">
            <v>6117</v>
          </cell>
          <cell r="K32">
            <v>6117</v>
          </cell>
          <cell r="L32">
            <v>6117</v>
          </cell>
          <cell r="M32">
            <v>6117</v>
          </cell>
          <cell r="N32">
            <v>7579</v>
          </cell>
          <cell r="O32">
            <v>10029</v>
          </cell>
          <cell r="P32">
            <v>9589</v>
          </cell>
          <cell r="Q32">
            <v>12159</v>
          </cell>
          <cell r="R32">
            <v>4474</v>
          </cell>
          <cell r="S32">
            <v>5457</v>
          </cell>
          <cell r="T32">
            <v>6547</v>
          </cell>
          <cell r="U32">
            <v>7547</v>
          </cell>
          <cell r="V32">
            <v>4852</v>
          </cell>
          <cell r="W32">
            <v>4047</v>
          </cell>
          <cell r="X32">
            <v>2767</v>
          </cell>
          <cell r="Y32">
            <v>3312</v>
          </cell>
          <cell r="Z32">
            <v>2295</v>
          </cell>
          <cell r="AA32">
            <v>2295</v>
          </cell>
          <cell r="AB32">
            <v>1662</v>
          </cell>
          <cell r="AC32">
            <v>1662</v>
          </cell>
          <cell r="AD32">
            <v>2417</v>
          </cell>
          <cell r="AE32">
            <v>2458</v>
          </cell>
          <cell r="AF32">
            <v>2458</v>
          </cell>
          <cell r="AG32">
            <v>2458</v>
          </cell>
          <cell r="AH32">
            <v>2458</v>
          </cell>
          <cell r="AI32">
            <v>2458</v>
          </cell>
          <cell r="AJ32">
            <v>2458</v>
          </cell>
        </row>
        <row r="34">
          <cell r="B34" t="str">
            <v>HASIL PENYARINGAN CARBON</v>
          </cell>
        </row>
        <row r="35">
          <cell r="C35" t="str">
            <v>Stock Awal</v>
          </cell>
          <cell r="F35">
            <v>37763</v>
          </cell>
          <cell r="G35">
            <v>38263</v>
          </cell>
          <cell r="H35">
            <v>40233</v>
          </cell>
          <cell r="I35">
            <v>41063</v>
          </cell>
          <cell r="J35">
            <v>42563</v>
          </cell>
          <cell r="K35">
            <v>43674</v>
          </cell>
          <cell r="L35">
            <v>43674</v>
          </cell>
          <cell r="M35">
            <v>43674</v>
          </cell>
          <cell r="N35">
            <v>43674</v>
          </cell>
          <cell r="O35">
            <v>43674</v>
          </cell>
          <cell r="P35">
            <v>43674</v>
          </cell>
          <cell r="Q35">
            <v>46624</v>
          </cell>
          <cell r="R35">
            <v>46624</v>
          </cell>
          <cell r="S35">
            <v>52139</v>
          </cell>
          <cell r="T35">
            <v>54639</v>
          </cell>
          <cell r="U35">
            <v>56639</v>
          </cell>
          <cell r="V35">
            <v>57639</v>
          </cell>
          <cell r="W35">
            <v>60639</v>
          </cell>
          <cell r="X35">
            <v>62639</v>
          </cell>
          <cell r="Y35">
            <v>64139</v>
          </cell>
          <cell r="Z35">
            <v>65139</v>
          </cell>
          <cell r="AA35">
            <v>68139</v>
          </cell>
          <cell r="AB35">
            <v>68178.2</v>
          </cell>
          <cell r="AC35">
            <v>68678.2</v>
          </cell>
          <cell r="AD35">
            <v>68678.2</v>
          </cell>
          <cell r="AE35">
            <v>68678.2</v>
          </cell>
          <cell r="AF35">
            <v>70178.2</v>
          </cell>
          <cell r="AG35">
            <v>70178.2</v>
          </cell>
          <cell r="AH35">
            <v>70178.2</v>
          </cell>
          <cell r="AI35">
            <v>70178.2</v>
          </cell>
          <cell r="AJ35">
            <v>70178.2</v>
          </cell>
        </row>
        <row r="36">
          <cell r="C36">
            <v>1</v>
          </cell>
          <cell r="E36" t="str">
            <v>Mesh  6 x 12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</row>
        <row r="37">
          <cell r="C37">
            <v>2</v>
          </cell>
          <cell r="E37" t="str">
            <v>Mesh  6 x 14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</row>
        <row r="38">
          <cell r="C38">
            <v>3</v>
          </cell>
          <cell r="E38" t="str">
            <v>Mesh  4 x 8</v>
          </cell>
          <cell r="F38">
            <v>0</v>
          </cell>
          <cell r="G38">
            <v>0</v>
          </cell>
          <cell r="H38">
            <v>0</v>
          </cell>
          <cell r="I38">
            <v>500</v>
          </cell>
          <cell r="J38">
            <v>1500</v>
          </cell>
          <cell r="K38">
            <v>2000</v>
          </cell>
          <cell r="L38">
            <v>2000</v>
          </cell>
          <cell r="M38">
            <v>2000</v>
          </cell>
          <cell r="N38">
            <v>2000</v>
          </cell>
          <cell r="O38">
            <v>2000</v>
          </cell>
          <cell r="P38">
            <v>2000</v>
          </cell>
          <cell r="Q38">
            <v>2000</v>
          </cell>
          <cell r="R38">
            <v>2000</v>
          </cell>
          <cell r="S38">
            <v>2000</v>
          </cell>
          <cell r="T38">
            <v>2000</v>
          </cell>
          <cell r="U38">
            <v>2000</v>
          </cell>
          <cell r="V38">
            <v>2000</v>
          </cell>
          <cell r="W38">
            <v>2000</v>
          </cell>
          <cell r="X38">
            <v>2000</v>
          </cell>
          <cell r="Y38">
            <v>2000</v>
          </cell>
          <cell r="Z38">
            <v>2000</v>
          </cell>
          <cell r="AA38">
            <v>2000</v>
          </cell>
          <cell r="AB38">
            <v>2000</v>
          </cell>
          <cell r="AC38">
            <v>2000</v>
          </cell>
          <cell r="AD38">
            <v>2000</v>
          </cell>
          <cell r="AE38">
            <v>2000</v>
          </cell>
          <cell r="AF38">
            <v>2000</v>
          </cell>
          <cell r="AG38">
            <v>2000</v>
          </cell>
          <cell r="AH38">
            <v>2000</v>
          </cell>
          <cell r="AI38">
            <v>2000</v>
          </cell>
          <cell r="AJ38">
            <v>2000</v>
          </cell>
        </row>
        <row r="39">
          <cell r="C39">
            <v>4</v>
          </cell>
          <cell r="E39" t="str">
            <v>Mesh  8 x 12</v>
          </cell>
          <cell r="F39">
            <v>12000</v>
          </cell>
          <cell r="G39">
            <v>12000</v>
          </cell>
          <cell r="H39">
            <v>13000</v>
          </cell>
          <cell r="I39">
            <v>13210</v>
          </cell>
          <cell r="J39">
            <v>13210</v>
          </cell>
          <cell r="K39">
            <v>13210</v>
          </cell>
          <cell r="L39">
            <v>13210</v>
          </cell>
          <cell r="M39">
            <v>13210</v>
          </cell>
          <cell r="N39">
            <v>13210</v>
          </cell>
          <cell r="O39">
            <v>13210</v>
          </cell>
          <cell r="P39">
            <v>13210</v>
          </cell>
          <cell r="Q39">
            <v>13210</v>
          </cell>
          <cell r="R39">
            <v>13210</v>
          </cell>
          <cell r="S39">
            <v>13210</v>
          </cell>
          <cell r="T39">
            <v>13210</v>
          </cell>
          <cell r="U39">
            <v>13210</v>
          </cell>
          <cell r="V39">
            <v>13210</v>
          </cell>
          <cell r="W39">
            <v>13210</v>
          </cell>
          <cell r="X39">
            <v>13210</v>
          </cell>
          <cell r="Y39">
            <v>13210</v>
          </cell>
          <cell r="Z39">
            <v>13210</v>
          </cell>
          <cell r="AA39">
            <v>13210</v>
          </cell>
          <cell r="AB39">
            <v>13210</v>
          </cell>
          <cell r="AC39">
            <v>13210</v>
          </cell>
          <cell r="AD39">
            <v>13210</v>
          </cell>
          <cell r="AE39">
            <v>13210</v>
          </cell>
          <cell r="AF39">
            <v>13210</v>
          </cell>
          <cell r="AG39">
            <v>13210</v>
          </cell>
          <cell r="AH39">
            <v>13210</v>
          </cell>
          <cell r="AI39">
            <v>13210</v>
          </cell>
          <cell r="AJ39">
            <v>13210</v>
          </cell>
        </row>
        <row r="40">
          <cell r="C40">
            <v>5</v>
          </cell>
          <cell r="E40" t="str">
            <v>Mesh  8 x 16</v>
          </cell>
          <cell r="G40">
            <v>0</v>
          </cell>
          <cell r="H40">
            <v>0</v>
          </cell>
          <cell r="I40">
            <v>0</v>
          </cell>
          <cell r="J40">
            <v>500</v>
          </cell>
          <cell r="K40">
            <v>806</v>
          </cell>
          <cell r="L40">
            <v>806</v>
          </cell>
          <cell r="M40">
            <v>806</v>
          </cell>
          <cell r="N40">
            <v>806</v>
          </cell>
          <cell r="O40">
            <v>806</v>
          </cell>
          <cell r="P40">
            <v>806</v>
          </cell>
          <cell r="Q40">
            <v>806</v>
          </cell>
          <cell r="R40">
            <v>806</v>
          </cell>
          <cell r="S40">
            <v>806</v>
          </cell>
          <cell r="T40">
            <v>806</v>
          </cell>
          <cell r="U40">
            <v>806</v>
          </cell>
          <cell r="V40">
            <v>806</v>
          </cell>
          <cell r="W40">
            <v>806</v>
          </cell>
          <cell r="X40">
            <v>806</v>
          </cell>
          <cell r="Y40">
            <v>806</v>
          </cell>
          <cell r="Z40">
            <v>806</v>
          </cell>
          <cell r="AA40">
            <v>806</v>
          </cell>
          <cell r="AB40">
            <v>806</v>
          </cell>
          <cell r="AC40">
            <v>806</v>
          </cell>
          <cell r="AD40">
            <v>806</v>
          </cell>
          <cell r="AE40">
            <v>806</v>
          </cell>
          <cell r="AF40">
            <v>806</v>
          </cell>
          <cell r="AG40">
            <v>806</v>
          </cell>
          <cell r="AH40">
            <v>806</v>
          </cell>
          <cell r="AI40">
            <v>806</v>
          </cell>
          <cell r="AJ40">
            <v>806</v>
          </cell>
        </row>
        <row r="41">
          <cell r="C41">
            <v>6</v>
          </cell>
          <cell r="E41" t="str">
            <v>Mesh  8 x 20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2500</v>
          </cell>
          <cell r="R41">
            <v>2500</v>
          </cell>
          <cell r="S41">
            <v>7500</v>
          </cell>
          <cell r="T41">
            <v>10000</v>
          </cell>
          <cell r="U41">
            <v>11500</v>
          </cell>
          <cell r="V41">
            <v>12500</v>
          </cell>
          <cell r="W41">
            <v>12500</v>
          </cell>
          <cell r="X41">
            <v>14500</v>
          </cell>
          <cell r="Y41">
            <v>16000</v>
          </cell>
          <cell r="Z41">
            <v>17000</v>
          </cell>
          <cell r="AA41">
            <v>20000</v>
          </cell>
          <cell r="AB41">
            <v>20039.2</v>
          </cell>
          <cell r="AC41">
            <v>20539.2</v>
          </cell>
          <cell r="AD41">
            <v>20539.2</v>
          </cell>
          <cell r="AE41">
            <v>20539.2</v>
          </cell>
          <cell r="AF41">
            <v>22039.200000000001</v>
          </cell>
          <cell r="AG41">
            <v>22039.200000000001</v>
          </cell>
          <cell r="AH41">
            <v>22039.200000000001</v>
          </cell>
          <cell r="AI41">
            <v>22039.200000000001</v>
          </cell>
          <cell r="AJ41">
            <v>22039.200000000001</v>
          </cell>
        </row>
        <row r="42">
          <cell r="C42">
            <v>7</v>
          </cell>
          <cell r="E42" t="str">
            <v>Mesh  8 x 30</v>
          </cell>
          <cell r="F42">
            <v>12947</v>
          </cell>
          <cell r="G42">
            <v>12947</v>
          </cell>
          <cell r="H42">
            <v>12947</v>
          </cell>
          <cell r="I42">
            <v>12947</v>
          </cell>
          <cell r="J42">
            <v>12947</v>
          </cell>
          <cell r="K42">
            <v>12947</v>
          </cell>
          <cell r="L42">
            <v>12947</v>
          </cell>
          <cell r="M42">
            <v>12947</v>
          </cell>
          <cell r="N42">
            <v>12947</v>
          </cell>
          <cell r="O42">
            <v>12947</v>
          </cell>
          <cell r="P42">
            <v>12947</v>
          </cell>
          <cell r="Q42">
            <v>12947</v>
          </cell>
          <cell r="R42">
            <v>12947</v>
          </cell>
          <cell r="S42">
            <v>12608</v>
          </cell>
          <cell r="T42">
            <v>12608</v>
          </cell>
          <cell r="U42">
            <v>12608</v>
          </cell>
          <cell r="V42">
            <v>12608</v>
          </cell>
          <cell r="W42">
            <v>15108</v>
          </cell>
          <cell r="X42">
            <v>15108</v>
          </cell>
          <cell r="Y42">
            <v>15108</v>
          </cell>
          <cell r="Z42">
            <v>15108</v>
          </cell>
          <cell r="AA42">
            <v>15108</v>
          </cell>
          <cell r="AB42">
            <v>15108</v>
          </cell>
          <cell r="AC42">
            <v>15108</v>
          </cell>
          <cell r="AD42">
            <v>15108</v>
          </cell>
          <cell r="AE42">
            <v>15108</v>
          </cell>
          <cell r="AF42">
            <v>15108</v>
          </cell>
          <cell r="AG42">
            <v>15108</v>
          </cell>
          <cell r="AH42">
            <v>15108</v>
          </cell>
          <cell r="AI42">
            <v>15108</v>
          </cell>
          <cell r="AJ42">
            <v>15108</v>
          </cell>
        </row>
        <row r="43">
          <cell r="C43">
            <v>8</v>
          </cell>
          <cell r="E43" t="str">
            <v>Mesh 12 x 30</v>
          </cell>
          <cell r="F43">
            <v>8000</v>
          </cell>
          <cell r="G43">
            <v>8500</v>
          </cell>
          <cell r="H43">
            <v>9000</v>
          </cell>
          <cell r="I43">
            <v>9120</v>
          </cell>
          <cell r="J43">
            <v>9120</v>
          </cell>
          <cell r="K43">
            <v>9120</v>
          </cell>
          <cell r="L43">
            <v>9120</v>
          </cell>
          <cell r="M43">
            <v>9120</v>
          </cell>
          <cell r="N43">
            <v>9120</v>
          </cell>
          <cell r="O43">
            <v>9120</v>
          </cell>
          <cell r="P43">
            <v>9120</v>
          </cell>
          <cell r="Q43">
            <v>9120</v>
          </cell>
          <cell r="R43">
            <v>9120</v>
          </cell>
          <cell r="S43">
            <v>9120</v>
          </cell>
          <cell r="T43">
            <v>9120</v>
          </cell>
          <cell r="U43">
            <v>9120</v>
          </cell>
          <cell r="V43">
            <v>9120</v>
          </cell>
          <cell r="W43">
            <v>9120</v>
          </cell>
          <cell r="X43">
            <v>9120</v>
          </cell>
          <cell r="Y43">
            <v>9120</v>
          </cell>
          <cell r="Z43">
            <v>9120</v>
          </cell>
          <cell r="AA43">
            <v>9120</v>
          </cell>
          <cell r="AB43">
            <v>9120</v>
          </cell>
          <cell r="AC43">
            <v>9120</v>
          </cell>
          <cell r="AD43">
            <v>9120</v>
          </cell>
          <cell r="AE43">
            <v>9120</v>
          </cell>
          <cell r="AF43">
            <v>9120</v>
          </cell>
          <cell r="AG43">
            <v>9120</v>
          </cell>
          <cell r="AH43">
            <v>9120</v>
          </cell>
          <cell r="AI43">
            <v>9120</v>
          </cell>
          <cell r="AJ43">
            <v>9120</v>
          </cell>
        </row>
        <row r="44">
          <cell r="C44">
            <v>9</v>
          </cell>
          <cell r="E44" t="str">
            <v>Mesh 16 x 60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305</v>
          </cell>
          <cell r="L44">
            <v>305</v>
          </cell>
          <cell r="M44">
            <v>305</v>
          </cell>
          <cell r="N44">
            <v>305</v>
          </cell>
          <cell r="O44">
            <v>305</v>
          </cell>
          <cell r="P44">
            <v>305</v>
          </cell>
          <cell r="Q44">
            <v>305</v>
          </cell>
          <cell r="R44">
            <v>305</v>
          </cell>
          <cell r="S44">
            <v>305</v>
          </cell>
          <cell r="T44">
            <v>305</v>
          </cell>
          <cell r="U44">
            <v>305</v>
          </cell>
          <cell r="V44">
            <v>305</v>
          </cell>
          <cell r="W44">
            <v>305</v>
          </cell>
          <cell r="X44">
            <v>305</v>
          </cell>
          <cell r="Y44">
            <v>305</v>
          </cell>
          <cell r="Z44">
            <v>305</v>
          </cell>
          <cell r="AA44">
            <v>305</v>
          </cell>
          <cell r="AB44">
            <v>305</v>
          </cell>
          <cell r="AC44">
            <v>305</v>
          </cell>
          <cell r="AD44">
            <v>305</v>
          </cell>
          <cell r="AE44">
            <v>305</v>
          </cell>
          <cell r="AF44">
            <v>305</v>
          </cell>
          <cell r="AG44">
            <v>305</v>
          </cell>
          <cell r="AH44">
            <v>305</v>
          </cell>
          <cell r="AI44">
            <v>305</v>
          </cell>
          <cell r="AJ44">
            <v>305</v>
          </cell>
        </row>
        <row r="45">
          <cell r="C45">
            <v>10</v>
          </cell>
          <cell r="E45" t="str">
            <v>Mesh 20 x 60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450</v>
          </cell>
          <cell r="R45">
            <v>450</v>
          </cell>
          <cell r="S45">
            <v>450</v>
          </cell>
          <cell r="T45">
            <v>450</v>
          </cell>
          <cell r="U45">
            <v>950</v>
          </cell>
          <cell r="V45">
            <v>950</v>
          </cell>
          <cell r="W45">
            <v>1450</v>
          </cell>
          <cell r="X45">
            <v>1450</v>
          </cell>
          <cell r="Y45">
            <v>1450</v>
          </cell>
          <cell r="Z45">
            <v>1450</v>
          </cell>
          <cell r="AA45">
            <v>1450</v>
          </cell>
          <cell r="AB45">
            <v>1450</v>
          </cell>
          <cell r="AC45">
            <v>1450</v>
          </cell>
          <cell r="AD45">
            <v>1450</v>
          </cell>
          <cell r="AE45">
            <v>1450</v>
          </cell>
          <cell r="AF45">
            <v>1450</v>
          </cell>
          <cell r="AG45">
            <v>1450</v>
          </cell>
          <cell r="AH45">
            <v>1450</v>
          </cell>
          <cell r="AI45">
            <v>1450</v>
          </cell>
          <cell r="AJ45">
            <v>1450</v>
          </cell>
        </row>
        <row r="46">
          <cell r="C46">
            <v>11</v>
          </cell>
          <cell r="E46" t="str">
            <v>Mesh 30 x 60</v>
          </cell>
          <cell r="F46">
            <v>4616</v>
          </cell>
          <cell r="G46">
            <v>4616</v>
          </cell>
          <cell r="H46">
            <v>5086</v>
          </cell>
          <cell r="I46">
            <v>5086</v>
          </cell>
          <cell r="J46">
            <v>5086</v>
          </cell>
          <cell r="K46">
            <v>5086</v>
          </cell>
          <cell r="L46">
            <v>5086</v>
          </cell>
          <cell r="M46">
            <v>5086</v>
          </cell>
          <cell r="N46">
            <v>5086</v>
          </cell>
          <cell r="O46">
            <v>5086</v>
          </cell>
          <cell r="P46">
            <v>5086</v>
          </cell>
          <cell r="Q46">
            <v>5086</v>
          </cell>
          <cell r="R46">
            <v>5086</v>
          </cell>
          <cell r="S46">
            <v>4916</v>
          </cell>
          <cell r="T46">
            <v>4916</v>
          </cell>
          <cell r="U46">
            <v>4916</v>
          </cell>
          <cell r="V46">
            <v>4916</v>
          </cell>
          <cell r="W46">
            <v>4916</v>
          </cell>
          <cell r="X46">
            <v>4916</v>
          </cell>
          <cell r="Y46">
            <v>4916</v>
          </cell>
          <cell r="Z46">
            <v>4916</v>
          </cell>
          <cell r="AA46">
            <v>4916</v>
          </cell>
          <cell r="AB46">
            <v>4916</v>
          </cell>
          <cell r="AC46">
            <v>4916</v>
          </cell>
          <cell r="AD46">
            <v>4916</v>
          </cell>
          <cell r="AE46">
            <v>4916</v>
          </cell>
          <cell r="AF46">
            <v>4916</v>
          </cell>
          <cell r="AG46">
            <v>4916</v>
          </cell>
          <cell r="AH46">
            <v>4916</v>
          </cell>
          <cell r="AI46">
            <v>4916</v>
          </cell>
          <cell r="AJ46">
            <v>4916</v>
          </cell>
        </row>
        <row r="47">
          <cell r="C47">
            <v>12</v>
          </cell>
          <cell r="E47" t="str">
            <v>Powder 0325</v>
          </cell>
          <cell r="F47">
            <v>200</v>
          </cell>
          <cell r="G47">
            <v>200</v>
          </cell>
          <cell r="H47">
            <v>200</v>
          </cell>
          <cell r="I47">
            <v>200</v>
          </cell>
          <cell r="J47">
            <v>200</v>
          </cell>
          <cell r="K47">
            <v>200</v>
          </cell>
          <cell r="L47">
            <v>200</v>
          </cell>
          <cell r="M47">
            <v>200</v>
          </cell>
          <cell r="N47">
            <v>200</v>
          </cell>
          <cell r="O47">
            <v>200</v>
          </cell>
          <cell r="P47">
            <v>200</v>
          </cell>
          <cell r="Q47">
            <v>200</v>
          </cell>
          <cell r="R47">
            <v>200</v>
          </cell>
          <cell r="S47">
            <v>1224</v>
          </cell>
          <cell r="T47">
            <v>1224</v>
          </cell>
          <cell r="U47">
            <v>1224</v>
          </cell>
          <cell r="V47">
            <v>1224</v>
          </cell>
          <cell r="W47">
            <v>1224</v>
          </cell>
          <cell r="X47">
            <v>1224</v>
          </cell>
          <cell r="Y47">
            <v>1224</v>
          </cell>
          <cell r="Z47">
            <v>1224</v>
          </cell>
          <cell r="AA47">
            <v>1224</v>
          </cell>
          <cell r="AB47">
            <v>1224</v>
          </cell>
          <cell r="AC47">
            <v>1224</v>
          </cell>
          <cell r="AD47">
            <v>1224</v>
          </cell>
          <cell r="AE47">
            <v>1224</v>
          </cell>
          <cell r="AF47">
            <v>1224</v>
          </cell>
          <cell r="AG47">
            <v>1224</v>
          </cell>
          <cell r="AH47">
            <v>1224</v>
          </cell>
          <cell r="AI47">
            <v>1224</v>
          </cell>
          <cell r="AJ47">
            <v>1224</v>
          </cell>
        </row>
        <row r="48">
          <cell r="C48">
            <v>13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</row>
        <row r="49">
          <cell r="C49">
            <v>14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</row>
        <row r="50">
          <cell r="C50">
            <v>15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</row>
        <row r="52">
          <cell r="C52" t="str">
            <v>Produksi</v>
          </cell>
          <cell r="F52">
            <v>500</v>
          </cell>
          <cell r="G52">
            <v>1970</v>
          </cell>
          <cell r="H52">
            <v>830</v>
          </cell>
          <cell r="I52">
            <v>1500</v>
          </cell>
          <cell r="J52">
            <v>1111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2950</v>
          </cell>
          <cell r="Q52">
            <v>0</v>
          </cell>
          <cell r="R52">
            <v>5515</v>
          </cell>
          <cell r="S52">
            <v>2500</v>
          </cell>
          <cell r="T52">
            <v>2000</v>
          </cell>
          <cell r="U52">
            <v>1000</v>
          </cell>
          <cell r="V52">
            <v>3000</v>
          </cell>
          <cell r="W52">
            <v>2000</v>
          </cell>
          <cell r="X52">
            <v>1500</v>
          </cell>
          <cell r="Y52">
            <v>1000</v>
          </cell>
          <cell r="Z52">
            <v>3000</v>
          </cell>
          <cell r="AA52">
            <v>39.200000000000003</v>
          </cell>
          <cell r="AB52">
            <v>500</v>
          </cell>
          <cell r="AC52">
            <v>0</v>
          </cell>
          <cell r="AD52">
            <v>0</v>
          </cell>
          <cell r="AE52">
            <v>1500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</row>
        <row r="53">
          <cell r="C53">
            <v>1</v>
          </cell>
          <cell r="E53" t="str">
            <v>Mesh  6 x 12</v>
          </cell>
        </row>
        <row r="54">
          <cell r="C54">
            <v>2</v>
          </cell>
          <cell r="E54" t="str">
            <v>Mesh  6 x 14</v>
          </cell>
        </row>
        <row r="55">
          <cell r="C55">
            <v>3</v>
          </cell>
          <cell r="E55" t="str">
            <v>Mesh  4 x 8</v>
          </cell>
          <cell r="H55">
            <v>500</v>
          </cell>
          <cell r="I55">
            <v>1000</v>
          </cell>
          <cell r="J55">
            <v>500</v>
          </cell>
          <cell r="R55">
            <v>0</v>
          </cell>
        </row>
        <row r="56">
          <cell r="C56">
            <v>4</v>
          </cell>
          <cell r="E56" t="str">
            <v>Mesh  8 x 12</v>
          </cell>
          <cell r="G56">
            <v>1000</v>
          </cell>
          <cell r="H56">
            <v>210</v>
          </cell>
          <cell r="R56">
            <v>0</v>
          </cell>
        </row>
        <row r="57">
          <cell r="C57">
            <v>5</v>
          </cell>
          <cell r="E57" t="str">
            <v>Mesh  8 x 16</v>
          </cell>
          <cell r="I57">
            <v>500</v>
          </cell>
          <cell r="J57">
            <v>306</v>
          </cell>
          <cell r="R57">
            <v>0</v>
          </cell>
        </row>
        <row r="58">
          <cell r="C58">
            <v>6</v>
          </cell>
          <cell r="E58" t="str">
            <v>Mesh  8 x 20</v>
          </cell>
          <cell r="P58">
            <v>2500</v>
          </cell>
          <cell r="R58">
            <v>5000</v>
          </cell>
          <cell r="S58">
            <v>2500</v>
          </cell>
          <cell r="T58">
            <v>1500</v>
          </cell>
          <cell r="U58">
            <v>1000</v>
          </cell>
          <cell r="W58">
            <v>2000</v>
          </cell>
          <cell r="X58">
            <v>1500</v>
          </cell>
          <cell r="Y58">
            <v>1000</v>
          </cell>
          <cell r="Z58">
            <v>3000</v>
          </cell>
          <cell r="AA58">
            <v>39.200000000000003</v>
          </cell>
          <cell r="AB58">
            <v>500</v>
          </cell>
          <cell r="AE58">
            <v>1500</v>
          </cell>
        </row>
        <row r="59">
          <cell r="C59">
            <v>7</v>
          </cell>
          <cell r="E59" t="str">
            <v>Mesh  8 x 30</v>
          </cell>
          <cell r="R59">
            <v>-339</v>
          </cell>
          <cell r="V59">
            <v>2500</v>
          </cell>
        </row>
        <row r="60">
          <cell r="C60">
            <v>8</v>
          </cell>
          <cell r="E60" t="str">
            <v>Mesh 12 x 30</v>
          </cell>
          <cell r="F60">
            <v>500</v>
          </cell>
          <cell r="G60">
            <v>500</v>
          </cell>
          <cell r="H60">
            <v>120</v>
          </cell>
          <cell r="R60">
            <v>0</v>
          </cell>
        </row>
        <row r="61">
          <cell r="C61">
            <v>9</v>
          </cell>
          <cell r="E61" t="str">
            <v>Mesh 16 x 60</v>
          </cell>
          <cell r="J61">
            <v>305</v>
          </cell>
          <cell r="R61">
            <v>0</v>
          </cell>
        </row>
        <row r="62">
          <cell r="C62">
            <v>10</v>
          </cell>
          <cell r="E62" t="str">
            <v>Mesh 20 x 60</v>
          </cell>
          <cell r="P62">
            <v>450</v>
          </cell>
          <cell r="R62">
            <v>0</v>
          </cell>
          <cell r="T62">
            <v>500</v>
          </cell>
          <cell r="V62">
            <v>500</v>
          </cell>
        </row>
        <row r="63">
          <cell r="C63">
            <v>11</v>
          </cell>
          <cell r="E63" t="str">
            <v>Mesh 30 x 60</v>
          </cell>
          <cell r="G63">
            <v>470</v>
          </cell>
          <cell r="R63">
            <v>-170</v>
          </cell>
        </row>
        <row r="64">
          <cell r="C64">
            <v>12</v>
          </cell>
          <cell r="E64" t="str">
            <v>Powder 0325</v>
          </cell>
          <cell r="P64">
            <v>0</v>
          </cell>
          <cell r="R64">
            <v>1024</v>
          </cell>
        </row>
        <row r="65">
          <cell r="C65">
            <v>13</v>
          </cell>
        </row>
        <row r="66">
          <cell r="C66">
            <v>14</v>
          </cell>
        </row>
        <row r="67">
          <cell r="C67">
            <v>15</v>
          </cell>
        </row>
        <row r="69">
          <cell r="C69" t="str">
            <v>Reproses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</row>
        <row r="70">
          <cell r="C70">
            <v>1</v>
          </cell>
          <cell r="E70" t="str">
            <v>Mesh  6 x 12</v>
          </cell>
        </row>
        <row r="71">
          <cell r="C71">
            <v>2</v>
          </cell>
          <cell r="E71" t="str">
            <v>Mesh  6 x 14</v>
          </cell>
        </row>
        <row r="72">
          <cell r="C72">
            <v>3</v>
          </cell>
          <cell r="E72" t="str">
            <v>Mesh  4 x 8</v>
          </cell>
        </row>
        <row r="73">
          <cell r="C73">
            <v>4</v>
          </cell>
          <cell r="E73" t="str">
            <v>Mesh  8 x 12</v>
          </cell>
        </row>
        <row r="74">
          <cell r="C74">
            <v>5</v>
          </cell>
          <cell r="E74" t="str">
            <v>Mesh  8 x 16</v>
          </cell>
        </row>
        <row r="75">
          <cell r="C75">
            <v>6</v>
          </cell>
          <cell r="E75" t="str">
            <v>Mesh  8 x 20</v>
          </cell>
        </row>
        <row r="76">
          <cell r="C76">
            <v>7</v>
          </cell>
          <cell r="E76" t="str">
            <v>Mesh  8 x 30</v>
          </cell>
        </row>
        <row r="77">
          <cell r="C77">
            <v>8</v>
          </cell>
          <cell r="E77" t="str">
            <v>Mesh 12 x 30</v>
          </cell>
        </row>
        <row r="78">
          <cell r="C78">
            <v>9</v>
          </cell>
          <cell r="E78" t="str">
            <v>Mesh 16 x 60</v>
          </cell>
        </row>
        <row r="79">
          <cell r="C79">
            <v>10</v>
          </cell>
          <cell r="E79" t="str">
            <v>Mesh 20 x 60</v>
          </cell>
        </row>
        <row r="80">
          <cell r="C80">
            <v>11</v>
          </cell>
          <cell r="E80" t="str">
            <v>Mesh 30 x 60</v>
          </cell>
        </row>
        <row r="81">
          <cell r="C81">
            <v>12</v>
          </cell>
          <cell r="E81" t="str">
            <v>Powder 0325</v>
          </cell>
        </row>
        <row r="82">
          <cell r="C82">
            <v>13</v>
          </cell>
          <cell r="E82">
            <v>0</v>
          </cell>
        </row>
        <row r="83">
          <cell r="C83">
            <v>14</v>
          </cell>
          <cell r="E83">
            <v>0</v>
          </cell>
        </row>
        <row r="84">
          <cell r="C84">
            <v>15</v>
          </cell>
          <cell r="E84">
            <v>0</v>
          </cell>
        </row>
        <row r="86">
          <cell r="C86" t="str">
            <v>Sample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</row>
        <row r="87">
          <cell r="C87">
            <v>1</v>
          </cell>
          <cell r="E87" t="str">
            <v>Mesh  6 x 12</v>
          </cell>
        </row>
        <row r="88">
          <cell r="C88">
            <v>2</v>
          </cell>
          <cell r="E88" t="str">
            <v>Mesh  6 x 14</v>
          </cell>
        </row>
        <row r="89">
          <cell r="C89">
            <v>3</v>
          </cell>
          <cell r="E89" t="str">
            <v>Mesh  4 x 8</v>
          </cell>
        </row>
        <row r="90">
          <cell r="C90">
            <v>4</v>
          </cell>
          <cell r="E90" t="str">
            <v>Mesh  8 x 12</v>
          </cell>
        </row>
        <row r="91">
          <cell r="C91">
            <v>5</v>
          </cell>
          <cell r="E91" t="str">
            <v>Mesh  8 x 16</v>
          </cell>
        </row>
        <row r="92">
          <cell r="C92">
            <v>6</v>
          </cell>
          <cell r="E92" t="str">
            <v>Mesh  8 x 20</v>
          </cell>
        </row>
        <row r="93">
          <cell r="C93">
            <v>7</v>
          </cell>
          <cell r="E93" t="str">
            <v>Mesh  8 x 30</v>
          </cell>
        </row>
        <row r="94">
          <cell r="C94">
            <v>8</v>
          </cell>
          <cell r="E94" t="str">
            <v>Mesh 12 x 30</v>
          </cell>
        </row>
        <row r="95">
          <cell r="C95">
            <v>9</v>
          </cell>
          <cell r="E95" t="str">
            <v>Mesh 16 x 60</v>
          </cell>
        </row>
        <row r="96">
          <cell r="C96">
            <v>10</v>
          </cell>
          <cell r="E96" t="str">
            <v>Mesh 20 x 60</v>
          </cell>
        </row>
        <row r="97">
          <cell r="C97">
            <v>11</v>
          </cell>
          <cell r="E97" t="str">
            <v>Mesh 30 x 60</v>
          </cell>
        </row>
        <row r="98">
          <cell r="C98">
            <v>12</v>
          </cell>
          <cell r="E98" t="str">
            <v>Powder 0325</v>
          </cell>
        </row>
        <row r="99">
          <cell r="C99">
            <v>13</v>
          </cell>
          <cell r="E99">
            <v>0</v>
          </cell>
        </row>
        <row r="100">
          <cell r="C100">
            <v>14</v>
          </cell>
          <cell r="E100">
            <v>0</v>
          </cell>
        </row>
        <row r="101">
          <cell r="C101">
            <v>15</v>
          </cell>
          <cell r="E101">
            <v>0</v>
          </cell>
        </row>
        <row r="103">
          <cell r="C103" t="str">
            <v>Kirim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</row>
        <row r="104">
          <cell r="C104">
            <v>1</v>
          </cell>
          <cell r="E104" t="str">
            <v>Mesh  6 x 12</v>
          </cell>
        </row>
        <row r="105">
          <cell r="C105">
            <v>2</v>
          </cell>
          <cell r="E105" t="str">
            <v>Mesh  6 x 14</v>
          </cell>
        </row>
        <row r="106">
          <cell r="C106">
            <v>3</v>
          </cell>
          <cell r="E106" t="str">
            <v>Mesh  4 x 8</v>
          </cell>
        </row>
        <row r="107">
          <cell r="C107">
            <v>4</v>
          </cell>
          <cell r="E107" t="str">
            <v>Mesh  8 x 12</v>
          </cell>
        </row>
        <row r="108">
          <cell r="C108">
            <v>5</v>
          </cell>
          <cell r="E108" t="str">
            <v>Mesh  8 x 16</v>
          </cell>
        </row>
        <row r="109">
          <cell r="C109">
            <v>6</v>
          </cell>
          <cell r="E109" t="str">
            <v>Mesh  8 x 20</v>
          </cell>
        </row>
        <row r="110">
          <cell r="C110">
            <v>7</v>
          </cell>
          <cell r="E110" t="str">
            <v>Mesh  8 x 30</v>
          </cell>
        </row>
        <row r="111">
          <cell r="C111">
            <v>8</v>
          </cell>
          <cell r="E111" t="str">
            <v>Mesh 12 x 30</v>
          </cell>
        </row>
        <row r="112">
          <cell r="C112">
            <v>9</v>
          </cell>
          <cell r="E112" t="str">
            <v>Mesh 16 x 60</v>
          </cell>
        </row>
        <row r="113">
          <cell r="C113">
            <v>10</v>
          </cell>
          <cell r="E113" t="str">
            <v>Mesh 20 x 60</v>
          </cell>
        </row>
        <row r="114">
          <cell r="C114">
            <v>11</v>
          </cell>
          <cell r="E114" t="str">
            <v>Mesh 30 x 60</v>
          </cell>
        </row>
        <row r="115">
          <cell r="C115">
            <v>12</v>
          </cell>
          <cell r="E115" t="str">
            <v>Powder 0325</v>
          </cell>
        </row>
        <row r="116">
          <cell r="C116">
            <v>13</v>
          </cell>
          <cell r="E116">
            <v>0</v>
          </cell>
        </row>
        <row r="117">
          <cell r="C117">
            <v>14</v>
          </cell>
          <cell r="E117">
            <v>0</v>
          </cell>
        </row>
        <row r="118">
          <cell r="C118">
            <v>15</v>
          </cell>
          <cell r="E118">
            <v>0</v>
          </cell>
        </row>
        <row r="120">
          <cell r="C120" t="str">
            <v>Stock Akhir</v>
          </cell>
          <cell r="F120">
            <v>38263</v>
          </cell>
          <cell r="G120">
            <v>40233</v>
          </cell>
          <cell r="H120">
            <v>41063</v>
          </cell>
          <cell r="I120">
            <v>42563</v>
          </cell>
          <cell r="J120">
            <v>43674</v>
          </cell>
          <cell r="K120">
            <v>43674</v>
          </cell>
          <cell r="L120">
            <v>43674</v>
          </cell>
          <cell r="M120">
            <v>43674</v>
          </cell>
          <cell r="N120">
            <v>43674</v>
          </cell>
          <cell r="O120">
            <v>43674</v>
          </cell>
          <cell r="P120">
            <v>46624</v>
          </cell>
          <cell r="Q120">
            <v>46624</v>
          </cell>
          <cell r="R120">
            <v>52139</v>
          </cell>
          <cell r="S120">
            <v>54639</v>
          </cell>
          <cell r="T120">
            <v>56639</v>
          </cell>
          <cell r="U120">
            <v>57639</v>
          </cell>
          <cell r="V120">
            <v>60639</v>
          </cell>
          <cell r="W120">
            <v>62639</v>
          </cell>
          <cell r="X120">
            <v>64139</v>
          </cell>
          <cell r="Y120">
            <v>65139</v>
          </cell>
          <cell r="Z120">
            <v>68139</v>
          </cell>
          <cell r="AA120">
            <v>68178.2</v>
          </cell>
          <cell r="AB120">
            <v>68678.2</v>
          </cell>
          <cell r="AC120">
            <v>68678.2</v>
          </cell>
          <cell r="AD120">
            <v>68678.2</v>
          </cell>
          <cell r="AE120">
            <v>70178.2</v>
          </cell>
          <cell r="AF120">
            <v>70178.2</v>
          </cell>
          <cell r="AG120">
            <v>70178.2</v>
          </cell>
          <cell r="AH120">
            <v>70178.2</v>
          </cell>
          <cell r="AI120">
            <v>70178.2</v>
          </cell>
          <cell r="AJ120">
            <v>70178.2</v>
          </cell>
        </row>
        <row r="121">
          <cell r="C121">
            <v>1</v>
          </cell>
          <cell r="E121" t="str">
            <v>Mesh  6 x 12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</row>
        <row r="122">
          <cell r="C122">
            <v>2</v>
          </cell>
          <cell r="E122" t="str">
            <v>Mesh  6 x 14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</row>
        <row r="123">
          <cell r="C123">
            <v>3</v>
          </cell>
          <cell r="E123" t="str">
            <v>Mesh  4 x 8</v>
          </cell>
          <cell r="F123">
            <v>0</v>
          </cell>
          <cell r="G123">
            <v>0</v>
          </cell>
          <cell r="H123">
            <v>500</v>
          </cell>
          <cell r="I123">
            <v>1500</v>
          </cell>
          <cell r="J123">
            <v>2000</v>
          </cell>
          <cell r="K123">
            <v>2000</v>
          </cell>
          <cell r="L123">
            <v>2000</v>
          </cell>
          <cell r="M123">
            <v>2000</v>
          </cell>
          <cell r="N123">
            <v>2000</v>
          </cell>
          <cell r="O123">
            <v>2000</v>
          </cell>
          <cell r="P123">
            <v>2000</v>
          </cell>
          <cell r="Q123">
            <v>2000</v>
          </cell>
          <cell r="R123">
            <v>2000</v>
          </cell>
          <cell r="S123">
            <v>2000</v>
          </cell>
          <cell r="T123">
            <v>2000</v>
          </cell>
          <cell r="U123">
            <v>2000</v>
          </cell>
          <cell r="V123">
            <v>2000</v>
          </cell>
          <cell r="W123">
            <v>2000</v>
          </cell>
          <cell r="X123">
            <v>2000</v>
          </cell>
          <cell r="Y123">
            <v>2000</v>
          </cell>
          <cell r="Z123">
            <v>2000</v>
          </cell>
          <cell r="AA123">
            <v>2000</v>
          </cell>
          <cell r="AB123">
            <v>2000</v>
          </cell>
          <cell r="AC123">
            <v>2000</v>
          </cell>
          <cell r="AD123">
            <v>2000</v>
          </cell>
          <cell r="AE123">
            <v>2000</v>
          </cell>
          <cell r="AF123">
            <v>2000</v>
          </cell>
          <cell r="AG123">
            <v>2000</v>
          </cell>
          <cell r="AH123">
            <v>2000</v>
          </cell>
          <cell r="AI123">
            <v>2000</v>
          </cell>
          <cell r="AJ123">
            <v>2000</v>
          </cell>
        </row>
        <row r="124">
          <cell r="C124">
            <v>4</v>
          </cell>
          <cell r="E124" t="str">
            <v>Mesh  8 x 12</v>
          </cell>
          <cell r="F124">
            <v>12000</v>
          </cell>
          <cell r="G124">
            <v>13000</v>
          </cell>
          <cell r="H124">
            <v>13210</v>
          </cell>
          <cell r="I124">
            <v>13210</v>
          </cell>
          <cell r="J124">
            <v>13210</v>
          </cell>
          <cell r="K124">
            <v>13210</v>
          </cell>
          <cell r="L124">
            <v>13210</v>
          </cell>
          <cell r="M124">
            <v>13210</v>
          </cell>
          <cell r="N124">
            <v>13210</v>
          </cell>
          <cell r="O124">
            <v>13210</v>
          </cell>
          <cell r="P124">
            <v>13210</v>
          </cell>
          <cell r="Q124">
            <v>13210</v>
          </cell>
          <cell r="R124">
            <v>13210</v>
          </cell>
          <cell r="S124">
            <v>13210</v>
          </cell>
          <cell r="T124">
            <v>13210</v>
          </cell>
          <cell r="U124">
            <v>13210</v>
          </cell>
          <cell r="V124">
            <v>13210</v>
          </cell>
          <cell r="W124">
            <v>13210</v>
          </cell>
          <cell r="X124">
            <v>13210</v>
          </cell>
          <cell r="Y124">
            <v>13210</v>
          </cell>
          <cell r="Z124">
            <v>13210</v>
          </cell>
          <cell r="AA124">
            <v>13210</v>
          </cell>
          <cell r="AB124">
            <v>13210</v>
          </cell>
          <cell r="AC124">
            <v>13210</v>
          </cell>
          <cell r="AD124">
            <v>13210</v>
          </cell>
          <cell r="AE124">
            <v>13210</v>
          </cell>
          <cell r="AF124">
            <v>13210</v>
          </cell>
          <cell r="AG124">
            <v>13210</v>
          </cell>
          <cell r="AH124">
            <v>13210</v>
          </cell>
          <cell r="AI124">
            <v>13210</v>
          </cell>
          <cell r="AJ124">
            <v>13210</v>
          </cell>
        </row>
        <row r="125">
          <cell r="C125">
            <v>5</v>
          </cell>
          <cell r="E125" t="str">
            <v>Mesh  8 x 16</v>
          </cell>
          <cell r="F125">
            <v>0</v>
          </cell>
          <cell r="G125">
            <v>0</v>
          </cell>
          <cell r="H125">
            <v>0</v>
          </cell>
          <cell r="I125">
            <v>500</v>
          </cell>
          <cell r="J125">
            <v>806</v>
          </cell>
          <cell r="K125">
            <v>806</v>
          </cell>
          <cell r="L125">
            <v>806</v>
          </cell>
          <cell r="M125">
            <v>806</v>
          </cell>
          <cell r="N125">
            <v>806</v>
          </cell>
          <cell r="O125">
            <v>806</v>
          </cell>
          <cell r="P125">
            <v>806</v>
          </cell>
          <cell r="Q125">
            <v>806</v>
          </cell>
          <cell r="R125">
            <v>806</v>
          </cell>
          <cell r="S125">
            <v>806</v>
          </cell>
          <cell r="T125">
            <v>806</v>
          </cell>
          <cell r="U125">
            <v>806</v>
          </cell>
          <cell r="V125">
            <v>806</v>
          </cell>
          <cell r="W125">
            <v>806</v>
          </cell>
          <cell r="X125">
            <v>806</v>
          </cell>
          <cell r="Y125">
            <v>806</v>
          </cell>
          <cell r="Z125">
            <v>806</v>
          </cell>
          <cell r="AA125">
            <v>806</v>
          </cell>
          <cell r="AB125">
            <v>806</v>
          </cell>
          <cell r="AC125">
            <v>806</v>
          </cell>
          <cell r="AD125">
            <v>806</v>
          </cell>
          <cell r="AE125">
            <v>806</v>
          </cell>
          <cell r="AF125">
            <v>806</v>
          </cell>
          <cell r="AG125">
            <v>806</v>
          </cell>
          <cell r="AH125">
            <v>806</v>
          </cell>
          <cell r="AI125">
            <v>806</v>
          </cell>
          <cell r="AJ125">
            <v>806</v>
          </cell>
        </row>
        <row r="126">
          <cell r="C126">
            <v>6</v>
          </cell>
          <cell r="E126" t="str">
            <v>Mesh  8 x 20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2500</v>
          </cell>
          <cell r="Q126">
            <v>2500</v>
          </cell>
          <cell r="R126">
            <v>7500</v>
          </cell>
          <cell r="S126">
            <v>10000</v>
          </cell>
          <cell r="T126">
            <v>11500</v>
          </cell>
          <cell r="U126">
            <v>12500</v>
          </cell>
          <cell r="V126">
            <v>12500</v>
          </cell>
          <cell r="W126">
            <v>14500</v>
          </cell>
          <cell r="X126">
            <v>16000</v>
          </cell>
          <cell r="Y126">
            <v>17000</v>
          </cell>
          <cell r="Z126">
            <v>20000</v>
          </cell>
          <cell r="AA126">
            <v>20039.2</v>
          </cell>
          <cell r="AB126">
            <v>20539.2</v>
          </cell>
          <cell r="AC126">
            <v>20539.2</v>
          </cell>
          <cell r="AD126">
            <v>20539.2</v>
          </cell>
          <cell r="AE126">
            <v>22039.200000000001</v>
          </cell>
          <cell r="AF126">
            <v>22039.200000000001</v>
          </cell>
          <cell r="AG126">
            <v>22039.200000000001</v>
          </cell>
          <cell r="AH126">
            <v>22039.200000000001</v>
          </cell>
          <cell r="AI126">
            <v>22039.200000000001</v>
          </cell>
          <cell r="AJ126">
            <v>22039.200000000001</v>
          </cell>
        </row>
        <row r="127">
          <cell r="C127">
            <v>7</v>
          </cell>
          <cell r="E127" t="str">
            <v>Mesh  8 x 30</v>
          </cell>
          <cell r="F127">
            <v>12947</v>
          </cell>
          <cell r="G127">
            <v>12947</v>
          </cell>
          <cell r="H127">
            <v>12947</v>
          </cell>
          <cell r="I127">
            <v>12947</v>
          </cell>
          <cell r="J127">
            <v>12947</v>
          </cell>
          <cell r="K127">
            <v>12947</v>
          </cell>
          <cell r="L127">
            <v>12947</v>
          </cell>
          <cell r="M127">
            <v>12947</v>
          </cell>
          <cell r="N127">
            <v>12947</v>
          </cell>
          <cell r="O127">
            <v>12947</v>
          </cell>
          <cell r="P127">
            <v>12947</v>
          </cell>
          <cell r="Q127">
            <v>12947</v>
          </cell>
          <cell r="R127">
            <v>12608</v>
          </cell>
          <cell r="S127">
            <v>12608</v>
          </cell>
          <cell r="T127">
            <v>12608</v>
          </cell>
          <cell r="U127">
            <v>12608</v>
          </cell>
          <cell r="V127">
            <v>15108</v>
          </cell>
          <cell r="W127">
            <v>15108</v>
          </cell>
          <cell r="X127">
            <v>15108</v>
          </cell>
          <cell r="Y127">
            <v>15108</v>
          </cell>
          <cell r="Z127">
            <v>15108</v>
          </cell>
          <cell r="AA127">
            <v>15108</v>
          </cell>
          <cell r="AB127">
            <v>15108</v>
          </cell>
          <cell r="AC127">
            <v>15108</v>
          </cell>
          <cell r="AD127">
            <v>15108</v>
          </cell>
          <cell r="AE127">
            <v>15108</v>
          </cell>
          <cell r="AF127">
            <v>15108</v>
          </cell>
          <cell r="AG127">
            <v>15108</v>
          </cell>
          <cell r="AH127">
            <v>15108</v>
          </cell>
          <cell r="AI127">
            <v>15108</v>
          </cell>
          <cell r="AJ127">
            <v>15108</v>
          </cell>
        </row>
        <row r="128">
          <cell r="C128">
            <v>8</v>
          </cell>
          <cell r="E128" t="str">
            <v>Mesh 12 x 30</v>
          </cell>
          <cell r="F128">
            <v>8500</v>
          </cell>
          <cell r="G128">
            <v>9000</v>
          </cell>
          <cell r="H128">
            <v>9120</v>
          </cell>
          <cell r="I128">
            <v>9120</v>
          </cell>
          <cell r="J128">
            <v>9120</v>
          </cell>
          <cell r="K128">
            <v>9120</v>
          </cell>
          <cell r="L128">
            <v>9120</v>
          </cell>
          <cell r="M128">
            <v>9120</v>
          </cell>
          <cell r="N128">
            <v>9120</v>
          </cell>
          <cell r="O128">
            <v>9120</v>
          </cell>
          <cell r="P128">
            <v>9120</v>
          </cell>
          <cell r="Q128">
            <v>9120</v>
          </cell>
          <cell r="R128">
            <v>9120</v>
          </cell>
          <cell r="S128">
            <v>9120</v>
          </cell>
          <cell r="T128">
            <v>9120</v>
          </cell>
          <cell r="U128">
            <v>9120</v>
          </cell>
          <cell r="V128">
            <v>9120</v>
          </cell>
          <cell r="W128">
            <v>9120</v>
          </cell>
          <cell r="X128">
            <v>9120</v>
          </cell>
          <cell r="Y128">
            <v>9120</v>
          </cell>
          <cell r="Z128">
            <v>9120</v>
          </cell>
          <cell r="AA128">
            <v>9120</v>
          </cell>
          <cell r="AB128">
            <v>9120</v>
          </cell>
          <cell r="AC128">
            <v>9120</v>
          </cell>
          <cell r="AD128">
            <v>9120</v>
          </cell>
          <cell r="AE128">
            <v>9120</v>
          </cell>
          <cell r="AF128">
            <v>9120</v>
          </cell>
          <cell r="AG128">
            <v>9120</v>
          </cell>
          <cell r="AH128">
            <v>9120</v>
          </cell>
          <cell r="AI128">
            <v>9120</v>
          </cell>
          <cell r="AJ128">
            <v>9120</v>
          </cell>
        </row>
        <row r="129">
          <cell r="C129">
            <v>9</v>
          </cell>
          <cell r="E129" t="str">
            <v>Mesh 16 x 60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305</v>
          </cell>
          <cell r="K129">
            <v>305</v>
          </cell>
          <cell r="L129">
            <v>305</v>
          </cell>
          <cell r="M129">
            <v>305</v>
          </cell>
          <cell r="N129">
            <v>305</v>
          </cell>
          <cell r="O129">
            <v>305</v>
          </cell>
          <cell r="P129">
            <v>305</v>
          </cell>
          <cell r="Q129">
            <v>305</v>
          </cell>
          <cell r="R129">
            <v>305</v>
          </cell>
          <cell r="S129">
            <v>305</v>
          </cell>
          <cell r="T129">
            <v>305</v>
          </cell>
          <cell r="U129">
            <v>305</v>
          </cell>
          <cell r="V129">
            <v>305</v>
          </cell>
          <cell r="W129">
            <v>305</v>
          </cell>
          <cell r="X129">
            <v>305</v>
          </cell>
          <cell r="Y129">
            <v>305</v>
          </cell>
          <cell r="Z129">
            <v>305</v>
          </cell>
          <cell r="AA129">
            <v>305</v>
          </cell>
          <cell r="AB129">
            <v>305</v>
          </cell>
          <cell r="AC129">
            <v>305</v>
          </cell>
          <cell r="AD129">
            <v>305</v>
          </cell>
          <cell r="AE129">
            <v>305</v>
          </cell>
          <cell r="AF129">
            <v>305</v>
          </cell>
          <cell r="AG129">
            <v>305</v>
          </cell>
          <cell r="AH129">
            <v>305</v>
          </cell>
          <cell r="AI129">
            <v>305</v>
          </cell>
          <cell r="AJ129">
            <v>305</v>
          </cell>
        </row>
        <row r="130">
          <cell r="C130">
            <v>10</v>
          </cell>
          <cell r="E130" t="str">
            <v>Mesh 20 x 60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450</v>
          </cell>
          <cell r="Q130">
            <v>450</v>
          </cell>
          <cell r="R130">
            <v>450</v>
          </cell>
          <cell r="S130">
            <v>450</v>
          </cell>
          <cell r="T130">
            <v>950</v>
          </cell>
          <cell r="U130">
            <v>950</v>
          </cell>
          <cell r="V130">
            <v>1450</v>
          </cell>
          <cell r="W130">
            <v>1450</v>
          </cell>
          <cell r="X130">
            <v>1450</v>
          </cell>
          <cell r="Y130">
            <v>1450</v>
          </cell>
          <cell r="Z130">
            <v>1450</v>
          </cell>
          <cell r="AA130">
            <v>1450</v>
          </cell>
          <cell r="AB130">
            <v>1450</v>
          </cell>
          <cell r="AC130">
            <v>1450</v>
          </cell>
          <cell r="AD130">
            <v>1450</v>
          </cell>
          <cell r="AE130">
            <v>1450</v>
          </cell>
          <cell r="AF130">
            <v>1450</v>
          </cell>
          <cell r="AG130">
            <v>1450</v>
          </cell>
          <cell r="AH130">
            <v>1450</v>
          </cell>
          <cell r="AI130">
            <v>1450</v>
          </cell>
          <cell r="AJ130">
            <v>1450</v>
          </cell>
        </row>
        <row r="131">
          <cell r="C131">
            <v>11</v>
          </cell>
          <cell r="E131" t="str">
            <v>Mesh 30 x 60</v>
          </cell>
          <cell r="F131">
            <v>4616</v>
          </cell>
          <cell r="G131">
            <v>5086</v>
          </cell>
          <cell r="H131">
            <v>5086</v>
          </cell>
          <cell r="I131">
            <v>5086</v>
          </cell>
          <cell r="J131">
            <v>5086</v>
          </cell>
          <cell r="K131">
            <v>5086</v>
          </cell>
          <cell r="L131">
            <v>5086</v>
          </cell>
          <cell r="M131">
            <v>5086</v>
          </cell>
          <cell r="N131">
            <v>5086</v>
          </cell>
          <cell r="O131">
            <v>5086</v>
          </cell>
          <cell r="P131">
            <v>5086</v>
          </cell>
          <cell r="Q131">
            <v>5086</v>
          </cell>
          <cell r="R131">
            <v>4916</v>
          </cell>
          <cell r="S131">
            <v>4916</v>
          </cell>
          <cell r="T131">
            <v>4916</v>
          </cell>
          <cell r="U131">
            <v>4916</v>
          </cell>
          <cell r="V131">
            <v>4916</v>
          </cell>
          <cell r="W131">
            <v>4916</v>
          </cell>
          <cell r="X131">
            <v>4916</v>
          </cell>
          <cell r="Y131">
            <v>4916</v>
          </cell>
          <cell r="Z131">
            <v>4916</v>
          </cell>
          <cell r="AA131">
            <v>4916</v>
          </cell>
          <cell r="AB131">
            <v>4916</v>
          </cell>
          <cell r="AC131">
            <v>4916</v>
          </cell>
          <cell r="AD131">
            <v>4916</v>
          </cell>
          <cell r="AE131">
            <v>4916</v>
          </cell>
          <cell r="AF131">
            <v>4916</v>
          </cell>
          <cell r="AG131">
            <v>4916</v>
          </cell>
          <cell r="AH131">
            <v>4916</v>
          </cell>
          <cell r="AI131">
            <v>4916</v>
          </cell>
          <cell r="AJ131">
            <v>4916</v>
          </cell>
        </row>
        <row r="132">
          <cell r="C132">
            <v>12</v>
          </cell>
          <cell r="E132" t="str">
            <v>Powder 0325</v>
          </cell>
          <cell r="F132">
            <v>200</v>
          </cell>
          <cell r="G132">
            <v>200</v>
          </cell>
          <cell r="H132">
            <v>200</v>
          </cell>
          <cell r="I132">
            <v>200</v>
          </cell>
          <cell r="J132">
            <v>200</v>
          </cell>
          <cell r="K132">
            <v>200</v>
          </cell>
          <cell r="L132">
            <v>200</v>
          </cell>
          <cell r="M132">
            <v>200</v>
          </cell>
          <cell r="N132">
            <v>200</v>
          </cell>
          <cell r="O132">
            <v>200</v>
          </cell>
          <cell r="P132">
            <v>200</v>
          </cell>
          <cell r="Q132">
            <v>200</v>
          </cell>
          <cell r="R132">
            <v>1224</v>
          </cell>
          <cell r="S132">
            <v>1224</v>
          </cell>
          <cell r="T132">
            <v>1224</v>
          </cell>
          <cell r="U132">
            <v>1224</v>
          </cell>
          <cell r="V132">
            <v>1224</v>
          </cell>
          <cell r="W132">
            <v>1224</v>
          </cell>
          <cell r="X132">
            <v>1224</v>
          </cell>
          <cell r="Y132">
            <v>1224</v>
          </cell>
          <cell r="Z132">
            <v>1224</v>
          </cell>
          <cell r="AA132">
            <v>1224</v>
          </cell>
          <cell r="AB132">
            <v>1224</v>
          </cell>
          <cell r="AC132">
            <v>1224</v>
          </cell>
          <cell r="AD132">
            <v>1224</v>
          </cell>
          <cell r="AE132">
            <v>1224</v>
          </cell>
          <cell r="AF132">
            <v>1224</v>
          </cell>
          <cell r="AG132">
            <v>1224</v>
          </cell>
          <cell r="AH132">
            <v>1224</v>
          </cell>
          <cell r="AI132">
            <v>1224</v>
          </cell>
          <cell r="AJ132">
            <v>1224</v>
          </cell>
        </row>
        <row r="133">
          <cell r="C133">
            <v>13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</row>
        <row r="134">
          <cell r="C134">
            <v>14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</row>
        <row r="135">
          <cell r="C135">
            <v>15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</row>
        <row r="137">
          <cell r="B137" t="str">
            <v>PEMAKAIAN UTILITY</v>
          </cell>
        </row>
        <row r="138">
          <cell r="C138" t="str">
            <v>1.</v>
          </cell>
          <cell r="D138" t="str">
            <v>Solar</v>
          </cell>
          <cell r="F138">
            <v>164.8</v>
          </cell>
          <cell r="G138">
            <v>167.2</v>
          </cell>
          <cell r="H138">
            <v>155.85</v>
          </cell>
          <cell r="I138">
            <v>179.9</v>
          </cell>
          <cell r="J138">
            <v>130.15</v>
          </cell>
          <cell r="K138">
            <v>112.1</v>
          </cell>
          <cell r="L138">
            <v>-18.280000000000008</v>
          </cell>
          <cell r="M138">
            <v>44.36</v>
          </cell>
          <cell r="N138">
            <v>170.3</v>
          </cell>
          <cell r="O138">
            <v>164.35</v>
          </cell>
          <cell r="P138">
            <v>148.75</v>
          </cell>
          <cell r="Q138">
            <v>178.1</v>
          </cell>
          <cell r="R138">
            <v>177.9</v>
          </cell>
          <cell r="S138">
            <v>176.35</v>
          </cell>
          <cell r="T138">
            <v>158</v>
          </cell>
          <cell r="U138">
            <v>90</v>
          </cell>
          <cell r="V138">
            <v>159.15</v>
          </cell>
          <cell r="W138">
            <v>168.7</v>
          </cell>
          <cell r="X138">
            <v>136.25</v>
          </cell>
          <cell r="Y138">
            <v>197.9</v>
          </cell>
          <cell r="Z138">
            <v>131.75</v>
          </cell>
          <cell r="AA138">
            <v>39.200000000000003</v>
          </cell>
          <cell r="AB138">
            <v>86.38</v>
          </cell>
          <cell r="AD138">
            <v>131.5</v>
          </cell>
          <cell r="AE138">
            <v>232.95</v>
          </cell>
        </row>
        <row r="139">
          <cell r="C139" t="str">
            <v>2.</v>
          </cell>
          <cell r="D139" t="str">
            <v>Air WTD</v>
          </cell>
        </row>
      </sheetData>
      <sheetData sheetId="2"/>
      <sheetData sheetId="3"/>
    </sheetDataSet>
  </externalBook>
</externalLink>
</file>

<file path=xl/externalLinks/externalLink14.xml><?xml version="1.0" encoding="utf-8"?>
<externalLink xmlns="http://schemas.openxmlformats.org/spreadsheetml/2006/main">
  <externalBook xmlns:r="http://schemas.openxmlformats.org/officeDocument/2006/relationships" r:id="rId1">
    <sheetNames>
      <sheetName val="FRM1-13"/>
    </sheetNames>
    <definedNames>
      <definedName name="Macro8"/>
    </defined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>
  <externalBook xmlns:r="http://schemas.openxmlformats.org/officeDocument/2006/relationships" r:id="rId1">
    <sheetNames>
      <sheetName val="Master Kary"/>
      <sheetName val="Out Kary"/>
      <sheetName val="In Kary"/>
      <sheetName val="Mutasi Kary"/>
      <sheetName val="Promosi"/>
      <sheetName val="tab"/>
      <sheetName val="phk"/>
      <sheetName val="Laki2"/>
      <sheetName val="psg sby"/>
      <sheetName val="structure p1-last rev"/>
      <sheetName val="Sheet1 (2)"/>
      <sheetName val="Sheet1"/>
      <sheetName val="kantin"/>
      <sheetName val="Sheet1 (3)"/>
      <sheetName val="Sheet1 (4)"/>
      <sheetName val="Master Bor"/>
      <sheetName val="Out Bor"/>
      <sheetName val="i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H2" t="str">
            <v>ACC</v>
          </cell>
          <cell r="I2">
            <v>1.2</v>
          </cell>
          <cell r="J2" t="str">
            <v>Accounting (BUK)</v>
          </cell>
        </row>
        <row r="3">
          <cell r="H3" t="str">
            <v>BLR</v>
          </cell>
          <cell r="I3">
            <v>6.1</v>
          </cell>
          <cell r="J3" t="str">
            <v>Boiler</v>
          </cell>
        </row>
        <row r="4">
          <cell r="H4" t="str">
            <v>CHL</v>
          </cell>
          <cell r="I4" t="str">
            <v>6,7</v>
          </cell>
          <cell r="J4" t="str">
            <v>Chiller</v>
          </cell>
        </row>
        <row r="5">
          <cell r="H5" t="str">
            <v>CLN</v>
          </cell>
          <cell r="I5">
            <v>2.2999999999999998</v>
          </cell>
          <cell r="J5" t="str">
            <v>Clinic (KLN)</v>
          </cell>
        </row>
        <row r="6">
          <cell r="H6" t="str">
            <v>CMP</v>
          </cell>
          <cell r="I6">
            <v>5.7</v>
          </cell>
          <cell r="J6" t="str">
            <v>Coconut Milk Powder</v>
          </cell>
        </row>
        <row r="7">
          <cell r="H7" t="str">
            <v>COP</v>
          </cell>
          <cell r="I7">
            <v>5.8</v>
          </cell>
          <cell r="J7" t="str">
            <v>Coconut Oil Process (PMK)</v>
          </cell>
        </row>
        <row r="8">
          <cell r="H8" t="str">
            <v>CPS</v>
          </cell>
          <cell r="I8">
            <v>5.5</v>
          </cell>
          <cell r="J8" t="str">
            <v>Coconut Paste &amp; Square (CPD)</v>
          </cell>
        </row>
        <row r="9">
          <cell r="H9" t="str">
            <v>CPT</v>
          </cell>
          <cell r="I9" t="str">
            <v>2,4</v>
          </cell>
          <cell r="J9" t="str">
            <v>Co-operative (KPS)</v>
          </cell>
        </row>
        <row r="10">
          <cell r="H10" t="str">
            <v>CST</v>
          </cell>
          <cell r="I10">
            <v>3.5</v>
          </cell>
          <cell r="J10" t="str">
            <v>Central Store</v>
          </cell>
        </row>
        <row r="11">
          <cell r="H11" t="str">
            <v>DRP</v>
          </cell>
          <cell r="I11">
            <v>5.4</v>
          </cell>
          <cell r="J11" t="str">
            <v>Dry Process</v>
          </cell>
        </row>
        <row r="12">
          <cell r="H12" t="str">
            <v>DWP</v>
          </cell>
          <cell r="I12">
            <v>5.9</v>
          </cell>
          <cell r="J12" t="str">
            <v>Drinking Water Process</v>
          </cell>
        </row>
        <row r="13">
          <cell r="H13" t="str">
            <v>ELC</v>
          </cell>
          <cell r="I13">
            <v>6.5</v>
          </cell>
          <cell r="J13" t="str">
            <v>Electrical (LST)</v>
          </cell>
        </row>
        <row r="14">
          <cell r="H14" t="str">
            <v>ESD</v>
          </cell>
          <cell r="I14">
            <v>4.3</v>
          </cell>
          <cell r="J14" t="str">
            <v>Environment &amp; Safety</v>
          </cell>
        </row>
        <row r="15">
          <cell r="H15" t="str">
            <v>FIN</v>
          </cell>
          <cell r="I15">
            <v>1.1000000000000001</v>
          </cell>
          <cell r="J15" t="str">
            <v>Finance</v>
          </cell>
        </row>
        <row r="16">
          <cell r="H16" t="str">
            <v>FSD</v>
          </cell>
          <cell r="I16">
            <v>5.3</v>
          </cell>
          <cell r="J16" t="str">
            <v>Fresh Santan</v>
          </cell>
        </row>
        <row r="17">
          <cell r="H17" t="str">
            <v>GAF</v>
          </cell>
          <cell r="I17">
            <v>2.1</v>
          </cell>
          <cell r="J17" t="str">
            <v>General Affair (GAD)</v>
          </cell>
        </row>
        <row r="18">
          <cell r="H18" t="str">
            <v>GMD</v>
          </cell>
          <cell r="I18" t="str">
            <v>6,6</v>
          </cell>
          <cell r="J18" t="str">
            <v>General Maintenance Department (PRU)</v>
          </cell>
        </row>
        <row r="19">
          <cell r="H19" t="str">
            <v>HEW</v>
          </cell>
          <cell r="I19">
            <v>6.4</v>
          </cell>
          <cell r="J19" t="str">
            <v>Heavy Equipment Workshop (BAB)</v>
          </cell>
        </row>
        <row r="20">
          <cell r="H20" t="str">
            <v>ITD</v>
          </cell>
          <cell r="I20">
            <v>1.4</v>
          </cell>
          <cell r="J20" t="str">
            <v>Information Technology Department</v>
          </cell>
        </row>
        <row r="21">
          <cell r="H21" t="str">
            <v>LOG</v>
          </cell>
          <cell r="I21">
            <v>3.6</v>
          </cell>
          <cell r="J21" t="str">
            <v>Logistic</v>
          </cell>
        </row>
        <row r="22">
          <cell r="H22" t="str">
            <v>MIS</v>
          </cell>
          <cell r="I22">
            <v>1.3</v>
          </cell>
          <cell r="J22" t="str">
            <v>Management Information System</v>
          </cell>
        </row>
        <row r="23">
          <cell r="H23" t="str">
            <v>MP1</v>
          </cell>
          <cell r="I23">
            <v>5.0999999999999996</v>
          </cell>
          <cell r="J23" t="str">
            <v>Meat Preparation 1</v>
          </cell>
        </row>
        <row r="24">
          <cell r="H24" t="str">
            <v>MP2</v>
          </cell>
          <cell r="I24">
            <v>5.2</v>
          </cell>
          <cell r="J24" t="str">
            <v>Meat Preparation 2</v>
          </cell>
        </row>
        <row r="25">
          <cell r="H25" t="str">
            <v>MWS</v>
          </cell>
          <cell r="I25">
            <v>6.3</v>
          </cell>
          <cell r="J25" t="str">
            <v>Mechanical Workshop (BUM)</v>
          </cell>
        </row>
        <row r="26">
          <cell r="H26" t="str">
            <v>OFC</v>
          </cell>
          <cell r="I26">
            <v>2.2000000000000002</v>
          </cell>
          <cell r="J26" t="str">
            <v>Central Office</v>
          </cell>
        </row>
        <row r="27">
          <cell r="H27" t="str">
            <v>PCM</v>
          </cell>
          <cell r="I27">
            <v>5.0999999999999996</v>
          </cell>
          <cell r="J27" t="str">
            <v>Pasteurize Coconut Milk</v>
          </cell>
        </row>
        <row r="28">
          <cell r="H28" t="str">
            <v>PCS</v>
          </cell>
          <cell r="I28">
            <v>3.2</v>
          </cell>
          <cell r="J28" t="str">
            <v>Purchasing (ESM)</v>
          </cell>
        </row>
        <row r="29">
          <cell r="H29" t="str">
            <v>PIC</v>
          </cell>
          <cell r="I29">
            <v>3.1</v>
          </cell>
          <cell r="J29" t="str">
            <v>Production Planning Inventory Control</v>
          </cell>
        </row>
        <row r="30">
          <cell r="H30" t="str">
            <v>PIS</v>
          </cell>
          <cell r="I30">
            <v>3.4</v>
          </cell>
          <cell r="J30" t="str">
            <v>PIC Store</v>
          </cell>
        </row>
        <row r="31">
          <cell r="H31" t="str">
            <v>PRE</v>
          </cell>
          <cell r="I31">
            <v>5</v>
          </cell>
          <cell r="J31" t="str">
            <v>Process Engineering (New Department)</v>
          </cell>
        </row>
        <row r="32">
          <cell r="H32" t="str">
            <v>PSN</v>
          </cell>
          <cell r="I32">
            <v>2</v>
          </cell>
          <cell r="J32" t="str">
            <v>Personnel</v>
          </cell>
        </row>
        <row r="33">
          <cell r="H33" t="str">
            <v>PWH</v>
          </cell>
          <cell r="I33">
            <v>6.2</v>
          </cell>
          <cell r="J33" t="str">
            <v>Power House</v>
          </cell>
        </row>
        <row r="34">
          <cell r="H34" t="str">
            <v>QAD</v>
          </cell>
          <cell r="I34">
            <v>4</v>
          </cell>
          <cell r="J34" t="str">
            <v>Quality Assurance</v>
          </cell>
        </row>
        <row r="35">
          <cell r="H35" t="str">
            <v>QSD</v>
          </cell>
          <cell r="I35">
            <v>4.2</v>
          </cell>
          <cell r="J35" t="str">
            <v>Quality System</v>
          </cell>
        </row>
        <row r="36">
          <cell r="H36" t="str">
            <v>RMP</v>
          </cell>
          <cell r="I36">
            <v>3</v>
          </cell>
          <cell r="J36" t="str">
            <v>Raw Material Purchasing (PBL)</v>
          </cell>
        </row>
        <row r="37">
          <cell r="H37" t="str">
            <v>RND</v>
          </cell>
          <cell r="I37">
            <v>4.0999999999999996</v>
          </cell>
          <cell r="J37" t="str">
            <v>Research &amp; Development</v>
          </cell>
        </row>
        <row r="38">
          <cell r="H38" t="str">
            <v>WHS</v>
          </cell>
          <cell r="I38">
            <v>3.3</v>
          </cell>
          <cell r="J38" t="str">
            <v>Warehouse</v>
          </cell>
        </row>
        <row r="39">
          <cell r="H39" t="str">
            <v>WTD</v>
          </cell>
          <cell r="I39">
            <v>6</v>
          </cell>
          <cell r="J39" t="str">
            <v>Water Treatment</v>
          </cell>
        </row>
        <row r="40">
          <cell r="H40" t="str">
            <v>WTP</v>
          </cell>
          <cell r="I40">
            <v>5.6</v>
          </cell>
          <cell r="J40" t="str">
            <v>Wet Process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6.xml><?xml version="1.0" encoding="utf-8"?>
<externalLink xmlns="http://schemas.openxmlformats.org/spreadsheetml/2006/main">
  <externalBook xmlns:r="http://schemas.openxmlformats.org/officeDocument/2006/relationships" r:id="rId1">
    <sheetNames>
      <sheetName val="ddc"/>
      <sheetName val="ppd"/>
      <sheetName val="Cover"/>
      <sheetName val="Flow-OJT"/>
      <sheetName val="PRo-OJT"/>
      <sheetName val="Lamp-01"/>
      <sheetName val="Lamp-02"/>
      <sheetName val="Lamp-03"/>
      <sheetName val="lamp-04"/>
      <sheetName val="Lamp-0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7.xml><?xml version="1.0" encoding="utf-8"?>
<externalLink xmlns="http://schemas.openxmlformats.org/spreadsheetml/2006/main">
  <externalBook xmlns:r="http://schemas.openxmlformats.org/officeDocument/2006/relationships" r:id="rId1">
    <sheetNames>
      <sheetName val="FRM1-13"/>
      <sheetName val="#REF"/>
    </sheetNames>
    <definedNames>
      <definedName name="Macro6"/>
    </defined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>
  <externalBook xmlns:r="http://schemas.openxmlformats.org/officeDocument/2006/relationships" r:id="rId1">
    <sheetNames>
      <sheetName val="FRM1-13"/>
      <sheetName val="#REF"/>
    </sheetNames>
    <definedNames>
      <definedName name="Macro6"/>
    </defined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>
  <externalBook xmlns:r="http://schemas.openxmlformats.org/officeDocument/2006/relationships" r:id="rId1">
    <sheetNames>
      <sheetName val="Pindah Bagian ABC"/>
      <sheetName val="Timbang"/>
    </sheetNames>
    <sheetDataSet>
      <sheetData sheetId="0"/>
      <sheetData sheetId="1"/>
    </sheetDataSet>
  </externalBook>
</externalLink>
</file>

<file path=xl/externalLinks/externalLink20.xml><?xml version="1.0" encoding="utf-8"?>
<externalLink xmlns="http://schemas.openxmlformats.org/spreadsheetml/2006/main">
  <externalBook xmlns:r="http://schemas.openxmlformats.org/officeDocument/2006/relationships" r:id="rId1">
    <sheetNames>
      <sheetName val="XXXXXXX"/>
      <sheetName val="XXXXXX0"/>
      <sheetName val="XXXXXX1"/>
      <sheetName val="results"/>
      <sheetName val="Sheet2"/>
      <sheetName val="prj"/>
      <sheetName val="listrik"/>
      <sheetName val="WTR"/>
      <sheetName val="ASES"/>
      <sheetName val="PMK"/>
      <sheetName val="kop"/>
      <sheetName val="PIC"/>
      <sheetName val="OFFICE"/>
      <sheetName val="ITD"/>
      <sheetName val="ACC"/>
      <sheetName val="FIN"/>
      <sheetName val="QSD"/>
      <sheetName val="KLINIK"/>
      <sheetName val="GA"/>
      <sheetName val="MP2"/>
      <sheetName val="psn"/>
      <sheetName val="wet"/>
      <sheetName val="Boiler"/>
      <sheetName val="Genset"/>
      <sheetName val="B.UMUM"/>
      <sheetName val="PRU"/>
      <sheetName val="RMP"/>
      <sheetName val="WHS"/>
      <sheetName val="LOG"/>
      <sheetName val="CST"/>
      <sheetName val="ESM"/>
      <sheetName val="LFDC"/>
      <sheetName val="MP3"/>
      <sheetName val="QAD"/>
      <sheetName val="MP1"/>
      <sheetName val="MASUK"/>
      <sheetName val="drp"/>
      <sheetName val="mutasi.@"/>
      <sheetName val="Keluar"/>
      <sheetName val="Chart2"/>
      <sheetName val="Chart1"/>
      <sheetName val="pendidikan"/>
      <sheetName val="SUKU FEB"/>
      <sheetName val="Sheet1"/>
      <sheetName val="BA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4">
          <cell r="O4" t="str">
            <v>INHIL</v>
          </cell>
        </row>
        <row r="5">
          <cell r="O5" t="str">
            <v>INHIL</v>
          </cell>
        </row>
        <row r="6">
          <cell r="O6" t="str">
            <v>INHIL</v>
          </cell>
        </row>
        <row r="7">
          <cell r="O7" t="str">
            <v>INHIL</v>
          </cell>
        </row>
        <row r="8">
          <cell r="O8" t="str">
            <v>No</v>
          </cell>
        </row>
        <row r="9">
          <cell r="O9" t="str">
            <v>INHIL</v>
          </cell>
        </row>
        <row r="10">
          <cell r="O10" t="str">
            <v>INHIL</v>
          </cell>
        </row>
        <row r="11">
          <cell r="O11" t="str">
            <v>INHIL</v>
          </cell>
        </row>
        <row r="12">
          <cell r="O12" t="str">
            <v>INHIL</v>
          </cell>
        </row>
        <row r="13">
          <cell r="O13" t="str">
            <v>INHIL</v>
          </cell>
        </row>
        <row r="14">
          <cell r="O14" t="str">
            <v>INHIL</v>
          </cell>
        </row>
        <row r="15">
          <cell r="O15" t="str">
            <v>INHIL</v>
          </cell>
        </row>
        <row r="16">
          <cell r="O16" t="str">
            <v>INHIL</v>
          </cell>
        </row>
        <row r="17">
          <cell r="O17" t="str">
            <v>INHIL</v>
          </cell>
        </row>
        <row r="18">
          <cell r="O18" t="str">
            <v>INHIL</v>
          </cell>
        </row>
        <row r="19">
          <cell r="O19" t="str">
            <v>INHIL</v>
          </cell>
        </row>
        <row r="20">
          <cell r="O20" t="str">
            <v>INHIL</v>
          </cell>
        </row>
        <row r="21">
          <cell r="O21" t="str">
            <v>INHIL</v>
          </cell>
        </row>
        <row r="22">
          <cell r="O22" t="str">
            <v>No</v>
          </cell>
        </row>
        <row r="23">
          <cell r="O23" t="str">
            <v>INHIL</v>
          </cell>
        </row>
        <row r="24">
          <cell r="O24" t="str">
            <v>INHIL</v>
          </cell>
        </row>
        <row r="25">
          <cell r="O25" t="str">
            <v>INHIL</v>
          </cell>
        </row>
        <row r="26">
          <cell r="O26" t="str">
            <v>INHIL</v>
          </cell>
        </row>
        <row r="27">
          <cell r="O27" t="str">
            <v>INHIL</v>
          </cell>
        </row>
        <row r="28">
          <cell r="O28" t="str">
            <v>INHIL</v>
          </cell>
        </row>
        <row r="29">
          <cell r="O29" t="str">
            <v>No</v>
          </cell>
        </row>
        <row r="30">
          <cell r="O30" t="str">
            <v>INHIL</v>
          </cell>
        </row>
        <row r="31">
          <cell r="O31" t="str">
            <v>INHIL</v>
          </cell>
        </row>
        <row r="32">
          <cell r="O32" t="str">
            <v>No</v>
          </cell>
        </row>
        <row r="33">
          <cell r="O33" t="str">
            <v>INHIL</v>
          </cell>
        </row>
        <row r="34">
          <cell r="O34" t="str">
            <v>INHIL</v>
          </cell>
        </row>
        <row r="35">
          <cell r="O35" t="str">
            <v>INHIL</v>
          </cell>
        </row>
        <row r="36">
          <cell r="O36" t="str">
            <v>INHIL</v>
          </cell>
        </row>
        <row r="37">
          <cell r="O37" t="str">
            <v>INHIL</v>
          </cell>
        </row>
        <row r="38">
          <cell r="O38" t="str">
            <v>INHIL</v>
          </cell>
        </row>
        <row r="39">
          <cell r="O39" t="str">
            <v>INHIL</v>
          </cell>
        </row>
        <row r="40">
          <cell r="O40" t="str">
            <v>INHIL</v>
          </cell>
        </row>
        <row r="41">
          <cell r="O41" t="str">
            <v>INHIL</v>
          </cell>
        </row>
        <row r="42">
          <cell r="O42" t="str">
            <v>INHIL</v>
          </cell>
        </row>
        <row r="43">
          <cell r="O43" t="str">
            <v>INHIL</v>
          </cell>
        </row>
        <row r="44">
          <cell r="O44" t="str">
            <v>INHIL</v>
          </cell>
        </row>
        <row r="45">
          <cell r="O45" t="str">
            <v>INHIL</v>
          </cell>
        </row>
        <row r="46">
          <cell r="O46" t="str">
            <v>INHIL</v>
          </cell>
        </row>
        <row r="47">
          <cell r="O47" t="str">
            <v>INHIL</v>
          </cell>
        </row>
        <row r="48">
          <cell r="O48" t="str">
            <v>No</v>
          </cell>
        </row>
        <row r="49">
          <cell r="O49" t="str">
            <v>INHIL</v>
          </cell>
        </row>
        <row r="50">
          <cell r="O50" t="str">
            <v>INHIL</v>
          </cell>
        </row>
        <row r="51">
          <cell r="O51" t="str">
            <v>INHIL</v>
          </cell>
        </row>
        <row r="52">
          <cell r="O52" t="str">
            <v>INHIL</v>
          </cell>
        </row>
        <row r="53">
          <cell r="O53" t="str">
            <v>INHIL</v>
          </cell>
        </row>
        <row r="54">
          <cell r="O54" t="str">
            <v>INHIL</v>
          </cell>
        </row>
        <row r="55">
          <cell r="O55" t="str">
            <v>No</v>
          </cell>
        </row>
        <row r="56">
          <cell r="O56" t="str">
            <v>INHIL</v>
          </cell>
        </row>
        <row r="57">
          <cell r="O57" t="str">
            <v>INHIL</v>
          </cell>
        </row>
        <row r="58">
          <cell r="O58" t="str">
            <v>INHIL</v>
          </cell>
        </row>
        <row r="59">
          <cell r="O59" t="str">
            <v>No</v>
          </cell>
        </row>
        <row r="60">
          <cell r="O60" t="str">
            <v>INHIL</v>
          </cell>
        </row>
        <row r="61">
          <cell r="O61" t="str">
            <v>INHIL</v>
          </cell>
        </row>
        <row r="62">
          <cell r="O62" t="str">
            <v>INHIL</v>
          </cell>
        </row>
        <row r="63">
          <cell r="O63" t="str">
            <v>INHIL</v>
          </cell>
        </row>
        <row r="64">
          <cell r="O64" t="str">
            <v>INHIL</v>
          </cell>
        </row>
        <row r="65">
          <cell r="O65" t="str">
            <v>INHIL</v>
          </cell>
        </row>
        <row r="66">
          <cell r="O66" t="str">
            <v>INHIL</v>
          </cell>
        </row>
        <row r="67">
          <cell r="O67" t="str">
            <v>INHIL</v>
          </cell>
        </row>
        <row r="68">
          <cell r="O68" t="str">
            <v>INHIL</v>
          </cell>
        </row>
        <row r="69">
          <cell r="O69" t="str">
            <v>INHIL</v>
          </cell>
        </row>
        <row r="70">
          <cell r="O70" t="str">
            <v>INHIL</v>
          </cell>
        </row>
        <row r="71">
          <cell r="O71" t="str">
            <v>No</v>
          </cell>
        </row>
        <row r="72">
          <cell r="O72" t="str">
            <v>INHIL</v>
          </cell>
        </row>
        <row r="73">
          <cell r="O73" t="str">
            <v>INHIL</v>
          </cell>
        </row>
        <row r="74">
          <cell r="O74" t="str">
            <v>INHIL</v>
          </cell>
        </row>
        <row r="75">
          <cell r="O75" t="str">
            <v>INHIL</v>
          </cell>
        </row>
        <row r="76">
          <cell r="O76" t="str">
            <v>INHIL</v>
          </cell>
        </row>
        <row r="77">
          <cell r="O77" t="str">
            <v>INHIL</v>
          </cell>
        </row>
        <row r="78">
          <cell r="O78" t="str">
            <v>INHIL</v>
          </cell>
        </row>
        <row r="79">
          <cell r="O79" t="str">
            <v>INHIL</v>
          </cell>
        </row>
        <row r="80">
          <cell r="O80" t="str">
            <v>INHIL</v>
          </cell>
        </row>
        <row r="81">
          <cell r="O81" t="str">
            <v>INHIL</v>
          </cell>
        </row>
        <row r="82">
          <cell r="O82" t="str">
            <v>INHIL</v>
          </cell>
        </row>
        <row r="83">
          <cell r="O83" t="str">
            <v>INHIL</v>
          </cell>
        </row>
        <row r="84">
          <cell r="O84" t="str">
            <v>INHIL</v>
          </cell>
        </row>
        <row r="85">
          <cell r="O85" t="str">
            <v>INHIL</v>
          </cell>
        </row>
        <row r="86">
          <cell r="O86" t="str">
            <v>INHIL</v>
          </cell>
        </row>
        <row r="87">
          <cell r="O87" t="str">
            <v>No</v>
          </cell>
        </row>
        <row r="88">
          <cell r="O88" t="str">
            <v>INHIL</v>
          </cell>
        </row>
        <row r="89">
          <cell r="O89" t="str">
            <v>INHIL</v>
          </cell>
        </row>
        <row r="90">
          <cell r="O90" t="str">
            <v>INHIL</v>
          </cell>
        </row>
        <row r="91">
          <cell r="O91" t="str">
            <v>INHIL</v>
          </cell>
        </row>
        <row r="92">
          <cell r="O92" t="str">
            <v>INHIL</v>
          </cell>
        </row>
        <row r="93">
          <cell r="O93" t="str">
            <v>INHIL</v>
          </cell>
        </row>
        <row r="94">
          <cell r="O94" t="str">
            <v>INHIL</v>
          </cell>
        </row>
        <row r="95">
          <cell r="O95" t="str">
            <v>No</v>
          </cell>
        </row>
        <row r="96">
          <cell r="O96" t="str">
            <v>No</v>
          </cell>
        </row>
        <row r="97">
          <cell r="O97" t="str">
            <v>INHIL</v>
          </cell>
        </row>
        <row r="98">
          <cell r="O98" t="str">
            <v>INHIL</v>
          </cell>
        </row>
        <row r="99">
          <cell r="O99" t="str">
            <v>INHIL</v>
          </cell>
        </row>
        <row r="100">
          <cell r="O100" t="str">
            <v>INHIL</v>
          </cell>
        </row>
        <row r="101">
          <cell r="O101" t="str">
            <v>INHIL</v>
          </cell>
        </row>
        <row r="102">
          <cell r="O102" t="str">
            <v>INHIL</v>
          </cell>
        </row>
        <row r="103">
          <cell r="O103" t="str">
            <v>INHIL</v>
          </cell>
        </row>
        <row r="104">
          <cell r="O104" t="str">
            <v>INHIL</v>
          </cell>
        </row>
        <row r="105">
          <cell r="O105" t="str">
            <v>INHIL</v>
          </cell>
        </row>
        <row r="106">
          <cell r="O106" t="str">
            <v>INHIL</v>
          </cell>
        </row>
        <row r="107">
          <cell r="O107" t="str">
            <v>INHIL</v>
          </cell>
        </row>
        <row r="108">
          <cell r="O108" t="str">
            <v>INHIL</v>
          </cell>
        </row>
        <row r="109">
          <cell r="O109" t="str">
            <v>INHIL</v>
          </cell>
        </row>
        <row r="110">
          <cell r="O110" t="str">
            <v>INHIL</v>
          </cell>
        </row>
        <row r="111">
          <cell r="O111" t="str">
            <v>INHIL</v>
          </cell>
        </row>
        <row r="112">
          <cell r="O112" t="str">
            <v>INHIL</v>
          </cell>
        </row>
        <row r="113">
          <cell r="O113" t="str">
            <v>No</v>
          </cell>
        </row>
        <row r="114">
          <cell r="O114" t="str">
            <v>INHIL</v>
          </cell>
        </row>
        <row r="115">
          <cell r="O115" t="str">
            <v>No</v>
          </cell>
        </row>
        <row r="116">
          <cell r="O116" t="str">
            <v>INHIL</v>
          </cell>
        </row>
        <row r="117">
          <cell r="O117" t="str">
            <v>No</v>
          </cell>
        </row>
        <row r="118">
          <cell r="O118" t="str">
            <v>INHIL</v>
          </cell>
        </row>
        <row r="119">
          <cell r="O119" t="str">
            <v>INHIL</v>
          </cell>
        </row>
        <row r="120">
          <cell r="O120" t="str">
            <v>INHIL</v>
          </cell>
        </row>
        <row r="121">
          <cell r="O121" t="str">
            <v>INHIL</v>
          </cell>
        </row>
        <row r="122">
          <cell r="O122" t="str">
            <v>INHIL</v>
          </cell>
        </row>
        <row r="123">
          <cell r="O123" t="str">
            <v>INHIL</v>
          </cell>
        </row>
        <row r="124">
          <cell r="O124" t="str">
            <v>INHIL</v>
          </cell>
        </row>
        <row r="125">
          <cell r="O125" t="str">
            <v>INHIL</v>
          </cell>
        </row>
        <row r="126">
          <cell r="O126" t="str">
            <v>INHIL</v>
          </cell>
        </row>
        <row r="127">
          <cell r="O127" t="str">
            <v>No</v>
          </cell>
        </row>
        <row r="128">
          <cell r="O128" t="str">
            <v>INHIL</v>
          </cell>
        </row>
        <row r="129">
          <cell r="O129" t="str">
            <v>INHIL</v>
          </cell>
        </row>
        <row r="130">
          <cell r="O130" t="str">
            <v>No</v>
          </cell>
        </row>
        <row r="131">
          <cell r="O131" t="str">
            <v>No</v>
          </cell>
        </row>
        <row r="132">
          <cell r="O132" t="str">
            <v>No</v>
          </cell>
        </row>
        <row r="133">
          <cell r="O133" t="str">
            <v>No</v>
          </cell>
        </row>
        <row r="134">
          <cell r="O134" t="str">
            <v>No</v>
          </cell>
        </row>
        <row r="135">
          <cell r="O135" t="str">
            <v>No</v>
          </cell>
        </row>
        <row r="136">
          <cell r="O136" t="str">
            <v>INHIL</v>
          </cell>
        </row>
        <row r="137">
          <cell r="O137" t="str">
            <v>No</v>
          </cell>
        </row>
        <row r="138">
          <cell r="O138" t="str">
            <v>No</v>
          </cell>
        </row>
        <row r="139">
          <cell r="O139" t="str">
            <v>No</v>
          </cell>
        </row>
        <row r="140">
          <cell r="O140" t="str">
            <v>No</v>
          </cell>
        </row>
        <row r="141">
          <cell r="O141" t="str">
            <v>INHIL</v>
          </cell>
        </row>
        <row r="142">
          <cell r="O142" t="str">
            <v>INHIL</v>
          </cell>
        </row>
        <row r="143">
          <cell r="O143" t="str">
            <v>No</v>
          </cell>
        </row>
        <row r="144">
          <cell r="O144" t="str">
            <v>No</v>
          </cell>
        </row>
        <row r="145">
          <cell r="O145" t="str">
            <v>INHIL</v>
          </cell>
        </row>
        <row r="146">
          <cell r="O146" t="str">
            <v>INHIL</v>
          </cell>
        </row>
        <row r="147">
          <cell r="O147" t="str">
            <v>No</v>
          </cell>
        </row>
        <row r="148">
          <cell r="O148" t="str">
            <v>No</v>
          </cell>
        </row>
        <row r="149">
          <cell r="O149" t="str">
            <v>No</v>
          </cell>
        </row>
        <row r="150">
          <cell r="O150" t="str">
            <v>No</v>
          </cell>
        </row>
        <row r="151">
          <cell r="O151" t="str">
            <v>No</v>
          </cell>
        </row>
        <row r="152">
          <cell r="O152" t="str">
            <v>No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>
        <row r="4">
          <cell r="N4" t="str">
            <v>No</v>
          </cell>
        </row>
        <row r="5">
          <cell r="N5" t="str">
            <v>No</v>
          </cell>
        </row>
        <row r="6">
          <cell r="N6" t="str">
            <v>No</v>
          </cell>
        </row>
        <row r="7">
          <cell r="N7" t="str">
            <v>No</v>
          </cell>
        </row>
        <row r="8">
          <cell r="N8" t="str">
            <v>No</v>
          </cell>
        </row>
        <row r="9">
          <cell r="N9" t="str">
            <v>No</v>
          </cell>
        </row>
        <row r="10">
          <cell r="N10" t="str">
            <v>INHIL</v>
          </cell>
        </row>
        <row r="11">
          <cell r="N11" t="str">
            <v>No</v>
          </cell>
        </row>
        <row r="12">
          <cell r="N12" t="str">
            <v>No</v>
          </cell>
        </row>
        <row r="13">
          <cell r="N13" t="str">
            <v>No</v>
          </cell>
        </row>
        <row r="14">
          <cell r="N14" t="str">
            <v>No</v>
          </cell>
        </row>
        <row r="15">
          <cell r="N15" t="str">
            <v>No</v>
          </cell>
        </row>
        <row r="16">
          <cell r="N16" t="str">
            <v>INHIL</v>
          </cell>
        </row>
        <row r="17">
          <cell r="N17" t="str">
            <v>No</v>
          </cell>
        </row>
        <row r="18">
          <cell r="N18" t="str">
            <v>INHIL</v>
          </cell>
        </row>
        <row r="19">
          <cell r="N19" t="str">
            <v>No</v>
          </cell>
        </row>
        <row r="20">
          <cell r="N20" t="str">
            <v>No</v>
          </cell>
        </row>
        <row r="21">
          <cell r="N21" t="str">
            <v>No</v>
          </cell>
        </row>
        <row r="22">
          <cell r="N22" t="str">
            <v>No</v>
          </cell>
        </row>
        <row r="23">
          <cell r="N23" t="str">
            <v>No</v>
          </cell>
        </row>
        <row r="24">
          <cell r="N24" t="str">
            <v>No</v>
          </cell>
        </row>
      </sheetData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1.xml><?xml version="1.0" encoding="utf-8"?>
<externalLink xmlns="http://schemas.openxmlformats.org/spreadsheetml/2006/main">
  <externalBook xmlns:r="http://schemas.openxmlformats.org/officeDocument/2006/relationships" r:id="rId1">
    <sheetNames>
      <sheetName val="TXXXXXX"/>
      <sheetName val="XXXXXX0"/>
      <sheetName val="XXXXXX1"/>
      <sheetName val="XXXXXX2"/>
      <sheetName val="XXXXXX3"/>
      <sheetName val="XXXXXX4"/>
      <sheetName val="XXXXXX5"/>
      <sheetName val="XXXXXX6"/>
      <sheetName val="XXXXXX7"/>
      <sheetName val="XXXXXX8"/>
      <sheetName val="XXXXXX9"/>
      <sheetName val="XXXXXXA"/>
      <sheetName val="XXXXXXB"/>
      <sheetName val="XXXXXXC"/>
      <sheetName val="XXXXXXD"/>
      <sheetName val="XXXXXXE"/>
      <sheetName val="XXXXXXF"/>
      <sheetName val="XXXXXXG"/>
      <sheetName val="XXXXXXH"/>
      <sheetName val="XXXXXXI"/>
      <sheetName val="XXXXXXJ"/>
      <sheetName val="uxxxxxx"/>
      <sheetName val="vxxxxxx"/>
      <sheetName val="wxxxxxx"/>
      <sheetName val="xxxxxxx"/>
      <sheetName val="XXXXXXK"/>
      <sheetName val="XXXXXXL"/>
      <sheetName val="XXXXXXM"/>
      <sheetName val="XXXXXXN"/>
      <sheetName val="XXXXXXO"/>
      <sheetName val="XXXXXXP"/>
      <sheetName val="XXXXXXQ"/>
      <sheetName val="XXXXXXR"/>
      <sheetName val="Bor.A"/>
      <sheetName val="Hari.A"/>
      <sheetName val="Bor.B"/>
      <sheetName val="Hari.B"/>
      <sheetName val="Bor.C"/>
      <sheetName val="Hari.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2.xml><?xml version="1.0" encoding="utf-8"?>
<externalLink xmlns="http://schemas.openxmlformats.org/spreadsheetml/2006/main">
  <externalBook xmlns:r="http://schemas.openxmlformats.org/officeDocument/2006/relationships" r:id="rId1">
    <sheetNames>
      <sheetName val="HRNOF"/>
    </sheetNames>
    <definedNames>
      <definedName name="Macro2"/>
    </definedNames>
    <sheetDataSet>
      <sheetData sheetId="0" refreshError="1"/>
    </sheetDataSet>
  </externalBook>
</externalLink>
</file>

<file path=xl/externalLinks/externalLink23.xml><?xml version="1.0" encoding="utf-8"?>
<externalLink xmlns="http://schemas.openxmlformats.org/spreadsheetml/2006/main">
  <externalBook xmlns:r="http://schemas.openxmlformats.org/officeDocument/2006/relationships" r:id="rId1">
    <sheetNames>
      <sheetName val="FRM1-13"/>
    </sheetNames>
    <definedNames>
      <definedName name="Macro1"/>
      <definedName name="Macro3"/>
    </definedNames>
    <sheetDataSet>
      <sheetData sheetId="0" refreshError="1"/>
    </sheetDataSet>
  </externalBook>
</externalLink>
</file>

<file path=xl/externalLinks/externalLink24.xml><?xml version="1.0" encoding="utf-8"?>
<externalLink xmlns="http://schemas.openxmlformats.org/spreadsheetml/2006/main">
  <externalBook xmlns:r="http://schemas.openxmlformats.org/officeDocument/2006/relationships" r:id="rId1">
    <sheetNames>
      <sheetName val="FRM1-13"/>
    </sheetNames>
    <definedNames>
      <definedName name="Macro15"/>
      <definedName name="Macro16"/>
    </definedNames>
    <sheetDataSet>
      <sheetData sheetId="0" refreshError="1"/>
    </sheetDataSet>
  </externalBook>
</externalLink>
</file>

<file path=xl/externalLinks/externalLink25.xml><?xml version="1.0" encoding="utf-8"?>
<externalLink xmlns="http://schemas.openxmlformats.org/spreadsheetml/2006/main">
  <externalBook xmlns:r="http://schemas.openxmlformats.org/officeDocument/2006/relationships" r:id="rId1">
    <sheetNames>
      <sheetName val="UBAH"/>
      <sheetName val="PBL"/>
      <sheetName val="MP1"/>
      <sheetName val="MP2"/>
      <sheetName val="CAD"/>
      <sheetName val="PMK"/>
      <sheetName val="LSG 01"/>
    </sheetNames>
    <sheetDataSet>
      <sheetData sheetId="0"/>
      <sheetData sheetId="1"/>
      <sheetData sheetId="2">
        <row r="4">
          <cell r="A4">
            <v>1</v>
          </cell>
          <cell r="B4">
            <v>322</v>
          </cell>
          <cell r="C4">
            <v>141871.06281761223</v>
          </cell>
          <cell r="D4">
            <v>235298.93718238777</v>
          </cell>
          <cell r="E4">
            <v>0</v>
          </cell>
          <cell r="G4">
            <v>377170</v>
          </cell>
          <cell r="H4">
            <v>0</v>
          </cell>
          <cell r="I4">
            <v>158230</v>
          </cell>
          <cell r="K4">
            <v>158230</v>
          </cell>
          <cell r="M4">
            <v>535400</v>
          </cell>
          <cell r="N4">
            <v>133850</v>
          </cell>
          <cell r="O4">
            <v>2876</v>
          </cell>
          <cell r="P4">
            <v>28279.636396000002</v>
          </cell>
          <cell r="T4">
            <v>28279.636396000002</v>
          </cell>
          <cell r="U4">
            <v>68170.063603999995</v>
          </cell>
          <cell r="W4">
            <v>47886.6</v>
          </cell>
          <cell r="X4">
            <v>79420</v>
          </cell>
          <cell r="Y4">
            <v>0</v>
          </cell>
          <cell r="AA4">
            <v>127306.6</v>
          </cell>
          <cell r="AB4">
            <v>291</v>
          </cell>
          <cell r="AC4">
            <v>569</v>
          </cell>
        </row>
        <row r="5">
          <cell r="A5">
            <v>2</v>
          </cell>
          <cell r="B5">
            <v>0</v>
          </cell>
          <cell r="C5">
            <v>142192.60456893983</v>
          </cell>
          <cell r="D5">
            <v>197930.3954310602</v>
          </cell>
          <cell r="E5">
            <v>0</v>
          </cell>
          <cell r="G5">
            <v>340123</v>
          </cell>
          <cell r="H5">
            <v>0</v>
          </cell>
          <cell r="I5">
            <v>190177</v>
          </cell>
          <cell r="K5">
            <v>190177</v>
          </cell>
          <cell r="M5">
            <v>530300</v>
          </cell>
          <cell r="N5">
            <v>132575</v>
          </cell>
          <cell r="O5">
            <v>3258</v>
          </cell>
          <cell r="P5">
            <v>23961.648380000002</v>
          </cell>
          <cell r="T5">
            <v>23961.648380000002</v>
          </cell>
          <cell r="U5">
            <v>67468.251619999995</v>
          </cell>
          <cell r="W5">
            <v>48026</v>
          </cell>
          <cell r="X5">
            <v>66876.2</v>
          </cell>
          <cell r="Y5">
            <v>0</v>
          </cell>
          <cell r="AA5">
            <v>114902.2</v>
          </cell>
          <cell r="AB5">
            <v>291</v>
          </cell>
          <cell r="AC5">
            <v>568</v>
          </cell>
        </row>
        <row r="6">
          <cell r="A6">
            <v>3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G6">
            <v>0</v>
          </cell>
          <cell r="H6">
            <v>0</v>
          </cell>
          <cell r="I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T6">
            <v>0</v>
          </cell>
          <cell r="U6">
            <v>0</v>
          </cell>
          <cell r="W6">
            <v>0</v>
          </cell>
          <cell r="X6">
            <v>0</v>
          </cell>
          <cell r="Y6">
            <v>0</v>
          </cell>
          <cell r="AA6">
            <v>0</v>
          </cell>
          <cell r="AB6">
            <v>0</v>
          </cell>
          <cell r="AC6">
            <v>0</v>
          </cell>
        </row>
        <row r="7">
          <cell r="A7">
            <v>4</v>
          </cell>
          <cell r="B7">
            <v>0</v>
          </cell>
          <cell r="C7">
            <v>172827.73809939972</v>
          </cell>
          <cell r="D7">
            <v>0</v>
          </cell>
          <cell r="E7">
            <v>248206.26190060028</v>
          </cell>
          <cell r="G7">
            <v>421034</v>
          </cell>
          <cell r="H7">
            <v>0</v>
          </cell>
          <cell r="I7">
            <v>198566</v>
          </cell>
          <cell r="K7">
            <v>198566</v>
          </cell>
          <cell r="M7">
            <v>619600</v>
          </cell>
          <cell r="N7">
            <v>154900</v>
          </cell>
          <cell r="O7">
            <v>2978</v>
          </cell>
          <cell r="P7">
            <v>29282.838904000004</v>
          </cell>
          <cell r="T7">
            <v>29282.838904000004</v>
          </cell>
          <cell r="U7">
            <v>73453.011095999987</v>
          </cell>
          <cell r="W7">
            <v>57751.8</v>
          </cell>
          <cell r="X7">
            <v>0</v>
          </cell>
          <cell r="Y7">
            <v>82939.7</v>
          </cell>
          <cell r="AA7">
            <v>140691.5</v>
          </cell>
          <cell r="AB7">
            <v>295</v>
          </cell>
          <cell r="AC7">
            <v>573</v>
          </cell>
        </row>
        <row r="8">
          <cell r="A8">
            <v>5</v>
          </cell>
          <cell r="B8">
            <v>0</v>
          </cell>
          <cell r="C8">
            <v>166122.39276450255</v>
          </cell>
          <cell r="D8">
            <v>0</v>
          </cell>
          <cell r="E8">
            <v>248798.60723549745</v>
          </cell>
          <cell r="G8">
            <v>414921</v>
          </cell>
          <cell r="H8">
            <v>0</v>
          </cell>
          <cell r="I8">
            <v>224379</v>
          </cell>
          <cell r="K8">
            <v>224379</v>
          </cell>
          <cell r="M8">
            <v>639300</v>
          </cell>
          <cell r="N8">
            <v>159825</v>
          </cell>
          <cell r="O8">
            <v>3432</v>
          </cell>
          <cell r="P8">
            <v>29430.926776000004</v>
          </cell>
          <cell r="T8">
            <v>29430.926776000004</v>
          </cell>
          <cell r="U8">
            <v>81271.623223999995</v>
          </cell>
          <cell r="W8">
            <v>56211.4</v>
          </cell>
          <cell r="X8">
            <v>0</v>
          </cell>
          <cell r="Y8">
            <v>84178.7</v>
          </cell>
          <cell r="AA8">
            <v>140390.1</v>
          </cell>
          <cell r="AB8">
            <v>287</v>
          </cell>
          <cell r="AC8">
            <v>570</v>
          </cell>
        </row>
        <row r="9">
          <cell r="A9">
            <v>6</v>
          </cell>
          <cell r="B9">
            <v>0</v>
          </cell>
          <cell r="C9">
            <v>159651.44277781545</v>
          </cell>
          <cell r="D9">
            <v>0</v>
          </cell>
          <cell r="E9">
            <v>302886.55722218449</v>
          </cell>
          <cell r="G9">
            <v>462537.99999999994</v>
          </cell>
          <cell r="H9">
            <v>0</v>
          </cell>
          <cell r="I9">
            <v>20061.777777777777</v>
          </cell>
          <cell r="K9">
            <v>20061.777777777777</v>
          </cell>
          <cell r="M9">
            <v>482599.77777777769</v>
          </cell>
          <cell r="N9">
            <v>120649.94444444442</v>
          </cell>
          <cell r="O9">
            <v>2452</v>
          </cell>
          <cell r="P9">
            <v>42029.579128000005</v>
          </cell>
          <cell r="T9">
            <v>42029.579128000005</v>
          </cell>
          <cell r="U9">
            <v>7482.5208719999982</v>
          </cell>
          <cell r="W9">
            <v>50551.3</v>
          </cell>
          <cell r="X9">
            <v>0</v>
          </cell>
          <cell r="Y9">
            <v>95548.1</v>
          </cell>
          <cell r="AA9">
            <v>146099.40000000002</v>
          </cell>
          <cell r="AB9">
            <v>291</v>
          </cell>
          <cell r="AC9">
            <v>572</v>
          </cell>
        </row>
        <row r="10">
          <cell r="A10">
            <v>7</v>
          </cell>
          <cell r="B10">
            <v>0</v>
          </cell>
          <cell r="C10">
            <v>163980.68509877654</v>
          </cell>
          <cell r="D10">
            <v>219130.47342482914</v>
          </cell>
          <cell r="E10">
            <v>238488.84147639436</v>
          </cell>
          <cell r="G10">
            <v>621600</v>
          </cell>
          <cell r="H10">
            <v>0</v>
          </cell>
          <cell r="I10">
            <v>0</v>
          </cell>
          <cell r="K10">
            <v>0</v>
          </cell>
          <cell r="M10">
            <v>621600</v>
          </cell>
          <cell r="N10">
            <v>155400</v>
          </cell>
          <cell r="O10">
            <v>3116</v>
          </cell>
          <cell r="P10">
            <v>63874.2304</v>
          </cell>
          <cell r="T10">
            <v>63874.2304</v>
          </cell>
          <cell r="U10">
            <v>0</v>
          </cell>
          <cell r="W10">
            <v>52583</v>
          </cell>
          <cell r="X10">
            <v>70395.7</v>
          </cell>
          <cell r="Y10">
            <v>76417.100000000006</v>
          </cell>
          <cell r="AA10">
            <v>199395.8</v>
          </cell>
          <cell r="AB10">
            <v>290</v>
          </cell>
          <cell r="AC10">
            <v>569</v>
          </cell>
        </row>
        <row r="11">
          <cell r="A11">
            <v>8</v>
          </cell>
          <cell r="B11">
            <v>0</v>
          </cell>
          <cell r="C11">
            <v>163886.49203609099</v>
          </cell>
          <cell r="D11">
            <v>200301.9187267035</v>
          </cell>
          <cell r="E11">
            <v>223911.58923720551</v>
          </cell>
          <cell r="G11">
            <v>588100</v>
          </cell>
          <cell r="H11">
            <v>0</v>
          </cell>
          <cell r="I11">
            <v>0</v>
          </cell>
          <cell r="K11">
            <v>0</v>
          </cell>
          <cell r="M11">
            <v>588100</v>
          </cell>
          <cell r="N11">
            <v>147025</v>
          </cell>
          <cell r="O11">
            <v>2900</v>
          </cell>
          <cell r="P11">
            <v>53019.525612000005</v>
          </cell>
          <cell r="T11">
            <v>53019.525612000005</v>
          </cell>
          <cell r="U11">
            <v>0</v>
          </cell>
          <cell r="W11">
            <v>50511</v>
          </cell>
          <cell r="X11">
            <v>61430.7</v>
          </cell>
          <cell r="Y11">
            <v>68608.7</v>
          </cell>
          <cell r="AA11">
            <v>180550.39999999999</v>
          </cell>
          <cell r="AB11">
            <v>289</v>
          </cell>
          <cell r="AC11">
            <v>571</v>
          </cell>
        </row>
        <row r="12">
          <cell r="A12">
            <v>9</v>
          </cell>
          <cell r="B12">
            <v>0</v>
          </cell>
          <cell r="C12">
            <v>267812.81589463085</v>
          </cell>
          <cell r="D12">
            <v>0</v>
          </cell>
          <cell r="E12">
            <v>267891.18410536909</v>
          </cell>
          <cell r="G12">
            <v>535704</v>
          </cell>
          <cell r="H12">
            <v>0</v>
          </cell>
          <cell r="I12">
            <v>0</v>
          </cell>
          <cell r="K12">
            <v>0</v>
          </cell>
          <cell r="M12">
            <v>535704</v>
          </cell>
          <cell r="N12">
            <v>133926</v>
          </cell>
          <cell r="O12">
            <v>2615</v>
          </cell>
          <cell r="P12">
            <v>61109.692734000004</v>
          </cell>
          <cell r="T12">
            <v>61109.692734000004</v>
          </cell>
          <cell r="U12">
            <v>0</v>
          </cell>
          <cell r="W12">
            <v>85550.399999999994</v>
          </cell>
          <cell r="X12">
            <v>0</v>
          </cell>
          <cell r="Y12">
            <v>85713</v>
          </cell>
          <cell r="AA12">
            <v>171263.4</v>
          </cell>
          <cell r="AB12">
            <v>295</v>
          </cell>
          <cell r="AC12">
            <v>572</v>
          </cell>
        </row>
        <row r="13">
          <cell r="A13">
            <v>10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G13">
            <v>0</v>
          </cell>
          <cell r="H13">
            <v>0</v>
          </cell>
          <cell r="I13">
            <v>0</v>
          </cell>
          <cell r="K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T13">
            <v>0</v>
          </cell>
          <cell r="U13">
            <v>0</v>
          </cell>
          <cell r="W13">
            <v>0</v>
          </cell>
          <cell r="X13">
            <v>0</v>
          </cell>
          <cell r="Y13">
            <v>0</v>
          </cell>
          <cell r="AA13">
            <v>0</v>
          </cell>
          <cell r="AB13">
            <v>0</v>
          </cell>
          <cell r="AC13">
            <v>0</v>
          </cell>
        </row>
        <row r="14">
          <cell r="A14">
            <v>11</v>
          </cell>
          <cell r="B14">
            <v>0</v>
          </cell>
          <cell r="C14">
            <v>169741.11920369184</v>
          </cell>
          <cell r="D14">
            <v>148532.99675261046</v>
          </cell>
          <cell r="E14">
            <v>292525.88404369768</v>
          </cell>
          <cell r="G14">
            <v>610800</v>
          </cell>
          <cell r="H14">
            <v>0</v>
          </cell>
          <cell r="I14">
            <v>0</v>
          </cell>
          <cell r="K14">
            <v>0</v>
          </cell>
          <cell r="M14">
            <v>610800</v>
          </cell>
          <cell r="N14">
            <v>152700</v>
          </cell>
          <cell r="O14">
            <v>2693</v>
          </cell>
          <cell r="P14">
            <v>58145.74424</v>
          </cell>
          <cell r="T14">
            <v>58145.74424</v>
          </cell>
          <cell r="U14">
            <v>0</v>
          </cell>
          <cell r="W14">
            <v>51821.3</v>
          </cell>
          <cell r="X14">
            <v>45718.5</v>
          </cell>
          <cell r="Y14">
            <v>89650.8</v>
          </cell>
          <cell r="AA14">
            <v>187190.6</v>
          </cell>
          <cell r="AB14">
            <v>292</v>
          </cell>
          <cell r="AC14">
            <v>568</v>
          </cell>
        </row>
        <row r="15">
          <cell r="A15">
            <v>12</v>
          </cell>
          <cell r="B15">
            <v>0</v>
          </cell>
          <cell r="C15">
            <v>78687.773932663025</v>
          </cell>
          <cell r="D15">
            <v>247723.99730665592</v>
          </cell>
          <cell r="E15">
            <v>238388.22876068109</v>
          </cell>
          <cell r="G15">
            <v>564800</v>
          </cell>
          <cell r="H15">
            <v>0</v>
          </cell>
          <cell r="I15">
            <v>0</v>
          </cell>
          <cell r="K15">
            <v>0</v>
          </cell>
          <cell r="M15">
            <v>564800</v>
          </cell>
          <cell r="N15">
            <v>141200</v>
          </cell>
          <cell r="O15">
            <v>2667</v>
          </cell>
          <cell r="P15">
            <v>55873.3</v>
          </cell>
          <cell r="T15">
            <v>55873.3</v>
          </cell>
          <cell r="U15">
            <v>0</v>
          </cell>
          <cell r="W15">
            <v>25455.7</v>
          </cell>
          <cell r="X15">
            <v>80034.5</v>
          </cell>
          <cell r="Y15">
            <v>77103.600000000006</v>
          </cell>
          <cell r="AA15">
            <v>182593.8</v>
          </cell>
          <cell r="AB15">
            <v>297</v>
          </cell>
          <cell r="AC15">
            <v>568</v>
          </cell>
        </row>
        <row r="16">
          <cell r="A16">
            <v>13</v>
          </cell>
          <cell r="B16">
            <v>0</v>
          </cell>
          <cell r="C16">
            <v>125929.30489660002</v>
          </cell>
          <cell r="D16">
            <v>195800.73012235734</v>
          </cell>
          <cell r="E16">
            <v>206169.96498104261</v>
          </cell>
          <cell r="G16">
            <v>527900</v>
          </cell>
          <cell r="H16">
            <v>0</v>
          </cell>
          <cell r="I16">
            <v>0</v>
          </cell>
          <cell r="K16">
            <v>0</v>
          </cell>
          <cell r="M16">
            <v>527900</v>
          </cell>
          <cell r="N16">
            <v>131975</v>
          </cell>
          <cell r="O16">
            <v>2539</v>
          </cell>
          <cell r="P16">
            <v>54127.199999999997</v>
          </cell>
          <cell r="T16">
            <v>54127.199999999997</v>
          </cell>
          <cell r="U16">
            <v>0</v>
          </cell>
          <cell r="W16">
            <v>41011.1</v>
          </cell>
          <cell r="X16">
            <v>64027.6</v>
          </cell>
          <cell r="Y16">
            <v>67361.7</v>
          </cell>
          <cell r="AA16">
            <v>172400.4</v>
          </cell>
          <cell r="AB16">
            <v>298</v>
          </cell>
          <cell r="AC16">
            <v>573</v>
          </cell>
        </row>
        <row r="17">
          <cell r="A17">
            <v>14</v>
          </cell>
          <cell r="B17">
            <v>0</v>
          </cell>
          <cell r="C17">
            <v>158358.69853206445</v>
          </cell>
          <cell r="D17">
            <v>398241.30146793555</v>
          </cell>
          <cell r="E17">
            <v>0</v>
          </cell>
          <cell r="G17">
            <v>556600</v>
          </cell>
          <cell r="H17">
            <v>0</v>
          </cell>
          <cell r="I17">
            <v>0</v>
          </cell>
          <cell r="K17">
            <v>0</v>
          </cell>
          <cell r="M17">
            <v>556600</v>
          </cell>
          <cell r="N17">
            <v>139150</v>
          </cell>
          <cell r="O17">
            <v>2494</v>
          </cell>
          <cell r="P17">
            <v>57979.45</v>
          </cell>
          <cell r="T17">
            <v>57979.45</v>
          </cell>
          <cell r="U17">
            <v>0</v>
          </cell>
          <cell r="W17">
            <v>50400.4</v>
          </cell>
          <cell r="X17">
            <v>126007.2</v>
          </cell>
          <cell r="Y17">
            <v>0</v>
          </cell>
          <cell r="AA17">
            <v>176407.6</v>
          </cell>
          <cell r="AB17">
            <v>297</v>
          </cell>
          <cell r="AC17">
            <v>569</v>
          </cell>
        </row>
        <row r="18">
          <cell r="A18">
            <v>15</v>
          </cell>
          <cell r="B18">
            <v>0</v>
          </cell>
          <cell r="C18">
            <v>280300</v>
          </cell>
          <cell r="D18">
            <v>0</v>
          </cell>
          <cell r="E18">
            <v>0</v>
          </cell>
          <cell r="G18">
            <v>280300</v>
          </cell>
          <cell r="H18">
            <v>0</v>
          </cell>
          <cell r="I18">
            <v>0</v>
          </cell>
          <cell r="K18">
            <v>0</v>
          </cell>
          <cell r="M18">
            <v>280300</v>
          </cell>
          <cell r="N18">
            <v>70075</v>
          </cell>
          <cell r="O18">
            <v>1119</v>
          </cell>
          <cell r="P18">
            <v>24408.35</v>
          </cell>
          <cell r="T18">
            <v>24408.35</v>
          </cell>
          <cell r="U18">
            <v>0</v>
          </cell>
          <cell r="W18">
            <v>89203.199999999997</v>
          </cell>
          <cell r="X18">
            <v>0</v>
          </cell>
          <cell r="Y18">
            <v>0</v>
          </cell>
          <cell r="AA18">
            <v>89203.199999999997</v>
          </cell>
          <cell r="AB18">
            <v>296</v>
          </cell>
          <cell r="AC18">
            <v>570</v>
          </cell>
        </row>
        <row r="19">
          <cell r="A19">
            <v>16</v>
          </cell>
          <cell r="B19">
            <v>0</v>
          </cell>
          <cell r="C19">
            <v>405900</v>
          </cell>
          <cell r="D19">
            <v>0</v>
          </cell>
          <cell r="E19">
            <v>0</v>
          </cell>
          <cell r="G19">
            <v>405900</v>
          </cell>
          <cell r="H19">
            <v>0</v>
          </cell>
          <cell r="I19">
            <v>0</v>
          </cell>
          <cell r="K19">
            <v>0</v>
          </cell>
          <cell r="M19">
            <v>405900</v>
          </cell>
          <cell r="N19">
            <v>101475</v>
          </cell>
          <cell r="O19">
            <v>1949</v>
          </cell>
          <cell r="P19">
            <v>36340.35</v>
          </cell>
          <cell r="T19">
            <v>36340.35</v>
          </cell>
          <cell r="U19">
            <v>0</v>
          </cell>
          <cell r="W19">
            <v>130119.7</v>
          </cell>
          <cell r="X19">
            <v>0</v>
          </cell>
          <cell r="Y19">
            <v>0</v>
          </cell>
          <cell r="AA19">
            <v>130119.7</v>
          </cell>
          <cell r="AB19">
            <v>292</v>
          </cell>
          <cell r="AC19">
            <v>556</v>
          </cell>
        </row>
        <row r="20">
          <cell r="A20">
            <v>17</v>
          </cell>
          <cell r="B20">
            <v>0</v>
          </cell>
          <cell r="C20">
            <v>62630.519605673617</v>
          </cell>
          <cell r="D20">
            <v>64069.480394326383</v>
          </cell>
          <cell r="E20">
            <v>0</v>
          </cell>
          <cell r="G20">
            <v>126700</v>
          </cell>
          <cell r="H20">
            <v>0</v>
          </cell>
          <cell r="I20">
            <v>0</v>
          </cell>
          <cell r="K20">
            <v>0</v>
          </cell>
          <cell r="M20">
            <v>126700</v>
          </cell>
          <cell r="N20">
            <v>31675</v>
          </cell>
          <cell r="O20">
            <v>1025</v>
          </cell>
          <cell r="P20">
            <v>11612.8</v>
          </cell>
          <cell r="T20">
            <v>11612.8</v>
          </cell>
          <cell r="U20">
            <v>0</v>
          </cell>
          <cell r="W20">
            <v>20774.400000000001</v>
          </cell>
          <cell r="X20">
            <v>21251.7</v>
          </cell>
          <cell r="Y20">
            <v>0</v>
          </cell>
          <cell r="AA20">
            <v>42026.100000000006</v>
          </cell>
          <cell r="AB20">
            <v>55</v>
          </cell>
          <cell r="AC20">
            <v>113</v>
          </cell>
        </row>
        <row r="21">
          <cell r="A21">
            <v>18</v>
          </cell>
          <cell r="B21">
            <v>0</v>
          </cell>
          <cell r="C21">
            <v>191648.91400735255</v>
          </cell>
          <cell r="D21">
            <v>172832</v>
          </cell>
          <cell r="E21">
            <v>224119</v>
          </cell>
          <cell r="G21">
            <v>588599.91400735255</v>
          </cell>
          <cell r="H21">
            <v>0</v>
          </cell>
          <cell r="I21">
            <v>0</v>
          </cell>
          <cell r="K21">
            <v>0</v>
          </cell>
          <cell r="M21">
            <v>588599.91400735255</v>
          </cell>
          <cell r="N21">
            <v>147149.97850183814</v>
          </cell>
          <cell r="O21">
            <v>3169</v>
          </cell>
          <cell r="P21">
            <v>63383.963027527316</v>
          </cell>
          <cell r="T21">
            <v>63383.963027527316</v>
          </cell>
          <cell r="U21">
            <v>0</v>
          </cell>
          <cell r="W21">
            <v>62189.8</v>
          </cell>
          <cell r="X21">
            <v>56435.3</v>
          </cell>
          <cell r="Y21">
            <v>72864.7</v>
          </cell>
          <cell r="AA21">
            <v>191489.8</v>
          </cell>
          <cell r="AB21">
            <v>294</v>
          </cell>
          <cell r="AC21">
            <v>562</v>
          </cell>
        </row>
        <row r="22">
          <cell r="A22">
            <v>19</v>
          </cell>
          <cell r="B22">
            <v>0</v>
          </cell>
          <cell r="C22">
            <v>146763.06836270852</v>
          </cell>
          <cell r="D22">
            <v>203102.52707543649</v>
          </cell>
          <cell r="E22">
            <v>253334.40456185502</v>
          </cell>
          <cell r="G22">
            <v>603200</v>
          </cell>
          <cell r="H22">
            <v>0</v>
          </cell>
          <cell r="I22">
            <v>0</v>
          </cell>
          <cell r="K22">
            <v>0</v>
          </cell>
          <cell r="M22">
            <v>603200</v>
          </cell>
          <cell r="N22">
            <v>150800</v>
          </cell>
          <cell r="O22">
            <v>3434</v>
          </cell>
          <cell r="P22">
            <v>57138.7</v>
          </cell>
          <cell r="T22">
            <v>57138.7</v>
          </cell>
          <cell r="U22">
            <v>0</v>
          </cell>
          <cell r="W22">
            <v>48211.7</v>
          </cell>
          <cell r="X22">
            <v>66838.399999999994</v>
          </cell>
          <cell r="Y22">
            <v>83086.5</v>
          </cell>
          <cell r="AA22">
            <v>198136.59999999998</v>
          </cell>
          <cell r="AB22">
            <v>294</v>
          </cell>
          <cell r="AC22">
            <v>566</v>
          </cell>
        </row>
        <row r="23">
          <cell r="A23">
            <v>20</v>
          </cell>
          <cell r="B23">
            <v>0</v>
          </cell>
          <cell r="C23">
            <v>131312</v>
          </cell>
          <cell r="D23">
            <v>221296</v>
          </cell>
          <cell r="E23">
            <v>187762</v>
          </cell>
          <cell r="G23">
            <v>540370</v>
          </cell>
          <cell r="H23">
            <v>0</v>
          </cell>
          <cell r="I23">
            <v>0</v>
          </cell>
          <cell r="K23">
            <v>0</v>
          </cell>
          <cell r="M23">
            <v>540370</v>
          </cell>
          <cell r="N23">
            <v>135092.5</v>
          </cell>
          <cell r="O23">
            <v>2842</v>
          </cell>
          <cell r="P23">
            <v>45092.7</v>
          </cell>
          <cell r="T23">
            <v>45092.7</v>
          </cell>
          <cell r="U23">
            <v>0</v>
          </cell>
          <cell r="W23">
            <v>43801.9</v>
          </cell>
          <cell r="X23">
            <v>73615.399999999994</v>
          </cell>
          <cell r="Y23">
            <v>62651.199999999997</v>
          </cell>
          <cell r="AA23">
            <v>180068.5</v>
          </cell>
          <cell r="AB23">
            <v>294</v>
          </cell>
          <cell r="AC23">
            <v>567</v>
          </cell>
        </row>
        <row r="24">
          <cell r="A24">
            <v>21</v>
          </cell>
          <cell r="B24">
            <v>0</v>
          </cell>
          <cell r="C24">
            <v>316535.71243915561</v>
          </cell>
          <cell r="D24">
            <v>0</v>
          </cell>
          <cell r="E24">
            <v>0</v>
          </cell>
          <cell r="G24">
            <v>316535.71243915561</v>
          </cell>
          <cell r="H24">
            <v>0</v>
          </cell>
          <cell r="I24">
            <v>0</v>
          </cell>
          <cell r="K24">
            <v>0</v>
          </cell>
          <cell r="M24">
            <v>316535.71243915561</v>
          </cell>
          <cell r="N24">
            <v>79133.928109788903</v>
          </cell>
          <cell r="O24">
            <v>1352</v>
          </cell>
          <cell r="P24">
            <v>22605.25</v>
          </cell>
          <cell r="T24">
            <v>22605.25</v>
          </cell>
          <cell r="U24">
            <v>0</v>
          </cell>
          <cell r="W24">
            <v>102681.7</v>
          </cell>
          <cell r="X24">
            <v>0</v>
          </cell>
          <cell r="Y24">
            <v>0</v>
          </cell>
          <cell r="AA24">
            <v>102681.7</v>
          </cell>
          <cell r="AB24">
            <v>293</v>
          </cell>
          <cell r="AC24">
            <v>563</v>
          </cell>
        </row>
        <row r="25">
          <cell r="A25">
            <v>22</v>
          </cell>
          <cell r="B25">
            <v>0</v>
          </cell>
          <cell r="C25">
            <v>96839.930929554685</v>
          </cell>
          <cell r="D25">
            <v>197057.06907044529</v>
          </cell>
          <cell r="E25">
            <v>0</v>
          </cell>
          <cell r="G25">
            <v>293897</v>
          </cell>
          <cell r="H25">
            <v>0</v>
          </cell>
          <cell r="I25">
            <v>0</v>
          </cell>
          <cell r="K25">
            <v>0</v>
          </cell>
          <cell r="M25">
            <v>293897</v>
          </cell>
          <cell r="N25">
            <v>73474.25</v>
          </cell>
          <cell r="O25">
            <v>1265</v>
          </cell>
          <cell r="P25">
            <v>20013.650000000001</v>
          </cell>
          <cell r="T25">
            <v>20013.650000000001</v>
          </cell>
          <cell r="U25">
            <v>0</v>
          </cell>
          <cell r="W25">
            <v>31099.196000000004</v>
          </cell>
          <cell r="X25">
            <v>63280.5</v>
          </cell>
          <cell r="Y25">
            <v>0</v>
          </cell>
          <cell r="AA25">
            <v>94379.695999999996</v>
          </cell>
          <cell r="AB25">
            <v>292</v>
          </cell>
          <cell r="AC25">
            <v>568</v>
          </cell>
        </row>
        <row r="26">
          <cell r="A26">
            <v>23</v>
          </cell>
          <cell r="B26">
            <v>0</v>
          </cell>
          <cell r="C26">
            <v>48434.406234559923</v>
          </cell>
          <cell r="D26">
            <v>268065.59376544005</v>
          </cell>
          <cell r="E26">
            <v>0</v>
          </cell>
          <cell r="G26">
            <v>316500</v>
          </cell>
          <cell r="H26">
            <v>0</v>
          </cell>
          <cell r="I26">
            <v>0</v>
          </cell>
          <cell r="K26">
            <v>0</v>
          </cell>
          <cell r="M26">
            <v>316500</v>
          </cell>
          <cell r="N26">
            <v>79125</v>
          </cell>
          <cell r="O26">
            <v>1512</v>
          </cell>
          <cell r="P26">
            <v>24282.95</v>
          </cell>
          <cell r="T26">
            <v>24282.95</v>
          </cell>
          <cell r="U26">
            <v>0</v>
          </cell>
          <cell r="W26">
            <v>16028.6016</v>
          </cell>
          <cell r="X26">
            <v>88966.8</v>
          </cell>
          <cell r="Y26">
            <v>0</v>
          </cell>
          <cell r="AA26">
            <v>104995.4016</v>
          </cell>
          <cell r="AB26">
            <v>289</v>
          </cell>
          <cell r="AC26">
            <v>570</v>
          </cell>
        </row>
        <row r="27">
          <cell r="A27">
            <v>24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G27">
            <v>0</v>
          </cell>
          <cell r="H27">
            <v>0</v>
          </cell>
          <cell r="I27">
            <v>0</v>
          </cell>
          <cell r="K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T27">
            <v>0</v>
          </cell>
          <cell r="U27">
            <v>0</v>
          </cell>
          <cell r="W27">
            <v>0</v>
          </cell>
          <cell r="X27">
            <v>0</v>
          </cell>
          <cell r="Y27">
            <v>0</v>
          </cell>
          <cell r="AA27">
            <v>0</v>
          </cell>
          <cell r="AB27">
            <v>0</v>
          </cell>
          <cell r="AC27">
            <v>0</v>
          </cell>
        </row>
        <row r="28">
          <cell r="A28">
            <v>25</v>
          </cell>
          <cell r="B28">
            <v>0</v>
          </cell>
          <cell r="C28">
            <v>119015.77778988112</v>
          </cell>
          <cell r="D28">
            <v>333879.2222101189</v>
          </cell>
          <cell r="E28">
            <v>0</v>
          </cell>
          <cell r="G28">
            <v>452895</v>
          </cell>
          <cell r="H28">
            <v>0</v>
          </cell>
          <cell r="I28">
            <v>0</v>
          </cell>
          <cell r="K28">
            <v>0</v>
          </cell>
          <cell r="M28">
            <v>452895</v>
          </cell>
          <cell r="N28">
            <v>113223.75</v>
          </cell>
          <cell r="O28">
            <v>2201</v>
          </cell>
          <cell r="P28">
            <v>35284.858919999999</v>
          </cell>
          <cell r="T28">
            <v>35284.858919999999</v>
          </cell>
          <cell r="U28">
            <v>0</v>
          </cell>
          <cell r="W28">
            <v>39729.199999999997</v>
          </cell>
          <cell r="X28">
            <v>112295.3</v>
          </cell>
          <cell r="Y28">
            <v>0</v>
          </cell>
          <cell r="AA28">
            <v>152024.5</v>
          </cell>
          <cell r="AB28">
            <v>285</v>
          </cell>
          <cell r="AC28">
            <v>563</v>
          </cell>
        </row>
        <row r="29">
          <cell r="A29">
            <v>26</v>
          </cell>
          <cell r="B29">
            <v>0</v>
          </cell>
          <cell r="C29">
            <v>0</v>
          </cell>
          <cell r="D29">
            <v>435200</v>
          </cell>
          <cell r="E29">
            <v>0</v>
          </cell>
          <cell r="G29">
            <v>435200</v>
          </cell>
          <cell r="H29">
            <v>0</v>
          </cell>
          <cell r="I29">
            <v>0</v>
          </cell>
          <cell r="K29">
            <v>0</v>
          </cell>
          <cell r="M29">
            <v>435200</v>
          </cell>
          <cell r="N29">
            <v>108800</v>
          </cell>
          <cell r="O29">
            <v>1899</v>
          </cell>
          <cell r="P29">
            <v>29416.763085000002</v>
          </cell>
          <cell r="T29">
            <v>29416.763085000002</v>
          </cell>
          <cell r="U29">
            <v>0</v>
          </cell>
          <cell r="W29">
            <v>0</v>
          </cell>
          <cell r="X29">
            <v>146766.20000000001</v>
          </cell>
          <cell r="Y29">
            <v>0</v>
          </cell>
          <cell r="AA29">
            <v>146766.20000000001</v>
          </cell>
          <cell r="AB29">
            <v>292</v>
          </cell>
          <cell r="AC29">
            <v>567</v>
          </cell>
        </row>
        <row r="30">
          <cell r="A30">
            <v>27</v>
          </cell>
          <cell r="B30">
            <v>0</v>
          </cell>
          <cell r="C30">
            <v>0</v>
          </cell>
          <cell r="D30">
            <v>205776.04441820792</v>
          </cell>
          <cell r="E30">
            <v>208073.95558179211</v>
          </cell>
          <cell r="G30">
            <v>413850</v>
          </cell>
          <cell r="H30">
            <v>0</v>
          </cell>
          <cell r="I30">
            <v>0</v>
          </cell>
          <cell r="K30">
            <v>0</v>
          </cell>
          <cell r="M30">
            <v>413850</v>
          </cell>
          <cell r="N30">
            <v>103462.5</v>
          </cell>
          <cell r="O30">
            <v>1978</v>
          </cell>
          <cell r="P30">
            <v>25202.552980500004</v>
          </cell>
          <cell r="T30">
            <v>25202.552980500004</v>
          </cell>
          <cell r="U30">
            <v>0</v>
          </cell>
          <cell r="W30">
            <v>0</v>
          </cell>
          <cell r="X30">
            <v>69039.899999999994</v>
          </cell>
          <cell r="Y30">
            <v>69795.899999999994</v>
          </cell>
          <cell r="AA30">
            <v>138835.79999999999</v>
          </cell>
          <cell r="AB30">
            <v>291</v>
          </cell>
          <cell r="AC30">
            <v>573</v>
          </cell>
        </row>
        <row r="31">
          <cell r="A31">
            <v>28</v>
          </cell>
          <cell r="B31">
            <v>0</v>
          </cell>
          <cell r="C31">
            <v>0</v>
          </cell>
          <cell r="D31">
            <v>269876</v>
          </cell>
          <cell r="E31">
            <v>161324</v>
          </cell>
          <cell r="G31">
            <v>431200</v>
          </cell>
          <cell r="H31">
            <v>0</v>
          </cell>
          <cell r="I31">
            <v>0</v>
          </cell>
          <cell r="K31">
            <v>0</v>
          </cell>
          <cell r="M31">
            <v>431200</v>
          </cell>
          <cell r="N31">
            <v>107800</v>
          </cell>
          <cell r="O31">
            <v>1934</v>
          </cell>
          <cell r="P31">
            <v>27389.45</v>
          </cell>
          <cell r="T31">
            <v>27389.45</v>
          </cell>
          <cell r="U31">
            <v>0</v>
          </cell>
          <cell r="W31">
            <v>0</v>
          </cell>
          <cell r="X31">
            <v>90523.3</v>
          </cell>
          <cell r="Y31">
            <v>54025</v>
          </cell>
          <cell r="AA31">
            <v>144548.29999999999</v>
          </cell>
          <cell r="AB31">
            <v>290</v>
          </cell>
          <cell r="AC31">
            <v>570</v>
          </cell>
        </row>
        <row r="32">
          <cell r="A32">
            <v>29</v>
          </cell>
          <cell r="B32">
            <v>0</v>
          </cell>
          <cell r="C32">
            <v>0</v>
          </cell>
          <cell r="D32">
            <v>315136.3173234287</v>
          </cell>
          <cell r="E32">
            <v>222963.6826765713</v>
          </cell>
          <cell r="G32">
            <v>538100</v>
          </cell>
          <cell r="H32">
            <v>0</v>
          </cell>
          <cell r="I32">
            <v>0</v>
          </cell>
          <cell r="K32">
            <v>0</v>
          </cell>
          <cell r="M32">
            <v>538100</v>
          </cell>
          <cell r="N32">
            <v>134525</v>
          </cell>
          <cell r="O32">
            <v>3314</v>
          </cell>
          <cell r="P32">
            <v>37593.4</v>
          </cell>
          <cell r="T32">
            <v>37593.4</v>
          </cell>
          <cell r="U32">
            <v>0</v>
          </cell>
          <cell r="W32">
            <v>0</v>
          </cell>
          <cell r="X32">
            <v>100399.7</v>
          </cell>
          <cell r="Y32">
            <v>70985</v>
          </cell>
          <cell r="AA32">
            <v>171384.7</v>
          </cell>
          <cell r="AB32">
            <v>290</v>
          </cell>
          <cell r="AC32">
            <v>568</v>
          </cell>
        </row>
        <row r="33">
          <cell r="A33">
            <v>30</v>
          </cell>
          <cell r="B33">
            <v>0</v>
          </cell>
          <cell r="C33">
            <v>0</v>
          </cell>
          <cell r="D33">
            <v>432144.40497944399</v>
          </cell>
          <cell r="E33">
            <v>122755.59502055601</v>
          </cell>
          <cell r="G33">
            <v>554900</v>
          </cell>
          <cell r="H33">
            <v>0</v>
          </cell>
          <cell r="I33">
            <v>0</v>
          </cell>
          <cell r="K33">
            <v>0</v>
          </cell>
          <cell r="M33">
            <v>554900</v>
          </cell>
          <cell r="N33">
            <v>138725</v>
          </cell>
          <cell r="O33">
            <v>2543</v>
          </cell>
          <cell r="P33">
            <v>41629</v>
          </cell>
          <cell r="T33">
            <v>41629</v>
          </cell>
          <cell r="U33">
            <v>0</v>
          </cell>
          <cell r="W33">
            <v>0</v>
          </cell>
          <cell r="X33">
            <v>143153.79999999999</v>
          </cell>
          <cell r="Y33">
            <v>40705.699999999997</v>
          </cell>
          <cell r="AA33">
            <v>183859.5</v>
          </cell>
          <cell r="AB33">
            <v>290</v>
          </cell>
          <cell r="AC33">
            <v>572</v>
          </cell>
        </row>
        <row r="34">
          <cell r="A34">
            <v>31</v>
          </cell>
          <cell r="B34">
            <v>0</v>
          </cell>
          <cell r="C34">
            <v>138900</v>
          </cell>
          <cell r="D34">
            <v>0</v>
          </cell>
          <cell r="E34">
            <v>0</v>
          </cell>
          <cell r="G34">
            <v>138900</v>
          </cell>
          <cell r="H34">
            <v>48798</v>
          </cell>
          <cell r="I34">
            <v>0</v>
          </cell>
          <cell r="K34">
            <v>0</v>
          </cell>
          <cell r="M34">
            <v>138900</v>
          </cell>
          <cell r="N34">
            <v>34725</v>
          </cell>
          <cell r="O34">
            <v>824</v>
          </cell>
          <cell r="P34">
            <v>9052.5499999999993</v>
          </cell>
          <cell r="T34">
            <v>9052.5499999999993</v>
          </cell>
          <cell r="U34">
            <v>0</v>
          </cell>
          <cell r="W34">
            <v>45503.3</v>
          </cell>
          <cell r="X34">
            <v>0</v>
          </cell>
          <cell r="Y34">
            <v>0</v>
          </cell>
          <cell r="AA34">
            <v>45503.3</v>
          </cell>
          <cell r="AB34">
            <v>71</v>
          </cell>
          <cell r="AC34">
            <v>156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6.xml><?xml version="1.0" encoding="utf-8"?>
<externalLink xmlns="http://schemas.openxmlformats.org/spreadsheetml/2006/main">
  <externalBook xmlns:r="http://schemas.openxmlformats.org/officeDocument/2006/relationships" r:id="rId1">
    <sheetNames>
      <sheetName val="FRM-HCP"/>
    </sheetNames>
    <definedNames>
      <definedName name="_xlbgnm.HCP02"/>
      <definedName name="_xlbgnm.HCP04"/>
    </definedNames>
    <sheetDataSet>
      <sheetData sheetId="0" refreshError="1"/>
    </sheetDataSet>
  </externalBook>
</externalLink>
</file>

<file path=xl/externalLinks/externalLink27.xml><?xml version="1.0" encoding="utf-8"?>
<externalLink xmlns="http://schemas.openxmlformats.org/spreadsheetml/2006/main">
  <externalBook xmlns:r="http://schemas.openxmlformats.org/officeDocument/2006/relationships" r:id="rId1">
    <sheetNames>
      <sheetName val="Laki2"/>
      <sheetName val="Wanita"/>
      <sheetName val="data"/>
      <sheetName val="NIA"/>
      <sheetName val="Sheet1"/>
      <sheetName val="8"/>
      <sheetName val="9"/>
      <sheetName val="10"/>
      <sheetName val="Sheet3"/>
      <sheetName val="Laki2 (2)"/>
    </sheetNames>
    <sheetDataSet>
      <sheetData sheetId="0" refreshError="1"/>
      <sheetData sheetId="1" refreshError="1"/>
      <sheetData sheetId="2" refreshError="1">
        <row r="2">
          <cell r="A2">
            <v>1</v>
          </cell>
          <cell r="B2" t="str">
            <v>No.299/31057/SPK-PSN/VI/04</v>
          </cell>
          <cell r="C2" t="str">
            <v>AGUS PUJIONO</v>
          </cell>
          <cell r="D2" t="str">
            <v>Kompleks PT. PULAU SAMBU GUNTUNG</v>
          </cell>
          <cell r="E2" t="str">
            <v>Sei Guntung, INHIL - RIAU</v>
          </cell>
          <cell r="F2" t="str">
            <v>Warehouse</v>
          </cell>
          <cell r="G2" t="str">
            <v>Warehouse</v>
          </cell>
          <cell r="H2" t="str">
            <v>Operator</v>
          </cell>
          <cell r="I2" t="str">
            <v>Operator</v>
          </cell>
          <cell r="J2" t="str">
            <v>October 11th, 2000  - August 20th, 2003</v>
          </cell>
          <cell r="K2" t="str">
            <v>11 Oktober 2000  -  20 Agustus 2003</v>
          </cell>
          <cell r="L2" t="str">
            <v>Developing skill and career</v>
          </cell>
          <cell r="M2" t="str">
            <v>Mengembangkan kemampuan dan karir</v>
          </cell>
        </row>
        <row r="3">
          <cell r="A3">
            <v>2</v>
          </cell>
          <cell r="B3" t="str">
            <v>No.300/31078/SPK-PSN/VI/04</v>
          </cell>
          <cell r="C3" t="str">
            <v>NANANG SAIFULLOH</v>
          </cell>
          <cell r="D3" t="str">
            <v>Kompleks PT. PULAU SAMBU GUNTUNG</v>
          </cell>
          <cell r="E3" t="str">
            <v>Sei Guntung, INHIL - RIAU</v>
          </cell>
          <cell r="F3" t="str">
            <v>Dry Process</v>
          </cell>
          <cell r="G3" t="str">
            <v>Dry Process</v>
          </cell>
          <cell r="H3" t="str">
            <v>Operator</v>
          </cell>
          <cell r="I3" t="str">
            <v>Operator</v>
          </cell>
          <cell r="J3" t="str">
            <v>Januari 17th, 2000  - July 15th, 2004</v>
          </cell>
          <cell r="K3" t="str">
            <v>18 Januari 2000  -  15 Juli 2003</v>
          </cell>
          <cell r="L3" t="str">
            <v>Developing skill and career</v>
          </cell>
          <cell r="M3" t="str">
            <v>Mengembangkan kemampuan dan karir</v>
          </cell>
        </row>
        <row r="4">
          <cell r="A4">
            <v>3</v>
          </cell>
          <cell r="B4" t="str">
            <v>No.301/31095/SPK-PSN/VI/04</v>
          </cell>
          <cell r="C4" t="str">
            <v>ANTON KUZHAI F.</v>
          </cell>
          <cell r="D4" t="str">
            <v>Kompleks PT. PULAU SAMBU GUNTUNG</v>
          </cell>
          <cell r="E4" t="str">
            <v>Sei Guntung, INHIL - RIAU</v>
          </cell>
          <cell r="F4" t="str">
            <v>Logistic</v>
          </cell>
          <cell r="G4" t="str">
            <v>Logistik</v>
          </cell>
          <cell r="H4" t="str">
            <v>Operator</v>
          </cell>
          <cell r="I4" t="str">
            <v>Operator</v>
          </cell>
          <cell r="J4" t="str">
            <v>Januari 17th, 2000  - July 15th, 2005</v>
          </cell>
          <cell r="K4" t="str">
            <v>19 Januari 2000  -  15 Juli 2003</v>
          </cell>
          <cell r="L4" t="str">
            <v>Developing skill and career</v>
          </cell>
          <cell r="M4" t="str">
            <v>Mengembangkan kemampuan dan karir</v>
          </cell>
        </row>
        <row r="5">
          <cell r="A5">
            <v>4</v>
          </cell>
          <cell r="B5" t="str">
            <v>No.302/31179/SPK-PSN/VI/04</v>
          </cell>
          <cell r="C5" t="str">
            <v>BAMBANG ARI WIDODO</v>
          </cell>
          <cell r="D5" t="str">
            <v>Kompleks PT. PULAU SAMBU GUNTUNG</v>
          </cell>
          <cell r="E5" t="str">
            <v>Sei Guntung, INHIL - RIAU</v>
          </cell>
          <cell r="F5" t="str">
            <v>Coconut Milk Powder</v>
          </cell>
          <cell r="G5" t="str">
            <v>Coconut Milk Powder</v>
          </cell>
          <cell r="H5" t="str">
            <v>Operator</v>
          </cell>
          <cell r="I5" t="str">
            <v>Operator</v>
          </cell>
          <cell r="J5" t="str">
            <v>Januari 17th, 2000  - July 15th, 2006</v>
          </cell>
          <cell r="K5" t="str">
            <v>20 Januari 2000  -  15 Juli 2003</v>
          </cell>
          <cell r="L5" t="str">
            <v>Developing skill and career</v>
          </cell>
          <cell r="M5" t="str">
            <v>Mengembangkan kemampuan dan karir</v>
          </cell>
        </row>
        <row r="6">
          <cell r="A6">
            <v>5</v>
          </cell>
          <cell r="B6" t="str">
            <v>No.303/13249/SPK-PSN/VI/04</v>
          </cell>
          <cell r="C6" t="str">
            <v>ZULKIFLI</v>
          </cell>
          <cell r="D6" t="str">
            <v>Kompleks PT. PULAU SAMBU GUNTUNG</v>
          </cell>
          <cell r="E6" t="str">
            <v>Sei Guntung, INHIL - RIAU</v>
          </cell>
          <cell r="F6" t="str">
            <v>Coconut Paste &amp; Square</v>
          </cell>
          <cell r="G6" t="str">
            <v>Coconut Paste &amp; Square</v>
          </cell>
          <cell r="H6" t="str">
            <v>Asst Department Head</v>
          </cell>
          <cell r="I6" t="str">
            <v>Wakil Kepala Bagian</v>
          </cell>
          <cell r="J6" t="str">
            <v>Januari 17th, 2000  - July 15th, 2007</v>
          </cell>
          <cell r="K6" t="str">
            <v>21 Januari 2000  -  15 Juli 2003</v>
          </cell>
          <cell r="L6" t="str">
            <v>Developing skill and career</v>
          </cell>
          <cell r="M6" t="str">
            <v>Mengembangkan kemampuan dan karir</v>
          </cell>
        </row>
        <row r="7">
          <cell r="A7">
            <v>6</v>
          </cell>
          <cell r="B7" t="str">
            <v>No.304/11316/SPK-PSN/VI/04</v>
          </cell>
          <cell r="C7" t="str">
            <v>NURWAHEN</v>
          </cell>
          <cell r="D7" t="str">
            <v>Kompleks PT. PULAU SAMBU GUNTUNG</v>
          </cell>
          <cell r="E7" t="str">
            <v>Sei Guntung, INHIL - RIAU</v>
          </cell>
          <cell r="F7" t="str">
            <v>Raw Material Process</v>
          </cell>
          <cell r="G7" t="str">
            <v>Raw Material Process</v>
          </cell>
          <cell r="H7" t="str">
            <v>Nakhoda</v>
          </cell>
          <cell r="I7" t="str">
            <v>Nakhoda</v>
          </cell>
          <cell r="J7" t="str">
            <v>Januari 17th, 2000  - July 15th, 2008</v>
          </cell>
          <cell r="K7" t="str">
            <v>22 Januari 2000  -  15 Juli 2003</v>
          </cell>
          <cell r="L7" t="str">
            <v>Developing skill and career</v>
          </cell>
          <cell r="M7" t="str">
            <v>Mengembangkan kemampuan dan karir</v>
          </cell>
        </row>
        <row r="8">
          <cell r="A8">
            <v>7</v>
          </cell>
          <cell r="B8" t="str">
            <v>No.261/13833/SPK-PSN/VI/04</v>
          </cell>
          <cell r="C8" t="str">
            <v>ARIYANDI</v>
          </cell>
          <cell r="D8" t="str">
            <v>Kompleks PT. PULAU SAMBU GUNTUNG</v>
          </cell>
          <cell r="E8" t="str">
            <v>Sei Guntung, INHIL - RIAU</v>
          </cell>
          <cell r="F8" t="str">
            <v>Dry Process</v>
          </cell>
          <cell r="G8" t="str">
            <v>Dry Process</v>
          </cell>
          <cell r="H8" t="str">
            <v>Operator</v>
          </cell>
          <cell r="I8" t="str">
            <v>Operator</v>
          </cell>
          <cell r="L8" t="str">
            <v>Developing skill and career</v>
          </cell>
          <cell r="M8" t="str">
            <v>Mengembangkan kemampuan dan karir</v>
          </cell>
        </row>
        <row r="9">
          <cell r="A9">
            <v>8</v>
          </cell>
          <cell r="B9" t="str">
            <v>No.262/31218/SPK-PSN/VI/04</v>
          </cell>
          <cell r="C9" t="str">
            <v>RIKI GUNAWAN</v>
          </cell>
          <cell r="D9" t="str">
            <v>Kompleks PT. PULAU SAMBU GUNTUNG</v>
          </cell>
          <cell r="E9" t="str">
            <v>Sei Guntung, INHIL - RIAU</v>
          </cell>
          <cell r="F9" t="str">
            <v>Dry Process</v>
          </cell>
          <cell r="G9" t="str">
            <v>Dry Process</v>
          </cell>
          <cell r="H9" t="str">
            <v>Operator</v>
          </cell>
          <cell r="I9" t="str">
            <v>Operator</v>
          </cell>
          <cell r="L9" t="str">
            <v>Developing skill and career</v>
          </cell>
          <cell r="M9" t="str">
            <v>Mengembangkan kemampuan dan karir</v>
          </cell>
        </row>
        <row r="10">
          <cell r="A10">
            <v>9</v>
          </cell>
          <cell r="B10" t="str">
            <v>No.263/13370/SPK-PSN/VI/04</v>
          </cell>
          <cell r="C10" t="str">
            <v>NURMANITA</v>
          </cell>
          <cell r="D10" t="str">
            <v>Kompleks PT. PULAU SAMBU GUNTUNG</v>
          </cell>
          <cell r="E10" t="str">
            <v>Sei Guntung, INHIL - RIAU</v>
          </cell>
          <cell r="F10" t="str">
            <v>Dry Process</v>
          </cell>
          <cell r="G10" t="str">
            <v>Dry Process</v>
          </cell>
          <cell r="H10" t="str">
            <v>Operator</v>
          </cell>
          <cell r="I10" t="str">
            <v>Operator</v>
          </cell>
          <cell r="L10" t="str">
            <v>Developing skill and career</v>
          </cell>
          <cell r="M10" t="str">
            <v>Mengembangkan kemampuan dan karir</v>
          </cell>
        </row>
        <row r="11">
          <cell r="A11">
            <v>10</v>
          </cell>
          <cell r="B11" t="str">
            <v>No.264/31086/SPK-PSN/VI/04</v>
          </cell>
          <cell r="C11" t="str">
            <v>RIDWAN SETYO WAHYUDHI</v>
          </cell>
          <cell r="D11" t="str">
            <v>Kompleks PT. PULAU SAMBU GUNTUNG</v>
          </cell>
          <cell r="E11" t="str">
            <v>Sei Guntung, INHIL - RIAU</v>
          </cell>
          <cell r="F11" t="str">
            <v>Dry Process</v>
          </cell>
          <cell r="G11" t="str">
            <v>Dry Process</v>
          </cell>
          <cell r="H11" t="str">
            <v>Operator</v>
          </cell>
          <cell r="I11" t="str">
            <v>Operator</v>
          </cell>
          <cell r="L11" t="str">
            <v>Developing skill and career</v>
          </cell>
          <cell r="M11" t="str">
            <v>Mengembangkan kemampuan dan karir</v>
          </cell>
        </row>
        <row r="12">
          <cell r="A12">
            <v>11</v>
          </cell>
          <cell r="B12" t="str">
            <v>No.280/30986/SPK-PSN/VI/04</v>
          </cell>
          <cell r="C12" t="str">
            <v>MUH. KHOLIG</v>
          </cell>
          <cell r="D12" t="str">
            <v>Kompleks PT. PULAU SAMBU GUNTUNG</v>
          </cell>
          <cell r="E12" t="str">
            <v>Sei Guntung, INHIL - RIAU</v>
          </cell>
          <cell r="F12" t="str">
            <v>Warehouse</v>
          </cell>
          <cell r="G12" t="str">
            <v>Warehouse</v>
          </cell>
          <cell r="H12" t="str">
            <v>Operator</v>
          </cell>
          <cell r="I12" t="str">
            <v>Operator</v>
          </cell>
          <cell r="L12" t="str">
            <v>Developing skill and career</v>
          </cell>
          <cell r="M12" t="str">
            <v>Mengembangkan kemampuan dan karir</v>
          </cell>
        </row>
        <row r="13">
          <cell r="A13">
            <v>12</v>
          </cell>
          <cell r="B13" t="str">
            <v>No.281/30686/SPK-PSN/VI/04</v>
          </cell>
          <cell r="C13" t="str">
            <v>NURHUDA</v>
          </cell>
          <cell r="D13" t="str">
            <v>Kompleks PT. PULAU SAMBU GUNTUNG</v>
          </cell>
          <cell r="E13" t="str">
            <v>Sei Guntung, INHIL - RIAU</v>
          </cell>
          <cell r="F13" t="str">
            <v>Warehouse</v>
          </cell>
          <cell r="G13" t="str">
            <v>Warehouse</v>
          </cell>
          <cell r="H13" t="str">
            <v>Operator</v>
          </cell>
          <cell r="I13" t="str">
            <v>Operator</v>
          </cell>
          <cell r="L13" t="str">
            <v>Developing skill and career</v>
          </cell>
          <cell r="M13" t="str">
            <v>Mengembangkan kemampuan dan karir</v>
          </cell>
        </row>
        <row r="14">
          <cell r="A14">
            <v>13</v>
          </cell>
          <cell r="B14" t="str">
            <v>No.282/30637/SPK-PSN/VI/04</v>
          </cell>
          <cell r="C14" t="str">
            <v>KHABIB BAULLOH</v>
          </cell>
          <cell r="D14" t="str">
            <v>Kompleks PT. PULAU SAMBU GUNTUNG</v>
          </cell>
          <cell r="E14" t="str">
            <v>Sei Guntung, INHIL - RIAU</v>
          </cell>
          <cell r="F14" t="str">
            <v>Warehouse</v>
          </cell>
          <cell r="G14" t="str">
            <v>Warehouse</v>
          </cell>
          <cell r="H14" t="str">
            <v>Operator</v>
          </cell>
          <cell r="I14" t="str">
            <v>Operator</v>
          </cell>
          <cell r="L14" t="str">
            <v>Developing skill and career</v>
          </cell>
          <cell r="M14" t="str">
            <v>Mengembangkan kemampuan dan karir</v>
          </cell>
        </row>
        <row r="15">
          <cell r="A15">
            <v>14</v>
          </cell>
          <cell r="B15" t="str">
            <v>No.283/31099/SPK-PSN/VI/04</v>
          </cell>
          <cell r="C15" t="str">
            <v>MUNAWIR</v>
          </cell>
          <cell r="D15" t="str">
            <v>Kompleks PT. PULAU SAMBU GUNTUNG</v>
          </cell>
          <cell r="E15" t="str">
            <v>Sei Guntung, INHIL - RIAU</v>
          </cell>
          <cell r="F15" t="str">
            <v>Warehouse</v>
          </cell>
          <cell r="G15" t="str">
            <v>Warehouse</v>
          </cell>
          <cell r="H15" t="str">
            <v>Operator</v>
          </cell>
          <cell r="I15" t="str">
            <v>Operator</v>
          </cell>
          <cell r="L15" t="str">
            <v>Developing skill and career</v>
          </cell>
          <cell r="M15" t="str">
            <v>Mengembangkan kemampuan dan karir</v>
          </cell>
        </row>
        <row r="16">
          <cell r="A16">
            <v>15</v>
          </cell>
          <cell r="B16" t="str">
            <v>No.298/31066/SPK-PSN/VI/04</v>
          </cell>
          <cell r="C16" t="str">
            <v>HADI PRASETYO</v>
          </cell>
          <cell r="D16" t="str">
            <v>Kompleks PT. PULAU SAMBU GUNTUNG</v>
          </cell>
          <cell r="E16" t="str">
            <v>Sei Guntung, INHIL - RIAU</v>
          </cell>
          <cell r="F16" t="str">
            <v>Warehouse</v>
          </cell>
          <cell r="G16" t="str">
            <v>Warehouse</v>
          </cell>
          <cell r="H16" t="str">
            <v>Operator</v>
          </cell>
          <cell r="I16" t="str">
            <v>Operator</v>
          </cell>
          <cell r="L16" t="str">
            <v>Developing skill and career</v>
          </cell>
          <cell r="M16" t="str">
            <v>Mengembangkan kemampuan dan karir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8.xml><?xml version="1.0" encoding="utf-8"?>
<externalLink xmlns="http://schemas.openxmlformats.org/spreadsheetml/2006/main">
  <externalBook xmlns:r="http://schemas.openxmlformats.org/officeDocument/2006/relationships" r:id="rId1">
    <sheetNames>
      <sheetName val="flow 1"/>
      <sheetName val="flow 2 "/>
      <sheetName val="flow 3"/>
      <sheetName val="PRO "/>
      <sheetName val="Lamp-1"/>
      <sheetName val="Lamp-2"/>
      <sheetName val="Lamp-3"/>
      <sheetName val="Lamp-4"/>
      <sheetName val="Lamp-5"/>
      <sheetName val="Lampiran 1"/>
      <sheetName val="Lampiran 2"/>
      <sheetName val="Lampiran 3"/>
      <sheetName val="Lampiran 4"/>
      <sheetName val="Lampiran 5"/>
      <sheetName val="Lampiran 6"/>
    </sheetNames>
    <sheetDataSet>
      <sheetData sheetId="0"/>
      <sheetData sheetId="1"/>
      <sheetData sheetId="2"/>
      <sheetData sheetId="3"/>
      <sheetData sheetId="4"/>
      <sheetData sheetId="5"/>
      <sheetData sheetId="6">
        <row r="11">
          <cell r="AI11" t="str">
            <v>Masker Plastik</v>
          </cell>
        </row>
        <row r="12">
          <cell r="AI12" t="str">
            <v>Masker Kain</v>
          </cell>
        </row>
        <row r="13">
          <cell r="AI13" t="str">
            <v>S.T. Karet</v>
          </cell>
        </row>
        <row r="14">
          <cell r="AI14" t="str">
            <v>S.T. Kulit</v>
          </cell>
        </row>
        <row r="15">
          <cell r="AI15" t="str">
            <v>S.T. Kain</v>
          </cell>
        </row>
        <row r="16">
          <cell r="AI16" t="str">
            <v>Helmet</v>
          </cell>
        </row>
        <row r="17">
          <cell r="AI17" t="str">
            <v>Kacamata Sallery</v>
          </cell>
        </row>
        <row r="18">
          <cell r="AI18" t="str">
            <v>Safety Goggle</v>
          </cell>
        </row>
        <row r="19">
          <cell r="AI19" t="str">
            <v>Kap Las</v>
          </cell>
        </row>
        <row r="20">
          <cell r="AI20" t="str">
            <v>Safety Belt</v>
          </cell>
        </row>
        <row r="21">
          <cell r="AI21" t="str">
            <v>Sepatu Boat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9.xml><?xml version="1.0" encoding="utf-8"?>
<externalLink xmlns="http://schemas.openxmlformats.org/spreadsheetml/2006/main">
  <externalBook xmlns:r="http://schemas.openxmlformats.org/officeDocument/2006/relationships" r:id="rId1">
    <sheetNames>
      <sheetName val="NM_PTN"/>
      <sheetName val="relasi(2015)"/>
      <sheetName val="CNTH"/>
      <sheetName val="PTN"/>
    </sheetNames>
    <sheetDataSet>
      <sheetData sheetId="0" refreshError="1">
        <row r="5">
          <cell r="D5" t="str">
            <v>AAN</v>
          </cell>
          <cell r="E5" t="str">
            <v>AAN</v>
          </cell>
        </row>
        <row r="6">
          <cell r="D6" t="str">
            <v>ABAS</v>
          </cell>
          <cell r="E6" t="str">
            <v>ABAS</v>
          </cell>
        </row>
        <row r="7">
          <cell r="D7" t="str">
            <v>ABDUL ARIS</v>
          </cell>
          <cell r="E7" t="str">
            <v>SYAFUDIN</v>
          </cell>
          <cell r="F7" t="str">
            <v>EDI</v>
          </cell>
          <cell r="G7" t="str">
            <v>TOANG</v>
          </cell>
          <cell r="H7" t="str">
            <v>H.SABIRIN</v>
          </cell>
          <cell r="I7" t="str">
            <v>ARSAN</v>
          </cell>
          <cell r="J7" t="str">
            <v>JAMIUN</v>
          </cell>
          <cell r="K7" t="str">
            <v>ADI</v>
          </cell>
          <cell r="L7" t="str">
            <v>IDARWANTO</v>
          </cell>
          <cell r="M7" t="str">
            <v>SABRANI</v>
          </cell>
          <cell r="N7" t="str">
            <v>JUNAIDIN</v>
          </cell>
          <cell r="O7" t="str">
            <v>SANTOSO</v>
          </cell>
          <cell r="P7" t="str">
            <v>YUSUP</v>
          </cell>
          <cell r="Q7" t="str">
            <v>APRILYANTO</v>
          </cell>
          <cell r="R7" t="str">
            <v>SUGIONO</v>
          </cell>
          <cell r="S7" t="str">
            <v>SUKUR</v>
          </cell>
          <cell r="T7" t="str">
            <v>IDRIS</v>
          </cell>
          <cell r="U7" t="str">
            <v>AZIZ</v>
          </cell>
          <cell r="V7" t="str">
            <v>SUMARWAN</v>
          </cell>
          <cell r="W7" t="str">
            <v>MAHARDI</v>
          </cell>
          <cell r="X7" t="str">
            <v>TAMRIN</v>
          </cell>
          <cell r="Y7" t="str">
            <v>HASAN</v>
          </cell>
          <cell r="Z7" t="str">
            <v>ASMAUN</v>
          </cell>
          <cell r="AA7" t="str">
            <v>A.GANI</v>
          </cell>
          <cell r="AB7" t="str">
            <v>RAMDHAN</v>
          </cell>
          <cell r="AC7" t="str">
            <v>UTOMO</v>
          </cell>
          <cell r="AD7" t="str">
            <v>IMAN</v>
          </cell>
          <cell r="AE7" t="str">
            <v>IDARWAN</v>
          </cell>
          <cell r="AF7" t="str">
            <v>WANDI</v>
          </cell>
          <cell r="AG7" t="str">
            <v>ANAS</v>
          </cell>
          <cell r="AH7" t="str">
            <v>PUJIANTO</v>
          </cell>
          <cell r="AI7" t="str">
            <v>ANANG</v>
          </cell>
        </row>
        <row r="8">
          <cell r="D8" t="str">
            <v>ABDUL RAHMAN</v>
          </cell>
          <cell r="E8" t="str">
            <v>ABDUL RAHMAN</v>
          </cell>
        </row>
        <row r="9">
          <cell r="D9" t="str">
            <v>ABDUL RAZAK</v>
          </cell>
          <cell r="E9" t="str">
            <v>GIMUN</v>
          </cell>
          <cell r="F9" t="str">
            <v>SOLIHIN</v>
          </cell>
          <cell r="G9" t="str">
            <v>JIMUN</v>
          </cell>
          <cell r="H9" t="str">
            <v>AMAN</v>
          </cell>
          <cell r="I9" t="str">
            <v>YANI</v>
          </cell>
          <cell r="J9" t="str">
            <v>H.TALEB</v>
          </cell>
          <cell r="K9" t="str">
            <v>H.JUMRI</v>
          </cell>
          <cell r="L9" t="str">
            <v>IYAN</v>
          </cell>
          <cell r="M9" t="str">
            <v>MASDI</v>
          </cell>
          <cell r="N9" t="str">
            <v>UTUN</v>
          </cell>
          <cell r="O9" t="str">
            <v>YONO</v>
          </cell>
          <cell r="P9" t="str">
            <v>DURAHMAN</v>
          </cell>
          <cell r="Q9" t="str">
            <v>AMAT</v>
          </cell>
          <cell r="R9" t="str">
            <v>IPIN</v>
          </cell>
          <cell r="S9" t="str">
            <v>LINTANG</v>
          </cell>
          <cell r="T9" t="str">
            <v>UTUH</v>
          </cell>
          <cell r="U9" t="str">
            <v>MIUN</v>
          </cell>
          <cell r="V9" t="str">
            <v>PATAH</v>
          </cell>
          <cell r="W9" t="str">
            <v>KADIR</v>
          </cell>
          <cell r="X9" t="str">
            <v>BAIN</v>
          </cell>
          <cell r="Y9" t="str">
            <v>ANUAR</v>
          </cell>
          <cell r="Z9" t="str">
            <v>ASAT</v>
          </cell>
          <cell r="AA9" t="str">
            <v>HERMAN</v>
          </cell>
          <cell r="AB9" t="str">
            <v>JAINI</v>
          </cell>
          <cell r="AC9" t="str">
            <v>IWAN</v>
          </cell>
          <cell r="AD9" t="str">
            <v>AGUS</v>
          </cell>
          <cell r="AE9" t="str">
            <v>KARDI</v>
          </cell>
          <cell r="AF9" t="str">
            <v>TUKIJAN</v>
          </cell>
        </row>
        <row r="10">
          <cell r="D10" t="str">
            <v>ABRI TAUPAN</v>
          </cell>
          <cell r="E10" t="str">
            <v>SAHARUDIN</v>
          </cell>
          <cell r="F10" t="str">
            <v>GENDIS</v>
          </cell>
          <cell r="G10" t="str">
            <v>UTUH</v>
          </cell>
          <cell r="H10" t="str">
            <v>H.THAMRIN</v>
          </cell>
          <cell r="I10" t="str">
            <v>SAHRAN</v>
          </cell>
          <cell r="J10" t="str">
            <v>NIARSARI</v>
          </cell>
          <cell r="K10" t="str">
            <v>NORI</v>
          </cell>
          <cell r="L10" t="str">
            <v>HASAN</v>
          </cell>
          <cell r="M10" t="str">
            <v>UDIN</v>
          </cell>
          <cell r="N10" t="str">
            <v>GRIYA</v>
          </cell>
          <cell r="O10" t="str">
            <v>BASRI</v>
          </cell>
          <cell r="P10" t="str">
            <v>AHMAD</v>
          </cell>
          <cell r="Q10" t="str">
            <v>AMIR</v>
          </cell>
          <cell r="R10" t="str">
            <v>H.MALIK</v>
          </cell>
          <cell r="S10" t="str">
            <v>BASRI</v>
          </cell>
          <cell r="T10" t="str">
            <v>H.MALIK</v>
          </cell>
          <cell r="U10" t="str">
            <v>H.MAHMUD</v>
          </cell>
          <cell r="V10" t="str">
            <v>KOSIM</v>
          </cell>
          <cell r="W10" t="str">
            <v>TENGMOK</v>
          </cell>
          <cell r="X10" t="str">
            <v>SAPI'I</v>
          </cell>
          <cell r="Y10" t="str">
            <v>AJENG</v>
          </cell>
          <cell r="Z10" t="str">
            <v>SELVI</v>
          </cell>
          <cell r="AA10" t="str">
            <v>JAMAL</v>
          </cell>
          <cell r="AB10" t="str">
            <v>KOSIM</v>
          </cell>
          <cell r="AC10" t="str">
            <v>MARMUAH</v>
          </cell>
          <cell r="AD10" t="str">
            <v>JUKI</v>
          </cell>
          <cell r="AE10" t="str">
            <v>ABAS</v>
          </cell>
          <cell r="AF10" t="str">
            <v>H.THAMRIN</v>
          </cell>
          <cell r="AG10" t="str">
            <v>MURDIONO</v>
          </cell>
        </row>
        <row r="11">
          <cell r="D11" t="str">
            <v>ABU/CV MEGA BUANA</v>
          </cell>
          <cell r="E11" t="str">
            <v>AWANG</v>
          </cell>
          <cell r="F11" t="str">
            <v>YUSUF</v>
          </cell>
          <cell r="G11" t="str">
            <v>ISMAIL</v>
          </cell>
          <cell r="H11" t="str">
            <v>BAHDRUN</v>
          </cell>
          <cell r="I11" t="str">
            <v>SAMUDRI</v>
          </cell>
          <cell r="J11" t="str">
            <v>JUMARI</v>
          </cell>
          <cell r="K11" t="str">
            <v>IMAK</v>
          </cell>
          <cell r="L11" t="str">
            <v>KARYO</v>
          </cell>
          <cell r="M11" t="str">
            <v>ALOING</v>
          </cell>
          <cell r="N11" t="str">
            <v>BAHARUDIN</v>
          </cell>
          <cell r="O11" t="str">
            <v>H.TUKIJAN</v>
          </cell>
          <cell r="P11" t="str">
            <v>AMAT</v>
          </cell>
          <cell r="Q11" t="str">
            <v>SITI</v>
          </cell>
          <cell r="R11" t="str">
            <v>FATIMAH</v>
          </cell>
          <cell r="S11" t="str">
            <v>H.ASMADIUN</v>
          </cell>
          <cell r="T11" t="str">
            <v>H.YUKIJAN</v>
          </cell>
          <cell r="U11" t="str">
            <v>WATI</v>
          </cell>
          <cell r="V11" t="str">
            <v>H.ASBULLAH</v>
          </cell>
          <cell r="W11" t="str">
            <v>KOMIDAR</v>
          </cell>
          <cell r="X11" t="str">
            <v>MEGAWATI</v>
          </cell>
          <cell r="Y11" t="str">
            <v>ALIMUDIN</v>
          </cell>
          <cell r="Z11" t="str">
            <v>MARISA</v>
          </cell>
          <cell r="AA11" t="str">
            <v>ABDUL</v>
          </cell>
          <cell r="AB11" t="str">
            <v>BAKAR</v>
          </cell>
          <cell r="AC11" t="str">
            <v>NAZIR</v>
          </cell>
        </row>
        <row r="12">
          <cell r="D12" t="str">
            <v>ADEN</v>
          </cell>
          <cell r="E12" t="str">
            <v>GIMUN</v>
          </cell>
          <cell r="F12" t="str">
            <v>SOLIHIN</v>
          </cell>
          <cell r="G12" t="str">
            <v>JIMUN</v>
          </cell>
          <cell r="H12" t="str">
            <v>AMAN</v>
          </cell>
          <cell r="I12" t="str">
            <v>YANI</v>
          </cell>
          <cell r="J12" t="str">
            <v>H.TALEB</v>
          </cell>
          <cell r="K12" t="str">
            <v>H.JUMRI</v>
          </cell>
          <cell r="L12" t="str">
            <v>IYAN</v>
          </cell>
          <cell r="M12" t="str">
            <v>MASDI</v>
          </cell>
          <cell r="N12" t="str">
            <v>UTUN</v>
          </cell>
          <cell r="O12" t="str">
            <v>YONO</v>
          </cell>
          <cell r="P12" t="str">
            <v>DURAHMAN</v>
          </cell>
          <cell r="Q12" t="str">
            <v>AMAT</v>
          </cell>
          <cell r="R12" t="str">
            <v>IPIN</v>
          </cell>
          <cell r="S12" t="str">
            <v>LINTANG</v>
          </cell>
          <cell r="T12" t="str">
            <v>UTUH</v>
          </cell>
          <cell r="U12" t="str">
            <v>MIUN</v>
          </cell>
          <cell r="V12" t="str">
            <v>PATAH</v>
          </cell>
          <cell r="W12" t="str">
            <v>KADIR</v>
          </cell>
          <cell r="X12" t="str">
            <v>BAIN</v>
          </cell>
          <cell r="Y12" t="str">
            <v>ANUAR</v>
          </cell>
          <cell r="Z12" t="str">
            <v>ASAT</v>
          </cell>
          <cell r="AA12" t="str">
            <v>HERMAN</v>
          </cell>
          <cell r="AB12" t="str">
            <v>JAINI</v>
          </cell>
          <cell r="AC12" t="str">
            <v>IWAN</v>
          </cell>
          <cell r="AD12" t="str">
            <v>AGUS</v>
          </cell>
          <cell r="AE12" t="str">
            <v>KARDI</v>
          </cell>
          <cell r="AF12" t="str">
            <v>TUKIJAN</v>
          </cell>
        </row>
        <row r="13">
          <cell r="D13" t="str">
            <v xml:space="preserve">AHMAD  </v>
          </cell>
          <cell r="E13" t="str">
            <v>AHMAD</v>
          </cell>
        </row>
        <row r="14">
          <cell r="D14" t="str">
            <v>AHMAD SUYADI</v>
          </cell>
          <cell r="E14" t="str">
            <v>ARDIAN</v>
          </cell>
          <cell r="F14" t="str">
            <v>ABDULLAH</v>
          </cell>
          <cell r="G14" t="str">
            <v>SISWADI</v>
          </cell>
          <cell r="H14" t="str">
            <v>BAMBANG</v>
          </cell>
          <cell r="I14" t="str">
            <v>KUSWANTO</v>
          </cell>
        </row>
        <row r="15">
          <cell r="D15" t="str">
            <v>AHMAD TARMIZI</v>
          </cell>
          <cell r="E15" t="str">
            <v>ABI</v>
          </cell>
          <cell r="F15" t="str">
            <v>HJ.MARDIANA</v>
          </cell>
          <cell r="G15" t="str">
            <v>ABI</v>
          </cell>
          <cell r="H15" t="str">
            <v>H.SALEH</v>
          </cell>
          <cell r="I15" t="str">
            <v>H.HASAN</v>
          </cell>
          <cell r="J15" t="str">
            <v>TUMIRAN</v>
          </cell>
          <cell r="K15" t="str">
            <v>BASIRUN</v>
          </cell>
          <cell r="L15" t="str">
            <v>M.DAHLAN</v>
          </cell>
          <cell r="M15" t="str">
            <v>SUARDI</v>
          </cell>
          <cell r="N15" t="str">
            <v>MAEMUNAH</v>
          </cell>
          <cell r="O15" t="str">
            <v>SAKTI</v>
          </cell>
          <cell r="P15" t="str">
            <v>ARDIAN</v>
          </cell>
          <cell r="Q15" t="str">
            <v>JAMILAH</v>
          </cell>
        </row>
        <row r="16">
          <cell r="D16" t="str">
            <v>AHMAD/ZAM-ZAM</v>
          </cell>
          <cell r="E16" t="str">
            <v>AHMAD/ZAM-ZAM</v>
          </cell>
        </row>
        <row r="17">
          <cell r="D17" t="str">
            <v>AHUAT</v>
          </cell>
          <cell r="E17" t="str">
            <v>AHUAT</v>
          </cell>
        </row>
        <row r="18">
          <cell r="D18" t="str">
            <v>AHWA</v>
          </cell>
          <cell r="E18" t="str">
            <v>AHWA</v>
          </cell>
        </row>
        <row r="19">
          <cell r="D19" t="str">
            <v>AIDI</v>
          </cell>
          <cell r="E19" t="str">
            <v>AIDI</v>
          </cell>
          <cell r="F19" t="str">
            <v>KARIM</v>
          </cell>
          <cell r="G19" t="str">
            <v>KARTONO</v>
          </cell>
          <cell r="H19" t="str">
            <v>KUNTO</v>
          </cell>
          <cell r="I19" t="str">
            <v>NURDIN</v>
          </cell>
          <cell r="J19" t="str">
            <v>SUNARKO</v>
          </cell>
          <cell r="K19" t="str">
            <v>ANDI</v>
          </cell>
          <cell r="L19" t="str">
            <v>MARJUKI</v>
          </cell>
        </row>
        <row r="20">
          <cell r="D20" t="str">
            <v>AKING</v>
          </cell>
          <cell r="E20" t="str">
            <v>AKING</v>
          </cell>
        </row>
        <row r="21">
          <cell r="D21" t="str">
            <v>ALI NAZAR</v>
          </cell>
          <cell r="E21" t="str">
            <v>ALI NAZAR</v>
          </cell>
        </row>
        <row r="22">
          <cell r="D22" t="str">
            <v>ALKIRMAN</v>
          </cell>
          <cell r="E22" t="str">
            <v>ALKIRMAN</v>
          </cell>
        </row>
        <row r="23">
          <cell r="D23" t="str">
            <v>ALWAKO</v>
          </cell>
          <cell r="E23" t="str">
            <v>MAHMUAH</v>
          </cell>
          <cell r="F23" t="str">
            <v>DENDI</v>
          </cell>
          <cell r="G23" t="str">
            <v>SANDI</v>
          </cell>
          <cell r="H23" t="str">
            <v>TYAS</v>
          </cell>
          <cell r="I23" t="str">
            <v>MILISANNI</v>
          </cell>
          <cell r="J23" t="str">
            <v>DADANG</v>
          </cell>
          <cell r="K23" t="str">
            <v>FARHAN</v>
          </cell>
          <cell r="L23" t="str">
            <v>H.TAHIR</v>
          </cell>
          <cell r="M23" t="str">
            <v>H.MAHMUD</v>
          </cell>
          <cell r="N23" t="str">
            <v>M</v>
          </cell>
          <cell r="O23" t="str">
            <v>NUR</v>
          </cell>
          <cell r="P23" t="str">
            <v>FATRURAZI</v>
          </cell>
          <cell r="Q23" t="str">
            <v>SAPRUDIN</v>
          </cell>
          <cell r="R23" t="str">
            <v>NEZI</v>
          </cell>
          <cell r="S23" t="str">
            <v>NURBUAT</v>
          </cell>
          <cell r="T23" t="str">
            <v>H.EDI</v>
          </cell>
          <cell r="U23" t="str">
            <v>ZAINAL</v>
          </cell>
        </row>
        <row r="24">
          <cell r="D24" t="str">
            <v>AMIR</v>
          </cell>
          <cell r="E24" t="str">
            <v>AMIR</v>
          </cell>
        </row>
        <row r="25">
          <cell r="D25" t="str">
            <v>AMUI</v>
          </cell>
          <cell r="E25" t="str">
            <v>MUNDAKIR</v>
          </cell>
          <cell r="F25" t="str">
            <v>MUJIONO</v>
          </cell>
          <cell r="G25" t="str">
            <v>HAMDAN</v>
          </cell>
          <cell r="H25" t="str">
            <v>SAPAWI</v>
          </cell>
          <cell r="I25" t="str">
            <v>IJAN</v>
          </cell>
          <cell r="J25" t="str">
            <v>IJAR</v>
          </cell>
          <cell r="K25" t="str">
            <v>ABAS</v>
          </cell>
          <cell r="L25" t="str">
            <v>AJIS</v>
          </cell>
          <cell r="M25" t="str">
            <v>ATIAMIN</v>
          </cell>
          <cell r="N25" t="str">
            <v>TUSRI</v>
          </cell>
          <cell r="O25" t="str">
            <v>YANTO</v>
          </cell>
          <cell r="P25" t="str">
            <v>BASTIAN</v>
          </cell>
          <cell r="Q25" t="str">
            <v>BAYAN</v>
          </cell>
          <cell r="R25" t="str">
            <v>ERI</v>
          </cell>
          <cell r="S25" t="str">
            <v>ARIFIN</v>
          </cell>
          <cell r="T25" t="str">
            <v>SUAN.</v>
          </cell>
        </row>
        <row r="26">
          <cell r="D26" t="str">
            <v>ANANG</v>
          </cell>
          <cell r="E26" t="str">
            <v>ISOIK</v>
          </cell>
          <cell r="F26" t="str">
            <v>HENDRA</v>
          </cell>
          <cell r="G26" t="str">
            <v>HERU</v>
          </cell>
          <cell r="H26" t="str">
            <v>INGGIT</v>
          </cell>
          <cell r="I26" t="str">
            <v>SIHEN</v>
          </cell>
          <cell r="J26" t="str">
            <v>NASAR</v>
          </cell>
          <cell r="K26" t="str">
            <v>UJANG</v>
          </cell>
          <cell r="L26" t="str">
            <v>ANAS</v>
          </cell>
          <cell r="M26" t="str">
            <v>MAWAR</v>
          </cell>
          <cell r="N26" t="str">
            <v>IDON</v>
          </cell>
          <cell r="O26" t="str">
            <v>RIKO</v>
          </cell>
          <cell r="P26" t="str">
            <v>RIO</v>
          </cell>
          <cell r="Q26" t="str">
            <v>RINO</v>
          </cell>
          <cell r="R26" t="str">
            <v>RIKI</v>
          </cell>
          <cell r="S26" t="str">
            <v>KIKI</v>
          </cell>
          <cell r="T26" t="str">
            <v>ARI</v>
          </cell>
          <cell r="U26" t="str">
            <v>IJEN</v>
          </cell>
          <cell r="V26" t="str">
            <v>ICAM</v>
          </cell>
          <cell r="W26" t="str">
            <v>DIKI</v>
          </cell>
          <cell r="X26" t="str">
            <v>REZA</v>
          </cell>
          <cell r="Y26" t="str">
            <v>IZUL</v>
          </cell>
          <cell r="Z26" t="str">
            <v>IBNU</v>
          </cell>
          <cell r="AA26" t="str">
            <v>SIAP</v>
          </cell>
          <cell r="AB26" t="str">
            <v>ADI</v>
          </cell>
          <cell r="AC26" t="str">
            <v>DIDI</v>
          </cell>
          <cell r="AD26" t="str">
            <v>YOZI</v>
          </cell>
        </row>
        <row r="27">
          <cell r="D27" t="str">
            <v>ANDI HAMZAH</v>
          </cell>
          <cell r="E27" t="str">
            <v>IJAN</v>
          </cell>
          <cell r="F27" t="str">
            <v>DIRMAN</v>
          </cell>
          <cell r="G27" t="str">
            <v>KOSIM</v>
          </cell>
          <cell r="H27" t="str">
            <v>MUJI</v>
          </cell>
          <cell r="I27" t="str">
            <v>DEWLI</v>
          </cell>
          <cell r="J27" t="str">
            <v>H.MADRUN</v>
          </cell>
          <cell r="K27" t="str">
            <v>KADRI</v>
          </cell>
          <cell r="L27" t="str">
            <v>IYAN</v>
          </cell>
          <cell r="M27" t="str">
            <v>BOKIR</v>
          </cell>
          <cell r="N27" t="str">
            <v>SANURI</v>
          </cell>
          <cell r="O27" t="str">
            <v>DELIMA</v>
          </cell>
          <cell r="P27" t="str">
            <v>DENA</v>
          </cell>
          <cell r="Q27" t="str">
            <v>IJUN</v>
          </cell>
          <cell r="R27" t="str">
            <v>MASRI</v>
          </cell>
          <cell r="S27" t="str">
            <v>ABI</v>
          </cell>
          <cell r="T27" t="str">
            <v>EDY</v>
          </cell>
          <cell r="U27" t="str">
            <v>NURAENI</v>
          </cell>
          <cell r="V27" t="str">
            <v>ZAKIA</v>
          </cell>
          <cell r="W27" t="str">
            <v>MASTRIUN</v>
          </cell>
          <cell r="X27" t="str">
            <v>SUHARTI</v>
          </cell>
          <cell r="Y27" t="str">
            <v>ANDIKA</v>
          </cell>
          <cell r="Z27" t="str">
            <v>KOSIM</v>
          </cell>
          <cell r="AA27" t="str">
            <v>MAKSUM</v>
          </cell>
          <cell r="AB27" t="str">
            <v>NARDI</v>
          </cell>
          <cell r="AC27" t="str">
            <v>TAHANG</v>
          </cell>
          <cell r="AD27" t="str">
            <v>SURIPNO</v>
          </cell>
        </row>
        <row r="28">
          <cell r="D28" t="str">
            <v>ANDRA NOFRIZAL</v>
          </cell>
          <cell r="E28" t="str">
            <v>ANDRA NOFRIZAL</v>
          </cell>
        </row>
        <row r="29">
          <cell r="D29" t="str">
            <v>ARDI KARTONO</v>
          </cell>
          <cell r="E29" t="str">
            <v>ARDI KARTONO</v>
          </cell>
        </row>
        <row r="30">
          <cell r="D30" t="str">
            <v>ARIFIN</v>
          </cell>
          <cell r="E30" t="str">
            <v>ARIFIN</v>
          </cell>
          <cell r="F30" t="str">
            <v>ARIF</v>
          </cell>
          <cell r="G30" t="str">
            <v>MUSLIKHUDIN</v>
          </cell>
          <cell r="H30" t="str">
            <v>PERMADI</v>
          </cell>
          <cell r="I30" t="str">
            <v>ARJUNA</v>
          </cell>
          <cell r="J30" t="str">
            <v>ALDO</v>
          </cell>
        </row>
        <row r="31">
          <cell r="D31" t="str">
            <v>ARIP</v>
          </cell>
          <cell r="E31" t="str">
            <v>NAWIK</v>
          </cell>
          <cell r="F31" t="str">
            <v>ANANG</v>
          </cell>
          <cell r="G31" t="str">
            <v>H.ISAY</v>
          </cell>
          <cell r="H31" t="str">
            <v>HENDRI</v>
          </cell>
          <cell r="I31" t="str">
            <v>H.DALEK</v>
          </cell>
          <cell r="J31" t="str">
            <v>BEDU</v>
          </cell>
          <cell r="K31" t="str">
            <v>KUBEK</v>
          </cell>
          <cell r="L31" t="str">
            <v>DGN</v>
          </cell>
          <cell r="M31" t="str">
            <v>MATIRU</v>
          </cell>
          <cell r="N31" t="str">
            <v>AMIR</v>
          </cell>
          <cell r="O31" t="str">
            <v>ANGGI</v>
          </cell>
          <cell r="P31" t="str">
            <v>IYAN</v>
          </cell>
          <cell r="Q31" t="str">
            <v>ANTO</v>
          </cell>
          <cell r="R31" t="str">
            <v>DARMANSYAH</v>
          </cell>
        </row>
        <row r="32">
          <cell r="D32" t="str">
            <v>ASAD</v>
          </cell>
          <cell r="E32" t="str">
            <v>ASAD</v>
          </cell>
        </row>
        <row r="33">
          <cell r="D33" t="str">
            <v>ATANG</v>
          </cell>
          <cell r="E33" t="str">
            <v>ATANG</v>
          </cell>
        </row>
        <row r="34">
          <cell r="D34" t="str">
            <v>ATI/YUSRAN</v>
          </cell>
          <cell r="E34" t="str">
            <v>ATI/YUSRAN</v>
          </cell>
        </row>
        <row r="35">
          <cell r="D35" t="str">
            <v>ATOK</v>
          </cell>
          <cell r="E35" t="str">
            <v>ATOK</v>
          </cell>
        </row>
        <row r="36">
          <cell r="D36" t="str">
            <v>ATOK (SP)</v>
          </cell>
          <cell r="E36" t="str">
            <v>ATOK (SP)</v>
          </cell>
        </row>
        <row r="37">
          <cell r="D37" t="str">
            <v>ATTAK</v>
          </cell>
          <cell r="E37" t="str">
            <v>HARTONO</v>
          </cell>
          <cell r="F37" t="str">
            <v>MUJI</v>
          </cell>
          <cell r="G37" t="str">
            <v>YOGA</v>
          </cell>
          <cell r="H37" t="str">
            <v>MARWAN</v>
          </cell>
          <cell r="I37" t="str">
            <v>ADAM</v>
          </cell>
          <cell r="J37" t="str">
            <v>YATNO</v>
          </cell>
          <cell r="K37" t="str">
            <v>RUSTANDI</v>
          </cell>
          <cell r="L37" t="str">
            <v>JOKO</v>
          </cell>
          <cell r="M37" t="str">
            <v>SUGIHARTO</v>
          </cell>
          <cell r="N37" t="str">
            <v>RUDI</v>
          </cell>
          <cell r="O37" t="str">
            <v>MANTO</v>
          </cell>
          <cell r="P37" t="str">
            <v>BAIM</v>
          </cell>
        </row>
        <row r="38">
          <cell r="D38" t="str">
            <v>BAHTIAR</v>
          </cell>
          <cell r="E38" t="str">
            <v>ABI</v>
          </cell>
          <cell r="F38" t="str">
            <v>HJ.MARDIANA</v>
          </cell>
          <cell r="G38" t="str">
            <v>ABI</v>
          </cell>
          <cell r="H38" t="str">
            <v>H.SALEH</v>
          </cell>
          <cell r="I38" t="str">
            <v>H.HASAN</v>
          </cell>
          <cell r="J38" t="str">
            <v>TUMIRAN</v>
          </cell>
          <cell r="K38" t="str">
            <v>BASIRUN</v>
          </cell>
          <cell r="L38" t="str">
            <v>M.DAHLAN</v>
          </cell>
          <cell r="M38" t="str">
            <v>SUARDI</v>
          </cell>
          <cell r="N38" t="str">
            <v>MAEMUNAH</v>
          </cell>
          <cell r="O38" t="str">
            <v>SAKTI</v>
          </cell>
          <cell r="P38" t="str">
            <v>ARDIAN</v>
          </cell>
          <cell r="Q38" t="str">
            <v>JAMILAH</v>
          </cell>
        </row>
        <row r="39">
          <cell r="D39" t="str">
            <v>CV. ILHAM SEJATI</v>
          </cell>
          <cell r="E39" t="str">
            <v>SYAFUDIN</v>
          </cell>
          <cell r="F39" t="str">
            <v>EDI</v>
          </cell>
          <cell r="G39" t="str">
            <v>TOANG</v>
          </cell>
          <cell r="H39" t="str">
            <v>H.SABIRIN</v>
          </cell>
          <cell r="I39" t="str">
            <v>ARSAN</v>
          </cell>
          <cell r="J39" t="str">
            <v>JAMIUN</v>
          </cell>
          <cell r="K39" t="str">
            <v>ADI</v>
          </cell>
          <cell r="L39" t="str">
            <v>IDARWANTO</v>
          </cell>
          <cell r="M39" t="str">
            <v>SABRANI</v>
          </cell>
          <cell r="N39" t="str">
            <v>JUNAIDIN</v>
          </cell>
          <cell r="O39" t="str">
            <v>SANTOSO</v>
          </cell>
          <cell r="P39" t="str">
            <v>YUSUP</v>
          </cell>
          <cell r="Q39" t="str">
            <v>APRILYANTO</v>
          </cell>
          <cell r="R39" t="str">
            <v>SUGIONO</v>
          </cell>
          <cell r="S39" t="str">
            <v>SUKUR</v>
          </cell>
          <cell r="T39" t="str">
            <v>IDRIS</v>
          </cell>
          <cell r="U39" t="str">
            <v>AZIZ</v>
          </cell>
          <cell r="V39" t="str">
            <v>SUMARWAN</v>
          </cell>
          <cell r="W39" t="str">
            <v>MAHARDI</v>
          </cell>
          <cell r="X39" t="str">
            <v>TAMRIN</v>
          </cell>
          <cell r="Y39" t="str">
            <v>HASAN</v>
          </cell>
          <cell r="Z39" t="str">
            <v>ASMAUN</v>
          </cell>
          <cell r="AA39" t="str">
            <v>A.GANI</v>
          </cell>
          <cell r="AB39" t="str">
            <v>RAMDHAN</v>
          </cell>
          <cell r="AC39" t="str">
            <v>UTOMO</v>
          </cell>
          <cell r="AD39" t="str">
            <v>IMAN</v>
          </cell>
          <cell r="AE39" t="str">
            <v>IDARWAN</v>
          </cell>
          <cell r="AF39" t="str">
            <v>WANDI</v>
          </cell>
          <cell r="AG39" t="str">
            <v>ANAS</v>
          </cell>
          <cell r="AH39" t="str">
            <v>PUJIANTO</v>
          </cell>
          <cell r="AI39" t="str">
            <v>ANANG</v>
          </cell>
        </row>
        <row r="40">
          <cell r="D40" t="str">
            <v>CV.MERPATI</v>
          </cell>
          <cell r="E40" t="str">
            <v>ANTON</v>
          </cell>
          <cell r="F40" t="str">
            <v>BADRUN</v>
          </cell>
          <cell r="G40" t="str">
            <v>BAIM</v>
          </cell>
          <cell r="H40" t="str">
            <v>GIMIN</v>
          </cell>
          <cell r="I40" t="str">
            <v>H.HALIDI</v>
          </cell>
          <cell r="J40" t="str">
            <v>H.THAMRIN</v>
          </cell>
          <cell r="K40" t="str">
            <v>H.TOYIB</v>
          </cell>
          <cell r="L40" t="str">
            <v>IKAM</v>
          </cell>
          <cell r="M40" t="str">
            <v>JAILANI</v>
          </cell>
          <cell r="N40" t="str">
            <v>MADI</v>
          </cell>
          <cell r="O40" t="str">
            <v>MUKTAR</v>
          </cell>
          <cell r="P40" t="str">
            <v>MUSA</v>
          </cell>
          <cell r="Q40" t="str">
            <v>NANDAR</v>
          </cell>
          <cell r="R40" t="str">
            <v>NURDIN</v>
          </cell>
          <cell r="S40" t="str">
            <v>RAHMAD</v>
          </cell>
          <cell r="T40" t="str">
            <v>SOMAD</v>
          </cell>
          <cell r="U40" t="str">
            <v>SUDARNO</v>
          </cell>
          <cell r="V40" t="str">
            <v>SULAIMAN</v>
          </cell>
          <cell r="W40" t="str">
            <v>SULE</v>
          </cell>
          <cell r="X40" t="str">
            <v>ZAINURI</v>
          </cell>
        </row>
        <row r="41">
          <cell r="D41" t="str">
            <v>DARMI</v>
          </cell>
          <cell r="E41" t="str">
            <v>JATAYU</v>
          </cell>
          <cell r="F41" t="str">
            <v>ASNAWI</v>
          </cell>
          <cell r="G41" t="str">
            <v>ABAS</v>
          </cell>
          <cell r="H41" t="str">
            <v>ZAINAL</v>
          </cell>
          <cell r="I41" t="str">
            <v>RUSMANTO</v>
          </cell>
          <cell r="J41" t="str">
            <v>BUJANG</v>
          </cell>
          <cell r="K41" t="str">
            <v>AMIN</v>
          </cell>
          <cell r="L41" t="str">
            <v>H</v>
          </cell>
          <cell r="M41" t="str">
            <v>EDI</v>
          </cell>
          <cell r="N41" t="str">
            <v>H.ADNAN</v>
          </cell>
          <cell r="O41" t="str">
            <v>ARIFIN</v>
          </cell>
          <cell r="P41" t="str">
            <v>ADANSA</v>
          </cell>
          <cell r="Q41" t="str">
            <v>TOTOK</v>
          </cell>
          <cell r="R41" t="str">
            <v>YASIN</v>
          </cell>
          <cell r="S41" t="str">
            <v>MUJIONO</v>
          </cell>
          <cell r="T41" t="str">
            <v>JUTI</v>
          </cell>
          <cell r="U41" t="str">
            <v>NOK</v>
          </cell>
          <cell r="V41" t="str">
            <v>BAYAN</v>
          </cell>
          <cell r="W41" t="str">
            <v>HAMDAN</v>
          </cell>
          <cell r="X41" t="str">
            <v>BASTIAN</v>
          </cell>
          <cell r="Y41" t="str">
            <v>SAMSUL</v>
          </cell>
          <cell r="Z41" t="str">
            <v>BRAHIM</v>
          </cell>
          <cell r="AA41" t="str">
            <v>H.TAMRIN</v>
          </cell>
          <cell r="AB41" t="str">
            <v>MASHAR</v>
          </cell>
          <cell r="AC41" t="str">
            <v>USEN</v>
          </cell>
          <cell r="AD41" t="str">
            <v>DUAN</v>
          </cell>
          <cell r="AE41" t="str">
            <v>JOHAN</v>
          </cell>
          <cell r="AF41" t="str">
            <v>SUNAR</v>
          </cell>
          <cell r="AG41" t="str">
            <v>ATI</v>
          </cell>
          <cell r="AH41" t="str">
            <v>IRUS</v>
          </cell>
          <cell r="AI41" t="str">
            <v>ADIS</v>
          </cell>
        </row>
        <row r="42">
          <cell r="D42" t="str">
            <v>DHARMAWATI</v>
          </cell>
          <cell r="E42" t="str">
            <v>GIMUN</v>
          </cell>
          <cell r="F42" t="str">
            <v>SOLIHIN</v>
          </cell>
          <cell r="G42" t="str">
            <v>JIMUN</v>
          </cell>
          <cell r="H42" t="str">
            <v>AMAN</v>
          </cell>
          <cell r="I42" t="str">
            <v>YANI</v>
          </cell>
          <cell r="J42" t="str">
            <v>H.TALEB</v>
          </cell>
          <cell r="K42" t="str">
            <v>H.JUMRI</v>
          </cell>
          <cell r="L42" t="str">
            <v>IYAN</v>
          </cell>
          <cell r="M42" t="str">
            <v>MASDI</v>
          </cell>
          <cell r="N42" t="str">
            <v>UTUN</v>
          </cell>
          <cell r="O42" t="str">
            <v>YONO</v>
          </cell>
          <cell r="P42" t="str">
            <v>DURAHMAN</v>
          </cell>
          <cell r="Q42" t="str">
            <v>AMAT</v>
          </cell>
          <cell r="R42" t="str">
            <v>IPIN</v>
          </cell>
          <cell r="S42" t="str">
            <v>LINTANG</v>
          </cell>
          <cell r="T42" t="str">
            <v>UTUH</v>
          </cell>
          <cell r="U42" t="str">
            <v>MIUN</v>
          </cell>
          <cell r="V42" t="str">
            <v>PATAH</v>
          </cell>
          <cell r="W42" t="str">
            <v>KADIR</v>
          </cell>
          <cell r="X42" t="str">
            <v>BAIN</v>
          </cell>
          <cell r="Y42" t="str">
            <v>ANUAR</v>
          </cell>
          <cell r="Z42" t="str">
            <v>ASAT</v>
          </cell>
          <cell r="AA42" t="str">
            <v>HERMAN</v>
          </cell>
          <cell r="AB42" t="str">
            <v>JAINI</v>
          </cell>
          <cell r="AC42" t="str">
            <v>IWAN</v>
          </cell>
          <cell r="AD42" t="str">
            <v>AGUS</v>
          </cell>
          <cell r="AE42" t="str">
            <v>KARDI</v>
          </cell>
          <cell r="AF42" t="str">
            <v>TUKIJAN</v>
          </cell>
        </row>
        <row r="43">
          <cell r="D43" t="str">
            <v>DINI CHAIRANI</v>
          </cell>
          <cell r="E43" t="str">
            <v>IWAN</v>
          </cell>
          <cell r="F43" t="str">
            <v>JUKI</v>
          </cell>
          <cell r="G43" t="str">
            <v>H.ASSEK</v>
          </cell>
          <cell r="H43" t="str">
            <v>H.IGLO</v>
          </cell>
          <cell r="I43" t="str">
            <v>AMAN</v>
          </cell>
          <cell r="J43" t="str">
            <v>UJANG</v>
          </cell>
          <cell r="K43" t="str">
            <v>H.TUO</v>
          </cell>
          <cell r="L43" t="str">
            <v>DIDI</v>
          </cell>
          <cell r="M43" t="str">
            <v>IPEN</v>
          </cell>
          <cell r="N43" t="str">
            <v>AMIR</v>
          </cell>
          <cell r="O43" t="str">
            <v>TALIP</v>
          </cell>
          <cell r="P43" t="str">
            <v>JUA</v>
          </cell>
          <cell r="Q43" t="str">
            <v>MAEN</v>
          </cell>
          <cell r="R43" t="str">
            <v>ARSAT</v>
          </cell>
          <cell r="S43" t="str">
            <v>AMAT</v>
          </cell>
          <cell r="T43" t="str">
            <v>SUDIK</v>
          </cell>
          <cell r="U43" t="str">
            <v>TAPAK</v>
          </cell>
        </row>
        <row r="44">
          <cell r="D44" t="str">
            <v>EDI</v>
          </cell>
          <cell r="E44" t="str">
            <v>EDI</v>
          </cell>
        </row>
        <row r="45">
          <cell r="D45" t="str">
            <v>EDI OCTAVIA</v>
          </cell>
          <cell r="E45" t="str">
            <v>EDI</v>
          </cell>
          <cell r="F45" t="str">
            <v>OCTAVIA</v>
          </cell>
          <cell r="G45" t="str">
            <v>M.RAMLI</v>
          </cell>
          <cell r="H45" t="str">
            <v>JASMAN</v>
          </cell>
          <cell r="I45" t="str">
            <v>H.HANAFI</v>
          </cell>
          <cell r="J45" t="str">
            <v>H.JONO</v>
          </cell>
          <cell r="K45" t="str">
            <v>HASIM</v>
          </cell>
          <cell r="L45" t="str">
            <v>DENI</v>
          </cell>
          <cell r="M45" t="str">
            <v>MASRAN</v>
          </cell>
          <cell r="N45" t="str">
            <v>SUGENG</v>
          </cell>
          <cell r="O45" t="str">
            <v>H.SUHAIMI</v>
          </cell>
          <cell r="P45" t="str">
            <v>ISHAK.</v>
          </cell>
        </row>
        <row r="46">
          <cell r="D46" t="str">
            <v>ELSA YULIA VERONICA</v>
          </cell>
          <cell r="E46" t="str">
            <v>IJAN</v>
          </cell>
          <cell r="F46" t="str">
            <v>DIRMAN</v>
          </cell>
          <cell r="G46" t="str">
            <v>KOSIM</v>
          </cell>
          <cell r="H46" t="str">
            <v>MUJI</v>
          </cell>
          <cell r="I46" t="str">
            <v>DEWLI</v>
          </cell>
          <cell r="J46" t="str">
            <v>H.MADRUN</v>
          </cell>
          <cell r="K46" t="str">
            <v>KADRI</v>
          </cell>
          <cell r="L46" t="str">
            <v>IYAN</v>
          </cell>
          <cell r="M46" t="str">
            <v>BOKIR</v>
          </cell>
          <cell r="N46" t="str">
            <v>SANURI</v>
          </cell>
          <cell r="O46" t="str">
            <v>DELIMA</v>
          </cell>
          <cell r="P46" t="str">
            <v>DENA</v>
          </cell>
          <cell r="Q46" t="str">
            <v>IJUN</v>
          </cell>
          <cell r="R46" t="str">
            <v>MASRI</v>
          </cell>
          <cell r="S46" t="str">
            <v>ABI</v>
          </cell>
          <cell r="T46" t="str">
            <v>EDY</v>
          </cell>
          <cell r="U46" t="str">
            <v>NURAENI</v>
          </cell>
          <cell r="V46" t="str">
            <v>ZAKIA</v>
          </cell>
          <cell r="W46" t="str">
            <v>MASTRIUN</v>
          </cell>
          <cell r="X46" t="str">
            <v>SUHARTI</v>
          </cell>
          <cell r="Y46" t="str">
            <v>ANDIKA</v>
          </cell>
          <cell r="Z46" t="str">
            <v>KOSIM</v>
          </cell>
          <cell r="AA46" t="str">
            <v>MAKSUM</v>
          </cell>
          <cell r="AB46" t="str">
            <v>NARDI</v>
          </cell>
          <cell r="AC46" t="str">
            <v>TAHANG</v>
          </cell>
          <cell r="AD46" t="str">
            <v>SURIPNO</v>
          </cell>
        </row>
        <row r="47">
          <cell r="D47" t="str">
            <v>FATMAWATI</v>
          </cell>
          <cell r="E47" t="str">
            <v>ABI</v>
          </cell>
          <cell r="F47" t="str">
            <v>HJ.MARDIANA</v>
          </cell>
          <cell r="G47" t="str">
            <v>ABI</v>
          </cell>
          <cell r="H47" t="str">
            <v>H.SALEH</v>
          </cell>
          <cell r="I47" t="str">
            <v>H.HASAN</v>
          </cell>
          <cell r="J47" t="str">
            <v>TUMIRAN</v>
          </cell>
          <cell r="K47" t="str">
            <v>BASIRUN</v>
          </cell>
          <cell r="L47" t="str">
            <v>M.DAHLAN</v>
          </cell>
          <cell r="M47" t="str">
            <v>SUARDI</v>
          </cell>
          <cell r="N47" t="str">
            <v>MAEMUNAH</v>
          </cell>
          <cell r="O47" t="str">
            <v>SAKTI</v>
          </cell>
          <cell r="P47" t="str">
            <v>ARDIAN</v>
          </cell>
          <cell r="Q47" t="str">
            <v>JAMILAH</v>
          </cell>
        </row>
        <row r="48">
          <cell r="D48" t="str">
            <v>FEBRI RAHARDIAN</v>
          </cell>
          <cell r="E48" t="str">
            <v>IWAN</v>
          </cell>
          <cell r="F48" t="str">
            <v>JUKI</v>
          </cell>
          <cell r="G48" t="str">
            <v>H.ASSEK</v>
          </cell>
          <cell r="H48" t="str">
            <v>H.IGLO</v>
          </cell>
          <cell r="I48" t="str">
            <v>AMAN</v>
          </cell>
          <cell r="J48" t="str">
            <v>UJANG</v>
          </cell>
          <cell r="K48" t="str">
            <v>H.TUO</v>
          </cell>
          <cell r="L48" t="str">
            <v>DIDI</v>
          </cell>
          <cell r="M48" t="str">
            <v>IPEN</v>
          </cell>
          <cell r="N48" t="str">
            <v>AMIR</v>
          </cell>
          <cell r="O48" t="str">
            <v>TALIP</v>
          </cell>
          <cell r="P48" t="str">
            <v>JUA</v>
          </cell>
          <cell r="Q48" t="str">
            <v>MAEN</v>
          </cell>
          <cell r="R48" t="str">
            <v>ARSAT</v>
          </cell>
          <cell r="S48" t="str">
            <v>AMAT</v>
          </cell>
          <cell r="T48" t="str">
            <v>SUDIK</v>
          </cell>
          <cell r="U48" t="str">
            <v>TAPAK</v>
          </cell>
        </row>
        <row r="49">
          <cell r="D49" t="str">
            <v>GAFAR</v>
          </cell>
          <cell r="E49" t="str">
            <v>GAFAR</v>
          </cell>
        </row>
        <row r="50">
          <cell r="D50" t="str">
            <v>H.ARBANI</v>
          </cell>
          <cell r="E50" t="str">
            <v>H.ARBANI</v>
          </cell>
          <cell r="F50" t="str">
            <v>SAUDAH</v>
          </cell>
          <cell r="G50" t="str">
            <v>WISNU</v>
          </cell>
          <cell r="H50" t="str">
            <v>GUSTI</v>
          </cell>
          <cell r="I50" t="str">
            <v>ANDRIAN</v>
          </cell>
          <cell r="J50" t="str">
            <v>FEBRI</v>
          </cell>
          <cell r="K50" t="str">
            <v>ANGGI</v>
          </cell>
          <cell r="L50" t="str">
            <v>ANDRE</v>
          </cell>
        </row>
        <row r="51">
          <cell r="D51" t="str">
            <v>H. BEDU</v>
          </cell>
          <cell r="E51" t="str">
            <v>H. BEDU</v>
          </cell>
        </row>
        <row r="52">
          <cell r="D52" t="str">
            <v>H. EDI</v>
          </cell>
          <cell r="E52" t="str">
            <v>H.EDI</v>
          </cell>
          <cell r="F52" t="str">
            <v>MARPAUNG</v>
          </cell>
          <cell r="G52" t="str">
            <v>DIRMAN</v>
          </cell>
          <cell r="H52" t="str">
            <v>KUSWANTO</v>
          </cell>
          <cell r="I52" t="str">
            <v>H.</v>
          </cell>
          <cell r="J52" t="str">
            <v>ROHADI</v>
          </cell>
          <cell r="K52" t="str">
            <v>H.SOHI</v>
          </cell>
        </row>
        <row r="53">
          <cell r="D53" t="str">
            <v>H. HADDIS</v>
          </cell>
          <cell r="E53" t="str">
            <v>H. HADDIS</v>
          </cell>
        </row>
        <row r="54">
          <cell r="D54" t="str">
            <v>H. HAMID</v>
          </cell>
          <cell r="E54" t="str">
            <v>H. HAMID</v>
          </cell>
        </row>
        <row r="55">
          <cell r="D55" t="str">
            <v>H. HARIS</v>
          </cell>
          <cell r="E55" t="str">
            <v>H.HARIS</v>
          </cell>
          <cell r="F55" t="str">
            <v>MUSTAFA</v>
          </cell>
          <cell r="G55" t="str">
            <v>AGUSTAM</v>
          </cell>
          <cell r="H55" t="str">
            <v>H.BAKRI</v>
          </cell>
          <cell r="I55" t="str">
            <v>H</v>
          </cell>
          <cell r="J55" t="str">
            <v>NYAMPA</v>
          </cell>
          <cell r="K55" t="str">
            <v>IYUSPAN</v>
          </cell>
          <cell r="L55" t="str">
            <v>FEKEK</v>
          </cell>
          <cell r="M55" t="str">
            <v>RUDI</v>
          </cell>
          <cell r="N55" t="str">
            <v>H.LABA</v>
          </cell>
          <cell r="O55" t="str">
            <v>FA'MALEK</v>
          </cell>
          <cell r="P55" t="str">
            <v>ANTO</v>
          </cell>
          <cell r="Q55" t="str">
            <v>IWAN</v>
          </cell>
          <cell r="R55" t="str">
            <v>OMI</v>
          </cell>
          <cell r="S55" t="str">
            <v>ALI</v>
          </cell>
          <cell r="T55" t="str">
            <v>HORMAN</v>
          </cell>
          <cell r="U55" t="str">
            <v>SINDRAK</v>
          </cell>
          <cell r="V55" t="str">
            <v>SUKI</v>
          </cell>
          <cell r="W55" t="str">
            <v>ENDEN</v>
          </cell>
          <cell r="X55" t="str">
            <v>AGUNG</v>
          </cell>
          <cell r="Y55" t="str">
            <v>H.LALAK</v>
          </cell>
          <cell r="Z55" t="str">
            <v>HERMAN</v>
          </cell>
          <cell r="AA55" t="str">
            <v>IDRIS</v>
          </cell>
          <cell r="AB55" t="str">
            <v>H.AMBOK</v>
          </cell>
          <cell r="AC55" t="str">
            <v>CEK</v>
          </cell>
          <cell r="AD55" t="str">
            <v>HAMSAH</v>
          </cell>
          <cell r="AE55" t="str">
            <v>HALIM</v>
          </cell>
        </row>
        <row r="56">
          <cell r="D56" t="str">
            <v>H. HUSIN</v>
          </cell>
          <cell r="E56" t="str">
            <v>H. HUSIN</v>
          </cell>
        </row>
        <row r="57">
          <cell r="D57" t="str">
            <v>H. IJAI</v>
          </cell>
          <cell r="E57" t="str">
            <v>H. IJAI</v>
          </cell>
        </row>
        <row r="58">
          <cell r="D58" t="str">
            <v>H. MARDAN</v>
          </cell>
          <cell r="E58" t="str">
            <v>H. MARDAN</v>
          </cell>
        </row>
        <row r="59">
          <cell r="D59" t="str">
            <v>H. MULYONO</v>
          </cell>
          <cell r="E59" t="str">
            <v>MAHMUAH</v>
          </cell>
          <cell r="F59" t="str">
            <v>DENDI</v>
          </cell>
          <cell r="G59" t="str">
            <v>SANDI</v>
          </cell>
          <cell r="H59" t="str">
            <v>TYAS</v>
          </cell>
          <cell r="I59" t="str">
            <v>MILISANNI</v>
          </cell>
          <cell r="J59" t="str">
            <v>DADANG</v>
          </cell>
          <cell r="K59" t="str">
            <v>FARHAN</v>
          </cell>
          <cell r="L59" t="str">
            <v>H.TAHIR</v>
          </cell>
          <cell r="M59" t="str">
            <v>H.MAHMUD</v>
          </cell>
          <cell r="N59" t="str">
            <v>M</v>
          </cell>
          <cell r="O59" t="str">
            <v>NUR</v>
          </cell>
          <cell r="P59" t="str">
            <v>FATRURAZI</v>
          </cell>
          <cell r="Q59" t="str">
            <v>SAPRUDIN</v>
          </cell>
          <cell r="R59" t="str">
            <v>NEZI</v>
          </cell>
          <cell r="S59" t="str">
            <v>NURBUAT</v>
          </cell>
          <cell r="T59" t="str">
            <v>H.EDI</v>
          </cell>
          <cell r="U59" t="str">
            <v>ZAINAL</v>
          </cell>
        </row>
        <row r="60">
          <cell r="D60" t="str">
            <v>H.SALINDRI</v>
          </cell>
          <cell r="E60" t="str">
            <v>NIZAR</v>
          </cell>
          <cell r="F60" t="str">
            <v>DIMAS</v>
          </cell>
          <cell r="G60" t="str">
            <v>TARA</v>
          </cell>
          <cell r="H60" t="str">
            <v>RENDRA</v>
          </cell>
          <cell r="I60" t="str">
            <v>PUTRA</v>
          </cell>
          <cell r="J60" t="str">
            <v>IBRAHIM</v>
          </cell>
          <cell r="K60" t="str">
            <v>FAISAL</v>
          </cell>
        </row>
        <row r="61">
          <cell r="D61" t="str">
            <v>H. YUSPIK</v>
          </cell>
          <cell r="E61" t="str">
            <v>H. YUSPIK</v>
          </cell>
        </row>
        <row r="62">
          <cell r="D62" t="str">
            <v>H.AIDI</v>
          </cell>
          <cell r="E62" t="str">
            <v>AIDI</v>
          </cell>
          <cell r="F62" t="str">
            <v>KARIM</v>
          </cell>
          <cell r="G62" t="str">
            <v>KARTONO</v>
          </cell>
          <cell r="H62" t="str">
            <v>KUNTO</v>
          </cell>
          <cell r="I62" t="str">
            <v>NURDIN</v>
          </cell>
          <cell r="J62" t="str">
            <v>SUNARKO</v>
          </cell>
          <cell r="K62" t="str">
            <v>ANDI</v>
          </cell>
          <cell r="L62" t="str">
            <v>MARJUKI</v>
          </cell>
        </row>
        <row r="63">
          <cell r="D63" t="str">
            <v>H.AMBOK ASEK</v>
          </cell>
          <cell r="E63" t="str">
            <v>IJAN</v>
          </cell>
          <cell r="F63" t="str">
            <v>DIRMAN</v>
          </cell>
          <cell r="G63" t="str">
            <v>KOSIM</v>
          </cell>
          <cell r="H63" t="str">
            <v>MUJI</v>
          </cell>
          <cell r="I63" t="str">
            <v>DEWLI</v>
          </cell>
          <cell r="J63" t="str">
            <v>H.MADRUN</v>
          </cell>
          <cell r="K63" t="str">
            <v>KADRI</v>
          </cell>
          <cell r="L63" t="str">
            <v>IYAN</v>
          </cell>
          <cell r="M63" t="str">
            <v>BOKIR</v>
          </cell>
          <cell r="N63" t="str">
            <v>SANURI</v>
          </cell>
          <cell r="O63" t="str">
            <v>DELIMA</v>
          </cell>
          <cell r="P63" t="str">
            <v>DENA</v>
          </cell>
          <cell r="Q63" t="str">
            <v>IJUN</v>
          </cell>
          <cell r="R63" t="str">
            <v>MASRI</v>
          </cell>
          <cell r="S63" t="str">
            <v>ABI</v>
          </cell>
          <cell r="T63" t="str">
            <v>EDY</v>
          </cell>
          <cell r="U63" t="str">
            <v>NURAENI</v>
          </cell>
          <cell r="V63" t="str">
            <v>ZAKIA</v>
          </cell>
          <cell r="W63" t="str">
            <v>MASTRIUN</v>
          </cell>
          <cell r="X63" t="str">
            <v>SUHARTI</v>
          </cell>
          <cell r="Y63" t="str">
            <v>ANDIKA</v>
          </cell>
          <cell r="Z63" t="str">
            <v>KOSIM</v>
          </cell>
          <cell r="AA63" t="str">
            <v>MAKSUM</v>
          </cell>
          <cell r="AB63" t="str">
            <v>NARDI</v>
          </cell>
          <cell r="AC63" t="str">
            <v>TAHANG</v>
          </cell>
          <cell r="AD63" t="str">
            <v>SURIPNO</v>
          </cell>
        </row>
        <row r="64">
          <cell r="D64" t="str">
            <v>H.AMBOK LERANG</v>
          </cell>
          <cell r="E64" t="str">
            <v>MUSTAIN</v>
          </cell>
          <cell r="F64" t="str">
            <v>WAHIDIN</v>
          </cell>
          <cell r="G64" t="str">
            <v>AMBOK TANG</v>
          </cell>
          <cell r="H64" t="str">
            <v>RIZKI</v>
          </cell>
          <cell r="I64" t="str">
            <v>DARMAWAN</v>
          </cell>
        </row>
        <row r="65">
          <cell r="D65" t="str">
            <v>H.M.YUSUF</v>
          </cell>
          <cell r="E65" t="str">
            <v>H.M.YUSUF</v>
          </cell>
        </row>
        <row r="66">
          <cell r="D66" t="str">
            <v>H.SYAMSUDIN</v>
          </cell>
          <cell r="E66" t="str">
            <v>H.SYAMSUDIN</v>
          </cell>
          <cell r="F66" t="str">
            <v>CHAIRUL</v>
          </cell>
          <cell r="G66" t="str">
            <v>IRWAN</v>
          </cell>
          <cell r="H66" t="str">
            <v>YANTO</v>
          </cell>
          <cell r="I66" t="str">
            <v>AGUS</v>
          </cell>
          <cell r="J66" t="str">
            <v>SANJAYA</v>
          </cell>
        </row>
        <row r="67">
          <cell r="D67" t="str">
            <v>HAMLAM</v>
          </cell>
          <cell r="E67" t="str">
            <v>HAMLAM</v>
          </cell>
        </row>
        <row r="68">
          <cell r="D68" t="str">
            <v>HANGTUAH</v>
          </cell>
          <cell r="E68" t="str">
            <v>ARIF</v>
          </cell>
          <cell r="F68" t="str">
            <v>ANDY</v>
          </cell>
          <cell r="G68" t="str">
            <v>ZAINAL</v>
          </cell>
          <cell r="H68" t="str">
            <v>ASRIL</v>
          </cell>
          <cell r="I68" t="str">
            <v>RIDHO</v>
          </cell>
        </row>
        <row r="69">
          <cell r="D69" t="str">
            <v>HENDRI</v>
          </cell>
          <cell r="E69" t="str">
            <v>HENDRI</v>
          </cell>
        </row>
        <row r="70">
          <cell r="D70" t="str">
            <v>HENDRY JOHANES</v>
          </cell>
          <cell r="E70" t="str">
            <v>TRI</v>
          </cell>
          <cell r="F70" t="str">
            <v>KHAIRUL</v>
          </cell>
          <cell r="G70" t="str">
            <v>MARTIN</v>
          </cell>
          <cell r="H70" t="str">
            <v>TAHIR</v>
          </cell>
          <cell r="I70" t="str">
            <v>MURDIYANTO</v>
          </cell>
          <cell r="J70" t="str">
            <v>AHMED</v>
          </cell>
          <cell r="K70" t="str">
            <v>HUDA</v>
          </cell>
          <cell r="L70" t="str">
            <v>CIPTO</v>
          </cell>
        </row>
        <row r="71">
          <cell r="D71" t="str">
            <v>HERMAN</v>
          </cell>
          <cell r="E71" t="str">
            <v>HERMAN</v>
          </cell>
        </row>
        <row r="72">
          <cell r="D72" t="str">
            <v>HERTUMINA</v>
          </cell>
          <cell r="E72" t="str">
            <v>AWANG</v>
          </cell>
          <cell r="F72" t="str">
            <v>YUSUF</v>
          </cell>
          <cell r="G72" t="str">
            <v>ISMAIL</v>
          </cell>
          <cell r="H72" t="str">
            <v>BAHDRUN</v>
          </cell>
          <cell r="I72" t="str">
            <v>SAMUDRI</v>
          </cell>
          <cell r="J72" t="str">
            <v>JUMARI</v>
          </cell>
          <cell r="K72" t="str">
            <v>IMAK</v>
          </cell>
          <cell r="L72" t="str">
            <v>KARYO</v>
          </cell>
          <cell r="M72" t="str">
            <v>ALOING</v>
          </cell>
          <cell r="N72" t="str">
            <v>BAHARUDIN</v>
          </cell>
          <cell r="O72" t="str">
            <v>H.TUKIJAN</v>
          </cell>
          <cell r="P72" t="str">
            <v>AMAT</v>
          </cell>
          <cell r="Q72" t="str">
            <v>SITI</v>
          </cell>
          <cell r="R72" t="str">
            <v>FATIMAH</v>
          </cell>
          <cell r="S72" t="str">
            <v>H.ASMADIUN</v>
          </cell>
          <cell r="T72" t="str">
            <v>H.YUKIJAN</v>
          </cell>
          <cell r="U72" t="str">
            <v>WATI</v>
          </cell>
          <cell r="V72" t="str">
            <v>H.ASBULLAH</v>
          </cell>
          <cell r="W72" t="str">
            <v>KOMIDAR</v>
          </cell>
          <cell r="X72" t="str">
            <v>MEGAWATI</v>
          </cell>
          <cell r="Y72" t="str">
            <v>ALIMUDIN</v>
          </cell>
          <cell r="Z72" t="str">
            <v>MARISA</v>
          </cell>
          <cell r="AA72" t="str">
            <v>ABDUL</v>
          </cell>
          <cell r="AB72" t="str">
            <v>BAKAR</v>
          </cell>
          <cell r="AC72" t="str">
            <v>NAZIR</v>
          </cell>
        </row>
        <row r="73">
          <cell r="D73" t="str">
            <v>HJ. MIAH</v>
          </cell>
          <cell r="E73" t="str">
            <v>HJ. MIAH</v>
          </cell>
        </row>
        <row r="74">
          <cell r="D74" t="str">
            <v>HJ.ERAWATI</v>
          </cell>
          <cell r="E74" t="str">
            <v>JATAYU</v>
          </cell>
          <cell r="F74" t="str">
            <v>ASNAWI</v>
          </cell>
          <cell r="G74" t="str">
            <v>ABAS</v>
          </cell>
          <cell r="H74" t="str">
            <v>ZAINAL</v>
          </cell>
          <cell r="I74" t="str">
            <v>RUSMANTO</v>
          </cell>
          <cell r="J74" t="str">
            <v>BUJANG</v>
          </cell>
          <cell r="K74" t="str">
            <v>AMIN</v>
          </cell>
          <cell r="L74" t="str">
            <v>H</v>
          </cell>
          <cell r="M74" t="str">
            <v>EDI</v>
          </cell>
          <cell r="N74" t="str">
            <v>H.ADNAN</v>
          </cell>
          <cell r="O74" t="str">
            <v>ARIFIN</v>
          </cell>
          <cell r="P74" t="str">
            <v>ADANSA</v>
          </cell>
          <cell r="Q74" t="str">
            <v>TOTOK</v>
          </cell>
          <cell r="R74" t="str">
            <v>YASIN</v>
          </cell>
          <cell r="S74" t="str">
            <v>MUJIONO</v>
          </cell>
          <cell r="T74" t="str">
            <v>JUTI</v>
          </cell>
          <cell r="U74" t="str">
            <v>NOK</v>
          </cell>
          <cell r="V74" t="str">
            <v>BAYAN</v>
          </cell>
          <cell r="W74" t="str">
            <v>HAMDAN</v>
          </cell>
          <cell r="X74" t="str">
            <v>BASTIAN</v>
          </cell>
          <cell r="Y74" t="str">
            <v>SAMSUL</v>
          </cell>
          <cell r="Z74" t="str">
            <v>BRAHIM</v>
          </cell>
          <cell r="AA74" t="str">
            <v>H.TAMRIN</v>
          </cell>
          <cell r="AB74" t="str">
            <v>MASHAR</v>
          </cell>
          <cell r="AC74" t="str">
            <v>USEN</v>
          </cell>
          <cell r="AD74" t="str">
            <v>DUAN</v>
          </cell>
          <cell r="AE74" t="str">
            <v>JOHAN</v>
          </cell>
          <cell r="AF74" t="str">
            <v>SUNAR</v>
          </cell>
          <cell r="AG74" t="str">
            <v>ATI</v>
          </cell>
          <cell r="AH74" t="str">
            <v>IRUS</v>
          </cell>
          <cell r="AI74" t="str">
            <v>ADIS</v>
          </cell>
        </row>
        <row r="75">
          <cell r="D75" t="str">
            <v>INDAH R</v>
          </cell>
          <cell r="E75" t="str">
            <v>PANJI</v>
          </cell>
          <cell r="F75" t="str">
            <v>JUNAIDI</v>
          </cell>
          <cell r="G75" t="str">
            <v>ANTO</v>
          </cell>
          <cell r="H75" t="str">
            <v>H.M.RAHADI</v>
          </cell>
          <cell r="I75" t="str">
            <v>SUBLI</v>
          </cell>
          <cell r="J75" t="str">
            <v>ADI</v>
          </cell>
          <cell r="K75" t="str">
            <v>AMIN</v>
          </cell>
          <cell r="L75" t="str">
            <v>BADUN</v>
          </cell>
          <cell r="M75" t="str">
            <v>IPIN</v>
          </cell>
          <cell r="N75" t="str">
            <v>SARIMIN</v>
          </cell>
          <cell r="O75" t="str">
            <v>CICI</v>
          </cell>
          <cell r="P75" t="str">
            <v>KHALID</v>
          </cell>
          <cell r="Q75" t="str">
            <v>UCAI</v>
          </cell>
          <cell r="R75" t="str">
            <v>IJUN</v>
          </cell>
          <cell r="S75" t="str">
            <v>ERY</v>
          </cell>
          <cell r="T75" t="str">
            <v>SAHYANTO</v>
          </cell>
        </row>
        <row r="76">
          <cell r="D76" t="str">
            <v>ISANG</v>
          </cell>
          <cell r="E76" t="str">
            <v>MUSLIMIN</v>
          </cell>
          <cell r="F76" t="str">
            <v>ACOK</v>
          </cell>
          <cell r="G76" t="str">
            <v>KAMARI</v>
          </cell>
          <cell r="H76" t="str">
            <v>SAMURI</v>
          </cell>
          <cell r="I76" t="str">
            <v>ALI</v>
          </cell>
          <cell r="J76" t="str">
            <v>IHWAN</v>
          </cell>
          <cell r="K76" t="str">
            <v>WAWAN</v>
          </cell>
        </row>
        <row r="77">
          <cell r="D77" t="str">
            <v>JAMAL</v>
          </cell>
          <cell r="E77" t="str">
            <v>JAMAL</v>
          </cell>
        </row>
        <row r="78">
          <cell r="D78" t="str">
            <v>JAMHARI/UNGGAL</v>
          </cell>
          <cell r="E78" t="str">
            <v>JAMHARI/UNGGAL</v>
          </cell>
        </row>
        <row r="79">
          <cell r="D79" t="str">
            <v>JAMIYAH</v>
          </cell>
          <cell r="E79" t="str">
            <v>ANTON</v>
          </cell>
          <cell r="F79" t="str">
            <v>BADRUN</v>
          </cell>
          <cell r="G79" t="str">
            <v>BAIM</v>
          </cell>
          <cell r="H79" t="str">
            <v>GIMIN</v>
          </cell>
          <cell r="I79" t="str">
            <v>H.HALIDI</v>
          </cell>
          <cell r="J79" t="str">
            <v>H.THAMRIN</v>
          </cell>
          <cell r="K79" t="str">
            <v>H.TOYIB</v>
          </cell>
          <cell r="L79" t="str">
            <v>IKAM</v>
          </cell>
          <cell r="M79" t="str">
            <v>JAILANI</v>
          </cell>
          <cell r="N79" t="str">
            <v>MADI</v>
          </cell>
          <cell r="O79" t="str">
            <v>MUKTAR</v>
          </cell>
          <cell r="P79" t="str">
            <v>MUSA</v>
          </cell>
          <cell r="Q79" t="str">
            <v>NANDAR</v>
          </cell>
          <cell r="R79" t="str">
            <v>NURDIN</v>
          </cell>
          <cell r="S79" t="str">
            <v>RAHMAD</v>
          </cell>
          <cell r="T79" t="str">
            <v>SOMAD</v>
          </cell>
          <cell r="U79" t="str">
            <v>SUDARNO</v>
          </cell>
          <cell r="V79" t="str">
            <v>SULAIMAN</v>
          </cell>
          <cell r="W79" t="str">
            <v>SULE</v>
          </cell>
          <cell r="X79" t="str">
            <v>ZAINURI</v>
          </cell>
        </row>
        <row r="80">
          <cell r="D80" t="str">
            <v>JONI HALIM</v>
          </cell>
          <cell r="E80" t="str">
            <v>KADIR</v>
          </cell>
          <cell r="F80" t="str">
            <v>SAPAR</v>
          </cell>
          <cell r="G80" t="str">
            <v>H.NABUN</v>
          </cell>
          <cell r="H80" t="str">
            <v>H.SOMAD</v>
          </cell>
          <cell r="I80" t="str">
            <v>PITUNG</v>
          </cell>
          <cell r="J80" t="str">
            <v>JALI</v>
          </cell>
          <cell r="K80" t="str">
            <v>NURAHMAN</v>
          </cell>
        </row>
        <row r="81">
          <cell r="D81" t="str">
            <v>JUSDY</v>
          </cell>
          <cell r="E81" t="str">
            <v>JUSDY</v>
          </cell>
        </row>
        <row r="82">
          <cell r="D82" t="str">
            <v>KAHARUDIN</v>
          </cell>
          <cell r="E82" t="str">
            <v>KAHARUDIN</v>
          </cell>
        </row>
        <row r="83">
          <cell r="D83" t="str">
            <v>KAMSIAH</v>
          </cell>
          <cell r="E83" t="str">
            <v>ANTON</v>
          </cell>
          <cell r="F83" t="str">
            <v>BADRUN</v>
          </cell>
          <cell r="G83" t="str">
            <v>BAIM</v>
          </cell>
          <cell r="H83" t="str">
            <v>GIMIN</v>
          </cell>
          <cell r="I83" t="str">
            <v>H.HALIDI</v>
          </cell>
          <cell r="J83" t="str">
            <v>H.THAMRIN</v>
          </cell>
          <cell r="K83" t="str">
            <v>H.TOYIB</v>
          </cell>
          <cell r="L83" t="str">
            <v>IKAM</v>
          </cell>
          <cell r="M83" t="str">
            <v>JAILANI</v>
          </cell>
          <cell r="N83" t="str">
            <v>MADI</v>
          </cell>
          <cell r="O83" t="str">
            <v>MUKTAR</v>
          </cell>
          <cell r="P83" t="str">
            <v>MUSA</v>
          </cell>
          <cell r="Q83" t="str">
            <v>NANDAR</v>
          </cell>
          <cell r="R83" t="str">
            <v>NURDIN</v>
          </cell>
          <cell r="S83" t="str">
            <v>RAHMAD</v>
          </cell>
          <cell r="T83" t="str">
            <v>SOMAD</v>
          </cell>
          <cell r="U83" t="str">
            <v>SUDARNO</v>
          </cell>
          <cell r="V83" t="str">
            <v>SULAIMAN</v>
          </cell>
          <cell r="W83" t="str">
            <v>SULE</v>
          </cell>
          <cell r="X83" t="str">
            <v>ZAINURI</v>
          </cell>
        </row>
        <row r="84">
          <cell r="D84" t="str">
            <v>KHAIRUDIN</v>
          </cell>
          <cell r="E84" t="str">
            <v>KHAIRUDIN</v>
          </cell>
        </row>
        <row r="85">
          <cell r="D85" t="str">
            <v>KUSBIANTO</v>
          </cell>
          <cell r="E85" t="str">
            <v>KUSBIANTO</v>
          </cell>
        </row>
        <row r="86">
          <cell r="D86" t="str">
            <v>M. ALI</v>
          </cell>
          <cell r="E86" t="str">
            <v>M.ALI</v>
          </cell>
          <cell r="F86" t="str">
            <v>NURAINI</v>
          </cell>
          <cell r="G86" t="str">
            <v>HALIM</v>
          </cell>
          <cell r="H86" t="str">
            <v>KUSUMA</v>
          </cell>
          <cell r="I86" t="str">
            <v>UJANG</v>
          </cell>
          <cell r="J86" t="str">
            <v>RAHMAT</v>
          </cell>
          <cell r="K86" t="str">
            <v>HERMAN</v>
          </cell>
        </row>
        <row r="87">
          <cell r="D87" t="str">
            <v>M. AMIN</v>
          </cell>
          <cell r="E87" t="str">
            <v>WILDAN</v>
          </cell>
          <cell r="F87" t="str">
            <v>AWAL</v>
          </cell>
          <cell r="G87" t="str">
            <v>SAHRAN</v>
          </cell>
          <cell r="H87" t="str">
            <v>LEMAN</v>
          </cell>
          <cell r="I87" t="str">
            <v>ILHAM</v>
          </cell>
          <cell r="J87" t="str">
            <v>BAKRI</v>
          </cell>
          <cell r="K87" t="str">
            <v>LEDI</v>
          </cell>
          <cell r="L87" t="str">
            <v>KAHAR</v>
          </cell>
          <cell r="M87" t="str">
            <v>IJAL</v>
          </cell>
          <cell r="N87" t="str">
            <v>SYAKRANI</v>
          </cell>
          <cell r="O87" t="str">
            <v>UDIN</v>
          </cell>
          <cell r="P87" t="str">
            <v>UTUH</v>
          </cell>
          <cell r="Q87" t="str">
            <v>AJAM</v>
          </cell>
        </row>
        <row r="88">
          <cell r="D88" t="str">
            <v>M. HAINI</v>
          </cell>
          <cell r="E88" t="str">
            <v>M. HAINI</v>
          </cell>
        </row>
        <row r="89">
          <cell r="D89" t="str">
            <v>M. HARIS</v>
          </cell>
          <cell r="E89" t="str">
            <v>M.HARIS</v>
          </cell>
        </row>
        <row r="90">
          <cell r="D90" t="str">
            <v>M. YUNUS</v>
          </cell>
          <cell r="E90" t="str">
            <v>M. YUNUS</v>
          </cell>
        </row>
        <row r="91">
          <cell r="D91" t="str">
            <v>M.ALI AKBAR</v>
          </cell>
          <cell r="E91" t="str">
            <v>PANJI</v>
          </cell>
          <cell r="F91" t="str">
            <v>JUNAIDI</v>
          </cell>
          <cell r="G91" t="str">
            <v>ANTO</v>
          </cell>
          <cell r="H91" t="str">
            <v>H.M.RAHADI</v>
          </cell>
          <cell r="I91" t="str">
            <v>SUBLI</v>
          </cell>
          <cell r="J91" t="str">
            <v>ADI</v>
          </cell>
          <cell r="K91" t="str">
            <v>AMIN</v>
          </cell>
          <cell r="L91" t="str">
            <v>BADUN</v>
          </cell>
          <cell r="M91" t="str">
            <v>IPIN</v>
          </cell>
          <cell r="N91" t="str">
            <v>SARIMIN</v>
          </cell>
          <cell r="O91" t="str">
            <v>CICI</v>
          </cell>
          <cell r="P91" t="str">
            <v>KHALID</v>
          </cell>
          <cell r="Q91" t="str">
            <v>UCAI</v>
          </cell>
          <cell r="R91" t="str">
            <v>IJUN</v>
          </cell>
          <cell r="S91" t="str">
            <v>ERY</v>
          </cell>
          <cell r="T91" t="str">
            <v>SAHYANTO</v>
          </cell>
        </row>
        <row r="92">
          <cell r="D92" t="str">
            <v>M.ALI-KTM</v>
          </cell>
          <cell r="E92" t="str">
            <v>SYAFUDIN</v>
          </cell>
          <cell r="F92" t="str">
            <v>EDI</v>
          </cell>
          <cell r="G92" t="str">
            <v>TOANG</v>
          </cell>
          <cell r="H92" t="str">
            <v>H.SABIRIN</v>
          </cell>
          <cell r="I92" t="str">
            <v>ARSAN</v>
          </cell>
          <cell r="J92" t="str">
            <v>JAMIUN</v>
          </cell>
          <cell r="K92" t="str">
            <v>ADI</v>
          </cell>
          <cell r="L92" t="str">
            <v>IDARWANTO</v>
          </cell>
          <cell r="M92" t="str">
            <v>SABRANI</v>
          </cell>
          <cell r="N92" t="str">
            <v>JUNAIDIN</v>
          </cell>
          <cell r="O92" t="str">
            <v>SANTOSO</v>
          </cell>
          <cell r="P92" t="str">
            <v>YUSUP</v>
          </cell>
          <cell r="Q92" t="str">
            <v>APRILYANTO</v>
          </cell>
          <cell r="R92" t="str">
            <v>SUGIONO</v>
          </cell>
          <cell r="S92" t="str">
            <v>SUKUR</v>
          </cell>
          <cell r="T92" t="str">
            <v>IDRIS</v>
          </cell>
          <cell r="U92" t="str">
            <v>AZIZ</v>
          </cell>
          <cell r="V92" t="str">
            <v>SUMARWAN</v>
          </cell>
          <cell r="W92" t="str">
            <v>MAHARDI</v>
          </cell>
          <cell r="X92" t="str">
            <v>TAMRIN</v>
          </cell>
          <cell r="Y92" t="str">
            <v>HASAN</v>
          </cell>
          <cell r="Z92" t="str">
            <v>ASMAUN</v>
          </cell>
          <cell r="AA92" t="str">
            <v>A.GANI</v>
          </cell>
          <cell r="AB92" t="str">
            <v>RAMDHAN</v>
          </cell>
          <cell r="AC92" t="str">
            <v>UTOMO</v>
          </cell>
          <cell r="AD92" t="str">
            <v>IMAN</v>
          </cell>
          <cell r="AE92" t="str">
            <v>IDARWAN</v>
          </cell>
          <cell r="AF92" t="str">
            <v>WANDI</v>
          </cell>
          <cell r="AG92" t="str">
            <v>ANAS</v>
          </cell>
          <cell r="AH92" t="str">
            <v>PUJIANTO</v>
          </cell>
          <cell r="AI92" t="str">
            <v>ANANG</v>
          </cell>
        </row>
        <row r="93">
          <cell r="D93" t="str">
            <v>M.ARIS</v>
          </cell>
          <cell r="E93" t="str">
            <v>IJAN</v>
          </cell>
          <cell r="F93" t="str">
            <v>DIRMAN</v>
          </cell>
          <cell r="G93" t="str">
            <v>KOSIM</v>
          </cell>
          <cell r="H93" t="str">
            <v>MUJI</v>
          </cell>
          <cell r="I93" t="str">
            <v>DEWLI</v>
          </cell>
          <cell r="J93" t="str">
            <v>H.MADRUN</v>
          </cell>
          <cell r="K93" t="str">
            <v>KADRI</v>
          </cell>
          <cell r="L93" t="str">
            <v>IYAN</v>
          </cell>
          <cell r="M93" t="str">
            <v>BOKIR</v>
          </cell>
          <cell r="N93" t="str">
            <v>SANURI</v>
          </cell>
          <cell r="O93" t="str">
            <v>DELIMA</v>
          </cell>
          <cell r="P93" t="str">
            <v>DENA</v>
          </cell>
          <cell r="Q93" t="str">
            <v>IJUN</v>
          </cell>
          <cell r="R93" t="str">
            <v>MASRI</v>
          </cell>
          <cell r="S93" t="str">
            <v>ABI</v>
          </cell>
          <cell r="T93" t="str">
            <v>EDY</v>
          </cell>
          <cell r="U93" t="str">
            <v>NURAENI</v>
          </cell>
          <cell r="V93" t="str">
            <v>ZAKIA</v>
          </cell>
          <cell r="W93" t="str">
            <v>MASTRIUN</v>
          </cell>
          <cell r="X93" t="str">
            <v>SUHARTI</v>
          </cell>
          <cell r="Y93" t="str">
            <v>ANDIKA</v>
          </cell>
          <cell r="Z93" t="str">
            <v>KOSIM</v>
          </cell>
          <cell r="AA93" t="str">
            <v>MAKSUM</v>
          </cell>
          <cell r="AB93" t="str">
            <v>NARDI</v>
          </cell>
          <cell r="AC93" t="str">
            <v>TAHANG</v>
          </cell>
          <cell r="AD93" t="str">
            <v>SURIPNO</v>
          </cell>
        </row>
        <row r="94">
          <cell r="D94" t="str">
            <v>M.ASNAWI</v>
          </cell>
          <cell r="E94" t="str">
            <v>IJAN</v>
          </cell>
          <cell r="F94" t="str">
            <v>DIRMAN</v>
          </cell>
          <cell r="G94" t="str">
            <v>KOSIM</v>
          </cell>
          <cell r="H94" t="str">
            <v>MUJI</v>
          </cell>
          <cell r="I94" t="str">
            <v>DEWLI</v>
          </cell>
          <cell r="J94" t="str">
            <v>H.MADRUN</v>
          </cell>
          <cell r="K94" t="str">
            <v>KADRI</v>
          </cell>
          <cell r="L94" t="str">
            <v>IYAN</v>
          </cell>
          <cell r="M94" t="str">
            <v>BOKIR</v>
          </cell>
          <cell r="N94" t="str">
            <v>SANURI</v>
          </cell>
          <cell r="O94" t="str">
            <v>DELIMA</v>
          </cell>
          <cell r="P94" t="str">
            <v>DENA</v>
          </cell>
          <cell r="Q94" t="str">
            <v>IJUN</v>
          </cell>
          <cell r="R94" t="str">
            <v>MASRI</v>
          </cell>
          <cell r="S94" t="str">
            <v>ABI</v>
          </cell>
          <cell r="T94" t="str">
            <v>EDY</v>
          </cell>
          <cell r="U94" t="str">
            <v>NURAENI</v>
          </cell>
          <cell r="V94" t="str">
            <v>ZAKIA</v>
          </cell>
          <cell r="W94" t="str">
            <v>MASTRIUN</v>
          </cell>
          <cell r="X94" t="str">
            <v>SUHARTI</v>
          </cell>
          <cell r="Y94" t="str">
            <v>ANDIKA</v>
          </cell>
          <cell r="Z94" t="str">
            <v>KOSIM</v>
          </cell>
          <cell r="AA94" t="str">
            <v>MAKSUM</v>
          </cell>
          <cell r="AB94" t="str">
            <v>NARDI</v>
          </cell>
          <cell r="AC94" t="str">
            <v>TAHANG</v>
          </cell>
          <cell r="AD94" t="str">
            <v>SURIPNO</v>
          </cell>
        </row>
        <row r="95">
          <cell r="D95" t="str">
            <v>MAJU JAYA ABADI</v>
          </cell>
          <cell r="E95" t="str">
            <v>MAJU JAYA ABADI</v>
          </cell>
        </row>
        <row r="96">
          <cell r="D96" t="str">
            <v>MARISA MONA</v>
          </cell>
          <cell r="E96" t="str">
            <v>SAHARUDIN</v>
          </cell>
          <cell r="F96" t="str">
            <v>GENDIS</v>
          </cell>
          <cell r="G96" t="str">
            <v>UTUH</v>
          </cell>
          <cell r="H96" t="str">
            <v>H.THAMRIN</v>
          </cell>
          <cell r="I96" t="str">
            <v>SAHRAN</v>
          </cell>
          <cell r="J96" t="str">
            <v>NIARSARI</v>
          </cell>
          <cell r="K96" t="str">
            <v>NORI</v>
          </cell>
          <cell r="L96" t="str">
            <v>HASAN</v>
          </cell>
          <cell r="M96" t="str">
            <v>UDIN</v>
          </cell>
          <cell r="N96" t="str">
            <v>GRIYA</v>
          </cell>
          <cell r="O96" t="str">
            <v>BASRI</v>
          </cell>
          <cell r="P96" t="str">
            <v>AHMAD</v>
          </cell>
          <cell r="Q96" t="str">
            <v>AMIR</v>
          </cell>
          <cell r="R96" t="str">
            <v>H.MALIK</v>
          </cell>
          <cell r="S96" t="str">
            <v>BASRI</v>
          </cell>
          <cell r="T96" t="str">
            <v>H.MALIK</v>
          </cell>
          <cell r="U96" t="str">
            <v>H.MAHMUD</v>
          </cell>
          <cell r="V96" t="str">
            <v>KOSIM</v>
          </cell>
          <cell r="W96" t="str">
            <v>TENGMOK</v>
          </cell>
          <cell r="X96" t="str">
            <v>SAPI'I</v>
          </cell>
          <cell r="Y96" t="str">
            <v>AJENG</v>
          </cell>
          <cell r="Z96" t="str">
            <v>SELVI</v>
          </cell>
          <cell r="AA96" t="str">
            <v>JAMAL</v>
          </cell>
          <cell r="AB96" t="str">
            <v>KOSIM</v>
          </cell>
          <cell r="AC96" t="str">
            <v>MARMUAH</v>
          </cell>
          <cell r="AD96" t="str">
            <v>JUKI</v>
          </cell>
          <cell r="AE96" t="str">
            <v>ABAS</v>
          </cell>
          <cell r="AF96" t="str">
            <v>H.THAMRIN</v>
          </cell>
          <cell r="AG96" t="str">
            <v>MURDIONO</v>
          </cell>
        </row>
        <row r="97">
          <cell r="D97" t="str">
            <v>MARTONO</v>
          </cell>
          <cell r="E97" t="str">
            <v>MARTONO</v>
          </cell>
          <cell r="F97" t="str">
            <v>IYAN</v>
          </cell>
          <cell r="G97" t="str">
            <v>ZAINI</v>
          </cell>
          <cell r="H97" t="str">
            <v>SUKANDAR</v>
          </cell>
        </row>
        <row r="98">
          <cell r="D98" t="str">
            <v>MASRI</v>
          </cell>
          <cell r="E98" t="str">
            <v>ABI</v>
          </cell>
          <cell r="F98" t="str">
            <v>HJ.MARDIANA</v>
          </cell>
          <cell r="G98" t="str">
            <v>ABI</v>
          </cell>
          <cell r="H98" t="str">
            <v>H.SALEH</v>
          </cell>
          <cell r="I98" t="str">
            <v>H.HASAN</v>
          </cell>
          <cell r="J98" t="str">
            <v>TUMIRAN</v>
          </cell>
          <cell r="K98" t="str">
            <v>BASIRUN</v>
          </cell>
          <cell r="L98" t="str">
            <v>M.DAHLAN</v>
          </cell>
          <cell r="M98" t="str">
            <v>SUARDI</v>
          </cell>
          <cell r="N98" t="str">
            <v>MAEMUNAH</v>
          </cell>
          <cell r="O98" t="str">
            <v>SAKTI</v>
          </cell>
          <cell r="P98" t="str">
            <v>ARDIAN</v>
          </cell>
          <cell r="Q98" t="str">
            <v>JAMILAH</v>
          </cell>
        </row>
        <row r="99">
          <cell r="D99" t="str">
            <v>MEGAH JAYA</v>
          </cell>
          <cell r="E99" t="str">
            <v>MEGAH JAYA</v>
          </cell>
        </row>
        <row r="100">
          <cell r="D100" t="str">
            <v>MINSAR</v>
          </cell>
          <cell r="E100" t="str">
            <v>DARMAWAN</v>
          </cell>
          <cell r="F100" t="str">
            <v>IWAM</v>
          </cell>
          <cell r="G100" t="str">
            <v>KADRI</v>
          </cell>
          <cell r="H100" t="str">
            <v>PAIJO</v>
          </cell>
          <cell r="I100" t="str">
            <v>DULLAH</v>
          </cell>
        </row>
        <row r="101">
          <cell r="D101" t="str">
            <v>MISAR HADINATA</v>
          </cell>
          <cell r="E101" t="str">
            <v>WILDAN</v>
          </cell>
          <cell r="F101" t="str">
            <v>AWAL</v>
          </cell>
          <cell r="G101" t="str">
            <v>SAHRAN</v>
          </cell>
          <cell r="H101" t="str">
            <v>LEMAN</v>
          </cell>
          <cell r="I101" t="str">
            <v>ILHAM</v>
          </cell>
          <cell r="J101" t="str">
            <v>BAKRI</v>
          </cell>
          <cell r="K101" t="str">
            <v>LEDI</v>
          </cell>
          <cell r="L101" t="str">
            <v>KAHAR</v>
          </cell>
          <cell r="M101" t="str">
            <v>IJAL</v>
          </cell>
          <cell r="N101" t="str">
            <v>SYAKRANI</v>
          </cell>
          <cell r="O101" t="str">
            <v>UDIN</v>
          </cell>
          <cell r="P101" t="str">
            <v>UTUH</v>
          </cell>
          <cell r="Q101" t="str">
            <v>AJAM</v>
          </cell>
        </row>
        <row r="102">
          <cell r="D102" t="str">
            <v>MUH RUSLI</v>
          </cell>
          <cell r="E102" t="str">
            <v>IJAN</v>
          </cell>
          <cell r="F102" t="str">
            <v>DIRMAN</v>
          </cell>
          <cell r="G102" t="str">
            <v>KOSIM</v>
          </cell>
          <cell r="H102" t="str">
            <v>MUJI</v>
          </cell>
          <cell r="I102" t="str">
            <v>DEWLI</v>
          </cell>
          <cell r="J102" t="str">
            <v>H.MADRUN</v>
          </cell>
          <cell r="K102" t="str">
            <v>KADRI</v>
          </cell>
          <cell r="L102" t="str">
            <v>IYAN</v>
          </cell>
          <cell r="M102" t="str">
            <v>BOKIR</v>
          </cell>
          <cell r="N102" t="str">
            <v>SANURI</v>
          </cell>
          <cell r="O102" t="str">
            <v>DELIMA</v>
          </cell>
          <cell r="P102" t="str">
            <v>DENA</v>
          </cell>
          <cell r="Q102" t="str">
            <v>IJUN</v>
          </cell>
          <cell r="R102" t="str">
            <v>MASRI</v>
          </cell>
          <cell r="S102" t="str">
            <v>ABI</v>
          </cell>
          <cell r="T102" t="str">
            <v>EDY</v>
          </cell>
          <cell r="U102" t="str">
            <v>NURAENI</v>
          </cell>
          <cell r="V102" t="str">
            <v>ZAKIA</v>
          </cell>
          <cell r="W102" t="str">
            <v>MASTRIUN</v>
          </cell>
          <cell r="X102" t="str">
            <v>SUHARTI</v>
          </cell>
          <cell r="Y102" t="str">
            <v>ANDIKA</v>
          </cell>
          <cell r="Z102" t="str">
            <v>KOSIM</v>
          </cell>
          <cell r="AA102" t="str">
            <v>MAKSUM</v>
          </cell>
          <cell r="AB102" t="str">
            <v>NARDI</v>
          </cell>
          <cell r="AC102" t="str">
            <v>TAHANG</v>
          </cell>
          <cell r="AD102" t="str">
            <v>SURIPNO</v>
          </cell>
        </row>
        <row r="103">
          <cell r="D103" t="str">
            <v>MUHAMMAD ARAB</v>
          </cell>
          <cell r="E103" t="str">
            <v>ROHANI</v>
          </cell>
          <cell r="F103" t="str">
            <v>SIKHO</v>
          </cell>
          <cell r="G103" t="str">
            <v>NARSO</v>
          </cell>
          <cell r="H103" t="str">
            <v>WINARYO</v>
          </cell>
          <cell r="I103" t="str">
            <v>DULLAH</v>
          </cell>
          <cell r="J103" t="str">
            <v>ALFIAN</v>
          </cell>
          <cell r="K103" t="str">
            <v>SIDIK</v>
          </cell>
          <cell r="L103" t="str">
            <v>MUSTAFA</v>
          </cell>
          <cell r="M103" t="str">
            <v>M.ARAB</v>
          </cell>
          <cell r="N103" t="str">
            <v>DEDI</v>
          </cell>
          <cell r="O103" t="str">
            <v>GAZI</v>
          </cell>
        </row>
        <row r="104">
          <cell r="D104" t="str">
            <v>MUIN</v>
          </cell>
          <cell r="E104" t="str">
            <v>MUIN</v>
          </cell>
        </row>
        <row r="105">
          <cell r="D105" t="str">
            <v>MURWATI</v>
          </cell>
          <cell r="E105" t="str">
            <v>MURWATI</v>
          </cell>
          <cell r="F105" t="str">
            <v>AKMAL</v>
          </cell>
          <cell r="G105" t="str">
            <v>MUSOPA</v>
          </cell>
          <cell r="H105" t="str">
            <v>SAPARI</v>
          </cell>
          <cell r="I105" t="str">
            <v>HARYOTO</v>
          </cell>
        </row>
        <row r="106">
          <cell r="D106" t="str">
            <v>MUSLIM</v>
          </cell>
          <cell r="E106" t="str">
            <v>MUSLIM</v>
          </cell>
        </row>
        <row r="107">
          <cell r="D107" t="str">
            <v>MUSTAFA</v>
          </cell>
          <cell r="E107" t="str">
            <v>H.HARIS</v>
          </cell>
          <cell r="F107" t="str">
            <v>MUSTAFA</v>
          </cell>
          <cell r="G107" t="str">
            <v>AGUSTAM</v>
          </cell>
          <cell r="H107" t="str">
            <v>H.BAKRI</v>
          </cell>
          <cell r="I107" t="str">
            <v>H</v>
          </cell>
          <cell r="J107" t="str">
            <v>NYAMPA</v>
          </cell>
          <cell r="K107" t="str">
            <v>IYUSPAN</v>
          </cell>
          <cell r="L107" t="str">
            <v>FEKEK</v>
          </cell>
          <cell r="M107" t="str">
            <v>RUDI</v>
          </cell>
          <cell r="N107" t="str">
            <v>H.LABA</v>
          </cell>
          <cell r="O107" t="str">
            <v>FA'MALEK</v>
          </cell>
          <cell r="P107" t="str">
            <v>ANTO</v>
          </cell>
          <cell r="Q107" t="str">
            <v>IWAN</v>
          </cell>
          <cell r="R107" t="str">
            <v>OMI</v>
          </cell>
          <cell r="S107" t="str">
            <v>ALI</v>
          </cell>
          <cell r="T107" t="str">
            <v>HORMAN</v>
          </cell>
          <cell r="U107" t="str">
            <v>SINDRAK</v>
          </cell>
          <cell r="V107" t="str">
            <v>SUKI</v>
          </cell>
          <cell r="W107" t="str">
            <v>ENDEN</v>
          </cell>
          <cell r="X107" t="str">
            <v>AGUNG</v>
          </cell>
          <cell r="Y107" t="str">
            <v>H.LALAK</v>
          </cell>
          <cell r="Z107" t="str">
            <v>HERMAN</v>
          </cell>
          <cell r="AA107" t="str">
            <v>IDRIS</v>
          </cell>
          <cell r="AB107" t="str">
            <v>H.AMBOK</v>
          </cell>
          <cell r="AC107" t="str">
            <v>CEK</v>
          </cell>
          <cell r="AD107" t="str">
            <v>HAMSAH</v>
          </cell>
          <cell r="AE107" t="str">
            <v>HALIM</v>
          </cell>
        </row>
        <row r="108">
          <cell r="D108" t="str">
            <v>NICO</v>
          </cell>
          <cell r="E108" t="str">
            <v>NICO</v>
          </cell>
          <cell r="F108" t="str">
            <v>TEDI</v>
          </cell>
          <cell r="G108" t="str">
            <v>DENI</v>
          </cell>
          <cell r="H108" t="str">
            <v>KUKUH</v>
          </cell>
          <cell r="I108" t="str">
            <v>SUSENO</v>
          </cell>
          <cell r="J108" t="str">
            <v>DIKI</v>
          </cell>
          <cell r="K108" t="str">
            <v>SUPRI</v>
          </cell>
          <cell r="L108" t="str">
            <v>TAUFIK</v>
          </cell>
          <cell r="M108" t="str">
            <v>TRIONO</v>
          </cell>
          <cell r="N108" t="str">
            <v>FAHRUL</v>
          </cell>
          <cell r="O108" t="str">
            <v>PRABOWO</v>
          </cell>
          <cell r="P108" t="str">
            <v>HASAN</v>
          </cell>
        </row>
        <row r="109">
          <cell r="D109" t="str">
            <v>NORMAN</v>
          </cell>
          <cell r="E109" t="str">
            <v>NORMAN</v>
          </cell>
        </row>
        <row r="110">
          <cell r="D110" t="str">
            <v>POLIANI ANWAR</v>
          </cell>
          <cell r="E110" t="str">
            <v>POLIANI ANWAR</v>
          </cell>
        </row>
        <row r="111">
          <cell r="D111" t="str">
            <v>POW HELEN</v>
          </cell>
          <cell r="E111" t="str">
            <v>ISOIK</v>
          </cell>
          <cell r="F111" t="str">
            <v>HENDRA</v>
          </cell>
          <cell r="G111" t="str">
            <v>HERU</v>
          </cell>
          <cell r="H111" t="str">
            <v>INGGIT</v>
          </cell>
          <cell r="I111" t="str">
            <v>SIHEN</v>
          </cell>
          <cell r="J111" t="str">
            <v>NASAR</v>
          </cell>
          <cell r="K111" t="str">
            <v>UJANG</v>
          </cell>
          <cell r="L111" t="str">
            <v>ANAS</v>
          </cell>
          <cell r="M111" t="str">
            <v>MAWAR</v>
          </cell>
          <cell r="N111" t="str">
            <v>IDON</v>
          </cell>
          <cell r="O111" t="str">
            <v>RIKO</v>
          </cell>
          <cell r="P111" t="str">
            <v>RIO</v>
          </cell>
          <cell r="Q111" t="str">
            <v>RINO</v>
          </cell>
          <cell r="R111" t="str">
            <v>RIKI</v>
          </cell>
          <cell r="S111" t="str">
            <v>KIKI</v>
          </cell>
          <cell r="T111" t="str">
            <v>ARI</v>
          </cell>
          <cell r="U111" t="str">
            <v>IJEN</v>
          </cell>
          <cell r="V111" t="str">
            <v>ICAM</v>
          </cell>
          <cell r="W111" t="str">
            <v>DIKI</v>
          </cell>
          <cell r="X111" t="str">
            <v>REZA</v>
          </cell>
          <cell r="Y111" t="str">
            <v>IZUL</v>
          </cell>
          <cell r="Z111" t="str">
            <v>IBNU</v>
          </cell>
          <cell r="AA111" t="str">
            <v>SIAP</v>
          </cell>
          <cell r="AB111" t="str">
            <v>ADI</v>
          </cell>
          <cell r="AC111" t="str">
            <v>DIDI</v>
          </cell>
          <cell r="AD111" t="str">
            <v>YOZI</v>
          </cell>
        </row>
        <row r="112">
          <cell r="D112" t="str">
            <v>PT. ASS</v>
          </cell>
          <cell r="E112" t="str">
            <v>PT. ASS</v>
          </cell>
        </row>
        <row r="113">
          <cell r="D113" t="str">
            <v>PT. ISK</v>
          </cell>
          <cell r="E113" t="str">
            <v>PT. ISK</v>
          </cell>
        </row>
        <row r="114">
          <cell r="D114" t="str">
            <v>PT. TBS</v>
          </cell>
          <cell r="E114" t="str">
            <v>PT. TBS</v>
          </cell>
        </row>
        <row r="115">
          <cell r="D115" t="str">
            <v>PT.AGUNG BUANA UTAMA /ABU</v>
          </cell>
          <cell r="E115" t="str">
            <v>AWANG</v>
          </cell>
          <cell r="F115" t="str">
            <v>YUSUF</v>
          </cell>
          <cell r="G115" t="str">
            <v>ISMAIL</v>
          </cell>
          <cell r="H115" t="str">
            <v>BAHDRUN</v>
          </cell>
          <cell r="I115" t="str">
            <v>SAMUDRI</v>
          </cell>
          <cell r="J115" t="str">
            <v>JUMARI</v>
          </cell>
          <cell r="K115" t="str">
            <v>IMAK</v>
          </cell>
          <cell r="L115" t="str">
            <v>KARYO</v>
          </cell>
          <cell r="M115" t="str">
            <v>ALOING</v>
          </cell>
          <cell r="N115" t="str">
            <v>BAHARUDIN</v>
          </cell>
          <cell r="O115" t="str">
            <v>H.TUKIJAN</v>
          </cell>
          <cell r="P115" t="str">
            <v>AMAT</v>
          </cell>
          <cell r="Q115" t="str">
            <v>SITI</v>
          </cell>
          <cell r="R115" t="str">
            <v>FATIMAH</v>
          </cell>
          <cell r="S115" t="str">
            <v>H.ASMADIUN</v>
          </cell>
          <cell r="T115" t="str">
            <v>H.YUKIJAN</v>
          </cell>
          <cell r="U115" t="str">
            <v>WATI</v>
          </cell>
          <cell r="V115" t="str">
            <v>H.ASBULLAH</v>
          </cell>
          <cell r="W115" t="str">
            <v>KOMIDAR</v>
          </cell>
          <cell r="X115" t="str">
            <v>MEGAWATI</v>
          </cell>
          <cell r="Y115" t="str">
            <v>ALIMUDIN</v>
          </cell>
          <cell r="Z115" t="str">
            <v>MARISA</v>
          </cell>
          <cell r="AA115" t="str">
            <v>ABDUL</v>
          </cell>
          <cell r="AB115" t="str">
            <v>BAKAR</v>
          </cell>
          <cell r="AC115" t="str">
            <v>NAZIR</v>
          </cell>
        </row>
        <row r="116">
          <cell r="D116" t="str">
            <v>PT.MESKOM(PT.SSS)</v>
          </cell>
          <cell r="E116" t="str">
            <v>PT.MESKOM(PT.SSS)</v>
          </cell>
        </row>
        <row r="117">
          <cell r="D117" t="str">
            <v>R A M L I</v>
          </cell>
          <cell r="E117" t="str">
            <v>R A M L I</v>
          </cell>
        </row>
        <row r="118">
          <cell r="D118" t="str">
            <v>R.AMIR MAHMUD</v>
          </cell>
          <cell r="E118" t="str">
            <v>R.AMIR MAHMUD</v>
          </cell>
        </row>
        <row r="119">
          <cell r="D119" t="str">
            <v>R.J.S.H</v>
          </cell>
          <cell r="E119" t="str">
            <v>RAMADHAN</v>
          </cell>
          <cell r="F119" t="str">
            <v>SHOLEH</v>
          </cell>
          <cell r="G119" t="str">
            <v>GATOT</v>
          </cell>
          <cell r="H119" t="str">
            <v>HAFID</v>
          </cell>
          <cell r="I119" t="str">
            <v>RANGGA</v>
          </cell>
          <cell r="J119" t="str">
            <v>ZAINI</v>
          </cell>
          <cell r="K119" t="str">
            <v>IQBAL</v>
          </cell>
          <cell r="L119" t="str">
            <v>ARLAN</v>
          </cell>
          <cell r="M119" t="str">
            <v>ADNAN</v>
          </cell>
        </row>
        <row r="120">
          <cell r="D120" t="str">
            <v>RAHMAT</v>
          </cell>
          <cell r="E120" t="str">
            <v>RAHMAT</v>
          </cell>
        </row>
        <row r="121">
          <cell r="D121" t="str">
            <v>RAJAB</v>
          </cell>
          <cell r="E121" t="str">
            <v>RAJAB</v>
          </cell>
        </row>
        <row r="122">
          <cell r="D122" t="str">
            <v>ROSMAWATI</v>
          </cell>
          <cell r="E122" t="str">
            <v>H.ARBANI</v>
          </cell>
          <cell r="F122" t="str">
            <v>SAUDAH</v>
          </cell>
          <cell r="G122" t="str">
            <v>WISNU</v>
          </cell>
          <cell r="H122" t="str">
            <v>GUSTI</v>
          </cell>
          <cell r="I122" t="str">
            <v>ANDRIAN</v>
          </cell>
          <cell r="J122" t="str">
            <v>FEBRI</v>
          </cell>
          <cell r="K122" t="str">
            <v>ANGGI</v>
          </cell>
          <cell r="L122" t="str">
            <v>ANDRE</v>
          </cell>
        </row>
        <row r="123">
          <cell r="D123" t="str">
            <v>SERIPAH AINI</v>
          </cell>
          <cell r="E123" t="str">
            <v>ABI</v>
          </cell>
          <cell r="F123" t="str">
            <v>HJ.MARDIANA</v>
          </cell>
          <cell r="G123" t="str">
            <v>ABI</v>
          </cell>
          <cell r="H123" t="str">
            <v>H.SALEH</v>
          </cell>
          <cell r="I123" t="str">
            <v>H.HASAN</v>
          </cell>
          <cell r="J123" t="str">
            <v>TUMIRAN</v>
          </cell>
          <cell r="K123" t="str">
            <v>BASIRUN</v>
          </cell>
          <cell r="L123" t="str">
            <v>M.DAHLAN</v>
          </cell>
          <cell r="M123" t="str">
            <v>SUARDI</v>
          </cell>
          <cell r="N123" t="str">
            <v>MAEMUNAH</v>
          </cell>
          <cell r="O123" t="str">
            <v>SAKTI</v>
          </cell>
          <cell r="P123" t="str">
            <v>ARDIAN</v>
          </cell>
          <cell r="Q123" t="str">
            <v>JAMILAH</v>
          </cell>
        </row>
        <row r="124">
          <cell r="D124" t="str">
            <v>SIHOMBING</v>
          </cell>
          <cell r="E124" t="str">
            <v>SIHOMBING</v>
          </cell>
          <cell r="F124" t="str">
            <v>WIDOOD</v>
          </cell>
          <cell r="G124" t="str">
            <v>TITO</v>
          </cell>
          <cell r="H124" t="str">
            <v>SUDANAS</v>
          </cell>
        </row>
        <row r="125">
          <cell r="D125" t="str">
            <v>SITI JULAIHA</v>
          </cell>
          <cell r="E125" t="str">
            <v>ROHANI</v>
          </cell>
          <cell r="F125" t="str">
            <v>SIKHO</v>
          </cell>
          <cell r="G125" t="str">
            <v>NARSO</v>
          </cell>
          <cell r="H125" t="str">
            <v>WINARYO</v>
          </cell>
          <cell r="I125" t="str">
            <v>DULLAH</v>
          </cell>
          <cell r="J125" t="str">
            <v>ALFIAN</v>
          </cell>
          <cell r="K125" t="str">
            <v>SIDIK</v>
          </cell>
          <cell r="L125" t="str">
            <v>MUSTAFA</v>
          </cell>
          <cell r="M125" t="str">
            <v>M.ARAB</v>
          </cell>
          <cell r="N125" t="str">
            <v>DEDI</v>
          </cell>
          <cell r="O125" t="str">
            <v>GAZI</v>
          </cell>
        </row>
        <row r="126">
          <cell r="D126" t="str">
            <v>SITI RUGAYAH</v>
          </cell>
          <cell r="E126" t="str">
            <v>WILDAN</v>
          </cell>
          <cell r="F126" t="str">
            <v>AWAL</v>
          </cell>
          <cell r="G126" t="str">
            <v>SAHRAN</v>
          </cell>
          <cell r="H126" t="str">
            <v>LEMAN</v>
          </cell>
          <cell r="I126" t="str">
            <v>ILHAM</v>
          </cell>
          <cell r="J126" t="str">
            <v>BAKRI</v>
          </cell>
          <cell r="K126" t="str">
            <v>LEDI</v>
          </cell>
          <cell r="L126" t="str">
            <v>KAHAR</v>
          </cell>
          <cell r="M126" t="str">
            <v>IJAL</v>
          </cell>
          <cell r="N126" t="str">
            <v>SYAKRANI</v>
          </cell>
          <cell r="O126" t="str">
            <v>UDIN</v>
          </cell>
          <cell r="P126" t="str">
            <v>UTUH</v>
          </cell>
          <cell r="Q126" t="str">
            <v>AJAM</v>
          </cell>
        </row>
        <row r="127">
          <cell r="D127" t="str">
            <v>SUGIANTO</v>
          </cell>
          <cell r="E127" t="str">
            <v>HASAN</v>
          </cell>
          <cell r="F127" t="str">
            <v>UDIN</v>
          </cell>
          <cell r="G127" t="str">
            <v>GRIYA</v>
          </cell>
          <cell r="H127" t="str">
            <v>BASRI</v>
          </cell>
          <cell r="I127" t="str">
            <v>AHMAD</v>
          </cell>
          <cell r="J127" t="str">
            <v>AMIR</v>
          </cell>
          <cell r="K127" t="str">
            <v>H.MALIK</v>
          </cell>
          <cell r="L127" t="str">
            <v>BASRI</v>
          </cell>
          <cell r="M127" t="str">
            <v>H.MALIK</v>
          </cell>
          <cell r="N127" t="str">
            <v>H.MAHMUD</v>
          </cell>
          <cell r="O127" t="str">
            <v>KOSIM</v>
          </cell>
          <cell r="P127" t="str">
            <v>TENGMOK</v>
          </cell>
          <cell r="Q127" t="str">
            <v>SAPI'I</v>
          </cell>
          <cell r="R127" t="str">
            <v>AJENG</v>
          </cell>
          <cell r="S127" t="str">
            <v>SELVI</v>
          </cell>
          <cell r="T127" t="str">
            <v>JAMAL</v>
          </cell>
          <cell r="U127" t="str">
            <v>KOSIM</v>
          </cell>
          <cell r="V127" t="str">
            <v>MARMUAH</v>
          </cell>
          <cell r="W127" t="str">
            <v>JUKI</v>
          </cell>
          <cell r="X127" t="str">
            <v>ABAS</v>
          </cell>
          <cell r="Y127" t="str">
            <v>H.THAMRIN</v>
          </cell>
          <cell r="Z127" t="str">
            <v>MURDIONO</v>
          </cell>
        </row>
        <row r="128">
          <cell r="D128" t="str">
            <v>SUI HO</v>
          </cell>
          <cell r="E128" t="str">
            <v>SYAFUDIN</v>
          </cell>
          <cell r="F128" t="str">
            <v>EDI</v>
          </cell>
          <cell r="G128" t="str">
            <v>TOANG</v>
          </cell>
          <cell r="H128" t="str">
            <v>H.SABIRIN</v>
          </cell>
          <cell r="I128" t="str">
            <v>ARSAN</v>
          </cell>
          <cell r="J128" t="str">
            <v>JAMIUN</v>
          </cell>
          <cell r="K128" t="str">
            <v>ADI</v>
          </cell>
          <cell r="L128" t="str">
            <v>IDARWANTO</v>
          </cell>
          <cell r="M128" t="str">
            <v>SABRANI</v>
          </cell>
          <cell r="N128" t="str">
            <v>JUNAIDIN</v>
          </cell>
          <cell r="O128" t="str">
            <v>SANTOSO</v>
          </cell>
          <cell r="P128" t="str">
            <v>YUSUP</v>
          </cell>
          <cell r="Q128" t="str">
            <v>APRILYANTO</v>
          </cell>
          <cell r="R128" t="str">
            <v>SUGIONO</v>
          </cell>
          <cell r="S128" t="str">
            <v>SUKUR</v>
          </cell>
          <cell r="T128" t="str">
            <v>IDRIS</v>
          </cell>
          <cell r="U128" t="str">
            <v>AZIZ</v>
          </cell>
          <cell r="V128" t="str">
            <v>SUMARWAN</v>
          </cell>
          <cell r="W128" t="str">
            <v>MAHARDI</v>
          </cell>
          <cell r="X128" t="str">
            <v>TAMRIN</v>
          </cell>
          <cell r="Y128" t="str">
            <v>HASAN</v>
          </cell>
          <cell r="Z128" t="str">
            <v>ASMAUN</v>
          </cell>
          <cell r="AA128" t="str">
            <v>A.GANI</v>
          </cell>
          <cell r="AB128" t="str">
            <v>RAMDHAN</v>
          </cell>
          <cell r="AC128" t="str">
            <v>UTOMO</v>
          </cell>
          <cell r="AD128" t="str">
            <v>IMAN</v>
          </cell>
          <cell r="AE128" t="str">
            <v>IDARWAN</v>
          </cell>
          <cell r="AF128" t="str">
            <v>WANDI</v>
          </cell>
          <cell r="AG128" t="str">
            <v>ANAS</v>
          </cell>
          <cell r="AH128" t="str">
            <v>PUJIANTO</v>
          </cell>
          <cell r="AI128" t="str">
            <v>ANANG</v>
          </cell>
        </row>
        <row r="129">
          <cell r="D129" t="str">
            <v>SUKAMTO</v>
          </cell>
          <cell r="E129" t="str">
            <v>SUKAMTO</v>
          </cell>
        </row>
        <row r="130">
          <cell r="D130" t="str">
            <v>SYAIR</v>
          </cell>
          <cell r="E130" t="str">
            <v>SYAIR</v>
          </cell>
        </row>
        <row r="131">
          <cell r="D131" t="str">
            <v>SYAMSUL BAHRI / UD.IKAT</v>
          </cell>
          <cell r="E131" t="str">
            <v>SYAMSUL BAHRI / UD.IKAT</v>
          </cell>
        </row>
        <row r="132">
          <cell r="D132" t="str">
            <v>SYUKUR</v>
          </cell>
          <cell r="E132" t="str">
            <v>SYUKUR</v>
          </cell>
        </row>
        <row r="133">
          <cell r="D133" t="str">
            <v>UDIN</v>
          </cell>
          <cell r="E133" t="str">
            <v>UDIN</v>
          </cell>
        </row>
        <row r="134">
          <cell r="D134" t="str">
            <v>UJANG</v>
          </cell>
          <cell r="E134" t="str">
            <v>UJANG</v>
          </cell>
        </row>
        <row r="135">
          <cell r="D135" t="str">
            <v>UMAR</v>
          </cell>
          <cell r="E135" t="str">
            <v>NAWIK</v>
          </cell>
          <cell r="F135" t="str">
            <v>ANANG</v>
          </cell>
          <cell r="G135" t="str">
            <v>H.ISAY</v>
          </cell>
          <cell r="H135" t="str">
            <v>HENDRI</v>
          </cell>
          <cell r="I135" t="str">
            <v>H.DALEK</v>
          </cell>
          <cell r="J135" t="str">
            <v>BEDU</v>
          </cell>
          <cell r="K135" t="str">
            <v>KUBEK</v>
          </cell>
          <cell r="L135" t="str">
            <v>DGN</v>
          </cell>
          <cell r="M135" t="str">
            <v>MATIRU</v>
          </cell>
          <cell r="N135" t="str">
            <v>AMIR</v>
          </cell>
          <cell r="O135" t="str">
            <v>ANGGI</v>
          </cell>
          <cell r="P135" t="str">
            <v>IYAN</v>
          </cell>
          <cell r="Q135" t="str">
            <v>ANTO</v>
          </cell>
          <cell r="R135" t="str">
            <v>DARMANSYAH</v>
          </cell>
        </row>
        <row r="136">
          <cell r="D136" t="str">
            <v>USMAN</v>
          </cell>
          <cell r="E136" t="str">
            <v>MUNDAKIR</v>
          </cell>
          <cell r="F136" t="str">
            <v>MUJIONO</v>
          </cell>
          <cell r="G136" t="str">
            <v>HAMDAN</v>
          </cell>
          <cell r="H136" t="str">
            <v>SAPAWI</v>
          </cell>
          <cell r="I136" t="str">
            <v>IJAN</v>
          </cell>
          <cell r="J136" t="str">
            <v>IJAR</v>
          </cell>
          <cell r="K136" t="str">
            <v>ABAS</v>
          </cell>
          <cell r="L136" t="str">
            <v>AJIS</v>
          </cell>
          <cell r="M136" t="str">
            <v>ATIAMIN</v>
          </cell>
          <cell r="N136" t="str">
            <v>TUSRI</v>
          </cell>
          <cell r="O136" t="str">
            <v>YANTO</v>
          </cell>
          <cell r="P136" t="str">
            <v>BASTIAN</v>
          </cell>
          <cell r="Q136" t="str">
            <v>BAYAN</v>
          </cell>
          <cell r="R136" t="str">
            <v>ERI</v>
          </cell>
          <cell r="S136" t="str">
            <v>ARIFIN</v>
          </cell>
          <cell r="T136" t="str">
            <v>SUAN.</v>
          </cell>
        </row>
        <row r="137">
          <cell r="D137" t="str">
            <v>UTAU</v>
          </cell>
          <cell r="E137" t="str">
            <v>UTAU</v>
          </cell>
        </row>
        <row r="138">
          <cell r="D138" t="str">
            <v>WANDI</v>
          </cell>
          <cell r="E138" t="str">
            <v>WANDI</v>
          </cell>
        </row>
        <row r="139">
          <cell r="D139" t="str">
            <v>ZAINAL</v>
          </cell>
          <cell r="E139" t="str">
            <v>SYAFUDIN</v>
          </cell>
          <cell r="F139" t="str">
            <v>EDI</v>
          </cell>
          <cell r="G139" t="str">
            <v>TOANG</v>
          </cell>
          <cell r="H139" t="str">
            <v>H.SABIRIN</v>
          </cell>
          <cell r="I139" t="str">
            <v>ARSAN</v>
          </cell>
          <cell r="J139" t="str">
            <v>JAMIUN</v>
          </cell>
          <cell r="K139" t="str">
            <v>ADI</v>
          </cell>
          <cell r="L139" t="str">
            <v>IDARWANTO</v>
          </cell>
          <cell r="M139" t="str">
            <v>SABRANI</v>
          </cell>
          <cell r="N139" t="str">
            <v>JUNAIDIN</v>
          </cell>
          <cell r="O139" t="str">
            <v>SANTOSO</v>
          </cell>
          <cell r="P139" t="str">
            <v>YUSUP</v>
          </cell>
          <cell r="Q139" t="str">
            <v>APRILYANTO</v>
          </cell>
          <cell r="R139" t="str">
            <v>SUGIONO</v>
          </cell>
          <cell r="S139" t="str">
            <v>SUKUR</v>
          </cell>
          <cell r="T139" t="str">
            <v>IDRIS</v>
          </cell>
          <cell r="U139" t="str">
            <v>AZIZ</v>
          </cell>
          <cell r="V139" t="str">
            <v>SUMARWAN</v>
          </cell>
          <cell r="W139" t="str">
            <v>MAHARDI</v>
          </cell>
          <cell r="X139" t="str">
            <v>TAMRIN</v>
          </cell>
          <cell r="Y139" t="str">
            <v>HASAN</v>
          </cell>
          <cell r="Z139" t="str">
            <v>ASMAUN</v>
          </cell>
          <cell r="AA139" t="str">
            <v>A.GANI</v>
          </cell>
          <cell r="AB139" t="str">
            <v>RAMDHAN</v>
          </cell>
          <cell r="AC139" t="str">
            <v>UTOMO</v>
          </cell>
          <cell r="AD139" t="str">
            <v>IMAN</v>
          </cell>
          <cell r="AE139" t="str">
            <v>IDARWAN</v>
          </cell>
          <cell r="AF139" t="str">
            <v>WANDI</v>
          </cell>
          <cell r="AG139" t="str">
            <v>ANAS</v>
          </cell>
          <cell r="AH139" t="str">
            <v>PUJIANTO</v>
          </cell>
          <cell r="AI139" t="str">
            <v>ANANG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30.xml><?xml version="1.0" encoding="utf-8"?>
<externalLink xmlns="http://schemas.openxmlformats.org/spreadsheetml/2006/main">
  <externalBook xmlns:r="http://schemas.openxmlformats.org/officeDocument/2006/relationships" r:id="rId1">
    <sheetNames>
      <sheetName val="XXXXXXX"/>
      <sheetName val="XXXXXX0"/>
      <sheetName val="XXXXXX1"/>
      <sheetName val="results"/>
      <sheetName val="FORM "/>
      <sheetName val="ps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4">
          <cell r="C4" t="str">
            <v>C.8.00010-M</v>
          </cell>
          <cell r="D4" t="str">
            <v>Irianto</v>
          </cell>
          <cell r="H4" t="str">
            <v>Sheller Borongan</v>
          </cell>
          <cell r="R4" t="str">
            <v>ESS</v>
          </cell>
          <cell r="S4">
            <v>38031</v>
          </cell>
          <cell r="T4">
            <v>4</v>
          </cell>
          <cell r="U4" t="str">
            <v>Hermansyah</v>
          </cell>
          <cell r="V4" t="str">
            <v>Penc.&amp; penanggulangan tumpahan B3</v>
          </cell>
          <cell r="W4">
            <v>38033</v>
          </cell>
          <cell r="X4">
            <v>4</v>
          </cell>
          <cell r="Y4" t="str">
            <v>Hermansyah</v>
          </cell>
          <cell r="Z4" t="str">
            <v>SMK3</v>
          </cell>
          <cell r="AA4">
            <v>38034</v>
          </cell>
          <cell r="AB4">
            <v>4</v>
          </cell>
          <cell r="AC4" t="str">
            <v>Hermansyah</v>
          </cell>
          <cell r="AD4" t="str">
            <v>5S</v>
          </cell>
          <cell r="AE4">
            <v>38075</v>
          </cell>
          <cell r="AF4">
            <v>4</v>
          </cell>
          <cell r="AG4" t="str">
            <v>Hermansyah</v>
          </cell>
          <cell r="AH4" t="str">
            <v>M.Safety</v>
          </cell>
          <cell r="AI4">
            <v>38077</v>
          </cell>
          <cell r="AJ4">
            <v>4</v>
          </cell>
          <cell r="AK4" t="str">
            <v>Hermansyah</v>
          </cell>
          <cell r="AL4" t="str">
            <v>GMP HACCP</v>
          </cell>
          <cell r="AM4">
            <v>38100</v>
          </cell>
          <cell r="AN4">
            <v>4</v>
          </cell>
          <cell r="AO4" t="str">
            <v>Hermansyah</v>
          </cell>
          <cell r="AP4" t="str">
            <v>Sanitasi lingkungan</v>
          </cell>
          <cell r="AQ4">
            <v>38101</v>
          </cell>
          <cell r="AR4">
            <v>4</v>
          </cell>
          <cell r="AS4" t="str">
            <v>Hermansyah</v>
          </cell>
          <cell r="AT4" t="str">
            <v>Konservasi energi</v>
          </cell>
          <cell r="AU4">
            <v>38103</v>
          </cell>
          <cell r="AV4">
            <v>4</v>
          </cell>
          <cell r="AW4" t="str">
            <v>Hermansyah</v>
          </cell>
          <cell r="AX4" t="str">
            <v>SMK3</v>
          </cell>
          <cell r="AY4">
            <v>38119</v>
          </cell>
          <cell r="AZ4">
            <v>4</v>
          </cell>
          <cell r="BA4" t="str">
            <v>Hermansyah</v>
          </cell>
          <cell r="BB4" t="str">
            <v>ESS</v>
          </cell>
          <cell r="BC4">
            <v>38120</v>
          </cell>
          <cell r="BD4">
            <v>4</v>
          </cell>
          <cell r="BE4" t="str">
            <v>Hermansyah</v>
          </cell>
          <cell r="BF4" t="str">
            <v>Personel Protective Equipment</v>
          </cell>
          <cell r="BG4">
            <v>38121</v>
          </cell>
          <cell r="BH4">
            <v>4</v>
          </cell>
          <cell r="BI4" t="str">
            <v>Hermansyah</v>
          </cell>
          <cell r="BJ4" t="str">
            <v>ISO 17025</v>
          </cell>
          <cell r="BK4">
            <v>38148</v>
          </cell>
          <cell r="BL4">
            <v>4</v>
          </cell>
          <cell r="BM4" t="str">
            <v>Hermansyah</v>
          </cell>
          <cell r="BN4" t="str">
            <v>Medical safety</v>
          </cell>
          <cell r="BO4">
            <v>38149</v>
          </cell>
          <cell r="BP4">
            <v>4</v>
          </cell>
          <cell r="BQ4" t="str">
            <v>Hermansyah</v>
          </cell>
          <cell r="BR4" t="str">
            <v>PP Tumpahan B3</v>
          </cell>
          <cell r="BS4">
            <v>38150</v>
          </cell>
          <cell r="BT4">
            <v>4</v>
          </cell>
          <cell r="BU4" t="str">
            <v>Hermansyah</v>
          </cell>
        </row>
        <row r="5">
          <cell r="C5" t="str">
            <v>C.8.0001-M</v>
          </cell>
          <cell r="D5" t="str">
            <v>Satriadi</v>
          </cell>
          <cell r="H5" t="str">
            <v>Sheller Borongan</v>
          </cell>
          <cell r="R5" t="str">
            <v>ESS</v>
          </cell>
          <cell r="S5">
            <v>38031</v>
          </cell>
          <cell r="T5">
            <v>4</v>
          </cell>
          <cell r="U5" t="str">
            <v>Hermansyah</v>
          </cell>
          <cell r="V5" t="str">
            <v>Penc.&amp; penanggulangan tumpahan B3</v>
          </cell>
          <cell r="W5">
            <v>38033</v>
          </cell>
          <cell r="X5">
            <v>4</v>
          </cell>
          <cell r="Y5" t="str">
            <v>Hermansyah</v>
          </cell>
          <cell r="Z5" t="str">
            <v>SMK3</v>
          </cell>
          <cell r="AA5">
            <v>38034</v>
          </cell>
          <cell r="AB5">
            <v>4</v>
          </cell>
          <cell r="AC5" t="str">
            <v>Hermansyah</v>
          </cell>
          <cell r="AD5" t="str">
            <v>5S</v>
          </cell>
          <cell r="AE5">
            <v>38075</v>
          </cell>
          <cell r="AF5">
            <v>4</v>
          </cell>
          <cell r="AG5" t="str">
            <v>Hermansyah</v>
          </cell>
          <cell r="AH5" t="str">
            <v>M.Safety</v>
          </cell>
          <cell r="AI5">
            <v>38077</v>
          </cell>
          <cell r="AJ5">
            <v>4</v>
          </cell>
          <cell r="AK5" t="str">
            <v>Hermansyah</v>
          </cell>
          <cell r="AL5" t="str">
            <v>GMP HACCP</v>
          </cell>
          <cell r="AM5">
            <v>38100</v>
          </cell>
          <cell r="AN5">
            <v>4</v>
          </cell>
          <cell r="AO5" t="str">
            <v>Hermansyah</v>
          </cell>
          <cell r="AP5" t="str">
            <v>Sanitasi lingkungan</v>
          </cell>
          <cell r="AQ5">
            <v>38101</v>
          </cell>
          <cell r="AR5">
            <v>4</v>
          </cell>
          <cell r="AS5" t="str">
            <v>Hermansyah</v>
          </cell>
          <cell r="AT5" t="str">
            <v>Konservasi energi</v>
          </cell>
          <cell r="AU5">
            <v>38103</v>
          </cell>
          <cell r="AV5">
            <v>4</v>
          </cell>
          <cell r="AW5" t="str">
            <v>Hermansyah</v>
          </cell>
          <cell r="AX5" t="str">
            <v>SMK3</v>
          </cell>
          <cell r="AY5">
            <v>38119</v>
          </cell>
          <cell r="AZ5">
            <v>4</v>
          </cell>
          <cell r="BA5" t="str">
            <v>Hermansyah</v>
          </cell>
          <cell r="BB5" t="str">
            <v>ESS</v>
          </cell>
          <cell r="BC5">
            <v>38120</v>
          </cell>
          <cell r="BD5">
            <v>4</v>
          </cell>
          <cell r="BE5" t="str">
            <v>Hermansyah</v>
          </cell>
          <cell r="BF5" t="str">
            <v>Personel Protective Equipment</v>
          </cell>
          <cell r="BG5">
            <v>38121</v>
          </cell>
          <cell r="BH5">
            <v>4</v>
          </cell>
          <cell r="BI5" t="str">
            <v>Hermansyah</v>
          </cell>
          <cell r="BJ5" t="str">
            <v>ISO 17025</v>
          </cell>
          <cell r="BK5">
            <v>38148</v>
          </cell>
          <cell r="BL5">
            <v>4</v>
          </cell>
          <cell r="BM5" t="str">
            <v>Hermansyah</v>
          </cell>
          <cell r="BN5" t="str">
            <v>Medical safety</v>
          </cell>
          <cell r="BO5">
            <v>38149</v>
          </cell>
          <cell r="BP5">
            <v>4</v>
          </cell>
          <cell r="BQ5" t="str">
            <v>Hermansyah</v>
          </cell>
          <cell r="BR5" t="str">
            <v>PP Tumpahan B3</v>
          </cell>
          <cell r="BS5">
            <v>38150</v>
          </cell>
          <cell r="BT5">
            <v>4</v>
          </cell>
          <cell r="BU5" t="str">
            <v>Hermansyah</v>
          </cell>
        </row>
        <row r="6">
          <cell r="C6" t="str">
            <v>C.8.0002-M</v>
          </cell>
          <cell r="D6" t="str">
            <v>Rahayu Elisa</v>
          </cell>
          <cell r="H6" t="str">
            <v>Pencuci</v>
          </cell>
          <cell r="R6" t="str">
            <v>Super 5S</v>
          </cell>
          <cell r="S6">
            <v>38189</v>
          </cell>
          <cell r="T6">
            <v>4</v>
          </cell>
          <cell r="U6" t="str">
            <v>Lutri R</v>
          </cell>
          <cell r="V6" t="str">
            <v>GMP HACCP</v>
          </cell>
          <cell r="W6">
            <v>38190</v>
          </cell>
          <cell r="X6">
            <v>4</v>
          </cell>
          <cell r="Y6" t="str">
            <v>Lutri R</v>
          </cell>
          <cell r="Z6" t="str">
            <v>Konservasi energi</v>
          </cell>
          <cell r="AA6">
            <v>38191</v>
          </cell>
          <cell r="AB6">
            <v>4</v>
          </cell>
          <cell r="AC6" t="str">
            <v>Lutri R</v>
          </cell>
        </row>
        <row r="7">
          <cell r="C7" t="str">
            <v>C.8.0003-M</v>
          </cell>
          <cell r="D7" t="str">
            <v>Nurminah</v>
          </cell>
          <cell r="F7" t="str">
            <v>Production</v>
          </cell>
          <cell r="G7" t="str">
            <v>MP1</v>
          </cell>
          <cell r="H7" t="str">
            <v>Pencuci</v>
          </cell>
          <cell r="R7" t="str">
            <v>Konservasi energi</v>
          </cell>
          <cell r="S7">
            <v>37998</v>
          </cell>
          <cell r="T7">
            <v>4</v>
          </cell>
          <cell r="U7" t="str">
            <v>Sudra Irawan</v>
          </cell>
          <cell r="V7" t="str">
            <v>Penc. Dan penanggulangan kebakaran</v>
          </cell>
          <cell r="W7">
            <v>38002</v>
          </cell>
          <cell r="X7">
            <v>4</v>
          </cell>
          <cell r="Y7" t="str">
            <v>Sudra Irawan</v>
          </cell>
          <cell r="Z7" t="str">
            <v>APD</v>
          </cell>
          <cell r="AA7">
            <v>38006</v>
          </cell>
          <cell r="AB7">
            <v>4</v>
          </cell>
          <cell r="AC7" t="str">
            <v>Sudra Irawan</v>
          </cell>
          <cell r="AD7" t="str">
            <v>GMPHACCP</v>
          </cell>
          <cell r="AE7">
            <v>38010</v>
          </cell>
          <cell r="AF7">
            <v>4</v>
          </cell>
          <cell r="AG7" t="str">
            <v>Sudra Irawan</v>
          </cell>
          <cell r="AH7" t="str">
            <v>Konservasi energi</v>
          </cell>
          <cell r="AI7">
            <v>38087</v>
          </cell>
          <cell r="AJ7">
            <v>3</v>
          </cell>
          <cell r="AK7" t="str">
            <v>Hermanyah</v>
          </cell>
          <cell r="AL7" t="str">
            <v>Sanitasi lingkungan</v>
          </cell>
          <cell r="AM7">
            <v>38089</v>
          </cell>
          <cell r="AN7">
            <v>2</v>
          </cell>
          <cell r="AO7" t="str">
            <v>Hermanyah</v>
          </cell>
          <cell r="AP7" t="str">
            <v>GMP HACCP</v>
          </cell>
          <cell r="AQ7">
            <v>38098</v>
          </cell>
          <cell r="AR7">
            <v>2</v>
          </cell>
          <cell r="AS7" t="str">
            <v>Hermanyah</v>
          </cell>
          <cell r="AT7" t="str">
            <v>SMK3</v>
          </cell>
          <cell r="AU7">
            <v>38122</v>
          </cell>
          <cell r="AV7">
            <v>4</v>
          </cell>
          <cell r="AW7" t="str">
            <v>Nugroho W</v>
          </cell>
          <cell r="AX7" t="str">
            <v>Personel Protective Equipment</v>
          </cell>
          <cell r="AY7">
            <v>38124</v>
          </cell>
          <cell r="AZ7">
            <v>4</v>
          </cell>
          <cell r="BA7" t="str">
            <v>Nugroho W</v>
          </cell>
          <cell r="BB7" t="str">
            <v>Pest Management</v>
          </cell>
          <cell r="BC7">
            <v>38125</v>
          </cell>
          <cell r="BD7">
            <v>4</v>
          </cell>
          <cell r="BE7" t="str">
            <v>Nugroho W</v>
          </cell>
        </row>
        <row r="8">
          <cell r="C8" t="str">
            <v>C.8.0004-M</v>
          </cell>
          <cell r="D8" t="str">
            <v>Hartono</v>
          </cell>
          <cell r="H8" t="str">
            <v>Sheller Borongan</v>
          </cell>
          <cell r="R8" t="str">
            <v>ESS</v>
          </cell>
          <cell r="S8">
            <v>38031</v>
          </cell>
          <cell r="T8">
            <v>4</v>
          </cell>
          <cell r="U8" t="str">
            <v>Hermansyah</v>
          </cell>
          <cell r="V8" t="str">
            <v>Penc.&amp; penanggulangan tumpahan B3</v>
          </cell>
          <cell r="W8">
            <v>38033</v>
          </cell>
          <cell r="X8">
            <v>4</v>
          </cell>
          <cell r="Y8" t="str">
            <v>Hermansyah</v>
          </cell>
          <cell r="Z8" t="str">
            <v>SMK3</v>
          </cell>
          <cell r="AA8">
            <v>38034</v>
          </cell>
          <cell r="AB8">
            <v>4</v>
          </cell>
          <cell r="AC8" t="str">
            <v>Hermansyah</v>
          </cell>
          <cell r="AD8" t="str">
            <v>5S</v>
          </cell>
          <cell r="AE8">
            <v>38075</v>
          </cell>
          <cell r="AF8">
            <v>4</v>
          </cell>
          <cell r="AG8" t="str">
            <v>Hermansyah</v>
          </cell>
          <cell r="AH8" t="str">
            <v>M.Safety</v>
          </cell>
          <cell r="AI8">
            <v>38077</v>
          </cell>
          <cell r="AJ8">
            <v>4</v>
          </cell>
          <cell r="AK8" t="str">
            <v>Hermansyah</v>
          </cell>
          <cell r="AL8" t="str">
            <v>GMP HACCP</v>
          </cell>
          <cell r="AM8">
            <v>38100</v>
          </cell>
          <cell r="AN8">
            <v>4</v>
          </cell>
          <cell r="AO8" t="str">
            <v>Hermansyah</v>
          </cell>
          <cell r="AP8" t="str">
            <v>Sanitasi lingkungan</v>
          </cell>
          <cell r="AQ8">
            <v>38101</v>
          </cell>
          <cell r="AR8">
            <v>4</v>
          </cell>
          <cell r="AS8" t="str">
            <v>Hermansyah</v>
          </cell>
          <cell r="AT8" t="str">
            <v>Konservasi energi</v>
          </cell>
          <cell r="AU8">
            <v>38103</v>
          </cell>
          <cell r="AV8">
            <v>4</v>
          </cell>
          <cell r="AW8" t="str">
            <v>Hermansyah</v>
          </cell>
          <cell r="AX8" t="str">
            <v>SMK3</v>
          </cell>
          <cell r="AY8">
            <v>38119</v>
          </cell>
          <cell r="AZ8">
            <v>4</v>
          </cell>
          <cell r="BA8" t="str">
            <v>Hermansyah</v>
          </cell>
          <cell r="BB8" t="str">
            <v>ESS</v>
          </cell>
          <cell r="BC8">
            <v>38120</v>
          </cell>
          <cell r="BD8">
            <v>4</v>
          </cell>
          <cell r="BE8" t="str">
            <v>Hermansyah</v>
          </cell>
          <cell r="BF8" t="str">
            <v>Personel Protective Equipment</v>
          </cell>
          <cell r="BG8">
            <v>38121</v>
          </cell>
          <cell r="BH8">
            <v>4</v>
          </cell>
          <cell r="BI8" t="str">
            <v>Hermansyah</v>
          </cell>
          <cell r="BJ8" t="str">
            <v>ISO 17025</v>
          </cell>
          <cell r="BK8">
            <v>38148</v>
          </cell>
          <cell r="BL8">
            <v>4</v>
          </cell>
          <cell r="BM8" t="str">
            <v>Hermansyah</v>
          </cell>
          <cell r="BN8" t="str">
            <v>Medical safety</v>
          </cell>
          <cell r="BO8">
            <v>38149</v>
          </cell>
          <cell r="BP8">
            <v>4</v>
          </cell>
          <cell r="BQ8" t="str">
            <v>Hermansyah</v>
          </cell>
          <cell r="BR8" t="str">
            <v>PP Tumpahan B3</v>
          </cell>
          <cell r="BS8">
            <v>38150</v>
          </cell>
          <cell r="BT8">
            <v>4</v>
          </cell>
          <cell r="BU8" t="str">
            <v>Hermansyah</v>
          </cell>
        </row>
        <row r="9">
          <cell r="C9" t="str">
            <v>C.8.0005-M</v>
          </cell>
          <cell r="D9" t="str">
            <v>Budiono</v>
          </cell>
          <cell r="H9" t="str">
            <v>Parer Borongan</v>
          </cell>
          <cell r="R9" t="str">
            <v>5S</v>
          </cell>
          <cell r="S9">
            <v>38069</v>
          </cell>
          <cell r="T9">
            <v>4</v>
          </cell>
          <cell r="U9" t="str">
            <v>Hermansyah</v>
          </cell>
          <cell r="V9" t="str">
            <v>M.Safety</v>
          </cell>
          <cell r="W9">
            <v>38070</v>
          </cell>
          <cell r="X9">
            <v>4</v>
          </cell>
          <cell r="Y9" t="str">
            <v>Hermansyah</v>
          </cell>
          <cell r="Z9" t="str">
            <v>SMK3</v>
          </cell>
          <cell r="AA9">
            <v>38114</v>
          </cell>
          <cell r="AB9">
            <v>4</v>
          </cell>
          <cell r="AC9" t="str">
            <v>Hermansyah</v>
          </cell>
          <cell r="AD9" t="str">
            <v>PP Kebakaran</v>
          </cell>
          <cell r="AE9">
            <v>38115</v>
          </cell>
          <cell r="AF9">
            <v>4</v>
          </cell>
          <cell r="AG9" t="str">
            <v>Hermansyah</v>
          </cell>
          <cell r="AH9" t="str">
            <v>K3 Angkat Angkut</v>
          </cell>
          <cell r="AI9">
            <v>38116</v>
          </cell>
          <cell r="AJ9">
            <v>4</v>
          </cell>
          <cell r="AK9" t="str">
            <v>Hermansyah</v>
          </cell>
          <cell r="AL9" t="str">
            <v>GMP HACCP</v>
          </cell>
          <cell r="AM9">
            <v>38229</v>
          </cell>
          <cell r="AN9">
            <v>4</v>
          </cell>
          <cell r="AO9" t="str">
            <v>Lutri R</v>
          </cell>
        </row>
        <row r="10">
          <cell r="C10" t="str">
            <v>C.8.0006-M</v>
          </cell>
          <cell r="D10" t="str">
            <v>Rukiyah</v>
          </cell>
          <cell r="H10" t="str">
            <v>Parer Borongan</v>
          </cell>
          <cell r="R10" t="str">
            <v>ESS</v>
          </cell>
          <cell r="S10">
            <v>38111</v>
          </cell>
          <cell r="T10">
            <v>4</v>
          </cell>
          <cell r="U10" t="str">
            <v>Hermansyah</v>
          </cell>
          <cell r="V10" t="str">
            <v>SPC</v>
          </cell>
          <cell r="W10">
            <v>38112</v>
          </cell>
          <cell r="X10">
            <v>4</v>
          </cell>
          <cell r="Y10" t="str">
            <v>Hermansyah</v>
          </cell>
          <cell r="Z10" t="str">
            <v>Pest Management</v>
          </cell>
          <cell r="AA10">
            <v>38113</v>
          </cell>
          <cell r="AB10">
            <v>4</v>
          </cell>
          <cell r="AC10" t="str">
            <v>Hermansyah</v>
          </cell>
          <cell r="AD10" t="str">
            <v>GMP HACCP</v>
          </cell>
          <cell r="AE10">
            <v>38230</v>
          </cell>
          <cell r="AF10">
            <v>4</v>
          </cell>
          <cell r="AG10" t="str">
            <v>Lutri R</v>
          </cell>
        </row>
        <row r="11">
          <cell r="C11" t="str">
            <v>C.8.0007-M</v>
          </cell>
          <cell r="D11" t="str">
            <v>Binti Salbiah</v>
          </cell>
          <cell r="H11" t="str">
            <v>Parer Borongan</v>
          </cell>
          <cell r="R11" t="str">
            <v>ESS</v>
          </cell>
          <cell r="S11">
            <v>38111</v>
          </cell>
          <cell r="T11">
            <v>4</v>
          </cell>
          <cell r="U11" t="str">
            <v>Hermansyah</v>
          </cell>
          <cell r="V11" t="str">
            <v>SPC</v>
          </cell>
          <cell r="W11">
            <v>38112</v>
          </cell>
          <cell r="X11">
            <v>4</v>
          </cell>
          <cell r="Y11" t="str">
            <v>Hermansyah</v>
          </cell>
          <cell r="Z11" t="str">
            <v>Pest Management</v>
          </cell>
          <cell r="AA11">
            <v>38113</v>
          </cell>
          <cell r="AB11">
            <v>4</v>
          </cell>
          <cell r="AC11" t="str">
            <v>Hermansyah</v>
          </cell>
          <cell r="AD11" t="str">
            <v>GMP HACCP</v>
          </cell>
          <cell r="AE11">
            <v>38230</v>
          </cell>
          <cell r="AF11">
            <v>4</v>
          </cell>
          <cell r="AG11" t="str">
            <v>Lutri R</v>
          </cell>
        </row>
        <row r="12">
          <cell r="C12" t="str">
            <v>C.8.0008-M</v>
          </cell>
          <cell r="D12" t="str">
            <v>Refi Sanjaya</v>
          </cell>
          <cell r="H12" t="str">
            <v>Sheller Borongan</v>
          </cell>
          <cell r="R12" t="str">
            <v>M.Safety</v>
          </cell>
          <cell r="S12">
            <v>38056</v>
          </cell>
          <cell r="T12">
            <v>4</v>
          </cell>
          <cell r="U12" t="str">
            <v>Hermansyah</v>
          </cell>
          <cell r="V12" t="str">
            <v>5S</v>
          </cell>
          <cell r="W12">
            <v>38066</v>
          </cell>
          <cell r="X12">
            <v>4</v>
          </cell>
          <cell r="Y12" t="str">
            <v>Hermansyah</v>
          </cell>
          <cell r="Z12" t="str">
            <v>GMP HACCP</v>
          </cell>
          <cell r="AA12">
            <v>38202</v>
          </cell>
          <cell r="AB12">
            <v>4</v>
          </cell>
          <cell r="AC12" t="str">
            <v>Lutri R</v>
          </cell>
        </row>
        <row r="13">
          <cell r="C13" t="str">
            <v>C.8.0009-M</v>
          </cell>
          <cell r="D13" t="str">
            <v>Karyanto</v>
          </cell>
          <cell r="H13" t="str">
            <v>Sheller Borongan</v>
          </cell>
          <cell r="R13" t="str">
            <v>ESS</v>
          </cell>
          <cell r="S13">
            <v>38031</v>
          </cell>
          <cell r="T13">
            <v>4</v>
          </cell>
          <cell r="U13" t="str">
            <v>Hermansyah</v>
          </cell>
          <cell r="V13" t="str">
            <v>Penc.&amp; penanggulangan tumpahan B3</v>
          </cell>
          <cell r="W13">
            <v>38033</v>
          </cell>
          <cell r="X13">
            <v>4</v>
          </cell>
          <cell r="Y13" t="str">
            <v>Hermansyah</v>
          </cell>
          <cell r="Z13" t="str">
            <v>SMK3</v>
          </cell>
          <cell r="AA13">
            <v>38034</v>
          </cell>
          <cell r="AB13">
            <v>4</v>
          </cell>
          <cell r="AC13" t="str">
            <v>Hermansyah</v>
          </cell>
          <cell r="AD13" t="str">
            <v>5S</v>
          </cell>
          <cell r="AE13">
            <v>38075</v>
          </cell>
          <cell r="AF13">
            <v>4</v>
          </cell>
          <cell r="AG13" t="str">
            <v>Hermansyah</v>
          </cell>
          <cell r="AH13" t="str">
            <v>M.Safety</v>
          </cell>
          <cell r="AI13">
            <v>38077</v>
          </cell>
          <cell r="AJ13">
            <v>4</v>
          </cell>
          <cell r="AK13" t="str">
            <v>Hermansyah</v>
          </cell>
          <cell r="AL13" t="str">
            <v>GMP HACCP</v>
          </cell>
          <cell r="AM13">
            <v>38100</v>
          </cell>
          <cell r="AN13">
            <v>4</v>
          </cell>
          <cell r="AO13" t="str">
            <v>Hermansyah</v>
          </cell>
          <cell r="AP13" t="str">
            <v>Sanitasi lingkungan</v>
          </cell>
          <cell r="AQ13">
            <v>38101</v>
          </cell>
          <cell r="AR13">
            <v>4</v>
          </cell>
          <cell r="AS13" t="str">
            <v>Hermansyah</v>
          </cell>
          <cell r="AT13" t="str">
            <v>Konservasi energi</v>
          </cell>
          <cell r="AU13">
            <v>38103</v>
          </cell>
          <cell r="AV13">
            <v>4</v>
          </cell>
          <cell r="AW13" t="str">
            <v>Hermansyah</v>
          </cell>
          <cell r="AX13" t="str">
            <v>SMK3</v>
          </cell>
          <cell r="AY13">
            <v>38119</v>
          </cell>
          <cell r="AZ13">
            <v>4</v>
          </cell>
          <cell r="BA13" t="str">
            <v>Hermansyah</v>
          </cell>
          <cell r="BB13" t="str">
            <v>ESS</v>
          </cell>
          <cell r="BC13">
            <v>38120</v>
          </cell>
          <cell r="BD13">
            <v>4</v>
          </cell>
          <cell r="BE13" t="str">
            <v>Hermansyah</v>
          </cell>
          <cell r="BF13" t="str">
            <v>Personel Protective Equipment</v>
          </cell>
          <cell r="BG13">
            <v>38121</v>
          </cell>
          <cell r="BH13">
            <v>4</v>
          </cell>
          <cell r="BI13" t="str">
            <v>Hermansyah</v>
          </cell>
          <cell r="BJ13" t="str">
            <v>ISO 17025</v>
          </cell>
          <cell r="BK13">
            <v>38148</v>
          </cell>
          <cell r="BL13">
            <v>4</v>
          </cell>
          <cell r="BM13" t="str">
            <v>Hermansyah</v>
          </cell>
          <cell r="BN13" t="str">
            <v>Medical safety</v>
          </cell>
          <cell r="BO13">
            <v>38149</v>
          </cell>
          <cell r="BP13">
            <v>4</v>
          </cell>
          <cell r="BQ13" t="str">
            <v>Hermansyah</v>
          </cell>
          <cell r="BR13" t="str">
            <v>PP Tumpahan B3</v>
          </cell>
          <cell r="BS13">
            <v>38150</v>
          </cell>
          <cell r="BT13">
            <v>4</v>
          </cell>
          <cell r="BU13" t="str">
            <v>Hermansyah</v>
          </cell>
        </row>
        <row r="14">
          <cell r="C14" t="str">
            <v>C.8.0011-M</v>
          </cell>
          <cell r="D14" t="str">
            <v>Darmiana</v>
          </cell>
          <cell r="F14" t="str">
            <v>Production</v>
          </cell>
          <cell r="G14" t="str">
            <v>MP1</v>
          </cell>
          <cell r="H14" t="str">
            <v>Pencuci</v>
          </cell>
          <cell r="R14" t="str">
            <v>Konservasi energi</v>
          </cell>
          <cell r="S14">
            <v>38000</v>
          </cell>
          <cell r="T14">
            <v>4</v>
          </cell>
          <cell r="U14" t="str">
            <v>Sudra Irawan</v>
          </cell>
          <cell r="V14" t="str">
            <v>Penc. Dan penanggulangan kebakaran</v>
          </cell>
          <cell r="W14">
            <v>38002</v>
          </cell>
          <cell r="X14">
            <v>4</v>
          </cell>
          <cell r="Y14" t="str">
            <v>Sudra Irawan</v>
          </cell>
          <cell r="Z14" t="str">
            <v>APD</v>
          </cell>
          <cell r="AA14">
            <v>38007</v>
          </cell>
          <cell r="AB14">
            <v>4</v>
          </cell>
          <cell r="AC14" t="str">
            <v>Sudra Irawan</v>
          </cell>
          <cell r="AD14" t="str">
            <v>GMPHACCP</v>
          </cell>
          <cell r="AE14">
            <v>38009</v>
          </cell>
          <cell r="AF14">
            <v>4</v>
          </cell>
          <cell r="AG14" t="str">
            <v>Sudra Irawan</v>
          </cell>
          <cell r="AH14" t="str">
            <v>SPC</v>
          </cell>
          <cell r="AI14">
            <v>38055</v>
          </cell>
          <cell r="AJ14">
            <v>4</v>
          </cell>
          <cell r="AK14" t="str">
            <v>Hermansyah</v>
          </cell>
          <cell r="AL14" t="str">
            <v>5S</v>
          </cell>
          <cell r="AM14">
            <v>38069</v>
          </cell>
          <cell r="AN14">
            <v>4</v>
          </cell>
          <cell r="AO14" t="str">
            <v>Hermansyah</v>
          </cell>
          <cell r="AP14" t="str">
            <v>M.Safety</v>
          </cell>
          <cell r="AQ14">
            <v>38077</v>
          </cell>
          <cell r="AR14">
            <v>4</v>
          </cell>
          <cell r="AS14" t="str">
            <v>Hermansyah</v>
          </cell>
          <cell r="AT14" t="str">
            <v>Konservasi energi</v>
          </cell>
          <cell r="AU14">
            <v>38087</v>
          </cell>
          <cell r="AV14">
            <v>3</v>
          </cell>
          <cell r="AW14" t="str">
            <v>Hermanyah</v>
          </cell>
          <cell r="AX14" t="str">
            <v>Sanitasi lingkungan</v>
          </cell>
          <cell r="AY14">
            <v>38089</v>
          </cell>
          <cell r="AZ14">
            <v>2</v>
          </cell>
          <cell r="BA14" t="str">
            <v>Hermanyah</v>
          </cell>
          <cell r="BB14" t="str">
            <v>GMP HACCP</v>
          </cell>
          <cell r="BC14">
            <v>38098</v>
          </cell>
          <cell r="BD14">
            <v>2</v>
          </cell>
          <cell r="BE14" t="str">
            <v>Hermanyah</v>
          </cell>
          <cell r="BF14" t="str">
            <v>Super 5S</v>
          </cell>
          <cell r="BG14">
            <v>38185</v>
          </cell>
          <cell r="BH14">
            <v>3</v>
          </cell>
          <cell r="BI14" t="str">
            <v>Lutri Rasyid</v>
          </cell>
          <cell r="BJ14" t="str">
            <v>GMP HACCP</v>
          </cell>
          <cell r="BK14">
            <v>38187</v>
          </cell>
          <cell r="BL14">
            <v>4</v>
          </cell>
          <cell r="BM14" t="str">
            <v>Lutri Rasyid</v>
          </cell>
          <cell r="BN14" t="str">
            <v>Konservasi energi</v>
          </cell>
          <cell r="BO14">
            <v>38188</v>
          </cell>
          <cell r="BP14">
            <v>4</v>
          </cell>
          <cell r="BQ14" t="str">
            <v>Lutri Rasyid</v>
          </cell>
        </row>
        <row r="15">
          <cell r="C15" t="str">
            <v>C.8.0012-M</v>
          </cell>
          <cell r="D15" t="str">
            <v>Dewi Santi</v>
          </cell>
          <cell r="F15" t="str">
            <v>Production</v>
          </cell>
          <cell r="G15" t="str">
            <v>MP1</v>
          </cell>
          <cell r="H15" t="str">
            <v>Pencuci</v>
          </cell>
          <cell r="R15" t="str">
            <v>Konservasi energi</v>
          </cell>
          <cell r="S15">
            <v>38000</v>
          </cell>
          <cell r="T15">
            <v>4</v>
          </cell>
          <cell r="U15" t="str">
            <v>Sudra Irawan</v>
          </cell>
          <cell r="V15" t="str">
            <v>Penc. Dan penanggulangan kebakaran</v>
          </cell>
          <cell r="W15">
            <v>38002</v>
          </cell>
          <cell r="X15">
            <v>4</v>
          </cell>
          <cell r="Y15" t="str">
            <v>Sudra Irawan</v>
          </cell>
          <cell r="Z15" t="str">
            <v>APD</v>
          </cell>
          <cell r="AA15">
            <v>38007</v>
          </cell>
          <cell r="AB15">
            <v>4</v>
          </cell>
          <cell r="AC15" t="str">
            <v>Sudra Irawan</v>
          </cell>
          <cell r="AD15" t="str">
            <v>GMPHACCP</v>
          </cell>
          <cell r="AE15">
            <v>38009</v>
          </cell>
          <cell r="AF15">
            <v>4</v>
          </cell>
          <cell r="AG15" t="str">
            <v>Sudra Irawan</v>
          </cell>
          <cell r="AH15" t="str">
            <v>5S</v>
          </cell>
          <cell r="AI15">
            <v>38054</v>
          </cell>
          <cell r="AJ15">
            <v>4</v>
          </cell>
          <cell r="AK15" t="str">
            <v>Hermansyah</v>
          </cell>
          <cell r="AL15" t="str">
            <v>SPC</v>
          </cell>
          <cell r="AM15">
            <v>38055</v>
          </cell>
          <cell r="AN15">
            <v>4</v>
          </cell>
          <cell r="AO15" t="str">
            <v>Hermansyah</v>
          </cell>
          <cell r="AP15" t="str">
            <v>M.Safety</v>
          </cell>
          <cell r="AQ15">
            <v>38077</v>
          </cell>
          <cell r="AR15">
            <v>4</v>
          </cell>
          <cell r="AS15" t="str">
            <v>Hermansyah</v>
          </cell>
          <cell r="AT15" t="str">
            <v>Konservasi energi</v>
          </cell>
          <cell r="AU15">
            <v>38087</v>
          </cell>
          <cell r="AV15">
            <v>3</v>
          </cell>
          <cell r="AW15" t="str">
            <v>Hermanyah</v>
          </cell>
          <cell r="AX15" t="str">
            <v>Sanitasi lingkungan</v>
          </cell>
          <cell r="AY15">
            <v>38089</v>
          </cell>
          <cell r="AZ15">
            <v>2</v>
          </cell>
          <cell r="BA15" t="str">
            <v>Hermanyah</v>
          </cell>
          <cell r="BB15" t="str">
            <v>GMP HACCP</v>
          </cell>
          <cell r="BC15">
            <v>38098</v>
          </cell>
          <cell r="BD15">
            <v>2</v>
          </cell>
          <cell r="BE15" t="str">
            <v>Hermanyah</v>
          </cell>
          <cell r="BF15" t="str">
            <v>SMK3</v>
          </cell>
          <cell r="BG15">
            <v>38122</v>
          </cell>
          <cell r="BH15">
            <v>4</v>
          </cell>
          <cell r="BI15" t="str">
            <v>Nugroho W</v>
          </cell>
          <cell r="BJ15" t="str">
            <v>Personel Protective Equipment</v>
          </cell>
          <cell r="BK15">
            <v>38124</v>
          </cell>
          <cell r="BL15">
            <v>4</v>
          </cell>
          <cell r="BM15" t="str">
            <v>Nugroho W</v>
          </cell>
          <cell r="BN15" t="str">
            <v>Pest Management</v>
          </cell>
          <cell r="BO15">
            <v>38125</v>
          </cell>
          <cell r="BP15">
            <v>4</v>
          </cell>
          <cell r="BQ15" t="str">
            <v>Nugroho W</v>
          </cell>
          <cell r="BR15" t="str">
            <v>Super 5S</v>
          </cell>
          <cell r="BS15">
            <v>38185</v>
          </cell>
          <cell r="BT15">
            <v>3</v>
          </cell>
          <cell r="BU15" t="str">
            <v>Lutri Rasyid</v>
          </cell>
          <cell r="BV15" t="str">
            <v>GMP HACCP</v>
          </cell>
          <cell r="BW15">
            <v>38187</v>
          </cell>
          <cell r="BX15">
            <v>4</v>
          </cell>
          <cell r="BY15" t="str">
            <v>Lutri Rasyid</v>
          </cell>
          <cell r="BZ15" t="str">
            <v>Konservasi energi</v>
          </cell>
          <cell r="CA15">
            <v>38188</v>
          </cell>
          <cell r="CB15">
            <v>4</v>
          </cell>
          <cell r="CC15" t="str">
            <v>Lutri Rasyid</v>
          </cell>
        </row>
        <row r="16">
          <cell r="C16" t="str">
            <v>C.8.0013-M</v>
          </cell>
          <cell r="D16" t="str">
            <v>Akbar</v>
          </cell>
          <cell r="H16" t="str">
            <v>Parer Borongan</v>
          </cell>
          <cell r="R16" t="str">
            <v>5S</v>
          </cell>
          <cell r="S16">
            <v>38069</v>
          </cell>
          <cell r="T16">
            <v>4</v>
          </cell>
          <cell r="U16" t="str">
            <v>Hermansyah</v>
          </cell>
          <cell r="V16" t="str">
            <v>M.Safety</v>
          </cell>
          <cell r="W16">
            <v>38070</v>
          </cell>
          <cell r="X16">
            <v>4</v>
          </cell>
          <cell r="Y16" t="str">
            <v>Hermansyah</v>
          </cell>
          <cell r="Z16" t="str">
            <v>SMK3</v>
          </cell>
          <cell r="AA16">
            <v>38114</v>
          </cell>
          <cell r="AB16">
            <v>4</v>
          </cell>
          <cell r="AC16" t="str">
            <v>Hermansyah</v>
          </cell>
          <cell r="AD16" t="str">
            <v>PP Kebakaran</v>
          </cell>
          <cell r="AE16">
            <v>38115</v>
          </cell>
          <cell r="AF16">
            <v>4</v>
          </cell>
          <cell r="AG16" t="str">
            <v>Hermansyah</v>
          </cell>
          <cell r="AH16" t="str">
            <v>K3 Angkat Angkut</v>
          </cell>
          <cell r="AI16">
            <v>38116</v>
          </cell>
          <cell r="AJ16">
            <v>4</v>
          </cell>
          <cell r="AK16" t="str">
            <v>Hermansyah</v>
          </cell>
          <cell r="AL16" t="str">
            <v>GMP HACCP</v>
          </cell>
          <cell r="AM16">
            <v>38230</v>
          </cell>
          <cell r="AN16">
            <v>4</v>
          </cell>
          <cell r="AO16" t="str">
            <v>Lutri R</v>
          </cell>
        </row>
        <row r="17">
          <cell r="C17" t="str">
            <v>C.8.0014-M</v>
          </cell>
          <cell r="D17" t="str">
            <v>Ebesman</v>
          </cell>
          <cell r="F17" t="str">
            <v>Production</v>
          </cell>
          <cell r="G17" t="str">
            <v>MP1</v>
          </cell>
          <cell r="H17" t="str">
            <v>Cleaning/Pengisian</v>
          </cell>
          <cell r="R17" t="str">
            <v>Konservasi energi</v>
          </cell>
          <cell r="S17">
            <v>37998</v>
          </cell>
          <cell r="T17">
            <v>4</v>
          </cell>
          <cell r="U17" t="str">
            <v>Sudra Irawan</v>
          </cell>
          <cell r="V17" t="str">
            <v>Penc. Dan penanggulangan kebakaran</v>
          </cell>
          <cell r="W17">
            <v>38005</v>
          </cell>
          <cell r="X17">
            <v>4</v>
          </cell>
          <cell r="Y17" t="str">
            <v>Sudra Irawan</v>
          </cell>
          <cell r="Z17" t="str">
            <v>APD</v>
          </cell>
          <cell r="AA17">
            <v>38006</v>
          </cell>
          <cell r="AB17">
            <v>4</v>
          </cell>
          <cell r="AC17" t="str">
            <v>Sudra Irawan</v>
          </cell>
          <cell r="AD17" t="str">
            <v>GMPHACCP</v>
          </cell>
          <cell r="AE17">
            <v>38009</v>
          </cell>
          <cell r="AF17">
            <v>4</v>
          </cell>
          <cell r="AG17" t="str">
            <v>Sudra Irawan</v>
          </cell>
          <cell r="AH17" t="str">
            <v>ESS</v>
          </cell>
          <cell r="AI17">
            <v>38020</v>
          </cell>
          <cell r="AJ17">
            <v>4</v>
          </cell>
          <cell r="AK17" t="str">
            <v>Edi S</v>
          </cell>
          <cell r="AL17" t="str">
            <v>SMK3</v>
          </cell>
          <cell r="AM17">
            <v>38021</v>
          </cell>
          <cell r="AN17">
            <v>4</v>
          </cell>
          <cell r="AO17" t="str">
            <v>Rosintan</v>
          </cell>
          <cell r="AP17" t="str">
            <v>Penc.&amp;penanggulangan tumpahan B3</v>
          </cell>
          <cell r="AQ17">
            <v>38022</v>
          </cell>
          <cell r="AR17">
            <v>4</v>
          </cell>
          <cell r="AS17" t="str">
            <v>Edi S</v>
          </cell>
          <cell r="AT17" t="str">
            <v>M.Safety</v>
          </cell>
          <cell r="AU17">
            <v>38064</v>
          </cell>
          <cell r="AV17">
            <v>4</v>
          </cell>
          <cell r="AW17" t="str">
            <v>Hermansyah</v>
          </cell>
          <cell r="AX17" t="str">
            <v>5S</v>
          </cell>
          <cell r="AY17">
            <v>38066</v>
          </cell>
          <cell r="AZ17">
            <v>4</v>
          </cell>
          <cell r="BA17" t="str">
            <v>Hermansyah</v>
          </cell>
          <cell r="BB17" t="str">
            <v>GMP HACCP</v>
          </cell>
          <cell r="BC17">
            <v>38085</v>
          </cell>
          <cell r="BD17">
            <v>3</v>
          </cell>
          <cell r="BE17" t="str">
            <v>Rosintan</v>
          </cell>
          <cell r="BF17" t="str">
            <v>Konservasi Energi</v>
          </cell>
          <cell r="BG17">
            <v>38087</v>
          </cell>
          <cell r="BH17">
            <v>3</v>
          </cell>
          <cell r="BI17" t="str">
            <v>Rosintan</v>
          </cell>
          <cell r="BJ17" t="str">
            <v>Sanitasi Lingkungan</v>
          </cell>
          <cell r="BK17">
            <v>38089</v>
          </cell>
          <cell r="BL17">
            <v>2</v>
          </cell>
          <cell r="BM17" t="str">
            <v>Rosintan</v>
          </cell>
          <cell r="BN17" t="str">
            <v>Personal Protective Equipment</v>
          </cell>
          <cell r="BO17">
            <v>38121</v>
          </cell>
          <cell r="BP17">
            <v>4</v>
          </cell>
          <cell r="BQ17" t="str">
            <v>Abdullah</v>
          </cell>
          <cell r="BR17" t="str">
            <v>PP Kebakaran</v>
          </cell>
          <cell r="BS17">
            <v>38122</v>
          </cell>
          <cell r="BT17">
            <v>4</v>
          </cell>
          <cell r="BU17" t="str">
            <v>Abdullah</v>
          </cell>
          <cell r="BV17" t="str">
            <v>Medical Safety</v>
          </cell>
          <cell r="BW17">
            <v>38148</v>
          </cell>
          <cell r="BX17">
            <v>4</v>
          </cell>
          <cell r="BY17" t="str">
            <v>Leonardes</v>
          </cell>
          <cell r="BZ17" t="str">
            <v>PP Tumpahan B3</v>
          </cell>
          <cell r="CA17">
            <v>38149</v>
          </cell>
          <cell r="CB17">
            <v>4</v>
          </cell>
          <cell r="CC17" t="str">
            <v>Leonardes</v>
          </cell>
          <cell r="CD17" t="str">
            <v>ISO 17025</v>
          </cell>
          <cell r="CE17">
            <v>38150</v>
          </cell>
          <cell r="CF17">
            <v>4</v>
          </cell>
          <cell r="CG17" t="str">
            <v>Leonardes</v>
          </cell>
          <cell r="CH17" t="str">
            <v>GMP HACCP</v>
          </cell>
          <cell r="CI17">
            <v>38201</v>
          </cell>
          <cell r="CJ17">
            <v>4</v>
          </cell>
          <cell r="CK17" t="str">
            <v>Leonardes</v>
          </cell>
        </row>
        <row r="18">
          <cell r="C18" t="str">
            <v>C.8.0015-M</v>
          </cell>
          <cell r="D18" t="str">
            <v>Sri Yanti</v>
          </cell>
          <cell r="H18" t="str">
            <v>Parer Borongan</v>
          </cell>
          <cell r="R18" t="str">
            <v>5S</v>
          </cell>
          <cell r="S18">
            <v>38071</v>
          </cell>
          <cell r="T18">
            <v>4</v>
          </cell>
          <cell r="U18" t="str">
            <v>Hermansyah</v>
          </cell>
          <cell r="V18" t="str">
            <v>M.Safety</v>
          </cell>
          <cell r="W18">
            <v>38072</v>
          </cell>
          <cell r="X18">
            <v>4</v>
          </cell>
          <cell r="Y18" t="str">
            <v>Hermansyah</v>
          </cell>
          <cell r="Z18" t="str">
            <v>ESS</v>
          </cell>
          <cell r="AA18">
            <v>38111</v>
          </cell>
          <cell r="AB18">
            <v>4</v>
          </cell>
          <cell r="AC18" t="str">
            <v>Hermansyah</v>
          </cell>
          <cell r="AD18" t="str">
            <v>SPC</v>
          </cell>
          <cell r="AE18">
            <v>38112</v>
          </cell>
          <cell r="AF18">
            <v>4</v>
          </cell>
          <cell r="AG18" t="str">
            <v>Hermansyah</v>
          </cell>
          <cell r="AH18" t="str">
            <v>Pest Management</v>
          </cell>
          <cell r="AI18">
            <v>38113</v>
          </cell>
          <cell r="AJ18">
            <v>4</v>
          </cell>
          <cell r="AK18" t="str">
            <v>Hermansyah</v>
          </cell>
          <cell r="AL18" t="str">
            <v>GMP HACCP</v>
          </cell>
          <cell r="AM18">
            <v>38229</v>
          </cell>
          <cell r="AN18">
            <v>4</v>
          </cell>
          <cell r="AO18" t="str">
            <v>Lutri R</v>
          </cell>
        </row>
        <row r="19">
          <cell r="C19" t="str">
            <v>C.8.0016-M</v>
          </cell>
          <cell r="D19" t="str">
            <v>Kamsina</v>
          </cell>
          <cell r="F19" t="str">
            <v>Production</v>
          </cell>
          <cell r="G19" t="str">
            <v>MP1</v>
          </cell>
          <cell r="H19" t="str">
            <v>Pencuci</v>
          </cell>
          <cell r="R19" t="str">
            <v>Konservasi energi</v>
          </cell>
          <cell r="S19">
            <v>37998</v>
          </cell>
          <cell r="T19">
            <v>4</v>
          </cell>
          <cell r="U19" t="str">
            <v>Sudra Irawan</v>
          </cell>
          <cell r="V19" t="str">
            <v>Penc. Dan penanggulangan kebakaran</v>
          </cell>
          <cell r="W19">
            <v>38002</v>
          </cell>
          <cell r="X19">
            <v>4</v>
          </cell>
          <cell r="Y19" t="str">
            <v>Sudra Irawan</v>
          </cell>
          <cell r="Z19" t="str">
            <v>APD</v>
          </cell>
          <cell r="AA19">
            <v>38006</v>
          </cell>
          <cell r="AB19">
            <v>4</v>
          </cell>
          <cell r="AC19" t="str">
            <v>Sudra Irawan</v>
          </cell>
          <cell r="AD19" t="str">
            <v>GMPHACCP</v>
          </cell>
          <cell r="AE19">
            <v>38010</v>
          </cell>
          <cell r="AF19">
            <v>4</v>
          </cell>
          <cell r="AG19" t="str">
            <v>Sudra Irawan</v>
          </cell>
          <cell r="AH19" t="str">
            <v>5S</v>
          </cell>
          <cell r="AI19">
            <v>38054</v>
          </cell>
          <cell r="AJ19">
            <v>4</v>
          </cell>
          <cell r="AK19" t="str">
            <v>Hermansyah</v>
          </cell>
          <cell r="AL19" t="str">
            <v>SPC</v>
          </cell>
          <cell r="AM19">
            <v>38055</v>
          </cell>
          <cell r="AN19">
            <v>4</v>
          </cell>
          <cell r="AO19" t="str">
            <v>Hermansyah</v>
          </cell>
          <cell r="AP19" t="str">
            <v>M.Safety</v>
          </cell>
          <cell r="AQ19">
            <v>38077</v>
          </cell>
          <cell r="AR19">
            <v>4</v>
          </cell>
          <cell r="AS19" t="str">
            <v>Hermansyah</v>
          </cell>
          <cell r="AT19" t="str">
            <v>SMK3</v>
          </cell>
          <cell r="AU19">
            <v>38122</v>
          </cell>
          <cell r="AV19">
            <v>4</v>
          </cell>
          <cell r="AW19" t="str">
            <v>Nugroho W</v>
          </cell>
          <cell r="AX19" t="str">
            <v>Personel Protective Equipment</v>
          </cell>
          <cell r="AY19">
            <v>38124</v>
          </cell>
          <cell r="AZ19">
            <v>4</v>
          </cell>
          <cell r="BA19" t="str">
            <v>Nugroho W</v>
          </cell>
          <cell r="BB19" t="str">
            <v>Pest Management</v>
          </cell>
          <cell r="BC19">
            <v>38125</v>
          </cell>
          <cell r="BD19">
            <v>4</v>
          </cell>
          <cell r="BE19" t="str">
            <v>Nugroho W</v>
          </cell>
          <cell r="BF19" t="str">
            <v>Super 5S</v>
          </cell>
          <cell r="BG19">
            <v>38185</v>
          </cell>
          <cell r="BH19">
            <v>3</v>
          </cell>
          <cell r="BI19" t="str">
            <v>Lutri Rasyid</v>
          </cell>
          <cell r="BJ19" t="str">
            <v>GMP HACCP</v>
          </cell>
          <cell r="BK19">
            <v>38187</v>
          </cell>
          <cell r="BL19">
            <v>4</v>
          </cell>
          <cell r="BM19" t="str">
            <v>Lutri Rasyid</v>
          </cell>
          <cell r="BN19" t="str">
            <v>Konservasi energi</v>
          </cell>
          <cell r="BO19">
            <v>38188</v>
          </cell>
          <cell r="BP19">
            <v>4</v>
          </cell>
          <cell r="BQ19" t="str">
            <v>Lutri Rasyid</v>
          </cell>
        </row>
        <row r="20">
          <cell r="C20" t="str">
            <v>C.8.0018-M</v>
          </cell>
          <cell r="D20" t="str">
            <v>Kasno Waluyo</v>
          </cell>
          <cell r="H20" t="str">
            <v>Parer Borongan</v>
          </cell>
          <cell r="R20" t="str">
            <v>5S</v>
          </cell>
          <cell r="S20">
            <v>38069</v>
          </cell>
          <cell r="T20">
            <v>4</v>
          </cell>
          <cell r="U20" t="str">
            <v>Hermansyah</v>
          </cell>
          <cell r="V20" t="str">
            <v>M.Safety</v>
          </cell>
          <cell r="W20">
            <v>38070</v>
          </cell>
          <cell r="X20">
            <v>4</v>
          </cell>
          <cell r="Y20" t="str">
            <v>Hermansyah</v>
          </cell>
          <cell r="Z20" t="str">
            <v>SMK3</v>
          </cell>
          <cell r="AA20">
            <v>38114</v>
          </cell>
          <cell r="AB20">
            <v>4</v>
          </cell>
          <cell r="AC20" t="str">
            <v>Hermansyah</v>
          </cell>
          <cell r="AD20" t="str">
            <v>PP Kebakaran</v>
          </cell>
          <cell r="AE20">
            <v>38115</v>
          </cell>
          <cell r="AF20">
            <v>4</v>
          </cell>
          <cell r="AG20" t="str">
            <v>Hermansyah</v>
          </cell>
          <cell r="AH20" t="str">
            <v>K3 Angkat Angkut</v>
          </cell>
          <cell r="AI20">
            <v>38116</v>
          </cell>
          <cell r="AJ20">
            <v>4</v>
          </cell>
          <cell r="AK20" t="str">
            <v>Hermansyah</v>
          </cell>
          <cell r="AL20" t="str">
            <v>GMP HACCP</v>
          </cell>
          <cell r="AM20">
            <v>38229</v>
          </cell>
          <cell r="AN20">
            <v>4</v>
          </cell>
          <cell r="AO20" t="str">
            <v>Lutri R</v>
          </cell>
        </row>
        <row r="21">
          <cell r="C21" t="str">
            <v>C.8.0019-M</v>
          </cell>
          <cell r="D21" t="str">
            <v>Siti Fatimah</v>
          </cell>
          <cell r="H21" t="str">
            <v>Parer Borongan</v>
          </cell>
          <cell r="R21" t="str">
            <v>5S</v>
          </cell>
          <cell r="S21">
            <v>38071</v>
          </cell>
          <cell r="T21">
            <v>4</v>
          </cell>
          <cell r="U21" t="str">
            <v>Hermansyah</v>
          </cell>
          <cell r="V21" t="str">
            <v>M.Safety</v>
          </cell>
          <cell r="W21">
            <v>38072</v>
          </cell>
          <cell r="X21">
            <v>4</v>
          </cell>
          <cell r="Y21" t="str">
            <v>Hermansyah</v>
          </cell>
          <cell r="Z21" t="str">
            <v>ESS</v>
          </cell>
          <cell r="AA21">
            <v>38111</v>
          </cell>
          <cell r="AB21">
            <v>4</v>
          </cell>
          <cell r="AC21" t="str">
            <v>Hermansyah</v>
          </cell>
          <cell r="AD21" t="str">
            <v>SPC</v>
          </cell>
          <cell r="AE21">
            <v>38112</v>
          </cell>
          <cell r="AF21">
            <v>4</v>
          </cell>
          <cell r="AG21" t="str">
            <v>Hermansyah</v>
          </cell>
          <cell r="AH21" t="str">
            <v>Pest Management</v>
          </cell>
          <cell r="AI21">
            <v>38113</v>
          </cell>
          <cell r="AJ21">
            <v>4</v>
          </cell>
          <cell r="AK21" t="str">
            <v>Hermansyah</v>
          </cell>
          <cell r="AL21" t="str">
            <v>GMP HACCP</v>
          </cell>
          <cell r="AM21">
            <v>38229</v>
          </cell>
          <cell r="AN21">
            <v>4</v>
          </cell>
          <cell r="AO21" t="str">
            <v>Lutri R</v>
          </cell>
        </row>
        <row r="22">
          <cell r="C22" t="str">
            <v>C.8.0020-M</v>
          </cell>
          <cell r="D22" t="str">
            <v>Kursani</v>
          </cell>
          <cell r="H22" t="str">
            <v>Parer Borongan</v>
          </cell>
          <cell r="R22" t="str">
            <v>5S</v>
          </cell>
          <cell r="S22">
            <v>38071</v>
          </cell>
          <cell r="T22">
            <v>4</v>
          </cell>
          <cell r="U22" t="str">
            <v>Hermansyah</v>
          </cell>
          <cell r="V22" t="str">
            <v>M.Safety</v>
          </cell>
          <cell r="W22">
            <v>38072</v>
          </cell>
          <cell r="X22">
            <v>4</v>
          </cell>
          <cell r="Y22" t="str">
            <v>Hermansyah</v>
          </cell>
          <cell r="Z22" t="str">
            <v>ESS</v>
          </cell>
          <cell r="AA22">
            <v>38111</v>
          </cell>
          <cell r="AB22">
            <v>4</v>
          </cell>
          <cell r="AC22" t="str">
            <v>Hermansyah</v>
          </cell>
          <cell r="AD22" t="str">
            <v>SPC</v>
          </cell>
          <cell r="AE22">
            <v>38112</v>
          </cell>
          <cell r="AF22">
            <v>4</v>
          </cell>
          <cell r="AG22" t="str">
            <v>Hermansyah</v>
          </cell>
          <cell r="AH22" t="str">
            <v>Pest Management</v>
          </cell>
          <cell r="AI22">
            <v>38113</v>
          </cell>
          <cell r="AJ22">
            <v>4</v>
          </cell>
          <cell r="AK22" t="str">
            <v>Hermansyah</v>
          </cell>
          <cell r="AL22" t="str">
            <v>GMP HACCP</v>
          </cell>
          <cell r="AM22">
            <v>38229</v>
          </cell>
          <cell r="AN22">
            <v>4</v>
          </cell>
          <cell r="AO22" t="str">
            <v>Lutri R</v>
          </cell>
        </row>
        <row r="23">
          <cell r="C23" t="str">
            <v>C.8.0021-M</v>
          </cell>
          <cell r="D23" t="str">
            <v>Mulyadi.A</v>
          </cell>
          <cell r="H23" t="str">
            <v>Parer Borongan</v>
          </cell>
          <cell r="R23" t="str">
            <v>5S</v>
          </cell>
          <cell r="S23">
            <v>38069</v>
          </cell>
          <cell r="T23">
            <v>4</v>
          </cell>
          <cell r="U23" t="str">
            <v>Hermansyah</v>
          </cell>
          <cell r="V23" t="str">
            <v>M.Safety</v>
          </cell>
          <cell r="W23">
            <v>38070</v>
          </cell>
          <cell r="X23">
            <v>4</v>
          </cell>
          <cell r="Y23" t="str">
            <v>Hermansyah</v>
          </cell>
          <cell r="Z23" t="str">
            <v>SMK3</v>
          </cell>
          <cell r="AA23">
            <v>38114</v>
          </cell>
          <cell r="AB23">
            <v>4</v>
          </cell>
          <cell r="AC23" t="str">
            <v>Hermansyah</v>
          </cell>
          <cell r="AD23" t="str">
            <v>PP Kebakaran</v>
          </cell>
          <cell r="AE23">
            <v>38115</v>
          </cell>
          <cell r="AF23">
            <v>4</v>
          </cell>
          <cell r="AG23" t="str">
            <v>Hermansyah</v>
          </cell>
          <cell r="AH23" t="str">
            <v>K3 Angkat Angkut</v>
          </cell>
          <cell r="AI23">
            <v>38116</v>
          </cell>
          <cell r="AJ23">
            <v>4</v>
          </cell>
          <cell r="AK23" t="str">
            <v>Hermansyah</v>
          </cell>
          <cell r="AL23" t="str">
            <v>GMP HACCP</v>
          </cell>
          <cell r="AM23">
            <v>38229</v>
          </cell>
          <cell r="AN23">
            <v>4</v>
          </cell>
          <cell r="AO23" t="str">
            <v>Lutri R</v>
          </cell>
        </row>
        <row r="24">
          <cell r="C24" t="str">
            <v>C.8.0022-M</v>
          </cell>
          <cell r="D24" t="str">
            <v>Trisnani</v>
          </cell>
          <cell r="F24" t="str">
            <v>Production</v>
          </cell>
          <cell r="G24" t="str">
            <v>MP1</v>
          </cell>
          <cell r="H24" t="str">
            <v>Pencuci</v>
          </cell>
          <cell r="R24" t="str">
            <v>Konservasi energi</v>
          </cell>
          <cell r="S24">
            <v>37998</v>
          </cell>
          <cell r="T24">
            <v>4</v>
          </cell>
          <cell r="U24" t="str">
            <v>Sudra Irawan</v>
          </cell>
          <cell r="V24" t="str">
            <v>Penc. Dan penanggulangan kebakaran</v>
          </cell>
          <cell r="W24">
            <v>38002</v>
          </cell>
          <cell r="X24">
            <v>4</v>
          </cell>
          <cell r="Y24" t="str">
            <v>Sudra Irawan</v>
          </cell>
          <cell r="Z24" t="str">
            <v>APD</v>
          </cell>
          <cell r="AA24">
            <v>38006</v>
          </cell>
          <cell r="AB24">
            <v>4</v>
          </cell>
          <cell r="AC24" t="str">
            <v>Sudra Irawan</v>
          </cell>
          <cell r="AD24" t="str">
            <v>GMPHACCP</v>
          </cell>
          <cell r="AE24">
            <v>38010</v>
          </cell>
          <cell r="AF24">
            <v>4</v>
          </cell>
          <cell r="AG24" t="str">
            <v>Sudra Irawan</v>
          </cell>
          <cell r="AH24" t="str">
            <v>Konservasi energi</v>
          </cell>
          <cell r="AI24">
            <v>38087</v>
          </cell>
          <cell r="AJ24">
            <v>3</v>
          </cell>
          <cell r="AK24" t="str">
            <v>Hermanyah</v>
          </cell>
          <cell r="AL24" t="str">
            <v>Sanitasi lingkungan</v>
          </cell>
          <cell r="AM24">
            <v>38089</v>
          </cell>
          <cell r="AN24">
            <v>2</v>
          </cell>
          <cell r="AO24" t="str">
            <v>Hermanyah</v>
          </cell>
          <cell r="AP24" t="str">
            <v>GMP HACCP</v>
          </cell>
          <cell r="AQ24">
            <v>38098</v>
          </cell>
          <cell r="AR24">
            <v>2</v>
          </cell>
          <cell r="AS24" t="str">
            <v>Hermanyah</v>
          </cell>
          <cell r="AT24" t="str">
            <v>Super 5S</v>
          </cell>
          <cell r="AU24">
            <v>38185</v>
          </cell>
          <cell r="AV24">
            <v>3</v>
          </cell>
          <cell r="AW24" t="str">
            <v>Lutri Rasyid</v>
          </cell>
          <cell r="AX24" t="str">
            <v>GMP HACCP</v>
          </cell>
          <cell r="AY24">
            <v>38187</v>
          </cell>
          <cell r="AZ24">
            <v>4</v>
          </cell>
          <cell r="BA24" t="str">
            <v>Lutri Rasyid</v>
          </cell>
          <cell r="BB24" t="str">
            <v>Konservasi energi</v>
          </cell>
          <cell r="BC24">
            <v>38188</v>
          </cell>
          <cell r="BD24">
            <v>4</v>
          </cell>
          <cell r="BE24" t="str">
            <v>Lutri Rasyid</v>
          </cell>
        </row>
        <row r="25">
          <cell r="C25" t="str">
            <v>C.8.0022-M</v>
          </cell>
          <cell r="D25" t="str">
            <v>Juli</v>
          </cell>
          <cell r="H25" t="str">
            <v>Parer Borongan</v>
          </cell>
          <cell r="R25" t="str">
            <v>5S</v>
          </cell>
          <cell r="S25">
            <v>38069</v>
          </cell>
          <cell r="T25">
            <v>4</v>
          </cell>
          <cell r="U25" t="str">
            <v>Hermansyah</v>
          </cell>
          <cell r="V25" t="str">
            <v>M.Safety</v>
          </cell>
          <cell r="W25">
            <v>38070</v>
          </cell>
          <cell r="X25">
            <v>4</v>
          </cell>
          <cell r="Y25" t="str">
            <v>Hermansyah</v>
          </cell>
          <cell r="Z25" t="str">
            <v>SMK3</v>
          </cell>
          <cell r="AA25">
            <v>38114</v>
          </cell>
          <cell r="AB25">
            <v>4</v>
          </cell>
          <cell r="AC25" t="str">
            <v>Hermansyah</v>
          </cell>
          <cell r="AD25" t="str">
            <v>PP Kebakaran</v>
          </cell>
          <cell r="AE25">
            <v>38115</v>
          </cell>
          <cell r="AF25">
            <v>4</v>
          </cell>
          <cell r="AG25" t="str">
            <v>Hermansyah</v>
          </cell>
          <cell r="AH25" t="str">
            <v>K3 Angkat Angkut</v>
          </cell>
          <cell r="AI25">
            <v>38116</v>
          </cell>
          <cell r="AJ25">
            <v>4</v>
          </cell>
          <cell r="AK25" t="str">
            <v>Hermansyah</v>
          </cell>
          <cell r="AL25" t="str">
            <v>GMP HACCP</v>
          </cell>
          <cell r="AM25">
            <v>38230</v>
          </cell>
          <cell r="AN25">
            <v>4</v>
          </cell>
          <cell r="AO25" t="str">
            <v>Lutri R</v>
          </cell>
        </row>
        <row r="26">
          <cell r="C26" t="str">
            <v>C.8.0023-M</v>
          </cell>
          <cell r="D26" t="str">
            <v>Hendriansyah</v>
          </cell>
          <cell r="H26" t="str">
            <v>Sheller Borongan</v>
          </cell>
          <cell r="R26" t="str">
            <v>ESS</v>
          </cell>
          <cell r="S26">
            <v>38031</v>
          </cell>
          <cell r="T26">
            <v>4</v>
          </cell>
          <cell r="U26" t="str">
            <v>Hermansyah</v>
          </cell>
          <cell r="V26" t="str">
            <v>Penc.&amp; penanggulangan tumpahan B3</v>
          </cell>
          <cell r="W26">
            <v>38033</v>
          </cell>
          <cell r="X26">
            <v>4</v>
          </cell>
          <cell r="Y26" t="str">
            <v>Hermansyah</v>
          </cell>
          <cell r="Z26" t="str">
            <v>SMK3</v>
          </cell>
          <cell r="AA26">
            <v>38034</v>
          </cell>
          <cell r="AB26">
            <v>4</v>
          </cell>
          <cell r="AC26" t="str">
            <v>Hermansyah</v>
          </cell>
          <cell r="AD26" t="str">
            <v>5S</v>
          </cell>
          <cell r="AE26">
            <v>38075</v>
          </cell>
          <cell r="AF26">
            <v>4</v>
          </cell>
          <cell r="AG26" t="str">
            <v>Hermansyah</v>
          </cell>
          <cell r="AH26" t="str">
            <v>M.Safety</v>
          </cell>
          <cell r="AI26">
            <v>38077</v>
          </cell>
          <cell r="AJ26">
            <v>4</v>
          </cell>
          <cell r="AK26" t="str">
            <v>Hermansyah</v>
          </cell>
          <cell r="AL26" t="str">
            <v>GMP HACCP</v>
          </cell>
          <cell r="AM26">
            <v>38100</v>
          </cell>
          <cell r="AN26">
            <v>4</v>
          </cell>
          <cell r="AO26" t="str">
            <v>Hermansyah</v>
          </cell>
          <cell r="AP26" t="str">
            <v>Sanitasi lingkungan</v>
          </cell>
          <cell r="AQ26">
            <v>38101</v>
          </cell>
          <cell r="AR26">
            <v>4</v>
          </cell>
          <cell r="AS26" t="str">
            <v>Hermansyah</v>
          </cell>
          <cell r="AT26" t="str">
            <v>Konservasi energi</v>
          </cell>
          <cell r="AU26">
            <v>38103</v>
          </cell>
          <cell r="AV26">
            <v>4</v>
          </cell>
          <cell r="AW26" t="str">
            <v>Hermansyah</v>
          </cell>
          <cell r="AX26" t="str">
            <v>SMK3</v>
          </cell>
          <cell r="AY26">
            <v>38119</v>
          </cell>
          <cell r="AZ26">
            <v>4</v>
          </cell>
          <cell r="BA26" t="str">
            <v>Hermansyah</v>
          </cell>
          <cell r="BB26" t="str">
            <v>ESS</v>
          </cell>
          <cell r="BC26">
            <v>38120</v>
          </cell>
          <cell r="BD26">
            <v>4</v>
          </cell>
          <cell r="BE26" t="str">
            <v>Hermansyah</v>
          </cell>
          <cell r="BF26" t="str">
            <v>Personel Protective Equipment</v>
          </cell>
          <cell r="BG26">
            <v>38121</v>
          </cell>
          <cell r="BH26">
            <v>4</v>
          </cell>
          <cell r="BI26" t="str">
            <v>Hermansyah</v>
          </cell>
          <cell r="BJ26" t="str">
            <v>ISO 17025</v>
          </cell>
          <cell r="BK26">
            <v>38148</v>
          </cell>
          <cell r="BL26">
            <v>4</v>
          </cell>
          <cell r="BM26" t="str">
            <v>Hermansyah</v>
          </cell>
          <cell r="BN26" t="str">
            <v>Medical safety</v>
          </cell>
          <cell r="BO26">
            <v>38149</v>
          </cell>
          <cell r="BP26">
            <v>4</v>
          </cell>
          <cell r="BQ26" t="str">
            <v>Hermansyah</v>
          </cell>
          <cell r="BR26" t="str">
            <v>PP Tumpahan B3</v>
          </cell>
          <cell r="BS26">
            <v>38150</v>
          </cell>
          <cell r="BT26">
            <v>4</v>
          </cell>
          <cell r="BU26" t="str">
            <v>Hermansyah</v>
          </cell>
        </row>
        <row r="27">
          <cell r="C27" t="str">
            <v>C.8.0024-M</v>
          </cell>
          <cell r="D27" t="str">
            <v>Mungkisra</v>
          </cell>
          <cell r="H27" t="str">
            <v>Sheller Borongan</v>
          </cell>
          <cell r="R27" t="str">
            <v>ESS</v>
          </cell>
          <cell r="S27">
            <v>38031</v>
          </cell>
          <cell r="T27">
            <v>4</v>
          </cell>
          <cell r="U27" t="str">
            <v>Hermansyah</v>
          </cell>
          <cell r="V27" t="str">
            <v>Penc.&amp; penanggulangan tumpahan B3</v>
          </cell>
          <cell r="W27">
            <v>38033</v>
          </cell>
          <cell r="X27">
            <v>4</v>
          </cell>
          <cell r="Y27" t="str">
            <v>Hermansyah</v>
          </cell>
          <cell r="Z27" t="str">
            <v>SMK3</v>
          </cell>
          <cell r="AA27">
            <v>38034</v>
          </cell>
          <cell r="AB27">
            <v>4</v>
          </cell>
          <cell r="AC27" t="str">
            <v>Hermansyah</v>
          </cell>
          <cell r="AD27" t="str">
            <v>5S</v>
          </cell>
          <cell r="AE27">
            <v>38054</v>
          </cell>
          <cell r="AF27">
            <v>4</v>
          </cell>
          <cell r="AG27" t="str">
            <v>Hermansyah</v>
          </cell>
          <cell r="AH27" t="str">
            <v>M.Safety</v>
          </cell>
          <cell r="AI27">
            <v>38056</v>
          </cell>
          <cell r="AJ27">
            <v>4</v>
          </cell>
          <cell r="AK27" t="str">
            <v>Hermansyah</v>
          </cell>
          <cell r="AL27" t="str">
            <v>GMP HACCP</v>
          </cell>
          <cell r="AM27">
            <v>38100</v>
          </cell>
          <cell r="AN27">
            <v>4</v>
          </cell>
          <cell r="AO27" t="str">
            <v>Hermansyah</v>
          </cell>
          <cell r="AP27" t="str">
            <v>Sanitasi lingkungan</v>
          </cell>
          <cell r="AQ27">
            <v>38101</v>
          </cell>
          <cell r="AR27">
            <v>4</v>
          </cell>
          <cell r="AS27" t="str">
            <v>Hermansyah</v>
          </cell>
          <cell r="AT27" t="str">
            <v>Konservasi energi</v>
          </cell>
          <cell r="AU27">
            <v>38103</v>
          </cell>
          <cell r="AV27">
            <v>4</v>
          </cell>
          <cell r="AW27" t="str">
            <v>Hermansyah</v>
          </cell>
          <cell r="AX27" t="str">
            <v>K3 Angkat Angkut</v>
          </cell>
          <cell r="AY27">
            <v>38116</v>
          </cell>
          <cell r="AZ27">
            <v>4</v>
          </cell>
          <cell r="BA27" t="str">
            <v>Hermansyah</v>
          </cell>
          <cell r="BB27" t="str">
            <v>Pest Management</v>
          </cell>
          <cell r="BC27">
            <v>38118</v>
          </cell>
          <cell r="BD27">
            <v>4</v>
          </cell>
          <cell r="BE27" t="str">
            <v>Hermansyah</v>
          </cell>
          <cell r="BF27" t="str">
            <v>ESS</v>
          </cell>
          <cell r="BG27">
            <v>38120</v>
          </cell>
          <cell r="BH27">
            <v>4</v>
          </cell>
          <cell r="BI27" t="str">
            <v>Hermansyah</v>
          </cell>
          <cell r="BJ27" t="str">
            <v>ISO 17025</v>
          </cell>
          <cell r="BK27">
            <v>38148</v>
          </cell>
          <cell r="BL27">
            <v>4</v>
          </cell>
          <cell r="BM27" t="str">
            <v>Hermansyah</v>
          </cell>
          <cell r="BN27" t="str">
            <v>Medical safety</v>
          </cell>
          <cell r="BO27">
            <v>38149</v>
          </cell>
          <cell r="BP27">
            <v>4</v>
          </cell>
          <cell r="BQ27" t="str">
            <v>Hermansyah</v>
          </cell>
          <cell r="BR27" t="str">
            <v>PP Tumpahan B3</v>
          </cell>
          <cell r="BS27">
            <v>38150</v>
          </cell>
          <cell r="BT27">
            <v>4</v>
          </cell>
          <cell r="BU27" t="str">
            <v>Hermansyah</v>
          </cell>
        </row>
        <row r="28">
          <cell r="C28" t="str">
            <v>C.8.0025-M</v>
          </cell>
          <cell r="D28" t="str">
            <v>Sabariah</v>
          </cell>
          <cell r="H28" t="str">
            <v>Parer Borongan</v>
          </cell>
          <cell r="R28" t="str">
            <v>5S</v>
          </cell>
          <cell r="S28">
            <v>38071</v>
          </cell>
          <cell r="T28">
            <v>4</v>
          </cell>
          <cell r="U28" t="str">
            <v>Hermansyah</v>
          </cell>
          <cell r="V28" t="str">
            <v>M.Safety</v>
          </cell>
          <cell r="W28">
            <v>38072</v>
          </cell>
          <cell r="X28">
            <v>4</v>
          </cell>
          <cell r="Y28" t="str">
            <v>Hermansyah</v>
          </cell>
          <cell r="Z28" t="str">
            <v>ESS</v>
          </cell>
          <cell r="AA28">
            <v>38111</v>
          </cell>
          <cell r="AB28">
            <v>4</v>
          </cell>
          <cell r="AC28" t="str">
            <v>Hermansyah</v>
          </cell>
          <cell r="AD28" t="str">
            <v>SPC</v>
          </cell>
          <cell r="AE28">
            <v>38112</v>
          </cell>
          <cell r="AF28">
            <v>4</v>
          </cell>
          <cell r="AG28" t="str">
            <v>Hermansyah</v>
          </cell>
          <cell r="AH28" t="str">
            <v>Pest Management</v>
          </cell>
          <cell r="AI28">
            <v>38113</v>
          </cell>
          <cell r="AJ28">
            <v>4</v>
          </cell>
          <cell r="AK28" t="str">
            <v>Hermansyah</v>
          </cell>
          <cell r="AL28" t="str">
            <v>GMP HACCP</v>
          </cell>
          <cell r="AM28">
            <v>38229</v>
          </cell>
          <cell r="AN28">
            <v>4</v>
          </cell>
          <cell r="AO28" t="str">
            <v>Lutri R</v>
          </cell>
        </row>
        <row r="29">
          <cell r="C29" t="str">
            <v>C.8.0026-M</v>
          </cell>
          <cell r="D29" t="str">
            <v>Rosmita</v>
          </cell>
          <cell r="F29" t="str">
            <v>Production</v>
          </cell>
          <cell r="G29" t="str">
            <v>MP1</v>
          </cell>
          <cell r="H29" t="str">
            <v>Parer Borongan</v>
          </cell>
        </row>
        <row r="30">
          <cell r="C30" t="str">
            <v>C.8.0027-M</v>
          </cell>
          <cell r="D30" t="str">
            <v>Minawati</v>
          </cell>
          <cell r="F30" t="str">
            <v>Production</v>
          </cell>
          <cell r="G30" t="str">
            <v>MP1</v>
          </cell>
          <cell r="H30" t="str">
            <v>Parer Borongan</v>
          </cell>
        </row>
        <row r="31">
          <cell r="C31" t="str">
            <v>C.8.0028-M</v>
          </cell>
          <cell r="D31" t="str">
            <v>Rosmawati</v>
          </cell>
          <cell r="F31" t="str">
            <v>Production</v>
          </cell>
          <cell r="G31" t="str">
            <v>MP1</v>
          </cell>
          <cell r="H31" t="str">
            <v>Pencuci</v>
          </cell>
          <cell r="R31" t="str">
            <v>Konservasi energi</v>
          </cell>
          <cell r="S31">
            <v>37998</v>
          </cell>
          <cell r="T31">
            <v>4</v>
          </cell>
          <cell r="U31" t="str">
            <v>Sudra Irawan</v>
          </cell>
          <cell r="V31" t="str">
            <v>Penc. Dan penanggulangan kebakaran</v>
          </cell>
          <cell r="W31">
            <v>38002</v>
          </cell>
          <cell r="X31">
            <v>4</v>
          </cell>
          <cell r="Y31" t="str">
            <v>Sudra Irawan</v>
          </cell>
          <cell r="Z31" t="str">
            <v>APD</v>
          </cell>
          <cell r="AA31">
            <v>38006</v>
          </cell>
          <cell r="AB31">
            <v>4</v>
          </cell>
          <cell r="AC31" t="str">
            <v>Sudra Irawan</v>
          </cell>
          <cell r="AD31" t="str">
            <v>GMPHACCP</v>
          </cell>
          <cell r="AE31">
            <v>38010</v>
          </cell>
          <cell r="AF31">
            <v>4</v>
          </cell>
          <cell r="AG31" t="str">
            <v>Sudra Irawan</v>
          </cell>
          <cell r="AH31" t="str">
            <v>5S</v>
          </cell>
          <cell r="AI31">
            <v>38054</v>
          </cell>
          <cell r="AJ31">
            <v>4</v>
          </cell>
          <cell r="AK31" t="str">
            <v>Hermansyah</v>
          </cell>
          <cell r="AL31" t="str">
            <v>SPC</v>
          </cell>
          <cell r="AM31">
            <v>38055</v>
          </cell>
          <cell r="AN31">
            <v>4</v>
          </cell>
          <cell r="AO31" t="str">
            <v>Hermansyah</v>
          </cell>
          <cell r="AP31" t="str">
            <v>M.Safety</v>
          </cell>
          <cell r="AQ31">
            <v>38077</v>
          </cell>
          <cell r="AR31">
            <v>4</v>
          </cell>
          <cell r="AS31" t="str">
            <v>Hermansyah</v>
          </cell>
          <cell r="AT31" t="str">
            <v>Konservasi energi</v>
          </cell>
          <cell r="AU31">
            <v>38087</v>
          </cell>
          <cell r="AV31">
            <v>3</v>
          </cell>
          <cell r="AW31" t="str">
            <v>Hermanyah</v>
          </cell>
          <cell r="AX31" t="str">
            <v>Sanitasi lingkungan</v>
          </cell>
          <cell r="AY31">
            <v>38089</v>
          </cell>
          <cell r="AZ31">
            <v>2</v>
          </cell>
          <cell r="BA31" t="str">
            <v>Hermanyah</v>
          </cell>
          <cell r="BB31" t="str">
            <v>GMP HACCP</v>
          </cell>
          <cell r="BC31">
            <v>38098</v>
          </cell>
          <cell r="BD31">
            <v>2</v>
          </cell>
          <cell r="BE31" t="str">
            <v>Hermanyah</v>
          </cell>
          <cell r="BF31" t="str">
            <v>SMK3</v>
          </cell>
          <cell r="BG31">
            <v>38122</v>
          </cell>
          <cell r="BH31">
            <v>4</v>
          </cell>
          <cell r="BI31" t="str">
            <v>Nugroho W</v>
          </cell>
          <cell r="BJ31" t="str">
            <v>Personel Protective Equipment</v>
          </cell>
          <cell r="BK31">
            <v>38124</v>
          </cell>
          <cell r="BL31">
            <v>4</v>
          </cell>
          <cell r="BM31" t="str">
            <v>Nugroho W</v>
          </cell>
          <cell r="BN31" t="str">
            <v>Pest Management</v>
          </cell>
          <cell r="BO31">
            <v>38125</v>
          </cell>
          <cell r="BP31">
            <v>4</v>
          </cell>
          <cell r="BQ31" t="str">
            <v>Nugroho W</v>
          </cell>
          <cell r="BR31" t="str">
            <v>Super 5S</v>
          </cell>
          <cell r="BS31">
            <v>38185</v>
          </cell>
          <cell r="BT31">
            <v>3</v>
          </cell>
          <cell r="BU31" t="str">
            <v>Lutri Rasyid</v>
          </cell>
          <cell r="BV31" t="str">
            <v>GMP HACCP</v>
          </cell>
          <cell r="BW31">
            <v>38187</v>
          </cell>
          <cell r="BX31">
            <v>4</v>
          </cell>
          <cell r="BY31" t="str">
            <v>Lutri Rasyid</v>
          </cell>
          <cell r="BZ31" t="str">
            <v>Konservasi energi</v>
          </cell>
          <cell r="CA31">
            <v>38188</v>
          </cell>
          <cell r="CB31">
            <v>4</v>
          </cell>
          <cell r="CC31" t="str">
            <v>Lutri Rasyid</v>
          </cell>
        </row>
        <row r="32">
          <cell r="C32" t="str">
            <v>C.8.0029-M</v>
          </cell>
          <cell r="D32" t="str">
            <v>Hikmah</v>
          </cell>
          <cell r="F32" t="str">
            <v>Production</v>
          </cell>
          <cell r="G32" t="str">
            <v>MP1</v>
          </cell>
          <cell r="H32" t="str">
            <v>Pencuci</v>
          </cell>
          <cell r="R32" t="str">
            <v>Konservasi energi</v>
          </cell>
          <cell r="S32">
            <v>37998</v>
          </cell>
          <cell r="T32">
            <v>4</v>
          </cell>
          <cell r="U32" t="str">
            <v>Sudra Irawan</v>
          </cell>
          <cell r="V32" t="str">
            <v>Penc. Dan penanggulangan kebakaran</v>
          </cell>
          <cell r="W32">
            <v>38002</v>
          </cell>
          <cell r="X32">
            <v>4</v>
          </cell>
          <cell r="Y32" t="str">
            <v>Sudra Irawan</v>
          </cell>
          <cell r="Z32" t="str">
            <v>APD</v>
          </cell>
          <cell r="AA32">
            <v>38006</v>
          </cell>
          <cell r="AB32">
            <v>4</v>
          </cell>
          <cell r="AC32" t="str">
            <v>Sudra Irawan</v>
          </cell>
          <cell r="AD32" t="str">
            <v>GMPHACCP</v>
          </cell>
          <cell r="AE32">
            <v>38010</v>
          </cell>
          <cell r="AF32">
            <v>4</v>
          </cell>
          <cell r="AG32" t="str">
            <v>Sudra Irawan</v>
          </cell>
          <cell r="AH32" t="str">
            <v>5S</v>
          </cell>
          <cell r="AI32">
            <v>38054</v>
          </cell>
          <cell r="AJ32">
            <v>4</v>
          </cell>
          <cell r="AK32" t="str">
            <v>Hermansyah</v>
          </cell>
          <cell r="AL32" t="str">
            <v>SPC</v>
          </cell>
          <cell r="AM32">
            <v>38055</v>
          </cell>
          <cell r="AN32">
            <v>4</v>
          </cell>
          <cell r="AO32" t="str">
            <v>Hermansyah</v>
          </cell>
          <cell r="AP32" t="str">
            <v>M.Safety</v>
          </cell>
          <cell r="AQ32">
            <v>38077</v>
          </cell>
          <cell r="AR32">
            <v>4</v>
          </cell>
          <cell r="AS32" t="str">
            <v>Hermansyah</v>
          </cell>
          <cell r="AT32" t="str">
            <v>Konservasi energi</v>
          </cell>
          <cell r="AU32">
            <v>38087</v>
          </cell>
          <cell r="AV32">
            <v>3</v>
          </cell>
          <cell r="AW32" t="str">
            <v>Hermanyah</v>
          </cell>
          <cell r="AX32" t="str">
            <v>Sanitasi lingkungan</v>
          </cell>
          <cell r="AY32">
            <v>38089</v>
          </cell>
          <cell r="AZ32">
            <v>2</v>
          </cell>
          <cell r="BA32" t="str">
            <v>Hermanyah</v>
          </cell>
          <cell r="BB32" t="str">
            <v>GMP HACCP</v>
          </cell>
          <cell r="BC32">
            <v>38098</v>
          </cell>
          <cell r="BD32">
            <v>2</v>
          </cell>
          <cell r="BE32" t="str">
            <v>Hermanyah</v>
          </cell>
          <cell r="BF32" t="str">
            <v>SMK3</v>
          </cell>
          <cell r="BG32">
            <v>38122</v>
          </cell>
          <cell r="BH32">
            <v>4</v>
          </cell>
          <cell r="BI32" t="str">
            <v>Nugroho W</v>
          </cell>
          <cell r="BJ32" t="str">
            <v>Personel Protective Equipment</v>
          </cell>
          <cell r="BK32">
            <v>38124</v>
          </cell>
          <cell r="BL32">
            <v>4</v>
          </cell>
          <cell r="BM32" t="str">
            <v>Nugroho W</v>
          </cell>
          <cell r="BN32" t="str">
            <v>Pest Management</v>
          </cell>
          <cell r="BO32">
            <v>38125</v>
          </cell>
          <cell r="BP32">
            <v>4</v>
          </cell>
          <cell r="BQ32" t="str">
            <v>Nugroho W</v>
          </cell>
          <cell r="BR32" t="str">
            <v>Super 5S</v>
          </cell>
          <cell r="BS32">
            <v>38185</v>
          </cell>
          <cell r="BT32">
            <v>3</v>
          </cell>
          <cell r="BU32" t="str">
            <v>Lutri Rasyid</v>
          </cell>
        </row>
        <row r="33">
          <cell r="C33" t="str">
            <v>C.8.0030-M</v>
          </cell>
          <cell r="D33" t="str">
            <v>Rubiah</v>
          </cell>
          <cell r="F33" t="str">
            <v>Production</v>
          </cell>
          <cell r="G33" t="str">
            <v>MP1</v>
          </cell>
          <cell r="H33" t="str">
            <v>Pencuci</v>
          </cell>
          <cell r="R33" t="str">
            <v>Konservasi energi</v>
          </cell>
          <cell r="S33">
            <v>37998</v>
          </cell>
          <cell r="T33">
            <v>4</v>
          </cell>
          <cell r="U33" t="str">
            <v>Sudra Irawan</v>
          </cell>
          <cell r="V33" t="str">
            <v>Penc. Dan penanggulangan kebakaran</v>
          </cell>
          <cell r="W33">
            <v>38002</v>
          </cell>
          <cell r="X33">
            <v>4</v>
          </cell>
          <cell r="Y33" t="str">
            <v>Sudra Irawan</v>
          </cell>
          <cell r="Z33" t="str">
            <v>APD</v>
          </cell>
          <cell r="AA33">
            <v>38006</v>
          </cell>
          <cell r="AB33">
            <v>4</v>
          </cell>
          <cell r="AC33" t="str">
            <v>Sudra Irawan</v>
          </cell>
          <cell r="AD33" t="str">
            <v>GMPHACCP</v>
          </cell>
          <cell r="AE33">
            <v>38010</v>
          </cell>
          <cell r="AF33">
            <v>4</v>
          </cell>
          <cell r="AG33" t="str">
            <v>Sudra Irawan</v>
          </cell>
          <cell r="AH33" t="str">
            <v>5S</v>
          </cell>
          <cell r="AI33">
            <v>38054</v>
          </cell>
          <cell r="AJ33">
            <v>4</v>
          </cell>
          <cell r="AK33" t="str">
            <v>Hermansyah</v>
          </cell>
          <cell r="AL33" t="str">
            <v>SPC</v>
          </cell>
          <cell r="AM33">
            <v>38055</v>
          </cell>
          <cell r="AN33">
            <v>4</v>
          </cell>
          <cell r="AO33" t="str">
            <v>Hermansyah</v>
          </cell>
          <cell r="AP33" t="str">
            <v>M.Safety</v>
          </cell>
          <cell r="AQ33">
            <v>38077</v>
          </cell>
          <cell r="AR33">
            <v>4</v>
          </cell>
          <cell r="AS33" t="str">
            <v>Hermansyah</v>
          </cell>
          <cell r="AT33" t="str">
            <v>Konservasi energi</v>
          </cell>
          <cell r="AU33">
            <v>38087</v>
          </cell>
          <cell r="AV33">
            <v>3</v>
          </cell>
          <cell r="AW33" t="str">
            <v>Hermanyah</v>
          </cell>
          <cell r="AX33" t="str">
            <v>Sanitasi lingkungan</v>
          </cell>
          <cell r="AY33">
            <v>38089</v>
          </cell>
          <cell r="AZ33">
            <v>2</v>
          </cell>
          <cell r="BA33" t="str">
            <v>Hermanyah</v>
          </cell>
          <cell r="BB33" t="str">
            <v>GMP HACCP</v>
          </cell>
          <cell r="BC33">
            <v>38098</v>
          </cell>
          <cell r="BD33">
            <v>2</v>
          </cell>
          <cell r="BE33" t="str">
            <v>Hermanyah</v>
          </cell>
          <cell r="BF33" t="str">
            <v>SMK3</v>
          </cell>
          <cell r="BG33">
            <v>38122</v>
          </cell>
          <cell r="BH33">
            <v>4</v>
          </cell>
          <cell r="BI33" t="str">
            <v>Nugroho W</v>
          </cell>
          <cell r="BJ33" t="str">
            <v>Personel Protective Equipment</v>
          </cell>
          <cell r="BK33">
            <v>38124</v>
          </cell>
          <cell r="BL33">
            <v>4</v>
          </cell>
          <cell r="BM33" t="str">
            <v>Nugroho W</v>
          </cell>
          <cell r="BN33" t="str">
            <v>Pest Management</v>
          </cell>
          <cell r="BO33">
            <v>38125</v>
          </cell>
          <cell r="BP33">
            <v>4</v>
          </cell>
          <cell r="BQ33" t="str">
            <v>Nugroho W</v>
          </cell>
          <cell r="BR33" t="str">
            <v>Super 5S</v>
          </cell>
          <cell r="BS33">
            <v>38185</v>
          </cell>
          <cell r="BT33">
            <v>3</v>
          </cell>
          <cell r="BU33" t="str">
            <v>Lutri Rasyid</v>
          </cell>
          <cell r="BV33" t="str">
            <v>GMP HACCP</v>
          </cell>
          <cell r="BW33">
            <v>38187</v>
          </cell>
          <cell r="BX33">
            <v>4</v>
          </cell>
          <cell r="BY33" t="str">
            <v>Lutri Rasyid</v>
          </cell>
          <cell r="BZ33" t="str">
            <v>Konservasi energi</v>
          </cell>
          <cell r="CA33">
            <v>38188</v>
          </cell>
          <cell r="CB33">
            <v>4</v>
          </cell>
          <cell r="CC33" t="str">
            <v>Lutri Rasyid</v>
          </cell>
        </row>
        <row r="34">
          <cell r="C34" t="str">
            <v>C.8.0031-M</v>
          </cell>
          <cell r="D34" t="str">
            <v>Elsi</v>
          </cell>
          <cell r="F34" t="str">
            <v>Production</v>
          </cell>
          <cell r="G34" t="str">
            <v>MP1</v>
          </cell>
          <cell r="H34" t="str">
            <v>Pencuci</v>
          </cell>
          <cell r="R34" t="str">
            <v>Konservasi energi</v>
          </cell>
          <cell r="S34">
            <v>37998</v>
          </cell>
          <cell r="T34">
            <v>4</v>
          </cell>
          <cell r="U34" t="str">
            <v>Sudra Irawan</v>
          </cell>
          <cell r="V34" t="str">
            <v>Penc. Dan penanggulangan kebakaran</v>
          </cell>
          <cell r="W34">
            <v>38002</v>
          </cell>
          <cell r="X34">
            <v>4</v>
          </cell>
          <cell r="Y34" t="str">
            <v>Sudra Irawan</v>
          </cell>
          <cell r="Z34" t="str">
            <v>APD</v>
          </cell>
          <cell r="AA34">
            <v>38006</v>
          </cell>
          <cell r="AB34">
            <v>4</v>
          </cell>
          <cell r="AC34" t="str">
            <v>Sudra Irawan</v>
          </cell>
          <cell r="AD34" t="str">
            <v>GMPHACCP</v>
          </cell>
          <cell r="AE34">
            <v>38010</v>
          </cell>
          <cell r="AF34">
            <v>4</v>
          </cell>
          <cell r="AG34" t="str">
            <v>Sudra Irawan</v>
          </cell>
          <cell r="AH34" t="str">
            <v>Konservasi energi</v>
          </cell>
          <cell r="AI34">
            <v>38087</v>
          </cell>
          <cell r="AJ34">
            <v>3</v>
          </cell>
          <cell r="AK34" t="str">
            <v>Hermanyah</v>
          </cell>
          <cell r="AL34" t="str">
            <v>Sanitasi lingkungan</v>
          </cell>
          <cell r="AM34">
            <v>38089</v>
          </cell>
          <cell r="AN34">
            <v>2</v>
          </cell>
          <cell r="AO34" t="str">
            <v>Hermanyah</v>
          </cell>
          <cell r="AP34" t="str">
            <v>GMP HACCP</v>
          </cell>
          <cell r="AQ34">
            <v>38098</v>
          </cell>
          <cell r="AR34">
            <v>2</v>
          </cell>
          <cell r="AS34" t="str">
            <v>Hermanyah</v>
          </cell>
          <cell r="AT34" t="str">
            <v>SMK3</v>
          </cell>
          <cell r="AU34">
            <v>38122</v>
          </cell>
          <cell r="AV34">
            <v>4</v>
          </cell>
          <cell r="AW34" t="str">
            <v>Nugroho W</v>
          </cell>
          <cell r="AX34" t="str">
            <v>Personel Protective Equipment</v>
          </cell>
          <cell r="AY34">
            <v>38124</v>
          </cell>
          <cell r="AZ34">
            <v>4</v>
          </cell>
          <cell r="BA34" t="str">
            <v>Nugroho W</v>
          </cell>
          <cell r="BB34" t="str">
            <v>Pest Management</v>
          </cell>
          <cell r="BC34">
            <v>38125</v>
          </cell>
          <cell r="BD34">
            <v>4</v>
          </cell>
          <cell r="BE34" t="str">
            <v>Nugroho W</v>
          </cell>
          <cell r="BF34" t="str">
            <v>Super 5S</v>
          </cell>
          <cell r="BG34">
            <v>38185</v>
          </cell>
          <cell r="BH34">
            <v>3</v>
          </cell>
          <cell r="BI34" t="str">
            <v>Lutri Rasyid</v>
          </cell>
          <cell r="BJ34" t="str">
            <v>GMP HACCP</v>
          </cell>
          <cell r="BK34">
            <v>38187</v>
          </cell>
          <cell r="BL34">
            <v>4</v>
          </cell>
          <cell r="BM34" t="str">
            <v>Lutri Rasyid</v>
          </cell>
          <cell r="BN34" t="str">
            <v>Konservasi energi</v>
          </cell>
          <cell r="BO34">
            <v>38188</v>
          </cell>
          <cell r="BP34">
            <v>4</v>
          </cell>
          <cell r="BQ34" t="str">
            <v>Lutri Rasyid</v>
          </cell>
        </row>
        <row r="35">
          <cell r="C35" t="str">
            <v>C.8.0033-M</v>
          </cell>
          <cell r="D35" t="str">
            <v>Efrina</v>
          </cell>
          <cell r="F35" t="str">
            <v>Production</v>
          </cell>
          <cell r="G35" t="str">
            <v>MP1</v>
          </cell>
          <cell r="H35" t="str">
            <v>Pencuci</v>
          </cell>
          <cell r="R35" t="str">
            <v>Konservasi energi</v>
          </cell>
          <cell r="S35">
            <v>37998</v>
          </cell>
          <cell r="T35">
            <v>4</v>
          </cell>
          <cell r="U35" t="str">
            <v>Sudra Irawan</v>
          </cell>
          <cell r="V35" t="str">
            <v>Penc. Dan penanggulangan kebakaran</v>
          </cell>
          <cell r="W35">
            <v>38002</v>
          </cell>
          <cell r="X35">
            <v>4</v>
          </cell>
          <cell r="Y35" t="str">
            <v>Sudra Irawan</v>
          </cell>
          <cell r="Z35" t="str">
            <v>APD</v>
          </cell>
          <cell r="AA35">
            <v>38006</v>
          </cell>
          <cell r="AB35">
            <v>4</v>
          </cell>
          <cell r="AC35" t="str">
            <v>Sudra Irawan</v>
          </cell>
          <cell r="AD35" t="str">
            <v>GMPHACCP</v>
          </cell>
          <cell r="AE35">
            <v>38010</v>
          </cell>
          <cell r="AF35">
            <v>4</v>
          </cell>
          <cell r="AG35" t="str">
            <v>Sudra Irawan</v>
          </cell>
          <cell r="AH35" t="str">
            <v>5S</v>
          </cell>
          <cell r="AI35">
            <v>38054</v>
          </cell>
          <cell r="AJ35">
            <v>4</v>
          </cell>
          <cell r="AK35" t="str">
            <v>Hermansyah</v>
          </cell>
          <cell r="AL35" t="str">
            <v>SPC</v>
          </cell>
          <cell r="AM35">
            <v>38055</v>
          </cell>
          <cell r="AN35">
            <v>4</v>
          </cell>
          <cell r="AO35" t="str">
            <v>Hermansyah</v>
          </cell>
          <cell r="AP35" t="str">
            <v>M.Safety</v>
          </cell>
          <cell r="AQ35">
            <v>38077</v>
          </cell>
          <cell r="AR35">
            <v>4</v>
          </cell>
          <cell r="AS35" t="str">
            <v>Hermansyah</v>
          </cell>
          <cell r="AT35" t="str">
            <v>Konservasi energi</v>
          </cell>
          <cell r="AU35">
            <v>38087</v>
          </cell>
          <cell r="AV35">
            <v>3</v>
          </cell>
          <cell r="AW35" t="str">
            <v>Hermanyah</v>
          </cell>
          <cell r="AX35" t="str">
            <v>Sanitasi lingkungan</v>
          </cell>
          <cell r="AY35">
            <v>38089</v>
          </cell>
          <cell r="AZ35">
            <v>2</v>
          </cell>
          <cell r="BA35" t="str">
            <v>Hermanyah</v>
          </cell>
          <cell r="BB35" t="str">
            <v>GMP HACCP</v>
          </cell>
          <cell r="BC35">
            <v>38098</v>
          </cell>
          <cell r="BD35">
            <v>2</v>
          </cell>
          <cell r="BE35" t="str">
            <v>Hermanyah</v>
          </cell>
          <cell r="BF35" t="str">
            <v>SMK3</v>
          </cell>
          <cell r="BG35">
            <v>38122</v>
          </cell>
          <cell r="BH35">
            <v>4</v>
          </cell>
          <cell r="BI35" t="str">
            <v>Nugroho W</v>
          </cell>
          <cell r="BJ35" t="str">
            <v>Personel Protective Equipment</v>
          </cell>
          <cell r="BK35">
            <v>38124</v>
          </cell>
          <cell r="BL35">
            <v>4</v>
          </cell>
          <cell r="BM35" t="str">
            <v>Nugroho W</v>
          </cell>
          <cell r="BN35" t="str">
            <v>Pest Management</v>
          </cell>
          <cell r="BO35">
            <v>38125</v>
          </cell>
          <cell r="BP35">
            <v>4</v>
          </cell>
          <cell r="BQ35" t="str">
            <v>Nugroho W</v>
          </cell>
          <cell r="BR35" t="str">
            <v>Super 5S</v>
          </cell>
          <cell r="BS35">
            <v>38185</v>
          </cell>
          <cell r="BT35">
            <v>3</v>
          </cell>
          <cell r="BU35" t="str">
            <v>Lutri Rasyid</v>
          </cell>
          <cell r="BV35" t="str">
            <v>GMP HACCP</v>
          </cell>
          <cell r="BW35">
            <v>38187</v>
          </cell>
          <cell r="BX35">
            <v>4</v>
          </cell>
          <cell r="BY35" t="str">
            <v>Lutri Rasyid</v>
          </cell>
          <cell r="BZ35" t="str">
            <v>Konservasi energi</v>
          </cell>
          <cell r="CA35">
            <v>38188</v>
          </cell>
          <cell r="CB35">
            <v>4</v>
          </cell>
          <cell r="CC35" t="str">
            <v>Lutri Rasyid</v>
          </cell>
        </row>
        <row r="36">
          <cell r="C36" t="str">
            <v>C.8.0035-M</v>
          </cell>
          <cell r="D36" t="str">
            <v>Zainab</v>
          </cell>
          <cell r="H36" t="str">
            <v>Parer Borongan</v>
          </cell>
          <cell r="R36" t="str">
            <v>5S</v>
          </cell>
          <cell r="S36">
            <v>38071</v>
          </cell>
          <cell r="T36">
            <v>4</v>
          </cell>
          <cell r="U36" t="str">
            <v>Hermansyah</v>
          </cell>
          <cell r="V36" t="str">
            <v>M.Safety</v>
          </cell>
          <cell r="W36">
            <v>38072</v>
          </cell>
          <cell r="X36">
            <v>4</v>
          </cell>
          <cell r="Y36" t="str">
            <v>Hermansyah</v>
          </cell>
          <cell r="Z36" t="str">
            <v>ESS</v>
          </cell>
          <cell r="AA36">
            <v>38111</v>
          </cell>
          <cell r="AB36">
            <v>4</v>
          </cell>
          <cell r="AC36" t="str">
            <v>Hermansyah</v>
          </cell>
          <cell r="AD36" t="str">
            <v>SPC</v>
          </cell>
          <cell r="AE36">
            <v>38112</v>
          </cell>
          <cell r="AF36">
            <v>4</v>
          </cell>
          <cell r="AG36" t="str">
            <v>Hermansyah</v>
          </cell>
          <cell r="AH36" t="str">
            <v>Pest Management</v>
          </cell>
          <cell r="AI36">
            <v>38113</v>
          </cell>
          <cell r="AJ36">
            <v>4</v>
          </cell>
          <cell r="AK36" t="str">
            <v>Hermansyah</v>
          </cell>
          <cell r="AL36" t="str">
            <v>GMP HACCP</v>
          </cell>
          <cell r="AM36">
            <v>38229</v>
          </cell>
          <cell r="AN36">
            <v>4</v>
          </cell>
          <cell r="AO36" t="str">
            <v>Lutri R</v>
          </cell>
        </row>
        <row r="37">
          <cell r="C37" t="str">
            <v>C.8.0036-M</v>
          </cell>
          <cell r="D37" t="str">
            <v>Indra Admaja</v>
          </cell>
          <cell r="H37" t="str">
            <v>Sheller Borongan</v>
          </cell>
          <cell r="R37" t="str">
            <v>Penc.&amp;penanggulangan tumpahan B3</v>
          </cell>
          <cell r="S37">
            <v>38023</v>
          </cell>
          <cell r="T37">
            <v>4</v>
          </cell>
          <cell r="U37" t="str">
            <v>Hermansyah</v>
          </cell>
          <cell r="V37" t="str">
            <v>ESS</v>
          </cell>
          <cell r="W37">
            <v>38024</v>
          </cell>
          <cell r="X37">
            <v>4</v>
          </cell>
          <cell r="Y37" t="str">
            <v>Hermansyah</v>
          </cell>
          <cell r="Z37" t="str">
            <v>SMK3</v>
          </cell>
          <cell r="AA37">
            <v>38026</v>
          </cell>
          <cell r="AB37">
            <v>4</v>
          </cell>
          <cell r="AC37" t="str">
            <v>Hermansyah</v>
          </cell>
          <cell r="AD37" t="str">
            <v>5S</v>
          </cell>
          <cell r="AE37">
            <v>38054</v>
          </cell>
          <cell r="AF37">
            <v>4</v>
          </cell>
          <cell r="AG37" t="str">
            <v>Hermansyah</v>
          </cell>
          <cell r="AH37" t="str">
            <v>M.Safety</v>
          </cell>
          <cell r="AI37">
            <v>38056</v>
          </cell>
          <cell r="AJ37">
            <v>4</v>
          </cell>
          <cell r="AK37" t="str">
            <v>Hermansyah</v>
          </cell>
          <cell r="AL37" t="str">
            <v>GMP HACCP</v>
          </cell>
          <cell r="AM37">
            <v>38100</v>
          </cell>
          <cell r="AN37">
            <v>4</v>
          </cell>
          <cell r="AO37" t="str">
            <v>Hermansyah</v>
          </cell>
          <cell r="AP37" t="str">
            <v>Sanitasi lingkungan</v>
          </cell>
          <cell r="AQ37">
            <v>38101</v>
          </cell>
          <cell r="AR37">
            <v>4</v>
          </cell>
          <cell r="AS37" t="str">
            <v>Hermansyah</v>
          </cell>
          <cell r="AT37" t="str">
            <v>Konservasi energi</v>
          </cell>
          <cell r="AU37">
            <v>38103</v>
          </cell>
          <cell r="AV37">
            <v>4</v>
          </cell>
          <cell r="AW37" t="str">
            <v>Hermansyah</v>
          </cell>
          <cell r="AX37" t="str">
            <v>K3 Angkat Angkut</v>
          </cell>
          <cell r="AY37">
            <v>38116</v>
          </cell>
          <cell r="AZ37">
            <v>4</v>
          </cell>
          <cell r="BA37" t="str">
            <v>Hermansyah</v>
          </cell>
          <cell r="BB37" t="str">
            <v>Pest Management</v>
          </cell>
          <cell r="BC37">
            <v>38118</v>
          </cell>
          <cell r="BD37">
            <v>4</v>
          </cell>
          <cell r="BE37" t="str">
            <v>Hermansyah</v>
          </cell>
          <cell r="BF37" t="str">
            <v>ESS</v>
          </cell>
          <cell r="BG37">
            <v>38120</v>
          </cell>
          <cell r="BH37">
            <v>4</v>
          </cell>
          <cell r="BI37" t="str">
            <v>Hermansyah</v>
          </cell>
          <cell r="BJ37" t="str">
            <v>ISO 17025</v>
          </cell>
          <cell r="BK37">
            <v>38148</v>
          </cell>
          <cell r="BL37">
            <v>4</v>
          </cell>
          <cell r="BM37" t="str">
            <v>Hermansyah</v>
          </cell>
          <cell r="BN37" t="str">
            <v>Medical safety</v>
          </cell>
          <cell r="BO37">
            <v>38149</v>
          </cell>
          <cell r="BP37">
            <v>4</v>
          </cell>
          <cell r="BQ37" t="str">
            <v>Hermansyah</v>
          </cell>
          <cell r="BR37" t="str">
            <v>PP Tumpahan B3</v>
          </cell>
          <cell r="BS37">
            <v>38150</v>
          </cell>
          <cell r="BT37">
            <v>4</v>
          </cell>
          <cell r="BU37" t="str">
            <v>Hermansyah</v>
          </cell>
        </row>
        <row r="38">
          <cell r="C38" t="str">
            <v>C.8.0037-M</v>
          </cell>
          <cell r="D38" t="str">
            <v>Toni Efendi</v>
          </cell>
          <cell r="H38" t="str">
            <v>Sheller Borongan</v>
          </cell>
          <cell r="R38" t="str">
            <v>Penc.&amp;penanggulangan tumpahan B3</v>
          </cell>
          <cell r="S38">
            <v>38023</v>
          </cell>
          <cell r="T38">
            <v>4</v>
          </cell>
          <cell r="U38" t="str">
            <v>Hermansyah</v>
          </cell>
          <cell r="V38" t="str">
            <v>ESS</v>
          </cell>
          <cell r="W38">
            <v>38024</v>
          </cell>
          <cell r="X38">
            <v>4</v>
          </cell>
          <cell r="Y38" t="str">
            <v>Hermansyah</v>
          </cell>
          <cell r="Z38" t="str">
            <v>SMK3</v>
          </cell>
          <cell r="AA38">
            <v>38026</v>
          </cell>
          <cell r="AB38">
            <v>4</v>
          </cell>
          <cell r="AC38" t="str">
            <v>Hermansyah</v>
          </cell>
          <cell r="AD38" t="str">
            <v>5S</v>
          </cell>
          <cell r="AE38">
            <v>38075</v>
          </cell>
          <cell r="AF38">
            <v>4</v>
          </cell>
          <cell r="AG38" t="str">
            <v>Hermansyah</v>
          </cell>
          <cell r="AH38" t="str">
            <v>M.Safety</v>
          </cell>
          <cell r="AI38">
            <v>38077</v>
          </cell>
          <cell r="AJ38">
            <v>4</v>
          </cell>
          <cell r="AK38" t="str">
            <v>Hermansyah</v>
          </cell>
          <cell r="AL38" t="str">
            <v>PP Kebakaran</v>
          </cell>
          <cell r="AM38">
            <v>38115</v>
          </cell>
          <cell r="AN38">
            <v>4</v>
          </cell>
          <cell r="AO38" t="str">
            <v>Hermansyah</v>
          </cell>
          <cell r="AP38" t="str">
            <v>Pest Management</v>
          </cell>
          <cell r="AQ38">
            <v>38118</v>
          </cell>
          <cell r="AR38">
            <v>4</v>
          </cell>
          <cell r="AS38" t="str">
            <v>Hermansyah</v>
          </cell>
          <cell r="AT38" t="str">
            <v>SPC</v>
          </cell>
          <cell r="AU38">
            <v>38125</v>
          </cell>
          <cell r="AV38">
            <v>4</v>
          </cell>
          <cell r="AW38" t="str">
            <v>Hermansyah</v>
          </cell>
          <cell r="AX38" t="str">
            <v>ISO 17025</v>
          </cell>
          <cell r="AY38">
            <v>38148</v>
          </cell>
          <cell r="AZ38">
            <v>4</v>
          </cell>
          <cell r="BA38" t="str">
            <v>Hermansyah</v>
          </cell>
          <cell r="BB38" t="str">
            <v>Medical safety</v>
          </cell>
          <cell r="BC38">
            <v>38149</v>
          </cell>
          <cell r="BD38">
            <v>4</v>
          </cell>
          <cell r="BE38" t="str">
            <v>Hermansyah</v>
          </cell>
          <cell r="BF38" t="str">
            <v>PP Tumpahan B3</v>
          </cell>
          <cell r="BG38">
            <v>38150</v>
          </cell>
          <cell r="BH38">
            <v>4</v>
          </cell>
          <cell r="BI38" t="str">
            <v>Hermansyah</v>
          </cell>
          <cell r="BJ38" t="str">
            <v>GMP HACCP</v>
          </cell>
          <cell r="BK38">
            <v>38202</v>
          </cell>
          <cell r="BL38">
            <v>4</v>
          </cell>
          <cell r="BM38" t="str">
            <v>Lutri R</v>
          </cell>
        </row>
        <row r="39">
          <cell r="C39" t="str">
            <v>C.8.0038-M</v>
          </cell>
          <cell r="D39" t="str">
            <v>Atin</v>
          </cell>
          <cell r="H39" t="str">
            <v>Parer Borongan</v>
          </cell>
          <cell r="R39" t="str">
            <v>Menurunkan Total lost timbang WM</v>
          </cell>
          <cell r="S39">
            <v>38027</v>
          </cell>
          <cell r="T39">
            <v>4</v>
          </cell>
          <cell r="U39" t="str">
            <v>Hermansyah</v>
          </cell>
          <cell r="V39" t="str">
            <v>SMK3</v>
          </cell>
          <cell r="W39">
            <v>38028</v>
          </cell>
          <cell r="X39">
            <v>4</v>
          </cell>
          <cell r="Y39" t="str">
            <v>Hermansyah</v>
          </cell>
          <cell r="Z39" t="str">
            <v>5S</v>
          </cell>
          <cell r="AA39">
            <v>38071</v>
          </cell>
          <cell r="AB39">
            <v>4</v>
          </cell>
          <cell r="AC39" t="str">
            <v>Hermansyah</v>
          </cell>
          <cell r="AD39" t="str">
            <v>M.Safety</v>
          </cell>
          <cell r="AE39">
            <v>38072</v>
          </cell>
          <cell r="AF39">
            <v>4</v>
          </cell>
          <cell r="AG39" t="str">
            <v>Hermansyah</v>
          </cell>
          <cell r="AH39" t="str">
            <v>ESS</v>
          </cell>
          <cell r="AI39">
            <v>38111</v>
          </cell>
          <cell r="AJ39">
            <v>4</v>
          </cell>
          <cell r="AK39" t="str">
            <v>Hermansyah</v>
          </cell>
          <cell r="AL39" t="str">
            <v>SPC</v>
          </cell>
          <cell r="AM39">
            <v>38112</v>
          </cell>
          <cell r="AN39">
            <v>4</v>
          </cell>
          <cell r="AO39" t="str">
            <v>Hermansyah</v>
          </cell>
          <cell r="AP39" t="str">
            <v>Pest Management</v>
          </cell>
          <cell r="AQ39">
            <v>38113</v>
          </cell>
          <cell r="AR39">
            <v>4</v>
          </cell>
          <cell r="AS39" t="str">
            <v>Hermansyah</v>
          </cell>
          <cell r="AT39" t="str">
            <v>GMP HACCP</v>
          </cell>
          <cell r="AU39">
            <v>38229</v>
          </cell>
          <cell r="AV39">
            <v>4</v>
          </cell>
          <cell r="AW39" t="str">
            <v>Lutri R</v>
          </cell>
        </row>
        <row r="40">
          <cell r="C40" t="str">
            <v>C.8.0039-M</v>
          </cell>
          <cell r="D40" t="str">
            <v>Martini</v>
          </cell>
          <cell r="H40" t="str">
            <v>Parer Borongan</v>
          </cell>
          <cell r="R40" t="str">
            <v>ESS</v>
          </cell>
          <cell r="S40">
            <v>38111</v>
          </cell>
          <cell r="T40">
            <v>4</v>
          </cell>
          <cell r="U40" t="str">
            <v>Hermansyah</v>
          </cell>
          <cell r="V40" t="str">
            <v>SPC</v>
          </cell>
          <cell r="W40">
            <v>38112</v>
          </cell>
          <cell r="X40">
            <v>4</v>
          </cell>
          <cell r="Y40" t="str">
            <v>Hermansyah</v>
          </cell>
          <cell r="Z40" t="str">
            <v>Pest Management</v>
          </cell>
          <cell r="AA40">
            <v>38113</v>
          </cell>
          <cell r="AB40">
            <v>4</v>
          </cell>
          <cell r="AC40" t="str">
            <v>Hermansyah</v>
          </cell>
          <cell r="AD40" t="str">
            <v>GMP HACCP</v>
          </cell>
          <cell r="AE40">
            <v>38230</v>
          </cell>
          <cell r="AF40">
            <v>4</v>
          </cell>
          <cell r="AG40" t="str">
            <v>Lutri R</v>
          </cell>
        </row>
        <row r="41">
          <cell r="C41" t="str">
            <v>C.8.0040-M</v>
          </cell>
          <cell r="D41" t="str">
            <v>Surdedi</v>
          </cell>
          <cell r="H41" t="str">
            <v>Parer Borongan</v>
          </cell>
          <cell r="R41" t="str">
            <v>ESS</v>
          </cell>
          <cell r="S41">
            <v>38111</v>
          </cell>
          <cell r="T41">
            <v>4</v>
          </cell>
          <cell r="U41" t="str">
            <v>Hermansyah</v>
          </cell>
          <cell r="V41" t="str">
            <v>SPC</v>
          </cell>
          <cell r="W41">
            <v>38112</v>
          </cell>
          <cell r="X41">
            <v>4</v>
          </cell>
          <cell r="Y41" t="str">
            <v>Hermansyah</v>
          </cell>
          <cell r="Z41" t="str">
            <v>Pest Management</v>
          </cell>
          <cell r="AA41">
            <v>38113</v>
          </cell>
          <cell r="AB41">
            <v>4</v>
          </cell>
          <cell r="AC41" t="str">
            <v>Hermansyah</v>
          </cell>
          <cell r="AD41" t="str">
            <v>GMP HACCP</v>
          </cell>
          <cell r="AE41">
            <v>38230</v>
          </cell>
          <cell r="AF41">
            <v>4</v>
          </cell>
          <cell r="AG41" t="str">
            <v>Lutri R</v>
          </cell>
        </row>
        <row r="42">
          <cell r="C42" t="str">
            <v>C.8.0041-M</v>
          </cell>
          <cell r="D42" t="str">
            <v>Roby</v>
          </cell>
          <cell r="F42" t="str">
            <v>Production</v>
          </cell>
          <cell r="G42" t="str">
            <v>MP1</v>
          </cell>
          <cell r="H42" t="str">
            <v>Ka. Pemborong</v>
          </cell>
          <cell r="R42" t="str">
            <v>Konservasi energi</v>
          </cell>
          <cell r="S42">
            <v>37988</v>
          </cell>
          <cell r="T42">
            <v>4</v>
          </cell>
          <cell r="U42" t="str">
            <v>Anzus M</v>
          </cell>
          <cell r="V42" t="str">
            <v>GMPHACCP</v>
          </cell>
          <cell r="W42">
            <v>37989</v>
          </cell>
          <cell r="X42">
            <v>4</v>
          </cell>
          <cell r="Y42" t="str">
            <v>Anzus M</v>
          </cell>
          <cell r="Z42" t="str">
            <v>Penc. Dan penanggulangan kebakaran</v>
          </cell>
          <cell r="AA42">
            <v>37992</v>
          </cell>
          <cell r="AB42">
            <v>4</v>
          </cell>
          <cell r="AC42" t="str">
            <v>Anzus M</v>
          </cell>
          <cell r="AD42" t="str">
            <v>APD</v>
          </cell>
          <cell r="AE42">
            <v>37995</v>
          </cell>
          <cell r="AF42">
            <v>4</v>
          </cell>
          <cell r="AG42" t="str">
            <v>Anzus M</v>
          </cell>
          <cell r="AH42" t="str">
            <v>ESS</v>
          </cell>
          <cell r="AI42">
            <v>38031</v>
          </cell>
          <cell r="AJ42">
            <v>4</v>
          </cell>
          <cell r="AK42" t="str">
            <v>Anzus M</v>
          </cell>
          <cell r="AL42" t="str">
            <v>SMK3</v>
          </cell>
          <cell r="AM42">
            <v>38033</v>
          </cell>
          <cell r="AN42">
            <v>4</v>
          </cell>
          <cell r="AO42" t="str">
            <v>Edi S</v>
          </cell>
          <cell r="AP42" t="str">
            <v>Penc.&amp;penanggulangan tumpahan B3</v>
          </cell>
          <cell r="AQ42">
            <v>38034</v>
          </cell>
          <cell r="AR42">
            <v>4</v>
          </cell>
          <cell r="AS42" t="str">
            <v>Nurian E</v>
          </cell>
          <cell r="AT42" t="str">
            <v>5S</v>
          </cell>
          <cell r="AU42">
            <v>38054</v>
          </cell>
          <cell r="AV42">
            <v>4</v>
          </cell>
          <cell r="AW42" t="str">
            <v>Edy S</v>
          </cell>
          <cell r="AX42" t="str">
            <v>SPC</v>
          </cell>
          <cell r="AY42">
            <v>38055</v>
          </cell>
          <cell r="AZ42">
            <v>4</v>
          </cell>
          <cell r="BA42" t="str">
            <v>Anzus M</v>
          </cell>
          <cell r="BB42" t="str">
            <v>M.Safety</v>
          </cell>
          <cell r="BC42">
            <v>38056</v>
          </cell>
          <cell r="BD42">
            <v>4</v>
          </cell>
          <cell r="BE42" t="str">
            <v>Nurian E</v>
          </cell>
          <cell r="BF42" t="str">
            <v>GMP HACCP</v>
          </cell>
          <cell r="BG42">
            <v>38098</v>
          </cell>
          <cell r="BH42">
            <v>2</v>
          </cell>
          <cell r="BI42" t="str">
            <v>Anzus M</v>
          </cell>
          <cell r="BJ42" t="str">
            <v>Sanitasi Lingkungan</v>
          </cell>
          <cell r="BK42">
            <v>38099</v>
          </cell>
          <cell r="BL42">
            <v>2</v>
          </cell>
          <cell r="BM42" t="str">
            <v>Edi S</v>
          </cell>
          <cell r="BN42" t="str">
            <v>Konservasi Energi</v>
          </cell>
          <cell r="BO42">
            <v>38100</v>
          </cell>
          <cell r="BP42">
            <v>2</v>
          </cell>
          <cell r="BQ42" t="str">
            <v>Nurian Efendi</v>
          </cell>
          <cell r="BR42" t="str">
            <v>K3 Angkat Angkut</v>
          </cell>
          <cell r="BS42">
            <v>38113</v>
          </cell>
          <cell r="BT42">
            <v>3</v>
          </cell>
          <cell r="BU42" t="str">
            <v>Anzus M</v>
          </cell>
          <cell r="BV42" t="str">
            <v>SPC</v>
          </cell>
          <cell r="BW42">
            <v>38117</v>
          </cell>
          <cell r="BX42">
            <v>4</v>
          </cell>
          <cell r="BY42" t="str">
            <v>Nurian E</v>
          </cell>
          <cell r="BZ42" t="str">
            <v>Pest Management</v>
          </cell>
          <cell r="CA42">
            <v>38118</v>
          </cell>
          <cell r="CB42">
            <v>4</v>
          </cell>
          <cell r="CC42" t="str">
            <v>Nurian E</v>
          </cell>
          <cell r="CD42" t="str">
            <v>SMK3</v>
          </cell>
          <cell r="CE42">
            <v>38119</v>
          </cell>
          <cell r="CF42">
            <v>4</v>
          </cell>
          <cell r="CG42" t="str">
            <v>Nurian E</v>
          </cell>
          <cell r="CH42" t="str">
            <v>Personel Protective Equipment</v>
          </cell>
          <cell r="CI42">
            <v>38120</v>
          </cell>
          <cell r="CJ42">
            <v>4</v>
          </cell>
          <cell r="CK42" t="str">
            <v>Nurian E</v>
          </cell>
          <cell r="CL42" t="str">
            <v>PP tumpahan B3</v>
          </cell>
          <cell r="CM42">
            <v>38154</v>
          </cell>
          <cell r="CN42">
            <v>4</v>
          </cell>
          <cell r="CO42" t="str">
            <v>Nurian E</v>
          </cell>
          <cell r="CP42" t="str">
            <v>ISO 17025</v>
          </cell>
          <cell r="CQ42">
            <v>38155</v>
          </cell>
          <cell r="CR42">
            <v>4</v>
          </cell>
          <cell r="CS42" t="str">
            <v>Nurian E</v>
          </cell>
          <cell r="CT42" t="str">
            <v>Medical Safety</v>
          </cell>
          <cell r="CU42">
            <v>38156</v>
          </cell>
          <cell r="CV42">
            <v>4</v>
          </cell>
          <cell r="CW42" t="str">
            <v>Nurian E</v>
          </cell>
          <cell r="CX42" t="str">
            <v>SPC</v>
          </cell>
          <cell r="CY42">
            <v>38171</v>
          </cell>
          <cell r="CZ42">
            <v>4</v>
          </cell>
          <cell r="DA42" t="str">
            <v>Anzus M</v>
          </cell>
          <cell r="DB42" t="str">
            <v>Konservasi energi</v>
          </cell>
          <cell r="DC42">
            <v>38174</v>
          </cell>
          <cell r="DD42">
            <v>3</v>
          </cell>
          <cell r="DE42" t="str">
            <v>Anzus M</v>
          </cell>
        </row>
        <row r="43">
          <cell r="C43" t="str">
            <v>C.8.0044-M</v>
          </cell>
          <cell r="D43" t="str">
            <v>Siti Nurasiah</v>
          </cell>
          <cell r="H43" t="str">
            <v>Parer Borongan</v>
          </cell>
          <cell r="R43" t="str">
            <v>5S</v>
          </cell>
          <cell r="S43">
            <v>38071</v>
          </cell>
          <cell r="T43">
            <v>4</v>
          </cell>
          <cell r="U43" t="str">
            <v>Hermansyah</v>
          </cell>
          <cell r="V43" t="str">
            <v>M.Safety</v>
          </cell>
          <cell r="W43">
            <v>38072</v>
          </cell>
          <cell r="X43">
            <v>4</v>
          </cell>
          <cell r="Y43" t="str">
            <v>Hermansyah</v>
          </cell>
          <cell r="Z43" t="str">
            <v>ESS</v>
          </cell>
          <cell r="AA43">
            <v>38111</v>
          </cell>
          <cell r="AB43">
            <v>4</v>
          </cell>
          <cell r="AC43" t="str">
            <v>Hermansyah</v>
          </cell>
          <cell r="AD43" t="str">
            <v>SPC</v>
          </cell>
          <cell r="AE43">
            <v>38112</v>
          </cell>
          <cell r="AF43">
            <v>4</v>
          </cell>
          <cell r="AG43" t="str">
            <v>Hermansyah</v>
          </cell>
          <cell r="AH43" t="str">
            <v>Pest Management</v>
          </cell>
          <cell r="AI43">
            <v>38113</v>
          </cell>
          <cell r="AJ43">
            <v>4</v>
          </cell>
          <cell r="AK43" t="str">
            <v>Hermansyah</v>
          </cell>
          <cell r="AL43" t="str">
            <v>GMP HACCP</v>
          </cell>
          <cell r="AM43">
            <v>38229</v>
          </cell>
          <cell r="AN43">
            <v>4</v>
          </cell>
          <cell r="AO43" t="str">
            <v>Lutri R</v>
          </cell>
        </row>
        <row r="44">
          <cell r="C44" t="str">
            <v>C.8.0045-M</v>
          </cell>
          <cell r="D44" t="str">
            <v>Tumirah</v>
          </cell>
          <cell r="H44" t="str">
            <v>Parer Borongan</v>
          </cell>
          <cell r="R44" t="str">
            <v>5S</v>
          </cell>
          <cell r="S44">
            <v>38069</v>
          </cell>
          <cell r="T44">
            <v>4</v>
          </cell>
          <cell r="U44" t="str">
            <v>Hermansyah</v>
          </cell>
          <cell r="V44" t="str">
            <v>M.Safety</v>
          </cell>
          <cell r="W44">
            <v>38070</v>
          </cell>
          <cell r="X44">
            <v>4</v>
          </cell>
          <cell r="Y44" t="str">
            <v>Hermansyah</v>
          </cell>
          <cell r="Z44" t="str">
            <v>SMK3</v>
          </cell>
          <cell r="AA44">
            <v>38114</v>
          </cell>
          <cell r="AB44">
            <v>4</v>
          </cell>
          <cell r="AC44" t="str">
            <v>Hermansyah</v>
          </cell>
          <cell r="AD44" t="str">
            <v>PP Kebakaran</v>
          </cell>
          <cell r="AE44">
            <v>38115</v>
          </cell>
          <cell r="AF44">
            <v>4</v>
          </cell>
          <cell r="AG44" t="str">
            <v>Hermansyah</v>
          </cell>
          <cell r="AH44" t="str">
            <v>K3 Angkat Angkut</v>
          </cell>
          <cell r="AI44">
            <v>38116</v>
          </cell>
          <cell r="AJ44">
            <v>4</v>
          </cell>
          <cell r="AK44" t="str">
            <v>Hermansyah</v>
          </cell>
          <cell r="AL44" t="str">
            <v>GMP HACCP</v>
          </cell>
          <cell r="AM44">
            <v>38230</v>
          </cell>
          <cell r="AN44">
            <v>4</v>
          </cell>
          <cell r="AO44" t="str">
            <v>Lutri R</v>
          </cell>
        </row>
        <row r="45">
          <cell r="C45" t="str">
            <v>C.8.0046-M</v>
          </cell>
          <cell r="D45" t="str">
            <v>Indrawati</v>
          </cell>
          <cell r="H45" t="str">
            <v>Parer Borongan</v>
          </cell>
          <cell r="R45" t="str">
            <v>5S</v>
          </cell>
          <cell r="S45">
            <v>38071</v>
          </cell>
          <cell r="T45">
            <v>4</v>
          </cell>
          <cell r="U45" t="str">
            <v>Hermansyah</v>
          </cell>
          <cell r="V45" t="str">
            <v>M.Safety</v>
          </cell>
          <cell r="W45">
            <v>38072</v>
          </cell>
          <cell r="X45">
            <v>4</v>
          </cell>
          <cell r="Y45" t="str">
            <v>Hermansyah</v>
          </cell>
          <cell r="Z45" t="str">
            <v>ESS</v>
          </cell>
          <cell r="AA45">
            <v>38111</v>
          </cell>
          <cell r="AB45">
            <v>4</v>
          </cell>
          <cell r="AC45" t="str">
            <v>Hermansyah</v>
          </cell>
          <cell r="AD45" t="str">
            <v>SPC</v>
          </cell>
          <cell r="AE45">
            <v>38112</v>
          </cell>
          <cell r="AF45">
            <v>4</v>
          </cell>
          <cell r="AG45" t="str">
            <v>Hermansyah</v>
          </cell>
          <cell r="AH45" t="str">
            <v>Pest Management</v>
          </cell>
          <cell r="AI45">
            <v>38113</v>
          </cell>
          <cell r="AJ45">
            <v>4</v>
          </cell>
          <cell r="AK45" t="str">
            <v>Hermansyah</v>
          </cell>
          <cell r="AL45" t="str">
            <v>GMP HACCP</v>
          </cell>
          <cell r="AM45">
            <v>38229</v>
          </cell>
          <cell r="AN45">
            <v>4</v>
          </cell>
          <cell r="AO45" t="str">
            <v>Lutri R</v>
          </cell>
        </row>
        <row r="46">
          <cell r="C46" t="str">
            <v>C.8.0047-M</v>
          </cell>
          <cell r="D46" t="str">
            <v>Samsudin</v>
          </cell>
          <cell r="H46" t="str">
            <v>Sheller Borongan</v>
          </cell>
          <cell r="R46" t="str">
            <v>ESS</v>
          </cell>
          <cell r="S46">
            <v>38031</v>
          </cell>
          <cell r="T46">
            <v>4</v>
          </cell>
          <cell r="U46" t="str">
            <v>Hermansyah</v>
          </cell>
          <cell r="V46" t="str">
            <v>Penc.&amp; penanggulangan tumpahan B3</v>
          </cell>
          <cell r="W46">
            <v>38033</v>
          </cell>
          <cell r="X46">
            <v>4</v>
          </cell>
          <cell r="Y46" t="str">
            <v>Hermansyah</v>
          </cell>
          <cell r="Z46" t="str">
            <v>SMK3</v>
          </cell>
          <cell r="AA46">
            <v>38034</v>
          </cell>
          <cell r="AB46">
            <v>4</v>
          </cell>
          <cell r="AC46" t="str">
            <v>Hermansyah</v>
          </cell>
          <cell r="AD46" t="str">
            <v>5S</v>
          </cell>
          <cell r="AE46">
            <v>38075</v>
          </cell>
          <cell r="AF46">
            <v>4</v>
          </cell>
          <cell r="AG46" t="str">
            <v>Hermansyah</v>
          </cell>
          <cell r="AH46" t="str">
            <v>M.Safety</v>
          </cell>
          <cell r="AI46">
            <v>38077</v>
          </cell>
          <cell r="AJ46">
            <v>4</v>
          </cell>
          <cell r="AK46" t="str">
            <v>Hermansyah</v>
          </cell>
          <cell r="AL46" t="str">
            <v>GMP HACCP</v>
          </cell>
          <cell r="AM46">
            <v>38100</v>
          </cell>
          <cell r="AN46">
            <v>4</v>
          </cell>
          <cell r="AO46" t="str">
            <v>Hermansyah</v>
          </cell>
          <cell r="AP46" t="str">
            <v>Sanitasi lingkungan</v>
          </cell>
          <cell r="AQ46">
            <v>38101</v>
          </cell>
          <cell r="AR46">
            <v>4</v>
          </cell>
          <cell r="AS46" t="str">
            <v>Hermansyah</v>
          </cell>
          <cell r="AT46" t="str">
            <v>Konservasi energi</v>
          </cell>
          <cell r="AU46">
            <v>38103</v>
          </cell>
          <cell r="AV46">
            <v>4</v>
          </cell>
          <cell r="AW46" t="str">
            <v>Hermansyah</v>
          </cell>
          <cell r="AX46" t="str">
            <v>SMK3</v>
          </cell>
          <cell r="AY46">
            <v>38119</v>
          </cell>
          <cell r="AZ46">
            <v>4</v>
          </cell>
          <cell r="BA46" t="str">
            <v>Hermansyah</v>
          </cell>
          <cell r="BB46" t="str">
            <v>ESS</v>
          </cell>
          <cell r="BC46">
            <v>38120</v>
          </cell>
          <cell r="BD46">
            <v>4</v>
          </cell>
          <cell r="BE46" t="str">
            <v>Hermansyah</v>
          </cell>
          <cell r="BF46" t="str">
            <v>Personel Protective Equipment</v>
          </cell>
          <cell r="BG46">
            <v>38121</v>
          </cell>
          <cell r="BH46">
            <v>4</v>
          </cell>
          <cell r="BI46" t="str">
            <v>Hermansyah</v>
          </cell>
          <cell r="BJ46" t="str">
            <v>ISO 17025</v>
          </cell>
          <cell r="BK46">
            <v>38148</v>
          </cell>
          <cell r="BL46">
            <v>4</v>
          </cell>
          <cell r="BM46" t="str">
            <v>Hermansyah</v>
          </cell>
          <cell r="BN46" t="str">
            <v>Medical safety</v>
          </cell>
          <cell r="BO46">
            <v>38149</v>
          </cell>
          <cell r="BP46">
            <v>4</v>
          </cell>
          <cell r="BQ46" t="str">
            <v>Hermansyah</v>
          </cell>
          <cell r="BR46" t="str">
            <v>PP Tumpahan B3</v>
          </cell>
          <cell r="BS46">
            <v>38150</v>
          </cell>
          <cell r="BT46">
            <v>4</v>
          </cell>
          <cell r="BU46" t="str">
            <v>Hermansyah</v>
          </cell>
        </row>
        <row r="47">
          <cell r="C47" t="str">
            <v>C.8.0048-M</v>
          </cell>
          <cell r="D47" t="str">
            <v>Abd  Wahid</v>
          </cell>
          <cell r="H47" t="str">
            <v>Sheller Borongan</v>
          </cell>
          <cell r="R47" t="str">
            <v>ESS</v>
          </cell>
          <cell r="S47">
            <v>38031</v>
          </cell>
          <cell r="T47">
            <v>4</v>
          </cell>
          <cell r="U47" t="str">
            <v>Hermansyah</v>
          </cell>
          <cell r="V47" t="str">
            <v>Penc.&amp; penanggulangan tumpahan B3</v>
          </cell>
          <cell r="W47">
            <v>38033</v>
          </cell>
          <cell r="X47">
            <v>4</v>
          </cell>
          <cell r="Y47" t="str">
            <v>Hermansyah</v>
          </cell>
          <cell r="Z47" t="str">
            <v>SMK3</v>
          </cell>
          <cell r="AA47">
            <v>38034</v>
          </cell>
          <cell r="AB47">
            <v>4</v>
          </cell>
          <cell r="AC47" t="str">
            <v>Hermansyah</v>
          </cell>
          <cell r="AD47" t="str">
            <v>5S</v>
          </cell>
          <cell r="AE47">
            <v>38075</v>
          </cell>
          <cell r="AF47">
            <v>4</v>
          </cell>
          <cell r="AG47" t="str">
            <v>Hermansyah</v>
          </cell>
          <cell r="AH47" t="str">
            <v>M.Safety</v>
          </cell>
          <cell r="AI47">
            <v>38077</v>
          </cell>
          <cell r="AJ47">
            <v>4</v>
          </cell>
          <cell r="AK47" t="str">
            <v>Hermansyah</v>
          </cell>
          <cell r="AL47" t="str">
            <v>GMP HACCP</v>
          </cell>
          <cell r="AM47">
            <v>38100</v>
          </cell>
          <cell r="AN47">
            <v>4</v>
          </cell>
          <cell r="AO47" t="str">
            <v>Hermansyah</v>
          </cell>
          <cell r="AP47" t="str">
            <v>Sanitasi lingkungan</v>
          </cell>
          <cell r="AQ47">
            <v>38101</v>
          </cell>
          <cell r="AR47">
            <v>4</v>
          </cell>
          <cell r="AS47" t="str">
            <v>Hermansyah</v>
          </cell>
          <cell r="AT47" t="str">
            <v>Konservasi energi</v>
          </cell>
          <cell r="AU47">
            <v>38103</v>
          </cell>
          <cell r="AV47">
            <v>4</v>
          </cell>
          <cell r="AW47" t="str">
            <v>Hermansyah</v>
          </cell>
          <cell r="AX47" t="str">
            <v>SMK3</v>
          </cell>
          <cell r="AY47">
            <v>38119</v>
          </cell>
          <cell r="AZ47">
            <v>4</v>
          </cell>
          <cell r="BA47" t="str">
            <v>Hermansyah</v>
          </cell>
          <cell r="BB47" t="str">
            <v>ESS</v>
          </cell>
          <cell r="BC47">
            <v>38120</v>
          </cell>
          <cell r="BD47">
            <v>4</v>
          </cell>
          <cell r="BE47" t="str">
            <v>Hermansyah</v>
          </cell>
          <cell r="BF47" t="str">
            <v>Personel Protective Equipment</v>
          </cell>
          <cell r="BG47">
            <v>38121</v>
          </cell>
          <cell r="BH47">
            <v>4</v>
          </cell>
          <cell r="BI47" t="str">
            <v>Hermansyah</v>
          </cell>
          <cell r="BJ47" t="str">
            <v>ISO 17025</v>
          </cell>
          <cell r="BK47">
            <v>38148</v>
          </cell>
          <cell r="BL47">
            <v>4</v>
          </cell>
          <cell r="BM47" t="str">
            <v>Hermansyah</v>
          </cell>
          <cell r="BN47" t="str">
            <v>Medical safety</v>
          </cell>
          <cell r="BO47">
            <v>38149</v>
          </cell>
          <cell r="BP47">
            <v>4</v>
          </cell>
          <cell r="BQ47" t="str">
            <v>Hermansyah</v>
          </cell>
          <cell r="BR47" t="str">
            <v>PP Tumpahan B3</v>
          </cell>
          <cell r="BS47">
            <v>38150</v>
          </cell>
          <cell r="BT47">
            <v>4</v>
          </cell>
          <cell r="BU47" t="str">
            <v>Hermansyah</v>
          </cell>
        </row>
        <row r="48">
          <cell r="C48" t="str">
            <v>C.8.0049-M</v>
          </cell>
          <cell r="D48" t="str">
            <v>Piryanto</v>
          </cell>
          <cell r="H48" t="str">
            <v>Sheller Borongan</v>
          </cell>
          <cell r="R48" t="str">
            <v>ESS</v>
          </cell>
          <cell r="S48">
            <v>38031</v>
          </cell>
          <cell r="T48">
            <v>4</v>
          </cell>
          <cell r="U48" t="str">
            <v>Hermansyah</v>
          </cell>
          <cell r="V48" t="str">
            <v>Penc.&amp; penanggulangan tumpahan B3</v>
          </cell>
          <cell r="W48">
            <v>38033</v>
          </cell>
          <cell r="X48">
            <v>4</v>
          </cell>
          <cell r="Y48" t="str">
            <v>Hermansyah</v>
          </cell>
          <cell r="Z48" t="str">
            <v>SMK3</v>
          </cell>
          <cell r="AA48">
            <v>38034</v>
          </cell>
          <cell r="AB48">
            <v>4</v>
          </cell>
          <cell r="AC48" t="str">
            <v>Hermansyah</v>
          </cell>
          <cell r="AD48" t="str">
            <v>5S</v>
          </cell>
          <cell r="AE48">
            <v>38054</v>
          </cell>
          <cell r="AF48">
            <v>4</v>
          </cell>
          <cell r="AG48" t="str">
            <v>Hermansyah</v>
          </cell>
          <cell r="AH48" t="str">
            <v>M.Safety</v>
          </cell>
          <cell r="AI48">
            <v>38056</v>
          </cell>
          <cell r="AJ48">
            <v>4</v>
          </cell>
          <cell r="AK48" t="str">
            <v>Hermansyah</v>
          </cell>
          <cell r="AL48" t="str">
            <v>GMP HACCP</v>
          </cell>
          <cell r="AM48">
            <v>38100</v>
          </cell>
          <cell r="AN48">
            <v>4</v>
          </cell>
          <cell r="AO48" t="str">
            <v>Hermansyah</v>
          </cell>
          <cell r="AP48" t="str">
            <v>Sanitasi lingkungan</v>
          </cell>
          <cell r="AQ48">
            <v>38101</v>
          </cell>
          <cell r="AR48">
            <v>4</v>
          </cell>
          <cell r="AS48" t="str">
            <v>Hermansyah</v>
          </cell>
          <cell r="AT48" t="str">
            <v>Konservasi energi</v>
          </cell>
          <cell r="AU48">
            <v>38103</v>
          </cell>
          <cell r="AV48">
            <v>4</v>
          </cell>
          <cell r="AW48" t="str">
            <v>Hermansyah</v>
          </cell>
          <cell r="AX48" t="str">
            <v>K3 Angkat Angkut</v>
          </cell>
          <cell r="AY48">
            <v>38116</v>
          </cell>
          <cell r="AZ48">
            <v>4</v>
          </cell>
          <cell r="BA48" t="str">
            <v>Hermansyah</v>
          </cell>
          <cell r="BB48" t="str">
            <v>Pest Management</v>
          </cell>
          <cell r="BC48">
            <v>38118</v>
          </cell>
          <cell r="BD48">
            <v>4</v>
          </cell>
          <cell r="BE48" t="str">
            <v>Hermansyah</v>
          </cell>
          <cell r="BF48" t="str">
            <v>ESS</v>
          </cell>
          <cell r="BG48">
            <v>38120</v>
          </cell>
          <cell r="BH48">
            <v>4</v>
          </cell>
          <cell r="BI48" t="str">
            <v>Hermansyah</v>
          </cell>
          <cell r="BJ48" t="str">
            <v>ISO 17025</v>
          </cell>
          <cell r="BK48">
            <v>38148</v>
          </cell>
          <cell r="BL48">
            <v>4</v>
          </cell>
          <cell r="BM48" t="str">
            <v>Hermansyah</v>
          </cell>
          <cell r="BN48" t="str">
            <v>Medical safety</v>
          </cell>
          <cell r="BO48">
            <v>38149</v>
          </cell>
          <cell r="BP48">
            <v>4</v>
          </cell>
          <cell r="BQ48" t="str">
            <v>Hermansyah</v>
          </cell>
          <cell r="BR48" t="str">
            <v>PP Tumpahan B3</v>
          </cell>
          <cell r="BS48">
            <v>38150</v>
          </cell>
          <cell r="BT48">
            <v>4</v>
          </cell>
          <cell r="BU48" t="str">
            <v>Hermansyah</v>
          </cell>
        </row>
        <row r="49">
          <cell r="C49" t="str">
            <v>C.8.0050-M</v>
          </cell>
          <cell r="D49" t="str">
            <v>Misnawati</v>
          </cell>
          <cell r="H49" t="str">
            <v>Pencuci</v>
          </cell>
          <cell r="R49" t="str">
            <v>Super 5S</v>
          </cell>
          <cell r="S49">
            <v>38189</v>
          </cell>
          <cell r="T49">
            <v>4</v>
          </cell>
          <cell r="U49" t="str">
            <v>Lutri R</v>
          </cell>
          <cell r="V49" t="str">
            <v>GMP HACCP</v>
          </cell>
          <cell r="W49">
            <v>38190</v>
          </cell>
          <cell r="X49">
            <v>4</v>
          </cell>
          <cell r="Y49" t="str">
            <v>Lutri R</v>
          </cell>
          <cell r="Z49" t="str">
            <v>Konservasi energi</v>
          </cell>
          <cell r="AA49">
            <v>38191</v>
          </cell>
          <cell r="AB49">
            <v>4</v>
          </cell>
          <cell r="AC49" t="str">
            <v>Lutri R</v>
          </cell>
        </row>
        <row r="50">
          <cell r="C50" t="str">
            <v>C.8.0051-M</v>
          </cell>
          <cell r="D50" t="str">
            <v>Udin.A</v>
          </cell>
          <cell r="H50" t="str">
            <v>KR. Sheller</v>
          </cell>
          <cell r="R50" t="str">
            <v>ESS</v>
          </cell>
          <cell r="S50">
            <v>38031</v>
          </cell>
          <cell r="T50">
            <v>4</v>
          </cell>
          <cell r="U50" t="str">
            <v>Hermansyah</v>
          </cell>
          <cell r="V50" t="str">
            <v>Penc.&amp; penanggulangan tumpahan B3</v>
          </cell>
          <cell r="W50">
            <v>38033</v>
          </cell>
          <cell r="X50">
            <v>4</v>
          </cell>
          <cell r="Y50" t="str">
            <v>Hermansyah</v>
          </cell>
          <cell r="Z50" t="str">
            <v>SMK3</v>
          </cell>
          <cell r="AA50">
            <v>38034</v>
          </cell>
          <cell r="AB50">
            <v>4</v>
          </cell>
          <cell r="AC50" t="str">
            <v>Hermansyah</v>
          </cell>
          <cell r="AD50" t="str">
            <v>5S</v>
          </cell>
          <cell r="AE50">
            <v>38075</v>
          </cell>
          <cell r="AF50">
            <v>4</v>
          </cell>
          <cell r="AG50" t="str">
            <v>Hermansyah</v>
          </cell>
          <cell r="AH50" t="str">
            <v>M.Safety</v>
          </cell>
          <cell r="AI50">
            <v>38077</v>
          </cell>
          <cell r="AJ50">
            <v>4</v>
          </cell>
          <cell r="AK50" t="str">
            <v>Hermansyah</v>
          </cell>
          <cell r="AL50" t="str">
            <v>GMP HACCP</v>
          </cell>
          <cell r="AM50">
            <v>38100</v>
          </cell>
          <cell r="AN50">
            <v>4</v>
          </cell>
          <cell r="AO50" t="str">
            <v>Hermansyah</v>
          </cell>
          <cell r="AP50" t="str">
            <v>Sanitasi lingkungan</v>
          </cell>
          <cell r="AQ50">
            <v>38101</v>
          </cell>
          <cell r="AR50">
            <v>4</v>
          </cell>
          <cell r="AS50" t="str">
            <v>Hermansyah</v>
          </cell>
          <cell r="AT50" t="str">
            <v>Konservasi energi</v>
          </cell>
          <cell r="AU50">
            <v>38103</v>
          </cell>
          <cell r="AV50">
            <v>4</v>
          </cell>
          <cell r="AW50" t="str">
            <v>Hermansyah</v>
          </cell>
          <cell r="AX50" t="str">
            <v>SMK3</v>
          </cell>
          <cell r="AY50">
            <v>38119</v>
          </cell>
          <cell r="AZ50">
            <v>4</v>
          </cell>
          <cell r="BA50" t="str">
            <v>Hermansyah</v>
          </cell>
          <cell r="BB50" t="str">
            <v>ESS</v>
          </cell>
          <cell r="BC50">
            <v>38120</v>
          </cell>
          <cell r="BD50">
            <v>4</v>
          </cell>
          <cell r="BE50" t="str">
            <v>Hermansyah</v>
          </cell>
          <cell r="BF50" t="str">
            <v>Personel Protective Equipment</v>
          </cell>
          <cell r="BG50">
            <v>38121</v>
          </cell>
          <cell r="BH50">
            <v>4</v>
          </cell>
          <cell r="BI50" t="str">
            <v>Hermansyah</v>
          </cell>
          <cell r="BJ50" t="str">
            <v>PP tumpahan B3</v>
          </cell>
          <cell r="BK50">
            <v>38154</v>
          </cell>
          <cell r="BL50">
            <v>4</v>
          </cell>
          <cell r="BM50" t="str">
            <v>Nurian E</v>
          </cell>
          <cell r="BN50" t="str">
            <v>ISO 17025</v>
          </cell>
          <cell r="BO50">
            <v>38155</v>
          </cell>
          <cell r="BP50">
            <v>4</v>
          </cell>
          <cell r="BQ50" t="str">
            <v>Nurian E</v>
          </cell>
          <cell r="BR50" t="str">
            <v>Medical Safety</v>
          </cell>
          <cell r="BS50">
            <v>38156</v>
          </cell>
          <cell r="BT50">
            <v>4</v>
          </cell>
          <cell r="BU50" t="str">
            <v>Nurian E</v>
          </cell>
          <cell r="BV50" t="str">
            <v>SPC</v>
          </cell>
          <cell r="BW50">
            <v>38171</v>
          </cell>
          <cell r="BX50">
            <v>4</v>
          </cell>
          <cell r="BY50" t="str">
            <v>Anzus M</v>
          </cell>
          <cell r="BZ50" t="str">
            <v>Konservasi energi</v>
          </cell>
          <cell r="CA50">
            <v>38174</v>
          </cell>
          <cell r="CB50">
            <v>3</v>
          </cell>
          <cell r="CC50" t="str">
            <v>Anzus M</v>
          </cell>
          <cell r="CD50" t="str">
            <v>Super 5S</v>
          </cell>
          <cell r="CE50">
            <v>38175</v>
          </cell>
          <cell r="CF50">
            <v>3</v>
          </cell>
          <cell r="CG50" t="str">
            <v>Edi S</v>
          </cell>
          <cell r="CH50" t="str">
            <v>GMP HACCP</v>
          </cell>
          <cell r="CI50">
            <v>38176</v>
          </cell>
          <cell r="CJ50">
            <v>3</v>
          </cell>
          <cell r="CK50" t="str">
            <v>Anzus M</v>
          </cell>
          <cell r="CL50" t="str">
            <v>GMP HACCP</v>
          </cell>
          <cell r="CM50">
            <v>38202</v>
          </cell>
          <cell r="CN50">
            <v>4</v>
          </cell>
          <cell r="CO50" t="str">
            <v>Anzus M</v>
          </cell>
        </row>
        <row r="51">
          <cell r="C51" t="str">
            <v>C.8.0052-M</v>
          </cell>
          <cell r="D51" t="str">
            <v>Sujud</v>
          </cell>
          <cell r="H51" t="str">
            <v>Sheller Borongan</v>
          </cell>
          <cell r="R51" t="str">
            <v>Penc.&amp;penanggulangan tumpahan B3</v>
          </cell>
          <cell r="S51">
            <v>38023</v>
          </cell>
          <cell r="T51">
            <v>4</v>
          </cell>
          <cell r="U51" t="str">
            <v>Hermansyah</v>
          </cell>
          <cell r="V51" t="str">
            <v>ESS</v>
          </cell>
          <cell r="W51">
            <v>38024</v>
          </cell>
          <cell r="X51">
            <v>4</v>
          </cell>
          <cell r="Y51" t="str">
            <v>Hermansyah</v>
          </cell>
          <cell r="Z51" t="str">
            <v>SMK3</v>
          </cell>
          <cell r="AA51">
            <v>38026</v>
          </cell>
          <cell r="AB51">
            <v>4</v>
          </cell>
          <cell r="AC51" t="str">
            <v>Hermansyah</v>
          </cell>
          <cell r="AD51" t="str">
            <v>5S</v>
          </cell>
          <cell r="AE51">
            <v>38075</v>
          </cell>
          <cell r="AF51">
            <v>4</v>
          </cell>
          <cell r="AG51" t="str">
            <v>Hermansyah</v>
          </cell>
          <cell r="AH51" t="str">
            <v>M.Safety</v>
          </cell>
          <cell r="AI51">
            <v>38077</v>
          </cell>
          <cell r="AJ51">
            <v>4</v>
          </cell>
          <cell r="AK51" t="str">
            <v>Hermansyah</v>
          </cell>
          <cell r="AL51" t="str">
            <v>PP Kebakaran</v>
          </cell>
          <cell r="AM51">
            <v>38115</v>
          </cell>
          <cell r="AN51">
            <v>4</v>
          </cell>
          <cell r="AO51" t="str">
            <v>Hermansyah</v>
          </cell>
          <cell r="AP51" t="str">
            <v>Pest Management</v>
          </cell>
          <cell r="AQ51">
            <v>38118</v>
          </cell>
          <cell r="AR51">
            <v>4</v>
          </cell>
          <cell r="AS51" t="str">
            <v>Hermansyah</v>
          </cell>
          <cell r="AT51" t="str">
            <v>SPC</v>
          </cell>
          <cell r="AU51">
            <v>38125</v>
          </cell>
          <cell r="AV51">
            <v>4</v>
          </cell>
          <cell r="AW51" t="str">
            <v>Hermansyah</v>
          </cell>
          <cell r="AX51" t="str">
            <v>ISO 17025</v>
          </cell>
          <cell r="AY51">
            <v>38148</v>
          </cell>
          <cell r="AZ51">
            <v>4</v>
          </cell>
          <cell r="BA51" t="str">
            <v>Hermansyah</v>
          </cell>
          <cell r="BB51" t="str">
            <v>Medical safety</v>
          </cell>
          <cell r="BC51">
            <v>38149</v>
          </cell>
          <cell r="BD51">
            <v>4</v>
          </cell>
          <cell r="BE51" t="str">
            <v>Hermansyah</v>
          </cell>
          <cell r="BF51" t="str">
            <v>PP Tumpahan B3</v>
          </cell>
          <cell r="BG51">
            <v>38150</v>
          </cell>
          <cell r="BH51">
            <v>4</v>
          </cell>
          <cell r="BI51" t="str">
            <v>Hermansyah</v>
          </cell>
          <cell r="BJ51" t="str">
            <v>GMP HACCP</v>
          </cell>
          <cell r="BK51">
            <v>38202</v>
          </cell>
          <cell r="BL51">
            <v>4</v>
          </cell>
          <cell r="BM51" t="str">
            <v>Lutri R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>
  <externalBook xmlns:r="http://schemas.openxmlformats.org/officeDocument/2006/relationships" r:id="rId1">
    <sheetNames>
      <sheetName val="COVER"/>
      <sheetName val="PERUBAHAN"/>
      <sheetName val="FLOW"/>
      <sheetName val="SEDUR"/>
      <sheetName val="QMS-102"/>
      <sheetName val="QMS-77"/>
      <sheetName val="QMS-052"/>
      <sheetName val="GMP-01"/>
      <sheetName val="QMS-78"/>
      <sheetName val="QMS-79"/>
      <sheetName val="QMS-80"/>
      <sheetName val="QMS-82"/>
      <sheetName val="QMS-83"/>
      <sheetName val="QMS-81"/>
      <sheetName val="QMS-84"/>
      <sheetName val="PMK"/>
      <sheetName val="QMS-8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2.xml><?xml version="1.0" encoding="utf-8"?>
<externalLink xmlns="http://schemas.openxmlformats.org/spreadsheetml/2006/main">
  <externalBook xmlns:r="http://schemas.openxmlformats.org/officeDocument/2006/relationships" r:id="rId1">
    <sheetNames>
      <sheetName val="dln"/>
      <sheetName val="Lemker"/>
      <sheetName val="Dolanan"/>
      <sheetName val="Rumus krM"/>
      <sheetName val="Raw Data"/>
      <sheetName val="Lemhas"/>
      <sheetName val="LKT (2)"/>
      <sheetName val="13"/>
      <sheetName val="sertifkat"/>
    </sheetNames>
    <sheetDataSet>
      <sheetData sheetId="0"/>
      <sheetData sheetId="1"/>
      <sheetData sheetId="2"/>
      <sheetData sheetId="3"/>
      <sheetData sheetId="4"/>
      <sheetData sheetId="5">
        <row r="19">
          <cell r="E19">
            <v>601.21</v>
          </cell>
          <cell r="I19">
            <v>600</v>
          </cell>
          <cell r="N19">
            <v>-1.2100000000000364</v>
          </cell>
          <cell r="R19">
            <v>-0.20166666666667274</v>
          </cell>
        </row>
        <row r="20">
          <cell r="E20">
            <v>1204.42</v>
          </cell>
          <cell r="I20">
            <v>1200</v>
          </cell>
          <cell r="N20">
            <v>-4.4200000000000728</v>
          </cell>
          <cell r="R20">
            <v>-0.3683333333333394</v>
          </cell>
        </row>
        <row r="21">
          <cell r="E21">
            <v>1808.06</v>
          </cell>
          <cell r="I21">
            <v>1800</v>
          </cell>
          <cell r="N21">
            <v>-8.0599999999999454</v>
          </cell>
          <cell r="R21">
            <v>-0.44777777777777472</v>
          </cell>
        </row>
        <row r="22">
          <cell r="E22">
            <v>2412.81</v>
          </cell>
          <cell r="I22">
            <v>2400</v>
          </cell>
          <cell r="N22">
            <v>-12.809999999999945</v>
          </cell>
          <cell r="R22">
            <v>-0.53374999999999773</v>
          </cell>
        </row>
        <row r="23">
          <cell r="E23">
            <v>3022.48</v>
          </cell>
          <cell r="I23">
            <v>3000</v>
          </cell>
          <cell r="N23">
            <v>-22.480000000000018</v>
          </cell>
          <cell r="R23">
            <v>-0.74933333333333396</v>
          </cell>
        </row>
        <row r="24">
          <cell r="E24">
            <v>3660.42</v>
          </cell>
          <cell r="I24">
            <v>3600</v>
          </cell>
          <cell r="N24">
            <v>-60.420000000000073</v>
          </cell>
          <cell r="R24">
            <v>-1.6783333333333355</v>
          </cell>
        </row>
      </sheetData>
      <sheetData sheetId="6"/>
      <sheetData sheetId="7"/>
      <sheetData sheetId="8"/>
    </sheetDataSet>
  </externalBook>
</externalLink>
</file>

<file path=xl/externalLinks/externalLink33.xml><?xml version="1.0" encoding="utf-8"?>
<externalLink xmlns="http://schemas.openxmlformats.org/spreadsheetml/2006/main">
  <externalBook xmlns:r="http://schemas.openxmlformats.org/officeDocument/2006/relationships" r:id="rId1">
    <sheetNames>
      <sheetName val="dln"/>
      <sheetName val="Lemker"/>
      <sheetName val="Dolanan"/>
      <sheetName val="Rumus krM"/>
      <sheetName val="Raw Data"/>
      <sheetName val="Lemhas"/>
      <sheetName val="LKT (2)"/>
      <sheetName val="13"/>
      <sheetName val="sertifkat"/>
    </sheetNames>
    <sheetDataSet>
      <sheetData sheetId="0"/>
      <sheetData sheetId="1"/>
      <sheetData sheetId="2"/>
      <sheetData sheetId="3"/>
      <sheetData sheetId="4"/>
      <sheetData sheetId="5">
        <row r="19">
          <cell r="E19">
            <v>601.21</v>
          </cell>
          <cell r="I19">
            <v>600</v>
          </cell>
          <cell r="N19">
            <v>-1.2100000000000364</v>
          </cell>
          <cell r="R19">
            <v>-0.20166666666667274</v>
          </cell>
        </row>
        <row r="20">
          <cell r="E20">
            <v>1204.42</v>
          </cell>
          <cell r="I20">
            <v>1200</v>
          </cell>
          <cell r="N20">
            <v>-4.4200000000000728</v>
          </cell>
          <cell r="R20">
            <v>-0.3683333333333394</v>
          </cell>
        </row>
        <row r="21">
          <cell r="E21">
            <v>1808.06</v>
          </cell>
          <cell r="I21">
            <v>1800</v>
          </cell>
          <cell r="N21">
            <v>-8.0599999999999454</v>
          </cell>
          <cell r="R21">
            <v>-0.44777777777777472</v>
          </cell>
        </row>
        <row r="22">
          <cell r="E22">
            <v>2412.81</v>
          </cell>
          <cell r="I22">
            <v>2400</v>
          </cell>
          <cell r="N22">
            <v>-12.809999999999945</v>
          </cell>
          <cell r="R22">
            <v>-0.53374999999999773</v>
          </cell>
        </row>
        <row r="23">
          <cell r="E23">
            <v>3022.48</v>
          </cell>
          <cell r="I23">
            <v>3000</v>
          </cell>
          <cell r="N23">
            <v>-22.480000000000018</v>
          </cell>
          <cell r="R23">
            <v>-0.74933333333333396</v>
          </cell>
        </row>
        <row r="24">
          <cell r="E24">
            <v>3660.42</v>
          </cell>
          <cell r="I24">
            <v>3600</v>
          </cell>
          <cell r="N24">
            <v>-60.420000000000073</v>
          </cell>
          <cell r="R24">
            <v>-1.6783333333333355</v>
          </cell>
        </row>
      </sheetData>
      <sheetData sheetId="6"/>
      <sheetData sheetId="7"/>
      <sheetData sheetId="8"/>
    </sheetDataSet>
  </externalBook>
</externalLink>
</file>

<file path=xl/externalLinks/externalLink34.xml><?xml version="1.0" encoding="utf-8"?>
<externalLink xmlns="http://schemas.openxmlformats.org/spreadsheetml/2006/main">
  <externalBook xmlns:r="http://schemas.openxmlformats.org/officeDocument/2006/relationships" r:id="rId1">
    <sheetNames>
      <sheetName val="dln"/>
      <sheetName val="Lemker"/>
      <sheetName val="Dolanan"/>
      <sheetName val="Rumus krM"/>
      <sheetName val="Raw Data"/>
      <sheetName val="Lemhas"/>
      <sheetName val="LKT (2)"/>
      <sheetName val="13"/>
      <sheetName val="sertifkat"/>
    </sheetNames>
    <sheetDataSet>
      <sheetData sheetId="0"/>
      <sheetData sheetId="1"/>
      <sheetData sheetId="2"/>
      <sheetData sheetId="3"/>
      <sheetData sheetId="4"/>
      <sheetData sheetId="5">
        <row r="19">
          <cell r="E19">
            <v>601.21</v>
          </cell>
          <cell r="I19">
            <v>600</v>
          </cell>
          <cell r="N19">
            <v>-1.2100000000000364</v>
          </cell>
          <cell r="R19">
            <v>-0.20166666666667274</v>
          </cell>
        </row>
        <row r="20">
          <cell r="E20">
            <v>1204.42</v>
          </cell>
          <cell r="I20">
            <v>1200</v>
          </cell>
          <cell r="N20">
            <v>-4.4200000000000728</v>
          </cell>
          <cell r="R20">
            <v>-0.3683333333333394</v>
          </cell>
        </row>
        <row r="21">
          <cell r="E21">
            <v>1808.06</v>
          </cell>
          <cell r="I21">
            <v>1800</v>
          </cell>
          <cell r="N21">
            <v>-8.0599999999999454</v>
          </cell>
          <cell r="R21">
            <v>-0.44777777777777472</v>
          </cell>
        </row>
        <row r="22">
          <cell r="E22">
            <v>2412.81</v>
          </cell>
          <cell r="I22">
            <v>2400</v>
          </cell>
          <cell r="N22">
            <v>-12.809999999999945</v>
          </cell>
          <cell r="R22">
            <v>-0.53374999999999773</v>
          </cell>
        </row>
        <row r="23">
          <cell r="E23">
            <v>3022.48</v>
          </cell>
          <cell r="I23">
            <v>3000</v>
          </cell>
          <cell r="N23">
            <v>-22.480000000000018</v>
          </cell>
          <cell r="R23">
            <v>-0.74933333333333396</v>
          </cell>
        </row>
        <row r="24">
          <cell r="E24">
            <v>3660.42</v>
          </cell>
          <cell r="I24">
            <v>3600</v>
          </cell>
          <cell r="N24">
            <v>-60.420000000000073</v>
          </cell>
          <cell r="R24">
            <v>-1.6783333333333355</v>
          </cell>
        </row>
      </sheetData>
      <sheetData sheetId="6"/>
      <sheetData sheetId="7"/>
      <sheetData sheetId="8"/>
    </sheetDataSet>
  </externalBook>
</externalLink>
</file>

<file path=xl/externalLinks/externalLink35.xml><?xml version="1.0" encoding="utf-8"?>
<externalLink xmlns="http://schemas.openxmlformats.org/spreadsheetml/2006/main">
  <externalBook xmlns:r="http://schemas.openxmlformats.org/officeDocument/2006/relationships" r:id="rId1">
    <sheetNames>
      <sheetName val="XXXXXXX"/>
      <sheetName val="XXXXXX0"/>
      <sheetName val="XXXXXX1"/>
      <sheetName val="results"/>
      <sheetName val="prj"/>
      <sheetName val="listrik"/>
      <sheetName val="WTR"/>
      <sheetName val="ASES"/>
      <sheetName val="MP2"/>
      <sheetName val="PMK"/>
      <sheetName val="kop"/>
      <sheetName val="PIC"/>
      <sheetName val="QAD"/>
      <sheetName val="OFFICE"/>
      <sheetName val="ITD"/>
      <sheetName val="ACC"/>
      <sheetName val="FIN"/>
      <sheetName val="QSD"/>
      <sheetName val="KLINIK"/>
      <sheetName val="GA"/>
      <sheetName val="psn"/>
      <sheetName val="wet"/>
      <sheetName val="MP1"/>
      <sheetName val="Boiler"/>
      <sheetName val="Genset"/>
      <sheetName val="B.UMUM"/>
      <sheetName val="PRU"/>
      <sheetName val="RMP"/>
      <sheetName val="WHS"/>
      <sheetName val="LOG"/>
      <sheetName val="CST"/>
      <sheetName val="ESM"/>
      <sheetName val="LFDC"/>
      <sheetName val="MP3"/>
      <sheetName val="Keluar"/>
      <sheetName val="drp"/>
      <sheetName val="MASUK"/>
      <sheetName val="mutasi.@"/>
      <sheetName val="pendidikan"/>
      <sheetName val="SUKU FEB"/>
      <sheetName val="BAB"/>
    </sheetNames>
    <sheetDataSet>
      <sheetData sheetId="0"/>
      <sheetData sheetId="1"/>
      <sheetData sheetId="2"/>
      <sheetData sheetId="3" refreshError="1"/>
      <sheetData sheetId="4">
        <row r="3">
          <cell r="F3" t="str">
            <v>THN</v>
          </cell>
        </row>
        <row r="4">
          <cell r="F4">
            <v>38</v>
          </cell>
        </row>
        <row r="5">
          <cell r="F5">
            <v>24</v>
          </cell>
        </row>
        <row r="6">
          <cell r="F6">
            <v>51</v>
          </cell>
        </row>
        <row r="7">
          <cell r="F7">
            <v>34</v>
          </cell>
        </row>
        <row r="8">
          <cell r="F8">
            <v>23</v>
          </cell>
        </row>
        <row r="9">
          <cell r="F9">
            <v>23</v>
          </cell>
        </row>
        <row r="10">
          <cell r="F10">
            <v>19</v>
          </cell>
        </row>
        <row r="11">
          <cell r="F11">
            <v>22</v>
          </cell>
        </row>
        <row r="12">
          <cell r="F12">
            <v>32</v>
          </cell>
        </row>
        <row r="13">
          <cell r="F13">
            <v>102</v>
          </cell>
        </row>
        <row r="14">
          <cell r="F14">
            <v>30</v>
          </cell>
        </row>
        <row r="15">
          <cell r="F15">
            <v>28</v>
          </cell>
        </row>
        <row r="16">
          <cell r="F16">
            <v>24</v>
          </cell>
        </row>
        <row r="17">
          <cell r="F17">
            <v>40</v>
          </cell>
        </row>
        <row r="18">
          <cell r="F18">
            <v>38</v>
          </cell>
        </row>
        <row r="19">
          <cell r="F19">
            <v>33</v>
          </cell>
        </row>
        <row r="20">
          <cell r="F20">
            <v>21</v>
          </cell>
        </row>
        <row r="21">
          <cell r="F21">
            <v>28</v>
          </cell>
        </row>
        <row r="22">
          <cell r="F22">
            <v>30</v>
          </cell>
        </row>
        <row r="23">
          <cell r="F23">
            <v>29</v>
          </cell>
        </row>
        <row r="24">
          <cell r="F24">
            <v>102</v>
          </cell>
        </row>
        <row r="25">
          <cell r="F25">
            <v>32</v>
          </cell>
        </row>
        <row r="26">
          <cell r="F26">
            <v>45</v>
          </cell>
        </row>
        <row r="27">
          <cell r="F27">
            <v>28</v>
          </cell>
        </row>
        <row r="28">
          <cell r="F28">
            <v>28</v>
          </cell>
        </row>
        <row r="29">
          <cell r="F29">
            <v>22</v>
          </cell>
        </row>
        <row r="30">
          <cell r="F30">
            <v>33</v>
          </cell>
        </row>
        <row r="31">
          <cell r="F31">
            <v>23</v>
          </cell>
        </row>
        <row r="32">
          <cell r="F32">
            <v>28</v>
          </cell>
        </row>
        <row r="33">
          <cell r="F33">
            <v>34</v>
          </cell>
        </row>
        <row r="34">
          <cell r="F34">
            <v>31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externalLinks/externalLink36.xml><?xml version="1.0" encoding="utf-8"?>
<externalLink xmlns="http://schemas.openxmlformats.org/spreadsheetml/2006/main">
  <externalBook xmlns:r="http://schemas.openxmlformats.org/officeDocument/2006/relationships" r:id="rId1">
    <sheetNames>
      <sheetName val="FRM1-13"/>
    </sheetNames>
    <definedNames>
      <definedName name="Macro15"/>
    </definedNames>
    <sheetDataSet>
      <sheetData sheetId="0" refreshError="1"/>
    </sheetDataSet>
  </externalBook>
</externalLink>
</file>

<file path=xl/externalLinks/externalLink37.xml><?xml version="1.0" encoding="utf-8"?>
<externalLink xmlns="http://schemas.openxmlformats.org/spreadsheetml/2006/main">
  <externalBook xmlns:r="http://schemas.openxmlformats.org/officeDocument/2006/relationships" r:id="rId1">
    <sheetNames>
      <sheetName val="L 5 revised"/>
      <sheetName val="ddc"/>
      <sheetName val="ppd"/>
      <sheetName val="Cover"/>
      <sheetName val="WIN"/>
      <sheetName val="Lam-4"/>
      <sheetName val="FORM"/>
      <sheetName val="KODE A"/>
      <sheetName val="KODE B"/>
      <sheetName val="Rekap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8.xml><?xml version="1.0" encoding="utf-8"?>
<externalLink xmlns="http://schemas.openxmlformats.org/spreadsheetml/2006/main">
  <externalBook xmlns:r="http://schemas.openxmlformats.org/officeDocument/2006/relationships" r:id="rId1">
    <sheetNames>
      <sheetName val="XXXXXXX"/>
      <sheetName val="XXXXXX0"/>
      <sheetName val="XXXXXX1"/>
      <sheetName val="results"/>
      <sheetName val="Index"/>
      <sheetName val="Rkp"/>
      <sheetName val="MGR&amp;AMGR"/>
      <sheetName val="KB"/>
      <sheetName val="WKB"/>
      <sheetName val="KS"/>
      <sheetName val="WKS"/>
      <sheetName val="KR"/>
      <sheetName val="ADM"/>
      <sheetName val="PSN"/>
      <sheetName val="GA"/>
      <sheetName val="KLN"/>
      <sheetName val="FIN"/>
      <sheetName val="BUK"/>
      <sheetName val="OFC"/>
      <sheetName val="ITD"/>
      <sheetName val="MIS"/>
      <sheetName val="ESM"/>
      <sheetName val="CST"/>
      <sheetName val="PIC"/>
      <sheetName val="PBL"/>
      <sheetName val="PBL-ABK"/>
      <sheetName val="WHS"/>
      <sheetName val="LOG"/>
      <sheetName val="QAD"/>
      <sheetName val="QAD-Sortir"/>
      <sheetName val="R&amp;D"/>
      <sheetName val="ESD"/>
      <sheetName val="QSD"/>
      <sheetName val="DRP"/>
      <sheetName val="WET"/>
      <sheetName val="CMP"/>
      <sheetName val="PMK"/>
      <sheetName val="MP-1"/>
      <sheetName val="MP2"/>
      <sheetName val="DWP"/>
      <sheetName val="CPD"/>
      <sheetName val="FSD"/>
      <sheetName val="WTD"/>
      <sheetName val="BLR"/>
      <sheetName val="PWH"/>
      <sheetName val="LST"/>
      <sheetName val="B-UM"/>
      <sheetName val="BAB"/>
      <sheetName val="PRJ"/>
      <sheetName val="PRU"/>
      <sheetName val="KOP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39.xml><?xml version="1.0" encoding="utf-8"?>
<externalLink xmlns="http://schemas.openxmlformats.org/spreadsheetml/2006/main">
  <externalBook xmlns:r="http://schemas.openxmlformats.org/officeDocument/2006/relationships" r:id="rId1">
    <sheetNames>
      <sheetName val="DAFTAR ISI"/>
      <sheetName val="Sheet1"/>
      <sheetName val="Rudi - RMP"/>
    </sheetNames>
    <definedNames>
      <definedName name="Terbilang"/>
    </definedNames>
    <sheetDataSet>
      <sheetData sheetId="0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id="6" name="ARG" displayName="ARG" ref="B2:AA3" totalsRowShown="0" headerRowDxfId="218" headerRowCellStyle="Normal 3_KOPRA  JUNI  2012">
  <tableColumns count="26">
    <tableColumn id="1" name="RELASI" dataDxfId="217">
      <calculatedColumnFormula>IFERROR(LEFT(ARG[[#This Row],[SUPPLIER]],FIND("/",ARG[[#This Row],[SUPPLIER]])-1),ARG[[#This Row],[SUPPLIER]])</calculatedColumnFormula>
    </tableColumn>
    <tableColumn id="25" name="D2" dataDxfId="216">
      <calculatedColumnFormula>TEXT(COUNTIFS($B$2:B3,ARG[[#This Row],[RELASI]],$D$2:D3,1),"000")</calculatedColumnFormula>
    </tableColumn>
    <tableColumn id="26" name="NK" dataDxfId="215">
      <calculatedColumnFormula>IF(VLOOKUP(ARG[[#This Row],[RELASI]],DBRELASI[[RELASI]:[DOCARG]],12,0)+COUNTIFS($B$3:B3,ARG[[#This Row],[RELASI]],$F$3:F3,ARG[[#This Row],[TANGGAL]])&lt;&gt;1,0,1)</calculatedColumnFormula>
    </tableColumn>
    <tableColumn id="24" name="D" dataDxfId="214">
      <calculatedColumnFormula>TEXT(IF([NODOC]&lt;&gt;"",[NODOC],E2),"000")</calculatedColumnFormula>
    </tableColumn>
    <tableColumn id="23" name="TANGGAL" dataDxfId="213"/>
    <tableColumn id="2" name="NODOC" dataDxfId="212" dataCellStyle="Normal_KOPRA  JUNI  2012 2"/>
    <tableColumn id="3" name="SUPPLIER" dataDxfId="211"/>
    <tableColumn id="4" name="AREA" dataDxfId="210"/>
    <tableColumn id="5" name="TN" dataDxfId="209"/>
    <tableColumn id="6" name="BRUTO" dataDxfId="208"/>
    <tableColumn id="7" name="TARRA" dataDxfId="207"/>
    <tableColumn id="8" name="NETTO1" dataDxfId="206"/>
    <tableColumn id="9" name="POTKARUNG" dataDxfId="205"/>
    <tableColumn id="10" name="TPOT1" dataDxfId="204"/>
    <tableColumn id="11" name="NETTO2" dataDxfId="203"/>
    <tableColumn id="12" name="MC" dataDxfId="202"/>
    <tableColumn id="13" name="DC" dataDxfId="201"/>
    <tableColumn id="14" name="DC2" dataDxfId="200"/>
    <tableColumn id="15" name="NETTO3" dataDxfId="199"/>
    <tableColumn id="16" name="HARGA" dataDxfId="198"/>
    <tableColumn id="17" name="TBAYAR1" dataDxfId="197"/>
    <tableColumn id="18" name="KOM" dataDxfId="196"/>
    <tableColumn id="19" name="H+KP" dataDxfId="195"/>
    <tableColumn id="20" name="TBAYAR2" dataDxfId="194"/>
    <tableColumn id="21" name="POTPPH" dataDxfId="193"/>
    <tableColumn id="22" name="TPEMBAYARAN" dataDxfId="192"/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id="3" name="KPR" displayName="KPR" ref="B2:Z3" totalsRowShown="0" headerRowDxfId="189" dataDxfId="188" headerRowCellStyle="Normal 5 6">
  <tableColumns count="25">
    <tableColumn id="1" name="RELASI" dataDxfId="187">
      <calculatedColumnFormula>IFERROR(LEFT(KPR[[#This Row],[SUPPLIER]],FIND("/",KPR[[#This Row],[SUPPLIER]])-1),KPR[[#This Row],[SUPPLIER]])</calculatedColumnFormula>
    </tableColumn>
    <tableColumn id="24" name="NK" dataDxfId="186">
      <calculatedColumnFormula>TEXT(VLOOKUP(KPR[[#This Row],[RELASI]],DBRELASI[[RELASI]:[DOCKPR]],12,0)+COUNTIFS($B$2:B3,KPR[[#This Row],[RELASI]],$D$2:D3,1),"000")</calculatedColumnFormula>
    </tableColumn>
    <tableColumn id="25" name="CK" dataDxfId="185">
      <calculatedColumnFormula>IF(COUNTIFS($B$3:B3,KPR[[#This Row],[RELASI]],$F$3:F3,KPR[[#This Row],[TANGGAL]])&lt;&gt;1,0,1)</calculatedColumnFormula>
    </tableColumn>
    <tableColumn id="23" name="D" dataDxfId="184">
      <calculatedColumnFormula>TEXT(IF(KPR[[#This Row],[NODOC]]&lt;&gt;"",KPR[[#This Row],[NODOC]],E2),"000")</calculatedColumnFormula>
    </tableColumn>
    <tableColumn id="22" name="TANGGAL" dataDxfId="183"/>
    <tableColumn id="2" name="NODOC" dataDxfId="182" dataCellStyle="Normal_KOPRA  JUNI  2012 2"/>
    <tableColumn id="3" name="SUPPLIER" dataDxfId="181" dataCellStyle="Normal_KOPRA  JUNI  2012 2"/>
    <tableColumn id="4" name="AREA" dataDxfId="180" dataCellStyle="Normal_KOPRA  JUNI  2012 2"/>
    <tableColumn id="5" name="TN" dataDxfId="179" dataCellStyle="Normal_KOPRA  JUNI  2012 2"/>
    <tableColumn id="6" name="BRUTO" dataDxfId="178" dataCellStyle="Comma"/>
    <tableColumn id="7" name="TARRA" dataDxfId="177" dataCellStyle="Comma"/>
    <tableColumn id="8" name="NETTO" dataDxfId="176" dataCellStyle="Comma"/>
    <tableColumn id="9" name="POTKRG" dataDxfId="175" dataCellStyle="Comma"/>
    <tableColumn id="10" name="TPOT1" dataDxfId="174" dataCellStyle="Comma"/>
    <tableColumn id="11" name="POTAIR" dataDxfId="173" dataCellStyle="Comma"/>
    <tableColumn id="12" name="TPOT2" dataDxfId="172" dataCellStyle="Comma"/>
    <tableColumn id="13" name="NETTOA" dataDxfId="171" dataCellStyle="Comma"/>
    <tableColumn id="14" name="NETTOB" dataDxfId="170" dataCellStyle="Comma"/>
    <tableColumn id="15" name="HARGA" dataDxfId="169" dataCellStyle="Comma"/>
    <tableColumn id="16" name="TOTAL" dataDxfId="168" dataCellStyle="Comma"/>
    <tableColumn id="17" name="KOM" dataDxfId="167" dataCellStyle="Comma"/>
    <tableColumn id="18" name="H+KP" dataDxfId="166" dataCellStyle="Comma"/>
    <tableColumn id="19" name="TBAYAR2" dataDxfId="165" dataCellStyle="Comma"/>
    <tableColumn id="20" name="POTPPH" dataDxfId="164" dataCellStyle="Comma"/>
    <tableColumn id="21" name="TPEMBAYARAN" dataDxfId="163" dataCellStyle="Comma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id="7" name="KBS" displayName="KBS" ref="B2:W3" totalsRowShown="0" headerRowDxfId="160" dataDxfId="159" headerRowCellStyle="Normal 3_KOPRA  JUNI  2012" dataCellStyle="Normal_KOPRA  JUNI  2012 2">
  <autoFilter ref="B2:W3"/>
  <tableColumns count="22">
    <tableColumn id="1" name="RELASI" dataDxfId="158">
      <calculatedColumnFormula>IFERROR(LEFT(KBS[[#This Row],[SUPPLIER]],FIND("/",KBS[[#This Row],[SUPPLIER]])-1),KBS[[#This Row],[SUPPLIER]])</calculatedColumnFormula>
    </tableColumn>
    <tableColumn id="22" name="NK" dataDxfId="157">
      <calculatedColumnFormula>TEXT(VLOOKUP(KBS[[#This Row],[RELASI]],DBRELASI[[RELASI]:[DOCKBS]],11,0)+COUNTIFS($B$2:B3,KBS[[#This Row],[RELASI]],$D$2:D3,1),"000")</calculatedColumnFormula>
    </tableColumn>
    <tableColumn id="21" name="CK" dataDxfId="156">
      <calculatedColumnFormula>IF(COUNTIFS($B$3:B3,KBS[[#This Row],[RELASI]],$F$3:F3,KBS[[#This Row],[TANGGAL]])&lt;&gt;1,0,1)</calculatedColumnFormula>
    </tableColumn>
    <tableColumn id="20" name="D" dataDxfId="155">
      <calculatedColumnFormula>TEXT(IF([NODOC]&lt;&gt;"",[NODOC],E2),"000")</calculatedColumnFormula>
    </tableColumn>
    <tableColumn id="19" name="TANGGAL" dataDxfId="154"/>
    <tableColumn id="2" name="NODOC" dataDxfId="153" dataCellStyle="Normal_KOPRA  JUNI  2012 2"/>
    <tableColumn id="3" name="SUPPLIER" dataDxfId="152" dataCellStyle="Normal_KOPRA  JUNI  2012 2"/>
    <tableColumn id="4" name="AREA" dataDxfId="151" dataCellStyle="Normal_KOPRA  JUNI  2012 2"/>
    <tableColumn id="5" name="TN" dataDxfId="150" dataCellStyle="Normal_KOPRA  JUNI  2012 2"/>
    <tableColumn id="6" name="BRUTO" dataDxfId="149" dataCellStyle="Normal_KOPRA  JUNI  2012 2"/>
    <tableColumn id="7" name="TARRA" dataDxfId="148" dataCellStyle="Normal_KOPRA  JUNI  2012 2"/>
    <tableColumn id="8" name="NETTO" dataDxfId="147" dataCellStyle="Normal_KOPRA  JUNI  2012 2"/>
    <tableColumn id="9" name="POT" dataDxfId="146" dataCellStyle="Normal_KOPRA  JUNI  2012 2"/>
    <tableColumn id="10" name="TPOT" dataDxfId="145" dataCellStyle="Normal_KOPRA  JUNI  2012 2"/>
    <tableColumn id="11" name="NETTO2" dataDxfId="144" dataCellStyle="Normal_KOPRA  JUNI  2012 2"/>
    <tableColumn id="12" name="HARGA" dataDxfId="143" dataCellStyle="Normal_KOPRA  JUNI  2012 2"/>
    <tableColumn id="13" name="TBAYAR" dataDxfId="142" dataCellStyle="Normal_KOPRA  JUNI  2012 2"/>
    <tableColumn id="14" name="PEPJ" dataDxfId="141" dataCellStyle="Normal_KOPRA  JUNI  2012 2"/>
    <tableColumn id="15" name="H+KP" dataDxfId="140" dataCellStyle="Normal_KOPRA  JUNI  2012 2"/>
    <tableColumn id="16" name="TBAYAR2" dataDxfId="139" dataCellStyle="Normal_KOPRA  JUNI  2012 2"/>
    <tableColumn id="17" name="POTPPH" dataDxfId="138" dataCellStyle="Normal_KOPRA  JUNI  2012 2"/>
    <tableColumn id="18" name="TPEMBAYARAN" dataDxfId="137" dataCellStyle="Normal_KOPRA  JUNI  2012 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KB" displayName="KB" ref="B2:Y674" headerRowDxfId="133" dataDxfId="132" headerRowCellStyle="Normal 3_KOPRA  JUNI  2012" dataCellStyle="Normal_KOPRA  JUNI  2012 2">
  <autoFilter ref="B2:Y674"/>
  <tableColumns count="24">
    <tableColumn id="1" name="RELASI" dataDxfId="131" totalsRowDxfId="130">
      <calculatedColumnFormula>IFERROR(LEFT(KB[[#This Row],[SUPPLIER]],FIND("/",KB[[#This Row],[SUPPLIER]])-1),KB[[#This Row],[SUPPLIER]])</calculatedColumnFormula>
    </tableColumn>
    <tableColumn id="21" name="NK" dataDxfId="129" totalsRowDxfId="128">
      <calculatedColumnFormula>TEXT(VLOOKUP(KB[[#This Row],[RELASI]],DBRELASI[[RELASI]:[DOCKB]],10,0)+COUNTIFS($B$2:B3,KB[[#This Row],[RELASI]],$D$2:D3,1),"000")</calculatedColumnFormula>
    </tableColumn>
    <tableColumn id="23" name="CK" dataDxfId="127" totalsRowDxfId="126">
      <calculatedColumnFormula>IF(COUNTIFS($B$3:B3,KB[[#This Row],[RELASI]],$F$3:F3,KB[[#This Row],[TANGGAL]])&lt;&gt;1,0,1)</calculatedColumnFormula>
    </tableColumn>
    <tableColumn id="20" name="D" dataDxfId="125" totalsRowDxfId="124">
      <calculatedColumnFormula>TEXT(IF(KB[[#This Row],[DOC]]&lt;&gt;"",KB[[#This Row],[DOC]],E2),"000")</calculatedColumnFormula>
    </tableColumn>
    <tableColumn id="19" name="TANGGAL" dataDxfId="123" totalsRowDxfId="122"/>
    <tableColumn id="22" name="TYPE" dataDxfId="121" totalsRowDxfId="120">
      <calculatedColumnFormula>TYPE</calculatedColumnFormula>
    </tableColumn>
    <tableColumn id="2" name="DOC" dataDxfId="119" totalsRowDxfId="118" dataCellStyle="Normal_KOPRA  JUNI  2012 2"/>
    <tableColumn id="3" name="SUPPLIER" dataDxfId="117" totalsRowDxfId="116" dataCellStyle="Normal_KOPRA  JUNI  2012 2"/>
    <tableColumn id="4" name="AREA" dataDxfId="115" totalsRowDxfId="114" dataCellStyle="Normal_KOPRA  JUNI  2012 2"/>
    <tableColumn id="5" name="TN" dataDxfId="113" totalsRowDxfId="112" dataCellStyle="Normal_KOPRA  JUNI  2012 2"/>
    <tableColumn id="6" name="BRUTO" dataDxfId="111" totalsRowDxfId="110" dataCellStyle="Comma"/>
    <tableColumn id="7" name="TARRA" dataDxfId="109" totalsRowDxfId="108" dataCellStyle="Comma"/>
    <tableColumn id="8" name="NETTO" dataDxfId="107" totalsRowDxfId="106" dataCellStyle="Comma"/>
    <tableColumn id="9" name="POT" dataDxfId="105" totalsRowDxfId="104" dataCellStyle="Comma"/>
    <tableColumn id="10" name="TPOT" dataDxfId="103" totalsRowDxfId="102" dataCellStyle="Comma"/>
    <tableColumn id="11" name="NETTO2" dataDxfId="101" totalsRowDxfId="100" dataCellStyle="Comma"/>
    <tableColumn id="12" name="HARGA" dataDxfId="99" totalsRowDxfId="98" dataCellStyle="Comma"/>
    <tableColumn id="13" name="TBAYAR" dataDxfId="97" totalsRowDxfId="96" dataCellStyle="Comma"/>
    <tableColumn id="14" name="PEPJ" dataDxfId="95" totalsRowDxfId="94" dataCellStyle="Comma"/>
    <tableColumn id="15" name="H+KP" dataDxfId="93" totalsRowDxfId="92" dataCellStyle="Comma"/>
    <tableColumn id="16" name="TBAYAR2" dataDxfId="91" totalsRowDxfId="90" dataCellStyle="Comma"/>
    <tableColumn id="17" name="POTPPH" dataDxfId="89" totalsRowDxfId="88" dataCellStyle="Comma"/>
    <tableColumn id="18" name="TPEMBAYARAN" totalsRowFunction="sum" dataDxfId="87" totalsRowDxfId="86" dataCellStyle="Comma"/>
    <tableColumn id="24" name="TRANSPORT" dataDxfId="85" totalsRowDxfId="84" dataCellStyle="Normal_KOPRA  JUNI  2012 2">
      <calculatedColumnFormula>IFERROR(IF(FIND("/KM",KB[[#This Row],[SUPPLIER]])&gt;0,"LAUT"),"DARAT")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DBRELASI" displayName="DBRELASI" ref="B2:O49" totalsRowShown="0" headerRowDxfId="19" dataDxfId="18">
  <autoFilter ref="B2:O49"/>
  <sortState ref="B3:O49">
    <sortCondition ref="C2:C49"/>
  </sortState>
  <tableColumns count="14">
    <tableColumn id="1" name="NO" dataDxfId="17">
      <calculatedColumnFormula>IF(ISBLANK(C3),"",COUNTA($C3:C$6))</calculatedColumnFormula>
    </tableColumn>
    <tableColumn id="2" name="RELASI" dataDxfId="16"/>
    <tableColumn id="10" name="ALAMAT" dataDxfId="15"/>
    <tableColumn id="4" name="NAMA REKENING" dataDxfId="14"/>
    <tableColumn id="5" name="NO REKENING" dataDxfId="13"/>
    <tableColumn id="7" name="BANK" dataDxfId="12"/>
    <tableColumn id="6" name="CABANG" dataDxfId="11"/>
    <tableColumn id="9" name="NAMA KWI" dataDxfId="10"/>
    <tableColumn id="3" name="NAMA FILE" dataDxfId="9"/>
    <tableColumn id="8" name="HP" dataDxfId="8"/>
    <tableColumn id="11" name="DOCKB" dataDxfId="7"/>
    <tableColumn id="12" name="DOCKBS" dataDxfId="6"/>
    <tableColumn id="13" name="DOCKPR" dataDxfId="5"/>
    <tableColumn id="14" name="DOCARG" dataDxfId="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BP" displayName="TBP" ref="Q3:T7" totalsRowShown="0">
  <autoFilter ref="Q3:T7"/>
  <tableColumns count="4">
    <tableColumn id="1" name="BB"/>
    <tableColumn id="2" name="C1"/>
    <tableColumn id="3" name="C2"/>
    <tableColumn id="4" name="C3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1" name="tblTerbilang" displayName="tblTerbilang" ref="B23:C43" totalsRowShown="0" headerRowDxfId="3" dataDxfId="2">
  <autoFilter ref="B23:C43"/>
  <tableColumns count="2">
    <tableColumn id="1" name="Angka        " dataDxfId="1"/>
    <tableColumn id="2" name="Terbilang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>
    <tabColor rgb="FF7030A0"/>
  </sheetPr>
  <dimension ref="B1:AA3"/>
  <sheetViews>
    <sheetView zoomScale="85" zoomScaleNormal="85" workbookViewId="0">
      <pane xSplit="7" ySplit="2" topLeftCell="K3" activePane="bottomRight" state="frozen"/>
      <selection activeCell="G3" sqref="G3:W3"/>
      <selection pane="topRight" activeCell="G3" sqref="G3:W3"/>
      <selection pane="bottomLeft" activeCell="G3" sqref="G3:W3"/>
      <selection pane="bottomRight" activeCell="G3" sqref="G3:W3"/>
    </sheetView>
  </sheetViews>
  <sheetFormatPr defaultRowHeight="15"/>
  <cols>
    <col min="1" max="1" width="2" style="29" bestFit="1" customWidth="1"/>
    <col min="2" max="2" width="11.85546875" style="29" bestFit="1" customWidth="1"/>
    <col min="3" max="3" width="4.140625" bestFit="1" customWidth="1"/>
    <col min="4" max="4" width="5.5703125" style="29" bestFit="1" customWidth="1"/>
    <col min="5" max="5" width="4.140625" style="29" bestFit="1" customWidth="1"/>
    <col min="6" max="6" width="12.42578125" style="130" customWidth="1"/>
    <col min="7" max="7" width="8.140625" style="130" bestFit="1" customWidth="1"/>
    <col min="8" max="8" width="11.85546875" style="125" bestFit="1" customWidth="1"/>
    <col min="9" max="9" width="11" style="130" bestFit="1" customWidth="1"/>
    <col min="10" max="10" width="4" style="130" bestFit="1" customWidth="1"/>
    <col min="11" max="11" width="7.85546875" style="130" bestFit="1" customWidth="1"/>
    <col min="12" max="12" width="8" style="130" bestFit="1" customWidth="1"/>
    <col min="13" max="13" width="8.42578125" style="130" bestFit="1" customWidth="1"/>
    <col min="14" max="14" width="13.140625" style="130" bestFit="1" customWidth="1"/>
    <col min="15" max="15" width="7.140625" style="130" bestFit="1" customWidth="1"/>
    <col min="16" max="16" width="8.7109375" style="130" bestFit="1" customWidth="1"/>
    <col min="17" max="17" width="12.28515625" style="130" bestFit="1" customWidth="1"/>
    <col min="18" max="18" width="10.28515625" style="130" bestFit="1" customWidth="1"/>
    <col min="19" max="19" width="5.140625" style="130" bestFit="1" customWidth="1"/>
    <col min="20" max="20" width="12.28515625" style="130" bestFit="1" customWidth="1"/>
    <col min="21" max="21" width="10.28515625" style="130" bestFit="1" customWidth="1"/>
    <col min="22" max="22" width="9.85546875" style="130" bestFit="1" customWidth="1"/>
    <col min="23" max="26" width="10.28515625" style="130" bestFit="1" customWidth="1"/>
    <col min="27" max="27" width="16.28515625" style="130" bestFit="1" customWidth="1"/>
    <col min="28" max="16384" width="9.140625" style="29"/>
  </cols>
  <sheetData>
    <row r="1" spans="2:27" s="31" customFormat="1">
      <c r="F1" s="31">
        <f>COLUMN()</f>
        <v>6</v>
      </c>
      <c r="H1" s="31">
        <f>COLUMN()</f>
        <v>8</v>
      </c>
      <c r="M1" s="31">
        <f>COLUMN()</f>
        <v>13</v>
      </c>
      <c r="T1" s="31">
        <f>COLUMN()</f>
        <v>20</v>
      </c>
      <c r="AA1" s="31">
        <f>COLUMN()</f>
        <v>27</v>
      </c>
    </row>
    <row r="2" spans="2:27" s="31" customFormat="1" ht="18.75" customHeight="1">
      <c r="B2" s="30" t="s">
        <v>86</v>
      </c>
      <c r="C2" s="30" t="s">
        <v>257</v>
      </c>
      <c r="D2" s="30" t="s">
        <v>249</v>
      </c>
      <c r="E2" s="30" t="s">
        <v>110</v>
      </c>
      <c r="F2" s="30" t="s">
        <v>104</v>
      </c>
      <c r="G2" s="30" t="s">
        <v>54</v>
      </c>
      <c r="H2" s="30" t="s">
        <v>55</v>
      </c>
      <c r="I2" s="30" t="s">
        <v>56</v>
      </c>
      <c r="J2" s="30" t="s">
        <v>57</v>
      </c>
      <c r="K2" s="30" t="s">
        <v>58</v>
      </c>
      <c r="L2" s="30" t="s">
        <v>59</v>
      </c>
      <c r="M2" s="30" t="s">
        <v>98</v>
      </c>
      <c r="N2" s="30" t="s">
        <v>61</v>
      </c>
      <c r="O2" s="30" t="s">
        <v>62</v>
      </c>
      <c r="P2" s="30" t="s">
        <v>89</v>
      </c>
      <c r="Q2" s="30" t="s">
        <v>99</v>
      </c>
      <c r="R2" s="30" t="s">
        <v>100</v>
      </c>
      <c r="S2" s="30" t="s">
        <v>101</v>
      </c>
      <c r="T2" s="30" t="s">
        <v>102</v>
      </c>
      <c r="U2" s="30" t="s">
        <v>67</v>
      </c>
      <c r="V2" s="30" t="s">
        <v>103</v>
      </c>
      <c r="W2" s="30" t="s">
        <v>69</v>
      </c>
      <c r="X2" s="30" t="s">
        <v>70</v>
      </c>
      <c r="Y2" s="30" t="s">
        <v>71</v>
      </c>
      <c r="Z2" s="30" t="s">
        <v>72</v>
      </c>
      <c r="AA2" s="30" t="s">
        <v>73</v>
      </c>
    </row>
    <row r="3" spans="2:27">
      <c r="B3" s="142">
        <f>IFERROR(LEFT(ARG[[#This Row],[SUPPLIER]],FIND("/",ARG[[#This Row],[SUPPLIER]])-1),ARG[[#This Row],[SUPPLIER]])</f>
        <v>0</v>
      </c>
      <c r="C3" s="138" t="str">
        <f>TEXT(COUNTIFS($B$2:B3,ARG[[#This Row],[RELASI]],$D$2:D3,1),"000")</f>
        <v>000</v>
      </c>
      <c r="D3" s="138" t="e">
        <f>IF(VLOOKUP(ARG[[#This Row],[RELASI]],DBRELASI[[RELASI]:[DOCARG]],12,0)+COUNTIFS($B$3:B3,ARG[[#This Row],[RELASI]],$F$3:F3,ARG[[#This Row],[TANGGAL]])&lt;&gt;1,0,1)</f>
        <v>#N/A</v>
      </c>
      <c r="E3" s="139" t="str">
        <f>TEXT(IF([NODOC]&lt;&gt;"",[NODOC],E2),"000")</f>
        <v>D</v>
      </c>
      <c r="F3" s="40">
        <v>43313</v>
      </c>
      <c r="G3" s="152"/>
      <c r="H3" s="130"/>
    </row>
  </sheetData>
  <conditionalFormatting sqref="B1:B1048576">
    <cfRule type="expression" dxfId="220" priority="2">
      <formula>IF(COUNTIF(REL,B1)=1,FALSE,IF(B1="",FALSE,TRUE))</formula>
    </cfRule>
  </conditionalFormatting>
  <conditionalFormatting sqref="G3">
    <cfRule type="expression" dxfId="219" priority="1">
      <formula>IF(ISBLANK(G3)=1,0,IF(COUNTIFS(B:B,B3,G:G,G3)&gt;1,TRUE,FALSE))</formula>
    </cfRule>
  </conditionalFormatting>
  <pageMargins left="0.7" right="0.7" top="0.75" bottom="0.75" header="0.3" footer="0.3"/>
  <pageSetup orientation="portrait" horizontalDpi="180" verticalDpi="18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>
    <tabColor rgb="FFFFC000"/>
  </sheetPr>
  <dimension ref="A1:Z3"/>
  <sheetViews>
    <sheetView zoomScale="130" zoomScaleNormal="130" workbookViewId="0">
      <pane xSplit="7" ySplit="2" topLeftCell="S3" activePane="bottomRight" state="frozen"/>
      <selection activeCell="G3" sqref="G3:W3"/>
      <selection pane="topRight" activeCell="G3" sqref="G3:W3"/>
      <selection pane="bottomLeft" activeCell="G3" sqref="G3:W3"/>
      <selection pane="bottomRight" activeCell="G3" sqref="G3:W3"/>
    </sheetView>
  </sheetViews>
  <sheetFormatPr defaultRowHeight="15"/>
  <cols>
    <col min="1" max="1" width="6.140625" bestFit="1" customWidth="1"/>
    <col min="2" max="2" width="11.140625" customWidth="1"/>
    <col min="3" max="3" width="4.140625" bestFit="1" customWidth="1"/>
    <col min="4" max="4" width="4" bestFit="1" customWidth="1"/>
    <col min="5" max="5" width="5.42578125" customWidth="1"/>
    <col min="6" max="6" width="12.42578125" style="125" bestFit="1" customWidth="1"/>
    <col min="7" max="7" width="8.140625" style="125" bestFit="1" customWidth="1"/>
    <col min="8" max="8" width="27.42578125" style="125" bestFit="1" customWidth="1"/>
    <col min="9" max="9" width="10.42578125" style="125" bestFit="1" customWidth="1"/>
    <col min="10" max="10" width="4" style="125" bestFit="1" customWidth="1"/>
    <col min="11" max="13" width="10.5703125" style="125" bestFit="1" customWidth="1"/>
    <col min="14" max="14" width="9.28515625" style="125" bestFit="1" customWidth="1"/>
    <col min="15" max="15" width="8" style="125" bestFit="1" customWidth="1"/>
    <col min="16" max="16" width="8.5703125" style="125" bestFit="1" customWidth="1"/>
    <col min="17" max="18" width="9.5703125" style="125" bestFit="1" customWidth="1"/>
    <col min="19" max="19" width="10.5703125" style="125" bestFit="1" customWidth="1"/>
    <col min="20" max="20" width="9.5703125" style="125" bestFit="1" customWidth="1"/>
    <col min="21" max="21" width="14.28515625" style="125" bestFit="1" customWidth="1"/>
    <col min="22" max="22" width="7" style="125" bestFit="1" customWidth="1"/>
    <col min="23" max="23" width="8.7109375" style="125" bestFit="1" customWidth="1"/>
    <col min="24" max="24" width="11.7109375" style="125" bestFit="1" customWidth="1"/>
    <col min="25" max="25" width="9.5703125" style="125" bestFit="1" customWidth="1"/>
    <col min="26" max="26" width="16.28515625" style="125" bestFit="1" customWidth="1"/>
  </cols>
  <sheetData>
    <row r="1" spans="1:26" s="33" customFormat="1">
      <c r="A1" s="31"/>
      <c r="F1" s="33">
        <f>COLUMN()</f>
        <v>6</v>
      </c>
      <c r="H1" s="33">
        <f>COLUMN()</f>
        <v>8</v>
      </c>
      <c r="M1" s="33">
        <f>COLUMN()</f>
        <v>13</v>
      </c>
      <c r="S1" s="33">
        <f>COLUMN()</f>
        <v>19</v>
      </c>
      <c r="Z1" s="33">
        <f>COLUMN()</f>
        <v>26</v>
      </c>
    </row>
    <row r="2" spans="1:26" ht="18.75" customHeight="1">
      <c r="B2" s="30" t="s">
        <v>86</v>
      </c>
      <c r="C2" s="30" t="s">
        <v>249</v>
      </c>
      <c r="D2" s="30" t="s">
        <v>256</v>
      </c>
      <c r="E2" s="30" t="s">
        <v>110</v>
      </c>
      <c r="F2" s="30" t="s">
        <v>104</v>
      </c>
      <c r="G2" s="30" t="s">
        <v>54</v>
      </c>
      <c r="H2" s="30" t="s">
        <v>55</v>
      </c>
      <c r="I2" s="30" t="s">
        <v>56</v>
      </c>
      <c r="J2" s="30" t="s">
        <v>57</v>
      </c>
      <c r="K2" s="30" t="s">
        <v>58</v>
      </c>
      <c r="L2" s="30" t="s">
        <v>59</v>
      </c>
      <c r="M2" s="30" t="s">
        <v>60</v>
      </c>
      <c r="N2" s="30" t="s">
        <v>111</v>
      </c>
      <c r="O2" s="30" t="s">
        <v>62</v>
      </c>
      <c r="P2" s="30" t="s">
        <v>63</v>
      </c>
      <c r="Q2" s="30" t="s">
        <v>64</v>
      </c>
      <c r="R2" s="30" t="s">
        <v>65</v>
      </c>
      <c r="S2" s="30" t="s">
        <v>66</v>
      </c>
      <c r="T2" s="30" t="s">
        <v>67</v>
      </c>
      <c r="U2" s="30" t="s">
        <v>68</v>
      </c>
      <c r="V2" s="30" t="s">
        <v>69</v>
      </c>
      <c r="W2" s="30" t="s">
        <v>70</v>
      </c>
      <c r="X2" s="30" t="s">
        <v>71</v>
      </c>
      <c r="Y2" s="30" t="s">
        <v>72</v>
      </c>
      <c r="Z2" s="30" t="s">
        <v>73</v>
      </c>
    </row>
    <row r="3" spans="1:26">
      <c r="B3" s="137">
        <f>IFERROR(LEFT(KPR[[#This Row],[SUPPLIER]],FIND("/",KPR[[#This Row],[SUPPLIER]])-1),KPR[[#This Row],[SUPPLIER]])</f>
        <v>0</v>
      </c>
      <c r="C3" s="138" t="e">
        <f>TEXT(VLOOKUP(KPR[[#This Row],[RELASI]],DBRELASI[[RELASI]:[DOCKPR]],12,0)+COUNTIFS($B$2:B3,KPR[[#This Row],[RELASI]],$D$2:D3,1),"000")</f>
        <v>#N/A</v>
      </c>
      <c r="D3" s="138">
        <f>IF(COUNTIFS($B$3:B3,KPR[[#This Row],[RELASI]],$F$3:F3,KPR[[#This Row],[TANGGAL]])&lt;&gt;1,0,1)</f>
        <v>1</v>
      </c>
      <c r="E3" s="139" t="str">
        <f>TEXT(IF(KPR[[#This Row],[NODOC]]&lt;&gt;"",KPR[[#This Row],[NODOC]],E2),"000")</f>
        <v>D</v>
      </c>
      <c r="F3" s="40">
        <v>43509</v>
      </c>
      <c r="G3" s="152"/>
      <c r="H3" s="121"/>
      <c r="I3" s="122"/>
      <c r="J3" s="122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4"/>
      <c r="X3" s="124"/>
      <c r="Y3" s="124"/>
      <c r="Z3" s="124"/>
    </row>
  </sheetData>
  <conditionalFormatting sqref="B1:B1048576">
    <cfRule type="expression" dxfId="191" priority="3">
      <formula>IF(COUNTIF(REL,B1)=1,FALSE,IF(B1="",FALSE,TRUE))</formula>
    </cfRule>
  </conditionalFormatting>
  <conditionalFormatting sqref="G3">
    <cfRule type="expression" dxfId="190" priority="1">
      <formula>IF(ISBLANK(G3)=1,0,IF(COUNTIFS(B:B,B3,G:G,G3)&gt;1,TRUE,FALSE))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1">
    <tabColor rgb="FF00B0F0"/>
  </sheetPr>
  <dimension ref="B1:Z3"/>
  <sheetViews>
    <sheetView workbookViewId="0">
      <pane xSplit="7" ySplit="2" topLeftCell="I3" activePane="bottomRight" state="frozen"/>
      <selection activeCell="G3" sqref="G3:W3"/>
      <selection pane="topRight" activeCell="G3" sqref="G3:W3"/>
      <selection pane="bottomLeft" activeCell="G3" sqref="G3:W3"/>
      <selection pane="bottomRight" activeCell="G3" sqref="G3:W3"/>
    </sheetView>
  </sheetViews>
  <sheetFormatPr defaultRowHeight="15"/>
  <cols>
    <col min="1" max="1" width="6.140625" style="29" bestFit="1" customWidth="1"/>
    <col min="2" max="2" width="11.5703125" style="29" bestFit="1" customWidth="1"/>
    <col min="3" max="3" width="4.42578125" bestFit="1" customWidth="1"/>
    <col min="4" max="4" width="3.140625" style="29" bestFit="1" customWidth="1"/>
    <col min="5" max="5" width="4.42578125" style="29" bestFit="1" customWidth="1"/>
    <col min="6" max="6" width="12" style="130" bestFit="1" customWidth="1"/>
    <col min="7" max="7" width="6.7109375" style="130" bestFit="1" customWidth="1"/>
    <col min="8" max="8" width="10.5703125" style="125" bestFit="1" customWidth="1"/>
    <col min="9" max="9" width="10" style="130" bestFit="1" customWidth="1"/>
    <col min="10" max="10" width="3.140625" style="130" bestFit="1" customWidth="1"/>
    <col min="11" max="11" width="9.85546875" style="130" bestFit="1" customWidth="1"/>
    <col min="12" max="13" width="8.85546875" style="130" bestFit="1" customWidth="1"/>
    <col min="14" max="14" width="6.42578125" style="130" customWidth="1"/>
    <col min="15" max="15" width="7.85546875" style="130" bestFit="1" customWidth="1"/>
    <col min="16" max="16" width="8.85546875" style="130" bestFit="1" customWidth="1"/>
    <col min="17" max="17" width="7.85546875" style="130" bestFit="1" customWidth="1"/>
    <col min="18" max="18" width="13.42578125" style="130" bestFit="1" customWidth="1"/>
    <col min="19" max="19" width="4.85546875" style="130" bestFit="1" customWidth="1"/>
    <col min="20" max="20" width="7.85546875" style="130" bestFit="1" customWidth="1"/>
    <col min="21" max="21" width="13.42578125" style="130" bestFit="1" customWidth="1"/>
    <col min="22" max="22" width="9.85546875" style="130" bestFit="1" customWidth="1"/>
    <col min="23" max="23" width="13.42578125" style="130" bestFit="1" customWidth="1"/>
    <col min="24" max="24" width="14.7109375" style="29" bestFit="1" customWidth="1"/>
    <col min="25" max="25" width="21.7109375" style="29" bestFit="1" customWidth="1"/>
    <col min="26" max="16384" width="9.140625" style="29"/>
  </cols>
  <sheetData>
    <row r="1" spans="2:26" s="161" customFormat="1" ht="28.5" customHeight="1">
      <c r="F1" s="161">
        <f>COLUMN()</f>
        <v>6</v>
      </c>
      <c r="H1" s="161">
        <f>COLUMN()</f>
        <v>8</v>
      </c>
      <c r="M1" s="161">
        <f>COLUMN()</f>
        <v>13</v>
      </c>
      <c r="P1" s="161">
        <f>COLUMN()</f>
        <v>16</v>
      </c>
      <c r="W1" s="161">
        <f>COLUMN()</f>
        <v>23</v>
      </c>
      <c r="Z1" s="161">
        <f>COLUMN()</f>
        <v>26</v>
      </c>
    </row>
    <row r="2" spans="2:26" ht="27.75" customHeight="1">
      <c r="B2" s="32" t="s">
        <v>86</v>
      </c>
      <c r="C2" s="32" t="s">
        <v>249</v>
      </c>
      <c r="D2" s="32" t="s">
        <v>256</v>
      </c>
      <c r="E2" s="32" t="s">
        <v>110</v>
      </c>
      <c r="F2" s="32" t="s">
        <v>104</v>
      </c>
      <c r="G2" s="32" t="s">
        <v>54</v>
      </c>
      <c r="H2" s="32" t="s">
        <v>55</v>
      </c>
      <c r="I2" s="32" t="s">
        <v>56</v>
      </c>
      <c r="J2" s="32" t="s">
        <v>57</v>
      </c>
      <c r="K2" s="32" t="s">
        <v>58</v>
      </c>
      <c r="L2" s="32" t="s">
        <v>59</v>
      </c>
      <c r="M2" s="32" t="s">
        <v>60</v>
      </c>
      <c r="N2" s="32" t="s">
        <v>87</v>
      </c>
      <c r="O2" s="32" t="s">
        <v>88</v>
      </c>
      <c r="P2" s="32" t="s">
        <v>89</v>
      </c>
      <c r="Q2" s="32" t="s">
        <v>67</v>
      </c>
      <c r="R2" s="32" t="s">
        <v>90</v>
      </c>
      <c r="S2" s="32" t="s">
        <v>91</v>
      </c>
      <c r="T2" s="32" t="s">
        <v>70</v>
      </c>
      <c r="U2" s="32" t="s">
        <v>71</v>
      </c>
      <c r="V2" s="32" t="s">
        <v>72</v>
      </c>
      <c r="W2" s="32" t="s">
        <v>73</v>
      </c>
    </row>
    <row r="3" spans="2:26">
      <c r="B3" s="137">
        <f>IFERROR(LEFT(KBS[[#This Row],[SUPPLIER]],FIND("/",KBS[[#This Row],[SUPPLIER]])-1),KBS[[#This Row],[SUPPLIER]])</f>
        <v>0</v>
      </c>
      <c r="C3" s="138" t="e">
        <f>TEXT(VLOOKUP(KBS[[#This Row],[RELASI]],DBRELASI[[RELASI]:[DOCKBS]],11,0)+COUNTIFS($B$2:B3,KBS[[#This Row],[RELASI]],$D$2:D3,1),"000")</f>
        <v>#N/A</v>
      </c>
      <c r="D3" s="138">
        <f>IF(COUNTIFS($B$3:B3,KBS[[#This Row],[RELASI]],$F$3:F3,KBS[[#This Row],[TANGGAL]])&lt;&gt;1,0,1)</f>
        <v>1</v>
      </c>
      <c r="E3" s="139" t="str">
        <f>TEXT(IF([NODOC]&lt;&gt;"",[NODOC],E2),"000")</f>
        <v>D</v>
      </c>
      <c r="F3" s="40">
        <v>43471</v>
      </c>
      <c r="G3" s="152"/>
      <c r="H3" s="126"/>
      <c r="I3" s="127"/>
      <c r="J3" s="128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</row>
  </sheetData>
  <conditionalFormatting sqref="B1:B1048576">
    <cfRule type="expression" dxfId="162" priority="2">
      <formula>IF(COUNTIF(REL,B1)=1,FALSE,IF(B1="",FALSE,TRUE))</formula>
    </cfRule>
  </conditionalFormatting>
  <conditionalFormatting sqref="G3">
    <cfRule type="expression" dxfId="161" priority="1">
      <formula>IF(ISBLANK(G3)=1,0,IF(COUNTIFS(B:B,B3,G:G,G3)&gt;1,TRUE,FALSE))</formula>
    </cfRule>
  </conditionalFormatting>
  <pageMargins left="0.7" right="0.7" top="0.75" bottom="0.75" header="0.3" footer="0.3"/>
  <pageSetup orientation="portrait" horizontalDpi="180" verticalDpi="18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>
    <tabColor rgb="FF00B050"/>
  </sheetPr>
  <dimension ref="B1:AA674"/>
  <sheetViews>
    <sheetView zoomScale="70" zoomScaleNormal="70" workbookViewId="0">
      <pane xSplit="8" ySplit="2" topLeftCell="I657" activePane="bottomRight" state="frozen"/>
      <selection activeCell="M3" sqref="M3:AO3"/>
      <selection pane="topRight" activeCell="M3" sqref="M3:AO3"/>
      <selection pane="bottomLeft" activeCell="M3" sqref="M3:AO3"/>
      <selection pane="bottomRight" activeCell="I684" sqref="I684"/>
    </sheetView>
  </sheetViews>
  <sheetFormatPr defaultRowHeight="15"/>
  <cols>
    <col min="1" max="1" width="6.140625" style="118" bestFit="1" customWidth="1"/>
    <col min="2" max="2" width="19.28515625" style="140" customWidth="1"/>
    <col min="3" max="3" width="4.85546875" style="141" customWidth="1"/>
    <col min="4" max="4" width="3.28515625" style="141" hidden="1" customWidth="1"/>
    <col min="5" max="5" width="5.28515625" style="141" hidden="1" customWidth="1"/>
    <col min="6" max="6" width="14.7109375" style="40" bestFit="1" customWidth="1"/>
    <col min="7" max="7" width="4.85546875" style="40" customWidth="1"/>
    <col min="8" max="8" width="5" style="154" bestFit="1" customWidth="1"/>
    <col min="9" max="9" width="58.140625" style="46" bestFit="1" customWidth="1"/>
    <col min="10" max="10" width="11" style="47" bestFit="1" customWidth="1"/>
    <col min="11" max="11" width="3.42578125" style="48" customWidth="1"/>
    <col min="12" max="12" width="13.85546875" style="49" customWidth="1"/>
    <col min="13" max="14" width="13.7109375" style="49" customWidth="1"/>
    <col min="15" max="15" width="9.28515625" style="49" customWidth="1"/>
    <col min="16" max="16" width="14.5703125" style="49" bestFit="1" customWidth="1"/>
    <col min="17" max="17" width="17.42578125" style="49" bestFit="1" customWidth="1"/>
    <col min="18" max="18" width="12" style="49" customWidth="1"/>
    <col min="19" max="19" width="18.140625" style="49" bestFit="1" customWidth="1"/>
    <col min="20" max="20" width="9" style="49" customWidth="1"/>
    <col min="21" max="21" width="14.5703125" style="49" bestFit="1" customWidth="1"/>
    <col min="22" max="22" width="19.28515625" style="49" bestFit="1" customWidth="1"/>
    <col min="23" max="23" width="18.140625" style="49" bestFit="1" customWidth="1"/>
    <col min="24" max="24" width="18.5703125" style="49" customWidth="1"/>
    <col min="25" max="25" width="16.140625" style="574" bestFit="1" customWidth="1"/>
    <col min="26" max="26" width="12.42578125" style="118" customWidth="1"/>
    <col min="27" max="16384" width="9.140625" style="118"/>
  </cols>
  <sheetData>
    <row r="1" spans="2:27" s="158" customFormat="1">
      <c r="B1" s="159"/>
      <c r="C1" s="160"/>
      <c r="D1" s="160"/>
      <c r="E1" s="160"/>
      <c r="F1" s="158">
        <f>COLUMN()</f>
        <v>6</v>
      </c>
      <c r="I1" s="158">
        <f>COLUMN()</f>
        <v>9</v>
      </c>
      <c r="N1" s="158">
        <f>COLUMN()</f>
        <v>14</v>
      </c>
      <c r="Q1" s="158">
        <f>COLUMN()</f>
        <v>17</v>
      </c>
      <c r="X1" s="158">
        <f>COLUMN()</f>
        <v>24</v>
      </c>
      <c r="AA1" s="158">
        <f>COLUMN()</f>
        <v>27</v>
      </c>
    </row>
    <row r="2" spans="2:27" ht="27.75" customHeight="1">
      <c r="B2" s="119" t="s">
        <v>86</v>
      </c>
      <c r="C2" s="119" t="s">
        <v>249</v>
      </c>
      <c r="D2" s="119" t="s">
        <v>256</v>
      </c>
      <c r="E2" s="119" t="s">
        <v>110</v>
      </c>
      <c r="F2" s="119" t="s">
        <v>104</v>
      </c>
      <c r="G2" s="119" t="s">
        <v>250</v>
      </c>
      <c r="H2" s="119" t="s">
        <v>109</v>
      </c>
      <c r="I2" s="119" t="s">
        <v>55</v>
      </c>
      <c r="J2" s="119" t="s">
        <v>56</v>
      </c>
      <c r="K2" s="119" t="s">
        <v>57</v>
      </c>
      <c r="L2" s="119" t="s">
        <v>58</v>
      </c>
      <c r="M2" s="119" t="s">
        <v>59</v>
      </c>
      <c r="N2" s="733" t="s">
        <v>60</v>
      </c>
      <c r="O2" s="119" t="s">
        <v>87</v>
      </c>
      <c r="P2" s="119" t="s">
        <v>88</v>
      </c>
      <c r="Q2" s="733" t="s">
        <v>89</v>
      </c>
      <c r="R2" s="119" t="s">
        <v>67</v>
      </c>
      <c r="S2" s="119" t="s">
        <v>90</v>
      </c>
      <c r="T2" s="119" t="s">
        <v>91</v>
      </c>
      <c r="U2" s="119" t="s">
        <v>70</v>
      </c>
      <c r="V2" s="119" t="s">
        <v>71</v>
      </c>
      <c r="W2" s="119" t="s">
        <v>72</v>
      </c>
      <c r="X2" s="733" t="s">
        <v>73</v>
      </c>
      <c r="Y2" s="529" t="s">
        <v>458</v>
      </c>
    </row>
    <row r="3" spans="2:27">
      <c r="B3" s="140" t="str">
        <f>IFERROR(LEFT(KB[[#This Row],[SUPPLIER]],FIND("/",KB[[#This Row],[SUPPLIER]])-1),KB[[#This Row],[SUPPLIER]])</f>
        <v>ERAWATI</v>
      </c>
      <c r="C3" s="141" t="str">
        <f>TEXT(VLOOKUP(KB[[#This Row],[RELASI]],DBRELASI[[RELASI]:[DOCKB]],10,0)+COUNTIFS($B$2:B3,KB[[#This Row],[RELASI]],$D$2:D3,1),"000")</f>
        <v>001</v>
      </c>
      <c r="D3" s="141">
        <f>IF(COUNTIFS($B$3:B3,KB[[#This Row],[RELASI]],$F$3:F3,KB[[#This Row],[TANGGAL]])&lt;&gt;1,0,1)</f>
        <v>1</v>
      </c>
      <c r="E3" s="141" t="str">
        <f>TEXT(IF(KB[[#This Row],[DOC]]&lt;&gt;"",KB[[#This Row],[DOC]],E2),"000")</f>
        <v>001</v>
      </c>
      <c r="F3" s="40">
        <v>43832</v>
      </c>
      <c r="G3" s="41" t="str">
        <f>TYPE</f>
        <v>A</v>
      </c>
      <c r="H3" s="153" t="s">
        <v>75</v>
      </c>
      <c r="I3" s="42" t="s">
        <v>506</v>
      </c>
      <c r="J3" s="43" t="s">
        <v>77</v>
      </c>
      <c r="K3" s="44">
        <v>1</v>
      </c>
      <c r="L3" s="45">
        <v>8880</v>
      </c>
      <c r="M3" s="45">
        <v>3920</v>
      </c>
      <c r="N3" s="45">
        <v>4960</v>
      </c>
      <c r="O3" s="45">
        <v>5.9999999999999991</v>
      </c>
      <c r="P3" s="45">
        <v>297.59999999999997</v>
      </c>
      <c r="Q3" s="45">
        <v>4662.3999999999996</v>
      </c>
      <c r="R3" s="45">
        <v>2400</v>
      </c>
      <c r="S3" s="45">
        <v>11189760</v>
      </c>
      <c r="T3" s="45">
        <v>12.06</v>
      </c>
      <c r="U3" s="45">
        <v>2412.06</v>
      </c>
      <c r="V3" s="45">
        <v>11245989</v>
      </c>
      <c r="W3" s="45">
        <v>56230</v>
      </c>
      <c r="X3" s="45">
        <v>11189759</v>
      </c>
      <c r="Y3" s="530" t="str">
        <f>IFERROR(IF(FIND("/KM",KB[[#This Row],[SUPPLIER]])&gt;0,"LAUT"),"DARAT")</f>
        <v>LAUT</v>
      </c>
      <c r="AA3" s="118" t="str">
        <f>IFERROR(IF(FIND("/KM",#REF!)&gt;0,"SUNGAI"),"DARAT")</f>
        <v>DARAT</v>
      </c>
    </row>
    <row r="4" spans="2:27">
      <c r="B4" s="140" t="str">
        <f>IFERROR(LEFT(KB[[#This Row],[SUPPLIER]],FIND("/",KB[[#This Row],[SUPPLIER]])-1),KB[[#This Row],[SUPPLIER]])</f>
        <v>HENDRI</v>
      </c>
      <c r="C4" s="141" t="str">
        <f>TEXT(VLOOKUP(KB[[#This Row],[RELASI]],DBRELASI[[RELASI]:[DOCKB]],10,0)+COUNTIFS($B$2:B4,KB[[#This Row],[RELASI]],$D$2:D4,1),"000")</f>
        <v>001</v>
      </c>
      <c r="D4" s="141">
        <f>IF(COUNTIFS($B$3:B4,KB[[#This Row],[RELASI]],$F$3:F4,KB[[#This Row],[TANGGAL]])&lt;&gt;1,0,1)</f>
        <v>1</v>
      </c>
      <c r="E4" s="141" t="str">
        <f>TEXT(IF(KB[[#This Row],[DOC]]&lt;&gt;"",KB[[#This Row],[DOC]],E3),"000")</f>
        <v>001</v>
      </c>
      <c r="F4" s="40">
        <v>43832</v>
      </c>
      <c r="G4" s="40" t="str">
        <f>TYPE</f>
        <v>A</v>
      </c>
      <c r="H4" s="153" t="s">
        <v>75</v>
      </c>
      <c r="I4" s="42" t="s">
        <v>507</v>
      </c>
      <c r="J4" s="43" t="s">
        <v>475</v>
      </c>
      <c r="K4" s="44">
        <v>6</v>
      </c>
      <c r="L4" s="45">
        <v>47030</v>
      </c>
      <c r="M4" s="45">
        <v>23480</v>
      </c>
      <c r="N4" s="45">
        <v>23550</v>
      </c>
      <c r="O4" s="45">
        <v>5.9999999999999991</v>
      </c>
      <c r="P4" s="45">
        <v>1412.9999999999998</v>
      </c>
      <c r="Q4" s="45">
        <v>22137</v>
      </c>
      <c r="R4" s="45">
        <v>2450</v>
      </c>
      <c r="S4" s="45">
        <v>54235650</v>
      </c>
      <c r="T4" s="45">
        <v>12.31</v>
      </c>
      <c r="U4" s="45">
        <v>2462.31</v>
      </c>
      <c r="V4" s="45">
        <v>54508157</v>
      </c>
      <c r="W4" s="45">
        <v>272541</v>
      </c>
      <c r="X4" s="45">
        <v>54235616</v>
      </c>
      <c r="Y4" s="530" t="str">
        <f>IFERROR(IF(FIND("/KM",KB[[#This Row],[SUPPLIER]])&gt;0,"LAUT"),"DARAT")</f>
        <v>LAUT</v>
      </c>
    </row>
    <row r="5" spans="2:27">
      <c r="B5" s="140" t="str">
        <f>IFERROR(LEFT(KB[[#This Row],[SUPPLIER]],FIND("/",KB[[#This Row],[SUPPLIER]])-1),KB[[#This Row],[SUPPLIER]])</f>
        <v>MARTONO</v>
      </c>
      <c r="C5" s="141" t="str">
        <f>TEXT(VLOOKUP(KB[[#This Row],[RELASI]],DBRELASI[[RELASI]:[DOCKB]],10,0)+COUNTIFS($B$2:B5,KB[[#This Row],[RELASI]],$D$2:D5,1),"000")</f>
        <v>001</v>
      </c>
      <c r="D5" s="141">
        <f>IF(COUNTIFS($B$3:B5,KB[[#This Row],[RELASI]],$F$3:F5,KB[[#This Row],[TANGGAL]])&lt;&gt;1,0,1)</f>
        <v>1</v>
      </c>
      <c r="E5" s="141" t="str">
        <f>TEXT(IF(KB[[#This Row],[DOC]]&lt;&gt;"",KB[[#This Row],[DOC]],E4),"000")</f>
        <v>001</v>
      </c>
      <c r="F5" s="40">
        <v>43832</v>
      </c>
      <c r="G5" s="40" t="str">
        <f>TYPE</f>
        <v>A</v>
      </c>
      <c r="H5" s="153" t="s">
        <v>75</v>
      </c>
      <c r="I5" s="42" t="s">
        <v>508</v>
      </c>
      <c r="J5" s="43" t="s">
        <v>83</v>
      </c>
      <c r="K5" s="44">
        <v>2</v>
      </c>
      <c r="L5" s="45">
        <v>13410</v>
      </c>
      <c r="M5" s="45">
        <v>7740</v>
      </c>
      <c r="N5" s="45">
        <v>5670</v>
      </c>
      <c r="O5" s="45">
        <v>5.9999999999999991</v>
      </c>
      <c r="P5" s="45">
        <v>340.2</v>
      </c>
      <c r="Q5" s="45">
        <v>5329.8</v>
      </c>
      <c r="R5" s="45">
        <v>2400</v>
      </c>
      <c r="S5" s="45">
        <v>12791520</v>
      </c>
      <c r="T5" s="45">
        <v>12.06</v>
      </c>
      <c r="U5" s="45">
        <v>2412.06</v>
      </c>
      <c r="V5" s="45">
        <v>12855797</v>
      </c>
      <c r="W5" s="45">
        <v>64279</v>
      </c>
      <c r="X5" s="45">
        <v>12791518</v>
      </c>
      <c r="Y5" s="530" t="str">
        <f>IFERROR(IF(FIND("/KM",KB[[#This Row],[SUPPLIER]])&gt;0,"LAUT"),"DARAT")</f>
        <v>LAUT</v>
      </c>
    </row>
    <row r="6" spans="2:27">
      <c r="B6" s="140" t="str">
        <f>IFERROR(LEFT(KB[[#This Row],[SUPPLIER]],FIND("/",KB[[#This Row],[SUPPLIER]])-1),KB[[#This Row],[SUPPLIER]])</f>
        <v>MARTONO</v>
      </c>
      <c r="C6" s="141" t="str">
        <f>TEXT(VLOOKUP(KB[[#This Row],[RELASI]],DBRELASI[[RELASI]:[DOCKB]],10,0)+COUNTIFS($B$2:B6,KB[[#This Row],[RELASI]],$D$2:D6,1),"000")</f>
        <v>001</v>
      </c>
      <c r="D6" s="141">
        <f>IF(COUNTIFS($B$3:B6,KB[[#This Row],[RELASI]],$F$3:F6,KB[[#This Row],[TANGGAL]])&lt;&gt;1,0,1)</f>
        <v>0</v>
      </c>
      <c r="E6" s="141" t="str">
        <f>TEXT(IF(KB[[#This Row],[DOC]]&lt;&gt;"",KB[[#This Row],[DOC]],E5),"000")</f>
        <v>001</v>
      </c>
      <c r="F6" s="40">
        <v>43832</v>
      </c>
      <c r="G6" s="40" t="str">
        <f>TYPE</f>
        <v>A</v>
      </c>
      <c r="H6"/>
      <c r="I6" s="42" t="s">
        <v>509</v>
      </c>
      <c r="J6" s="43" t="s">
        <v>83</v>
      </c>
      <c r="K6" s="44">
        <v>1</v>
      </c>
      <c r="L6" s="45">
        <v>7340</v>
      </c>
      <c r="M6" s="45">
        <v>3890</v>
      </c>
      <c r="N6" s="45">
        <v>3450</v>
      </c>
      <c r="O6" s="45">
        <v>6</v>
      </c>
      <c r="P6" s="45">
        <v>207</v>
      </c>
      <c r="Q6" s="45">
        <v>3243</v>
      </c>
      <c r="R6" s="45">
        <v>2400</v>
      </c>
      <c r="S6" s="45">
        <v>7783200</v>
      </c>
      <c r="T6" s="45">
        <v>12.06</v>
      </c>
      <c r="U6" s="45">
        <v>2412.06</v>
      </c>
      <c r="V6" s="45">
        <v>7822311</v>
      </c>
      <c r="W6" s="45">
        <v>39112</v>
      </c>
      <c r="X6" s="45">
        <v>7783199</v>
      </c>
      <c r="Y6" s="530" t="str">
        <f>IFERROR(IF(FIND("/KM",KB[[#This Row],[SUPPLIER]])&gt;0,"LAUT"),"DARAT")</f>
        <v>LAUT</v>
      </c>
    </row>
    <row r="7" spans="2:27">
      <c r="B7" s="140" t="str">
        <f>IFERROR(LEFT(KB[[#This Row],[SUPPLIER]],FIND("/",KB[[#This Row],[SUPPLIER]])-1),KB[[#This Row],[SUPPLIER]])</f>
        <v>MASRI</v>
      </c>
      <c r="C7" s="141" t="str">
        <f>TEXT(VLOOKUP(KB[[#This Row],[RELASI]],DBRELASI[[RELASI]:[DOCKB]],10,0)+COUNTIFS($B$2:B7,KB[[#This Row],[RELASI]],$D$2:D7,1),"000")</f>
        <v>001</v>
      </c>
      <c r="D7" s="141">
        <f>IF(COUNTIFS($B$3:B7,KB[[#This Row],[RELASI]],$F$3:F7,KB[[#This Row],[TANGGAL]])&lt;&gt;1,0,1)</f>
        <v>1</v>
      </c>
      <c r="E7" s="141" t="str">
        <f>TEXT(IF(KB[[#This Row],[DOC]]&lt;&gt;"",KB[[#This Row],[DOC]],E6),"000")</f>
        <v>001</v>
      </c>
      <c r="F7" s="40">
        <v>43832</v>
      </c>
      <c r="G7" s="40" t="str">
        <f>TYPE</f>
        <v>A</v>
      </c>
      <c r="H7" s="153" t="s">
        <v>75</v>
      </c>
      <c r="I7" s="42" t="s">
        <v>510</v>
      </c>
      <c r="J7" s="43" t="s">
        <v>511</v>
      </c>
      <c r="K7" s="44">
        <v>15</v>
      </c>
      <c r="L7" s="45">
        <v>123710</v>
      </c>
      <c r="M7" s="45">
        <v>58850</v>
      </c>
      <c r="N7" s="45">
        <v>64860</v>
      </c>
      <c r="O7" s="45">
        <v>6</v>
      </c>
      <c r="P7" s="45">
        <v>3891.6000000000004</v>
      </c>
      <c r="Q7" s="45">
        <v>60968.399999999994</v>
      </c>
      <c r="R7" s="45">
        <v>2650.0000000000005</v>
      </c>
      <c r="S7" s="45">
        <v>161566260</v>
      </c>
      <c r="T7" s="45">
        <v>13.32</v>
      </c>
      <c r="U7" s="45">
        <v>2663.3200000000006</v>
      </c>
      <c r="V7" s="45">
        <v>162378359</v>
      </c>
      <c r="W7" s="45">
        <v>811892</v>
      </c>
      <c r="X7" s="45">
        <v>161566467</v>
      </c>
      <c r="Y7" s="530" t="str">
        <f>IFERROR(IF(FIND("/KM",KB[[#This Row],[SUPPLIER]])&gt;0,"LAUT"),"DARAT")</f>
        <v>LAUT</v>
      </c>
    </row>
    <row r="8" spans="2:27">
      <c r="B8" s="140" t="str">
        <f>IFERROR(LEFT(KB[[#This Row],[SUPPLIER]],FIND("/",KB[[#This Row],[SUPPLIER]])-1),KB[[#This Row],[SUPPLIER]])</f>
        <v>PT.SINAR KELAPA TEMBILAHAN</v>
      </c>
      <c r="C8" s="141" t="str">
        <f>TEXT(VLOOKUP(KB[[#This Row],[RELASI]],DBRELASI[[RELASI]:[DOCKB]],10,0)+COUNTIFS($B$2:B8,KB[[#This Row],[RELASI]],$D$2:D8,1),"000")</f>
        <v>001</v>
      </c>
      <c r="D8" s="141">
        <f>IF(COUNTIFS($B$3:B8,KB[[#This Row],[RELASI]],$F$3:F8,KB[[#This Row],[TANGGAL]])&lt;&gt;1,0,1)</f>
        <v>1</v>
      </c>
      <c r="E8" s="141" t="str">
        <f>TEXT(IF(KB[[#This Row],[DOC]]&lt;&gt;"",KB[[#This Row],[DOC]],E7),"000")</f>
        <v>001</v>
      </c>
      <c r="F8" s="40">
        <v>43832</v>
      </c>
      <c r="G8" s="40" t="str">
        <f>TYPE</f>
        <v>A</v>
      </c>
      <c r="H8" s="153" t="s">
        <v>75</v>
      </c>
      <c r="I8" s="42" t="s">
        <v>512</v>
      </c>
      <c r="J8" s="43" t="s">
        <v>81</v>
      </c>
      <c r="K8" s="44">
        <v>5</v>
      </c>
      <c r="L8" s="45">
        <v>39480</v>
      </c>
      <c r="M8" s="45">
        <v>19350</v>
      </c>
      <c r="N8" s="45">
        <v>20130</v>
      </c>
      <c r="O8" s="45">
        <v>5.9999999999999991</v>
      </c>
      <c r="P8" s="45">
        <v>1207.8</v>
      </c>
      <c r="Q8" s="45">
        <v>18922.199999999997</v>
      </c>
      <c r="R8" s="45">
        <v>2600.0000000000005</v>
      </c>
      <c r="S8" s="45">
        <v>49197720</v>
      </c>
      <c r="T8" s="45">
        <v>0</v>
      </c>
      <c r="U8" s="45">
        <v>2600.0000000000005</v>
      </c>
      <c r="V8" s="45">
        <v>49197720</v>
      </c>
      <c r="W8" s="45">
        <v>122995</v>
      </c>
      <c r="X8" s="45">
        <v>49074725</v>
      </c>
      <c r="Y8" s="530" t="str">
        <f>IFERROR(IF(FIND("/KM",KB[[#This Row],[SUPPLIER]])&gt;0,"LAUT"),"DARAT")</f>
        <v>LAUT</v>
      </c>
    </row>
    <row r="9" spans="2:27">
      <c r="B9" s="140" t="str">
        <f>IFERROR(LEFT(KB[[#This Row],[SUPPLIER]],FIND("/",KB[[#This Row],[SUPPLIER]])-1),KB[[#This Row],[SUPPLIER]])</f>
        <v>RITA ERNITA</v>
      </c>
      <c r="C9" s="141" t="str">
        <f>TEXT(VLOOKUP(KB[[#This Row],[RELASI]],DBRELASI[[RELASI]:[DOCKB]],10,0)+COUNTIFS($B$2:B9,KB[[#This Row],[RELASI]],$D$2:D9,1),"000")</f>
        <v>001</v>
      </c>
      <c r="D9" s="141">
        <f>IF(COUNTIFS($B$3:B9,KB[[#This Row],[RELASI]],$F$3:F9,KB[[#This Row],[TANGGAL]])&lt;&gt;1,0,1)</f>
        <v>1</v>
      </c>
      <c r="E9" s="141" t="str">
        <f>TEXT(IF(KB[[#This Row],[DOC]]&lt;&gt;"",KB[[#This Row],[DOC]],E8),"000")</f>
        <v>001</v>
      </c>
      <c r="F9" s="40">
        <v>43832</v>
      </c>
      <c r="G9" s="40" t="str">
        <f>TYPE</f>
        <v>A</v>
      </c>
      <c r="H9" s="153" t="s">
        <v>75</v>
      </c>
      <c r="I9" s="42" t="s">
        <v>513</v>
      </c>
      <c r="J9" s="43" t="s">
        <v>96</v>
      </c>
      <c r="K9" s="44">
        <v>2</v>
      </c>
      <c r="L9" s="45">
        <v>15040</v>
      </c>
      <c r="M9" s="45">
        <v>7770</v>
      </c>
      <c r="N9" s="45">
        <v>7270</v>
      </c>
      <c r="O9" s="45">
        <v>6</v>
      </c>
      <c r="P9" s="45">
        <v>436.2</v>
      </c>
      <c r="Q9" s="45">
        <v>6833.8</v>
      </c>
      <c r="R9" s="45">
        <v>2500</v>
      </c>
      <c r="S9" s="45">
        <v>17084500</v>
      </c>
      <c r="T9" s="45">
        <v>12.56</v>
      </c>
      <c r="U9" s="45">
        <v>2512.56</v>
      </c>
      <c r="V9" s="45">
        <v>17170333</v>
      </c>
      <c r="W9" s="45">
        <v>85852</v>
      </c>
      <c r="X9" s="45">
        <v>17084481</v>
      </c>
      <c r="Y9" s="530" t="str">
        <f>IFERROR(IF(FIND("/KM",KB[[#This Row],[SUPPLIER]])&gt;0,"LAUT"),"DARAT")</f>
        <v>LAUT</v>
      </c>
    </row>
    <row r="10" spans="2:27">
      <c r="B10" s="140" t="str">
        <f>IFERROR(LEFT(KB[[#This Row],[SUPPLIER]],FIND("/",KB[[#This Row],[SUPPLIER]])-1),KB[[#This Row],[SUPPLIER]])</f>
        <v>YANADI</v>
      </c>
      <c r="C10" s="141" t="str">
        <f>TEXT(VLOOKUP(KB[[#This Row],[RELASI]],DBRELASI[[RELASI]:[DOCKB]],10,0)+COUNTIFS($B$2:B10,KB[[#This Row],[RELASI]],$D$2:D10,1),"000")</f>
        <v>001</v>
      </c>
      <c r="D10" s="141">
        <f>IF(COUNTIFS($B$3:B10,KB[[#This Row],[RELASI]],$F$3:F10,KB[[#This Row],[TANGGAL]])&lt;&gt;1,0,1)</f>
        <v>1</v>
      </c>
      <c r="E10" s="141" t="str">
        <f>TEXT(IF(KB[[#This Row],[DOC]]&lt;&gt;"",KB[[#This Row],[DOC]],E9),"000")</f>
        <v>001</v>
      </c>
      <c r="F10" s="40">
        <v>43832</v>
      </c>
      <c r="G10" s="40" t="str">
        <f>TYPE</f>
        <v>A</v>
      </c>
      <c r="H10" s="153" t="s">
        <v>75</v>
      </c>
      <c r="I10" s="42" t="s">
        <v>514</v>
      </c>
      <c r="J10" s="43" t="s">
        <v>74</v>
      </c>
      <c r="K10" s="44">
        <v>1</v>
      </c>
      <c r="L10" s="45">
        <v>7640</v>
      </c>
      <c r="M10" s="45">
        <v>3910</v>
      </c>
      <c r="N10" s="45">
        <v>3730</v>
      </c>
      <c r="O10" s="45">
        <v>6</v>
      </c>
      <c r="P10" s="45">
        <v>223.79999999999998</v>
      </c>
      <c r="Q10" s="45">
        <v>3506.2</v>
      </c>
      <c r="R10" s="45">
        <v>2400</v>
      </c>
      <c r="S10" s="45">
        <v>8414880</v>
      </c>
      <c r="T10" s="45">
        <v>12.06</v>
      </c>
      <c r="U10" s="45">
        <v>2412.06</v>
      </c>
      <c r="V10" s="45">
        <v>8457165</v>
      </c>
      <c r="W10" s="45">
        <v>42286</v>
      </c>
      <c r="X10" s="45">
        <v>8414879</v>
      </c>
      <c r="Y10" s="530" t="str">
        <f>IFERROR(IF(FIND("/KM",KB[[#This Row],[SUPPLIER]])&gt;0,"LAUT"),"DARAT")</f>
        <v>LAUT</v>
      </c>
    </row>
    <row r="11" spans="2:27">
      <c r="B11" s="140" t="str">
        <f>IFERROR(LEFT(KB[[#This Row],[SUPPLIER]],FIND("/",KB[[#This Row],[SUPPLIER]])-1),KB[[#This Row],[SUPPLIER]])</f>
        <v>ERAWATI</v>
      </c>
      <c r="C11" s="141" t="str">
        <f>TEXT(VLOOKUP(KB[[#This Row],[RELASI]],DBRELASI[[RELASI]:[DOCKB]],10,0)+COUNTIFS($B$2:B11,KB[[#This Row],[RELASI]],$D$2:D11,1),"000")</f>
        <v>002</v>
      </c>
      <c r="D11" s="141">
        <f>IF(COUNTIFS($B$3:B11,KB[[#This Row],[RELASI]],$F$3:F11,KB[[#This Row],[TANGGAL]])&lt;&gt;1,0,1)</f>
        <v>1</v>
      </c>
      <c r="E11" s="141" t="str">
        <f>TEXT(IF(KB[[#This Row],[DOC]]&lt;&gt;"",KB[[#This Row],[DOC]],E10),"000")</f>
        <v>002</v>
      </c>
      <c r="F11" s="40">
        <v>43833</v>
      </c>
      <c r="G11" s="40" t="str">
        <f>TYPE</f>
        <v>A</v>
      </c>
      <c r="H11" s="153" t="s">
        <v>515</v>
      </c>
      <c r="I11" s="42" t="s">
        <v>155</v>
      </c>
      <c r="J11" s="43" t="s">
        <v>77</v>
      </c>
      <c r="K11" s="44">
        <v>1</v>
      </c>
      <c r="L11" s="49">
        <v>11270</v>
      </c>
      <c r="M11" s="49">
        <v>4300</v>
      </c>
      <c r="N11" s="49">
        <v>6970</v>
      </c>
      <c r="O11" s="49">
        <v>5</v>
      </c>
      <c r="P11" s="49">
        <v>348.5</v>
      </c>
      <c r="Q11" s="49">
        <v>6621.5</v>
      </c>
      <c r="R11" s="49">
        <v>2450</v>
      </c>
      <c r="S11" s="49">
        <v>16222675</v>
      </c>
      <c r="T11" s="49">
        <v>12.31</v>
      </c>
      <c r="U11" s="49">
        <v>2462.31</v>
      </c>
      <c r="V11" s="49">
        <v>16304186</v>
      </c>
      <c r="W11" s="49">
        <v>81521</v>
      </c>
      <c r="X11" s="49">
        <v>16222665</v>
      </c>
      <c r="Y11" s="530" t="str">
        <f>IFERROR(IF(FIND("/KM",KB[[#This Row],[SUPPLIER]])&gt;0,"LAUT"),"DARAT")</f>
        <v>DARAT</v>
      </c>
    </row>
    <row r="12" spans="2:27">
      <c r="B12" s="140" t="str">
        <f>IFERROR(LEFT(KB[[#This Row],[SUPPLIER]],FIND("/",KB[[#This Row],[SUPPLIER]])-1),KB[[#This Row],[SUPPLIER]])</f>
        <v>INDRAYANI</v>
      </c>
      <c r="C12" s="141" t="str">
        <f>TEXT(VLOOKUP(KB[[#This Row],[RELASI]],DBRELASI[[RELASI]:[DOCKB]],10,0)+COUNTIFS($B$2:B12,KB[[#This Row],[RELASI]],$D$2:D12,1),"000")</f>
        <v>001</v>
      </c>
      <c r="D12" s="141">
        <f>IF(COUNTIFS($B$3:B12,KB[[#This Row],[RELASI]],$F$3:F12,KB[[#This Row],[TANGGAL]])&lt;&gt;1,0,1)</f>
        <v>1</v>
      </c>
      <c r="E12" s="141" t="str">
        <f>TEXT(IF(KB[[#This Row],[DOC]]&lt;&gt;"",KB[[#This Row],[DOC]],E11),"000")</f>
        <v>001</v>
      </c>
      <c r="F12" s="40">
        <v>43833</v>
      </c>
      <c r="G12" s="40" t="str">
        <f>TYPE</f>
        <v>A</v>
      </c>
      <c r="H12" s="153" t="s">
        <v>75</v>
      </c>
      <c r="I12" s="42" t="s">
        <v>79</v>
      </c>
      <c r="J12" s="43" t="s">
        <v>77</v>
      </c>
      <c r="K12" s="44">
        <v>4</v>
      </c>
      <c r="L12" s="49">
        <v>40930</v>
      </c>
      <c r="M12" s="49">
        <v>20820</v>
      </c>
      <c r="N12" s="49">
        <v>20110</v>
      </c>
      <c r="O12" s="49">
        <v>5</v>
      </c>
      <c r="P12" s="49">
        <v>1005.5</v>
      </c>
      <c r="Q12" s="49">
        <v>19104.5</v>
      </c>
      <c r="R12" s="49">
        <v>2550</v>
      </c>
      <c r="S12" s="49">
        <v>48716475</v>
      </c>
      <c r="T12" s="49">
        <v>12.81</v>
      </c>
      <c r="U12" s="49">
        <v>2562.81</v>
      </c>
      <c r="V12" s="49">
        <v>48961204</v>
      </c>
      <c r="W12" s="49">
        <v>244806</v>
      </c>
      <c r="X12" s="49">
        <v>48716398</v>
      </c>
      <c r="Y12" s="530" t="str">
        <f>IFERROR(IF(FIND("/KM",KB[[#This Row],[SUPPLIER]])&gt;0,"LAUT"),"DARAT")</f>
        <v>DARAT</v>
      </c>
    </row>
    <row r="13" spans="2:27">
      <c r="B13" s="140" t="str">
        <f>IFERROR(LEFT(KB[[#This Row],[SUPPLIER]],FIND("/",KB[[#This Row],[SUPPLIER]])-1),KB[[#This Row],[SUPPLIER]])</f>
        <v>SAIRI</v>
      </c>
      <c r="C13" s="141" t="str">
        <f>TEXT(VLOOKUP(KB[[#This Row],[RELASI]],DBRELASI[[RELASI]:[DOCKB]],10,0)+COUNTIFS($B$2:B13,KB[[#This Row],[RELASI]],$D$2:D13,1),"000")</f>
        <v>001</v>
      </c>
      <c r="D13" s="141">
        <f>IF(COUNTIFS($B$3:B13,KB[[#This Row],[RELASI]],$F$3:F13,KB[[#This Row],[TANGGAL]])&lt;&gt;1,0,1)</f>
        <v>1</v>
      </c>
      <c r="E13" s="141" t="str">
        <f>TEXT(IF(KB[[#This Row],[DOC]]&lt;&gt;"",KB[[#This Row],[DOC]],E12),"000")</f>
        <v>001</v>
      </c>
      <c r="F13" s="40">
        <v>43833</v>
      </c>
      <c r="G13" s="40" t="str">
        <f>TYPE</f>
        <v>A</v>
      </c>
      <c r="H13" s="153" t="s">
        <v>75</v>
      </c>
      <c r="I13" s="42" t="s">
        <v>84</v>
      </c>
      <c r="J13" s="43" t="s">
        <v>85</v>
      </c>
      <c r="K13" s="44">
        <v>1</v>
      </c>
      <c r="L13" s="49">
        <v>12810</v>
      </c>
      <c r="M13" s="49">
        <v>4180</v>
      </c>
      <c r="N13" s="49">
        <v>8630</v>
      </c>
      <c r="O13" s="49">
        <v>5</v>
      </c>
      <c r="P13" s="49">
        <v>431.5</v>
      </c>
      <c r="Q13" s="49">
        <v>8198.5</v>
      </c>
      <c r="R13" s="49">
        <v>2500</v>
      </c>
      <c r="S13" s="49">
        <v>20496250</v>
      </c>
      <c r="T13" s="49">
        <v>12.56</v>
      </c>
      <c r="U13" s="49">
        <v>2512.56</v>
      </c>
      <c r="V13" s="49">
        <v>20599223</v>
      </c>
      <c r="W13" s="49">
        <v>102996</v>
      </c>
      <c r="X13" s="49">
        <v>20496227</v>
      </c>
      <c r="Y13" s="530" t="str">
        <f>IFERROR(IF(FIND("/KM",KB[[#This Row],[SUPPLIER]])&gt;0,"LAUT"),"DARAT")</f>
        <v>DARAT</v>
      </c>
    </row>
    <row r="14" spans="2:27">
      <c r="B14" s="140" t="str">
        <f>IFERROR(LEFT(KB[[#This Row],[SUPPLIER]],FIND("/",KB[[#This Row],[SUPPLIER]])-1),KB[[#This Row],[SUPPLIER]])</f>
        <v>DINI CHAIRANI</v>
      </c>
      <c r="C14" s="141" t="str">
        <f>TEXT(VLOOKUP(KB[[#This Row],[RELASI]],DBRELASI[[RELASI]:[DOCKB]],10,0)+COUNTIFS($B$2:B14,KB[[#This Row],[RELASI]],$D$2:D14,1),"000")</f>
        <v>001</v>
      </c>
      <c r="D14" s="141">
        <f>IF(COUNTIFS($B$3:B14,KB[[#This Row],[RELASI]],$F$3:F14,KB[[#This Row],[TANGGAL]])&lt;&gt;1,0,1)</f>
        <v>1</v>
      </c>
      <c r="E14" s="141" t="str">
        <f>TEXT(IF(KB[[#This Row],[DOC]]&lt;&gt;"",KB[[#This Row],[DOC]],E13),"000")</f>
        <v>001</v>
      </c>
      <c r="F14" s="40">
        <v>43833</v>
      </c>
      <c r="G14" s="40" t="str">
        <f>TYPE</f>
        <v>A</v>
      </c>
      <c r="H14" s="153" t="s">
        <v>75</v>
      </c>
      <c r="I14" s="42" t="s">
        <v>516</v>
      </c>
      <c r="J14" s="43" t="s">
        <v>95</v>
      </c>
      <c r="K14" s="44">
        <v>1</v>
      </c>
      <c r="L14" s="49">
        <v>9010</v>
      </c>
      <c r="M14" s="49">
        <v>3860</v>
      </c>
      <c r="N14" s="49">
        <v>5150</v>
      </c>
      <c r="O14" s="49">
        <v>6</v>
      </c>
      <c r="P14" s="49">
        <v>309</v>
      </c>
      <c r="Q14" s="49">
        <v>4841</v>
      </c>
      <c r="R14" s="49">
        <v>2400</v>
      </c>
      <c r="S14" s="49">
        <v>11618400</v>
      </c>
      <c r="T14" s="49">
        <v>12.06</v>
      </c>
      <c r="U14" s="49">
        <v>2412.06</v>
      </c>
      <c r="V14" s="49">
        <v>11676782</v>
      </c>
      <c r="W14" s="49">
        <v>58384</v>
      </c>
      <c r="X14" s="49">
        <v>11618398</v>
      </c>
      <c r="Y14" s="530" t="str">
        <f>IFERROR(IF(FIND("/KM",KB[[#This Row],[SUPPLIER]])&gt;0,"LAUT"),"DARAT")</f>
        <v>LAUT</v>
      </c>
    </row>
    <row r="15" spans="2:27">
      <c r="B15" s="140" t="str">
        <f>IFERROR(LEFT(KB[[#This Row],[SUPPLIER]],FIND("/",KB[[#This Row],[SUPPLIER]])-1),KB[[#This Row],[SUPPLIER]])</f>
        <v>DINI CHAIRANI</v>
      </c>
      <c r="C15" s="141" t="str">
        <f>TEXT(VLOOKUP(KB[[#This Row],[RELASI]],DBRELASI[[RELASI]:[DOCKB]],10,0)+COUNTIFS($B$2:B15,KB[[#This Row],[RELASI]],$D$2:D15,1),"000")</f>
        <v>001</v>
      </c>
      <c r="D15" s="141">
        <f>IF(COUNTIFS($B$3:B15,KB[[#This Row],[RELASI]],$F$3:F15,KB[[#This Row],[TANGGAL]])&lt;&gt;1,0,1)</f>
        <v>0</v>
      </c>
      <c r="E15" s="141" t="str">
        <f>TEXT(IF(KB[[#This Row],[DOC]]&lt;&gt;"",KB[[#This Row],[DOC]],E14),"000")</f>
        <v>001</v>
      </c>
      <c r="F15" s="40">
        <v>43833</v>
      </c>
      <c r="G15" s="40" t="str">
        <f>TYPE</f>
        <v>A</v>
      </c>
      <c r="H15"/>
      <c r="I15" s="42" t="s">
        <v>517</v>
      </c>
      <c r="J15" s="43" t="s">
        <v>95</v>
      </c>
      <c r="K15" s="44">
        <v>5</v>
      </c>
      <c r="L15" s="49">
        <v>42370</v>
      </c>
      <c r="M15" s="49">
        <v>19460</v>
      </c>
      <c r="N15" s="49">
        <v>22910</v>
      </c>
      <c r="O15" s="49">
        <v>6</v>
      </c>
      <c r="P15" s="49">
        <v>1374.6</v>
      </c>
      <c r="Q15" s="49">
        <v>21535.399999999998</v>
      </c>
      <c r="R15" s="49">
        <v>2450.0000000000005</v>
      </c>
      <c r="S15" s="49">
        <v>52761730</v>
      </c>
      <c r="T15" s="49">
        <v>12.31</v>
      </c>
      <c r="U15" s="49">
        <v>2462.3100000000004</v>
      </c>
      <c r="V15" s="49">
        <v>53026830</v>
      </c>
      <c r="W15" s="49">
        <v>265133</v>
      </c>
      <c r="X15" s="49">
        <v>52761697</v>
      </c>
      <c r="Y15" s="530" t="str">
        <f>IFERROR(IF(FIND("/KM",KB[[#This Row],[SUPPLIER]])&gt;0,"LAUT"),"DARAT")</f>
        <v>LAUT</v>
      </c>
    </row>
    <row r="16" spans="2:27">
      <c r="B16" s="140" t="str">
        <f>IFERROR(LEFT(KB[[#This Row],[SUPPLIER]],FIND("/",KB[[#This Row],[SUPPLIER]])-1),KB[[#This Row],[SUPPLIER]])</f>
        <v>HENDRI</v>
      </c>
      <c r="C16" s="141" t="str">
        <f>TEXT(VLOOKUP(KB[[#This Row],[RELASI]],DBRELASI[[RELASI]:[DOCKB]],10,0)+COUNTIFS($B$2:B16,KB[[#This Row],[RELASI]],$D$2:D16,1),"000")</f>
        <v>002</v>
      </c>
      <c r="D16" s="141">
        <f>IF(COUNTIFS($B$3:B16,KB[[#This Row],[RELASI]],$F$3:F16,KB[[#This Row],[TANGGAL]])&lt;&gt;1,0,1)</f>
        <v>1</v>
      </c>
      <c r="E16" s="141" t="str">
        <f>TEXT(IF(KB[[#This Row],[DOC]]&lt;&gt;"",KB[[#This Row],[DOC]],E15),"000")</f>
        <v>002</v>
      </c>
      <c r="F16" s="40">
        <v>43833</v>
      </c>
      <c r="G16" s="40" t="str">
        <f>TYPE</f>
        <v>A</v>
      </c>
      <c r="H16" s="153" t="s">
        <v>515</v>
      </c>
      <c r="I16" s="42" t="s">
        <v>518</v>
      </c>
      <c r="J16" s="43" t="s">
        <v>475</v>
      </c>
      <c r="K16" s="44">
        <v>1</v>
      </c>
      <c r="L16" s="49">
        <v>4760</v>
      </c>
      <c r="M16" s="49">
        <v>3860</v>
      </c>
      <c r="N16" s="49">
        <v>900</v>
      </c>
      <c r="O16" s="49">
        <v>6</v>
      </c>
      <c r="P16" s="49">
        <v>54</v>
      </c>
      <c r="Q16" s="49">
        <v>846</v>
      </c>
      <c r="R16" s="49">
        <v>2400</v>
      </c>
      <c r="S16" s="49">
        <v>2030400</v>
      </c>
      <c r="T16" s="49">
        <v>12.06</v>
      </c>
      <c r="U16" s="49">
        <v>2412.06</v>
      </c>
      <c r="V16" s="49">
        <v>2040603</v>
      </c>
      <c r="W16" s="49">
        <v>10203</v>
      </c>
      <c r="X16" s="49">
        <v>2030400</v>
      </c>
      <c r="Y16" s="530" t="str">
        <f>IFERROR(IF(FIND("/KM",KB[[#This Row],[SUPPLIER]])&gt;0,"LAUT"),"DARAT")</f>
        <v>LAUT</v>
      </c>
    </row>
    <row r="17" spans="2:25">
      <c r="B17" s="140" t="str">
        <f>IFERROR(LEFT(KB[[#This Row],[SUPPLIER]],FIND("/",KB[[#This Row],[SUPPLIER]])-1),KB[[#This Row],[SUPPLIER]])</f>
        <v>MARTONO</v>
      </c>
      <c r="C17" s="141" t="str">
        <f>TEXT(VLOOKUP(KB[[#This Row],[RELASI]],DBRELASI[[RELASI]:[DOCKB]],10,0)+COUNTIFS($B$2:B17,KB[[#This Row],[RELASI]],$D$2:D17,1),"000")</f>
        <v>002</v>
      </c>
      <c r="D17" s="141">
        <f>IF(COUNTIFS($B$3:B17,KB[[#This Row],[RELASI]],$F$3:F17,KB[[#This Row],[TANGGAL]])&lt;&gt;1,0,1)</f>
        <v>1</v>
      </c>
      <c r="E17" s="141" t="str">
        <f>TEXT(IF(KB[[#This Row],[DOC]]&lt;&gt;"",KB[[#This Row],[DOC]],E16),"000")</f>
        <v>002</v>
      </c>
      <c r="F17" s="40">
        <v>43833</v>
      </c>
      <c r="G17" s="40" t="str">
        <f>TYPE</f>
        <v>A</v>
      </c>
      <c r="H17" s="153" t="s">
        <v>515</v>
      </c>
      <c r="I17" s="42" t="s">
        <v>519</v>
      </c>
      <c r="J17" s="43" t="s">
        <v>83</v>
      </c>
      <c r="K17" s="44">
        <v>3</v>
      </c>
      <c r="L17" s="49">
        <v>22320</v>
      </c>
      <c r="M17" s="49">
        <v>11700</v>
      </c>
      <c r="N17" s="49">
        <v>10620</v>
      </c>
      <c r="O17" s="49">
        <v>6</v>
      </c>
      <c r="P17" s="49">
        <v>637.20000000000005</v>
      </c>
      <c r="Q17" s="49">
        <v>9982.7999999999993</v>
      </c>
      <c r="R17" s="49">
        <v>2400</v>
      </c>
      <c r="S17" s="49">
        <v>23958720</v>
      </c>
      <c r="T17" s="49">
        <v>12.06</v>
      </c>
      <c r="U17" s="49">
        <v>2412.06</v>
      </c>
      <c r="V17" s="49">
        <v>24079113</v>
      </c>
      <c r="W17" s="49">
        <v>120396</v>
      </c>
      <c r="X17" s="49">
        <v>23958717</v>
      </c>
      <c r="Y17" s="530" t="str">
        <f>IFERROR(IF(FIND("/KM",KB[[#This Row],[SUPPLIER]])&gt;0,"LAUT"),"DARAT")</f>
        <v>LAUT</v>
      </c>
    </row>
    <row r="18" spans="2:25">
      <c r="B18" s="140" t="str">
        <f>IFERROR(LEFT(KB[[#This Row],[SUPPLIER]],FIND("/",KB[[#This Row],[SUPPLIER]])-1),KB[[#This Row],[SUPPLIER]])</f>
        <v>MASRI</v>
      </c>
      <c r="C18" s="141" t="str">
        <f>TEXT(VLOOKUP(KB[[#This Row],[RELASI]],DBRELASI[[RELASI]:[DOCKB]],10,0)+COUNTIFS($B$2:B18,KB[[#This Row],[RELASI]],$D$2:D18,1),"000")</f>
        <v>002</v>
      </c>
      <c r="D18" s="141">
        <f>IF(COUNTIFS($B$3:B18,KB[[#This Row],[RELASI]],$F$3:F18,KB[[#This Row],[TANGGAL]])&lt;&gt;1,0,1)</f>
        <v>1</v>
      </c>
      <c r="E18" s="141" t="str">
        <f>TEXT(IF(KB[[#This Row],[DOC]]&lt;&gt;"",KB[[#This Row],[DOC]],E17),"000")</f>
        <v>002</v>
      </c>
      <c r="F18" s="40">
        <v>43833</v>
      </c>
      <c r="G18" s="40" t="str">
        <f>TYPE</f>
        <v>A</v>
      </c>
      <c r="H18" s="153" t="s">
        <v>515</v>
      </c>
      <c r="I18" s="42" t="s">
        <v>510</v>
      </c>
      <c r="J18" s="43" t="s">
        <v>511</v>
      </c>
      <c r="K18" s="44">
        <v>9</v>
      </c>
      <c r="L18" s="49">
        <v>72790</v>
      </c>
      <c r="M18" s="49">
        <v>35130</v>
      </c>
      <c r="N18" s="49">
        <v>37660</v>
      </c>
      <c r="O18" s="49">
        <v>5.9999999999999991</v>
      </c>
      <c r="P18" s="49">
        <v>2259.6</v>
      </c>
      <c r="Q18" s="49">
        <v>35400.400000000001</v>
      </c>
      <c r="R18" s="49">
        <v>2650</v>
      </c>
      <c r="S18" s="49">
        <v>93811060</v>
      </c>
      <c r="T18" s="49">
        <v>13.32</v>
      </c>
      <c r="U18" s="49">
        <v>2663.32</v>
      </c>
      <c r="V18" s="49">
        <v>94282593</v>
      </c>
      <c r="W18" s="49">
        <v>471413</v>
      </c>
      <c r="X18" s="49">
        <v>93811180</v>
      </c>
      <c r="Y18" s="530" t="str">
        <f>IFERROR(IF(FIND("/KM",KB[[#This Row],[SUPPLIER]])&gt;0,"LAUT"),"DARAT")</f>
        <v>LAUT</v>
      </c>
    </row>
    <row r="19" spans="2:25">
      <c r="B19" s="140" t="str">
        <f>IFERROR(LEFT(KB[[#This Row],[SUPPLIER]],FIND("/",KB[[#This Row],[SUPPLIER]])-1),KB[[#This Row],[SUPPLIER]])</f>
        <v>MASRI</v>
      </c>
      <c r="C19" s="141" t="str">
        <f>TEXT(VLOOKUP(KB[[#This Row],[RELASI]],DBRELASI[[RELASI]:[DOCKB]],10,0)+COUNTIFS($B$2:B19,KB[[#This Row],[RELASI]],$D$2:D19,1),"000")</f>
        <v>002</v>
      </c>
      <c r="D19" s="141">
        <f>IF(COUNTIFS($B$3:B19,KB[[#This Row],[RELASI]],$F$3:F19,KB[[#This Row],[TANGGAL]])&lt;&gt;1,0,1)</f>
        <v>0</v>
      </c>
      <c r="E19" s="141" t="str">
        <f>TEXT(IF(KB[[#This Row],[DOC]]&lt;&gt;"",KB[[#This Row],[DOC]],E18),"000")</f>
        <v>002</v>
      </c>
      <c r="F19" s="40">
        <v>43833</v>
      </c>
      <c r="G19" s="40" t="str">
        <f>TYPE</f>
        <v>A</v>
      </c>
      <c r="H19"/>
      <c r="I19" s="42" t="s">
        <v>520</v>
      </c>
      <c r="J19" s="43" t="s">
        <v>511</v>
      </c>
      <c r="K19" s="44">
        <v>2</v>
      </c>
      <c r="L19" s="49">
        <v>18350</v>
      </c>
      <c r="M19" s="49">
        <v>7720</v>
      </c>
      <c r="N19" s="49">
        <v>10630</v>
      </c>
      <c r="O19" s="49">
        <v>6</v>
      </c>
      <c r="P19" s="49">
        <v>637.79999999999995</v>
      </c>
      <c r="Q19" s="49">
        <v>9992.2000000000007</v>
      </c>
      <c r="R19" s="49">
        <v>2400</v>
      </c>
      <c r="S19" s="49">
        <v>23981280</v>
      </c>
      <c r="T19" s="49">
        <v>12.06</v>
      </c>
      <c r="U19" s="49">
        <v>2412.06</v>
      </c>
      <c r="V19" s="49">
        <v>24101786</v>
      </c>
      <c r="W19" s="49">
        <v>120509</v>
      </c>
      <c r="X19" s="49">
        <v>23981277</v>
      </c>
      <c r="Y19" s="530" t="str">
        <f>IFERROR(IF(FIND("/KM",KB[[#This Row],[SUPPLIER]])&gt;0,"LAUT"),"DARAT")</f>
        <v>LAUT</v>
      </c>
    </row>
    <row r="20" spans="2:25">
      <c r="B20" s="140" t="str">
        <f>IFERROR(LEFT(KB[[#This Row],[SUPPLIER]],FIND("/",KB[[#This Row],[SUPPLIER]])-1),KB[[#This Row],[SUPPLIER]])</f>
        <v>YANADI</v>
      </c>
      <c r="C20" s="141" t="str">
        <f>TEXT(VLOOKUP(KB[[#This Row],[RELASI]],DBRELASI[[RELASI]:[DOCKB]],10,0)+COUNTIFS($B$2:B20,KB[[#This Row],[RELASI]],$D$2:D20,1),"000")</f>
        <v>002</v>
      </c>
      <c r="D20" s="141">
        <f>IF(COUNTIFS($B$3:B20,KB[[#This Row],[RELASI]],$F$3:F20,KB[[#This Row],[TANGGAL]])&lt;&gt;1,0,1)</f>
        <v>1</v>
      </c>
      <c r="E20" s="141" t="str">
        <f>TEXT(IF(KB[[#This Row],[DOC]]&lt;&gt;"",KB[[#This Row],[DOC]],E19),"000")</f>
        <v>002</v>
      </c>
      <c r="F20" s="40">
        <v>43833</v>
      </c>
      <c r="G20" s="40" t="str">
        <f>TYPE</f>
        <v>A</v>
      </c>
      <c r="H20" s="154" t="s">
        <v>515</v>
      </c>
      <c r="I20" s="46" t="s">
        <v>514</v>
      </c>
      <c r="J20" s="47" t="s">
        <v>74</v>
      </c>
      <c r="K20" s="48">
        <v>1</v>
      </c>
      <c r="L20" s="49">
        <v>5120</v>
      </c>
      <c r="M20" s="49">
        <v>3910</v>
      </c>
      <c r="N20" s="49">
        <v>1210</v>
      </c>
      <c r="O20" s="49">
        <v>6</v>
      </c>
      <c r="P20" s="49">
        <v>72.599999999999994</v>
      </c>
      <c r="Q20" s="49">
        <v>1137.4000000000001</v>
      </c>
      <c r="R20" s="49">
        <v>2400</v>
      </c>
      <c r="S20" s="49">
        <v>2729760</v>
      </c>
      <c r="T20" s="49">
        <v>12.06</v>
      </c>
      <c r="U20" s="49">
        <v>2412.06</v>
      </c>
      <c r="V20" s="49">
        <v>2743477</v>
      </c>
      <c r="W20" s="49">
        <v>13717</v>
      </c>
      <c r="X20" s="49">
        <v>2729760</v>
      </c>
      <c r="Y20" s="574" t="str">
        <f>IFERROR(IF(FIND("/KM",KB[[#This Row],[SUPPLIER]])&gt;0,"LAUT"),"DARAT")</f>
        <v>LAUT</v>
      </c>
    </row>
    <row r="21" spans="2:25">
      <c r="B21" s="140" t="str">
        <f>IFERROR(LEFT(KB[[#This Row],[SUPPLIER]],FIND("/",KB[[#This Row],[SUPPLIER]])-1),KB[[#This Row],[SUPPLIER]])</f>
        <v>ERAWATI</v>
      </c>
      <c r="C21" s="141" t="str">
        <f>TEXT(VLOOKUP(KB[[#This Row],[RELASI]],DBRELASI[[RELASI]:[DOCKB]],10,0)+COUNTIFS($B$2:B21,KB[[#This Row],[RELASI]],$D$2:D21,1),"000")</f>
        <v>003</v>
      </c>
      <c r="D21" s="141">
        <f>IF(COUNTIFS($B$3:B21,KB[[#This Row],[RELASI]],$F$3:F21,KB[[#This Row],[TANGGAL]])&lt;&gt;1,0,1)</f>
        <v>1</v>
      </c>
      <c r="E21" s="141" t="str">
        <f>TEXT(IF(KB[[#This Row],[DOC]]&lt;&gt;"",KB[[#This Row],[DOC]],E20),"000")</f>
        <v>003</v>
      </c>
      <c r="F21" s="41">
        <v>43834</v>
      </c>
      <c r="G21" s="40" t="str">
        <f>TYPE</f>
        <v>A</v>
      </c>
      <c r="H21" s="153" t="s">
        <v>521</v>
      </c>
      <c r="I21" s="42" t="s">
        <v>155</v>
      </c>
      <c r="J21" s="43" t="s">
        <v>77</v>
      </c>
      <c r="K21" s="44">
        <v>1</v>
      </c>
      <c r="L21" s="49">
        <v>10130</v>
      </c>
      <c r="M21" s="49">
        <v>4340</v>
      </c>
      <c r="N21" s="49">
        <v>5790</v>
      </c>
      <c r="O21" s="49">
        <v>5</v>
      </c>
      <c r="P21" s="49">
        <v>289.5</v>
      </c>
      <c r="Q21" s="49">
        <v>5500.5</v>
      </c>
      <c r="R21" s="49">
        <v>2450</v>
      </c>
      <c r="S21" s="49">
        <v>13476225</v>
      </c>
      <c r="T21" s="49">
        <v>12.31</v>
      </c>
      <c r="U21" s="49">
        <v>2462.31</v>
      </c>
      <c r="V21" s="49">
        <v>13543936</v>
      </c>
      <c r="W21" s="49">
        <v>67720</v>
      </c>
      <c r="X21" s="49">
        <v>13476216</v>
      </c>
      <c r="Y21" s="530" t="str">
        <f>IFERROR(IF(FIND("/KM",KB[[#This Row],[SUPPLIER]])&gt;0,"LAUT"),"DARAT")</f>
        <v>DARAT</v>
      </c>
    </row>
    <row r="22" spans="2:25">
      <c r="B22" s="140" t="str">
        <f>IFERROR(LEFT(KB[[#This Row],[SUPPLIER]],FIND("/",KB[[#This Row],[SUPPLIER]])-1),KB[[#This Row],[SUPPLIER]])</f>
        <v>INDRAYANI</v>
      </c>
      <c r="C22" s="141" t="str">
        <f>TEXT(VLOOKUP(KB[[#This Row],[RELASI]],DBRELASI[[RELASI]:[DOCKB]],10,0)+COUNTIFS($B$2:B22,KB[[#This Row],[RELASI]],$D$2:D22,1),"000")</f>
        <v>002</v>
      </c>
      <c r="D22" s="141">
        <f>IF(COUNTIFS($B$3:B22,KB[[#This Row],[RELASI]],$F$3:F22,KB[[#This Row],[TANGGAL]])&lt;&gt;1,0,1)</f>
        <v>1</v>
      </c>
      <c r="E22" s="141" t="str">
        <f>TEXT(IF(KB[[#This Row],[DOC]]&lt;&gt;"",KB[[#This Row],[DOC]],E21),"000")</f>
        <v>002</v>
      </c>
      <c r="F22" s="41">
        <v>43834</v>
      </c>
      <c r="G22" s="40" t="str">
        <f>TYPE</f>
        <v>A</v>
      </c>
      <c r="H22" s="153" t="s">
        <v>515</v>
      </c>
      <c r="I22" s="42" t="s">
        <v>79</v>
      </c>
      <c r="J22" s="43" t="s">
        <v>77</v>
      </c>
      <c r="K22" s="44">
        <v>1</v>
      </c>
      <c r="L22" s="49">
        <v>8090</v>
      </c>
      <c r="M22" s="49">
        <v>3380</v>
      </c>
      <c r="N22" s="49">
        <v>4710</v>
      </c>
      <c r="O22" s="49">
        <v>5</v>
      </c>
      <c r="P22" s="49">
        <v>235.5</v>
      </c>
      <c r="Q22" s="49">
        <v>4474.5</v>
      </c>
      <c r="R22" s="49">
        <v>2550</v>
      </c>
      <c r="S22" s="49">
        <v>11409975</v>
      </c>
      <c r="T22" s="49">
        <v>12.81</v>
      </c>
      <c r="U22" s="49">
        <v>2562.81</v>
      </c>
      <c r="V22" s="49">
        <v>11467293</v>
      </c>
      <c r="W22" s="49">
        <v>57336</v>
      </c>
      <c r="X22" s="49">
        <v>11409957</v>
      </c>
      <c r="Y22" s="530" t="str">
        <f>IFERROR(IF(FIND("/KM",KB[[#This Row],[SUPPLIER]])&gt;0,"LAUT"),"DARAT")</f>
        <v>DARAT</v>
      </c>
    </row>
    <row r="23" spans="2:25">
      <c r="B23" s="140" t="str">
        <f>IFERROR(LEFT(KB[[#This Row],[SUPPLIER]],FIND("/",KB[[#This Row],[SUPPLIER]])-1),KB[[#This Row],[SUPPLIER]])</f>
        <v>SAIRI</v>
      </c>
      <c r="C23" s="141" t="str">
        <f>TEXT(VLOOKUP(KB[[#This Row],[RELASI]],DBRELASI[[RELASI]:[DOCKB]],10,0)+COUNTIFS($B$2:B23,KB[[#This Row],[RELASI]],$D$2:D23,1),"000")</f>
        <v>002</v>
      </c>
      <c r="D23" s="141">
        <f>IF(COUNTIFS($B$3:B23,KB[[#This Row],[RELASI]],$F$3:F23,KB[[#This Row],[TANGGAL]])&lt;&gt;1,0,1)</f>
        <v>1</v>
      </c>
      <c r="E23" s="141" t="str">
        <f>TEXT(IF(KB[[#This Row],[DOC]]&lt;&gt;"",KB[[#This Row],[DOC]],E22),"000")</f>
        <v>002</v>
      </c>
      <c r="F23" s="41">
        <v>43834</v>
      </c>
      <c r="G23" s="40" t="str">
        <f>TYPE</f>
        <v>A</v>
      </c>
      <c r="H23" s="153" t="s">
        <v>515</v>
      </c>
      <c r="I23" s="42" t="s">
        <v>84</v>
      </c>
      <c r="J23" s="43" t="s">
        <v>85</v>
      </c>
      <c r="K23" s="44">
        <v>1</v>
      </c>
      <c r="L23" s="49">
        <v>4520</v>
      </c>
      <c r="M23" s="49">
        <v>1550</v>
      </c>
      <c r="N23" s="49">
        <v>2970</v>
      </c>
      <c r="O23" s="49">
        <v>5</v>
      </c>
      <c r="P23" s="49">
        <v>148.5</v>
      </c>
      <c r="Q23" s="49">
        <v>2821.5</v>
      </c>
      <c r="R23" s="49">
        <v>2500</v>
      </c>
      <c r="S23" s="49">
        <v>7053750</v>
      </c>
      <c r="T23" s="49">
        <v>12.56</v>
      </c>
      <c r="U23" s="49">
        <v>2512.56</v>
      </c>
      <c r="V23" s="49">
        <v>7089188</v>
      </c>
      <c r="W23" s="49">
        <v>35446</v>
      </c>
      <c r="X23" s="49">
        <v>7053742</v>
      </c>
      <c r="Y23" s="530" t="str">
        <f>IFERROR(IF(FIND("/KM",KB[[#This Row],[SUPPLIER]])&gt;0,"LAUT"),"DARAT")</f>
        <v>DARAT</v>
      </c>
    </row>
    <row r="24" spans="2:25">
      <c r="B24" s="140" t="str">
        <f>IFERROR(LEFT(KB[[#This Row],[SUPPLIER]],FIND("/",KB[[#This Row],[SUPPLIER]])-1),KB[[#This Row],[SUPPLIER]])</f>
        <v>MARTONO</v>
      </c>
      <c r="C24" s="141" t="str">
        <f>TEXT(VLOOKUP(KB[[#This Row],[RELASI]],DBRELASI[[RELASI]:[DOCKB]],10,0)+COUNTIFS($B$2:B24,KB[[#This Row],[RELASI]],$D$2:D24,1),"000")</f>
        <v>003</v>
      </c>
      <c r="D24" s="141">
        <f>IF(COUNTIFS($B$3:B24,KB[[#This Row],[RELASI]],$F$3:F24,KB[[#This Row],[TANGGAL]])&lt;&gt;1,0,1)</f>
        <v>1</v>
      </c>
      <c r="E24" s="141" t="str">
        <f>TEXT(IF(KB[[#This Row],[DOC]]&lt;&gt;"",KB[[#This Row],[DOC]],E23),"000")</f>
        <v>003</v>
      </c>
      <c r="F24" s="41">
        <v>43834</v>
      </c>
      <c r="G24" s="40" t="str">
        <f>TYPE</f>
        <v>A</v>
      </c>
      <c r="H24" s="153" t="s">
        <v>521</v>
      </c>
      <c r="I24" s="42" t="s">
        <v>522</v>
      </c>
      <c r="J24" s="43" t="s">
        <v>83</v>
      </c>
      <c r="K24" s="44">
        <v>3</v>
      </c>
      <c r="L24" s="49">
        <v>21970</v>
      </c>
      <c r="M24" s="49">
        <v>11680</v>
      </c>
      <c r="N24" s="49">
        <v>10290</v>
      </c>
      <c r="O24" s="49">
        <v>6.0000000000000009</v>
      </c>
      <c r="P24" s="49">
        <v>617.40000000000009</v>
      </c>
      <c r="Q24" s="49">
        <v>9672.5999999999985</v>
      </c>
      <c r="R24" s="49">
        <v>2400.0000000000005</v>
      </c>
      <c r="S24" s="49">
        <v>23214240</v>
      </c>
      <c r="T24" s="49">
        <v>12.06</v>
      </c>
      <c r="U24" s="49">
        <v>2412.0600000000004</v>
      </c>
      <c r="V24" s="49">
        <v>23330892</v>
      </c>
      <c r="W24" s="49">
        <v>116655</v>
      </c>
      <c r="X24" s="49">
        <v>23214237</v>
      </c>
      <c r="Y24" s="530" t="str">
        <f>IFERROR(IF(FIND("/KM",KB[[#This Row],[SUPPLIER]])&gt;0,"LAUT"),"DARAT")</f>
        <v>LAUT</v>
      </c>
    </row>
    <row r="25" spans="2:25">
      <c r="B25" s="140" t="str">
        <f>IFERROR(LEFT(KB[[#This Row],[SUPPLIER]],FIND("/",KB[[#This Row],[SUPPLIER]])-1),KB[[#This Row],[SUPPLIER]])</f>
        <v>SUKAMTO</v>
      </c>
      <c r="C25" s="141" t="str">
        <f>TEXT(VLOOKUP(KB[[#This Row],[RELASI]],DBRELASI[[RELASI]:[DOCKB]],10,0)+COUNTIFS($B$2:B25,KB[[#This Row],[RELASI]],$D$2:D25,1),"000")</f>
        <v>001</v>
      </c>
      <c r="D25" s="141">
        <f>IF(COUNTIFS($B$3:B25,KB[[#This Row],[RELASI]],$F$3:F25,KB[[#This Row],[TANGGAL]])&lt;&gt;1,0,1)</f>
        <v>1</v>
      </c>
      <c r="E25" s="141" t="str">
        <f>TEXT(IF(KB[[#This Row],[DOC]]&lt;&gt;"",KB[[#This Row],[DOC]],E24),"000")</f>
        <v>001</v>
      </c>
      <c r="F25" s="41">
        <v>43834</v>
      </c>
      <c r="G25" s="40" t="str">
        <f>TYPE</f>
        <v>A</v>
      </c>
      <c r="H25" s="153" t="s">
        <v>75</v>
      </c>
      <c r="I25" s="42" t="s">
        <v>523</v>
      </c>
      <c r="J25" s="43" t="s">
        <v>524</v>
      </c>
      <c r="K25" s="44">
        <v>1</v>
      </c>
      <c r="L25" s="49">
        <v>7810</v>
      </c>
      <c r="M25" s="49">
        <v>3910</v>
      </c>
      <c r="N25" s="49">
        <v>3900</v>
      </c>
      <c r="O25" s="49">
        <v>6</v>
      </c>
      <c r="P25" s="49">
        <v>234</v>
      </c>
      <c r="Q25" s="49">
        <v>3666</v>
      </c>
      <c r="R25" s="49">
        <v>2400</v>
      </c>
      <c r="S25" s="49">
        <v>8798400</v>
      </c>
      <c r="T25" s="49">
        <v>12.06</v>
      </c>
      <c r="U25" s="49">
        <v>2412.06</v>
      </c>
      <c r="V25" s="49">
        <v>8842612</v>
      </c>
      <c r="W25" s="49">
        <v>44213</v>
      </c>
      <c r="X25" s="49">
        <v>8798399</v>
      </c>
      <c r="Y25" s="530" t="str">
        <f>IFERROR(IF(FIND("/KM",KB[[#This Row],[SUPPLIER]])&gt;0,"LAUT"),"DARAT")</f>
        <v>LAUT</v>
      </c>
    </row>
    <row r="26" spans="2:25">
      <c r="B26" s="140" t="str">
        <f>IFERROR(LEFT(KB[[#This Row],[SUPPLIER]],FIND("/",KB[[#This Row],[SUPPLIER]])-1),KB[[#This Row],[SUPPLIER]])</f>
        <v>YANADI</v>
      </c>
      <c r="C26" s="141" t="str">
        <f>TEXT(VLOOKUP(KB[[#This Row],[RELASI]],DBRELASI[[RELASI]:[DOCKB]],10,0)+COUNTIFS($B$2:B26,KB[[#This Row],[RELASI]],$D$2:D26,1),"000")</f>
        <v>003</v>
      </c>
      <c r="D26" s="141">
        <f>IF(COUNTIFS($B$3:B26,KB[[#This Row],[RELASI]],$F$3:F26,KB[[#This Row],[TANGGAL]])&lt;&gt;1,0,1)</f>
        <v>1</v>
      </c>
      <c r="E26" s="141" t="str">
        <f>TEXT(IF(KB[[#This Row],[DOC]]&lt;&gt;"",KB[[#This Row],[DOC]],E25),"000")</f>
        <v>003</v>
      </c>
      <c r="F26" s="41">
        <v>43834</v>
      </c>
      <c r="G26" s="40" t="str">
        <f>TYPE</f>
        <v>A</v>
      </c>
      <c r="H26" s="154" t="s">
        <v>521</v>
      </c>
      <c r="I26" s="46" t="s">
        <v>514</v>
      </c>
      <c r="J26" s="47" t="s">
        <v>74</v>
      </c>
      <c r="K26" s="48">
        <v>1</v>
      </c>
      <c r="L26" s="49">
        <v>5160</v>
      </c>
      <c r="M26" s="49">
        <v>3900</v>
      </c>
      <c r="N26" s="49">
        <v>1260</v>
      </c>
      <c r="O26" s="49">
        <v>6</v>
      </c>
      <c r="P26" s="49">
        <v>75.599999999999994</v>
      </c>
      <c r="Q26" s="49">
        <v>1184.4000000000001</v>
      </c>
      <c r="R26" s="49">
        <v>2400</v>
      </c>
      <c r="S26" s="49">
        <v>2842560</v>
      </c>
      <c r="T26" s="49">
        <v>12.06</v>
      </c>
      <c r="U26" s="49">
        <v>2412.06</v>
      </c>
      <c r="V26" s="49">
        <v>2856844</v>
      </c>
      <c r="W26" s="49">
        <v>14284</v>
      </c>
      <c r="X26" s="49">
        <v>2842560</v>
      </c>
      <c r="Y26" s="574" t="str">
        <f>IFERROR(IF(FIND("/KM",KB[[#This Row],[SUPPLIER]])&gt;0,"LAUT"),"DARAT")</f>
        <v>LAUT</v>
      </c>
    </row>
    <row r="27" spans="2:25">
      <c r="B27" s="140" t="str">
        <f>IFERROR(LEFT(KB[[#This Row],[SUPPLIER]],FIND("/",KB[[#This Row],[SUPPLIER]])-1),KB[[#This Row],[SUPPLIER]])</f>
        <v>INDRAYANI</v>
      </c>
      <c r="C27" s="141" t="str">
        <f>TEXT(VLOOKUP(KB[[#This Row],[RELASI]],DBRELASI[[RELASI]:[DOCKB]],10,0)+COUNTIFS($B$2:B27,KB[[#This Row],[RELASI]],$D$2:D27,1),"000")</f>
        <v>003</v>
      </c>
      <c r="D27" s="141">
        <f>IF(COUNTIFS($B$3:B27,KB[[#This Row],[RELASI]],$F$3:F27,KB[[#This Row],[TANGGAL]])&lt;&gt;1,0,1)</f>
        <v>1</v>
      </c>
      <c r="E27" s="141" t="str">
        <f>TEXT(IF(KB[[#This Row],[DOC]]&lt;&gt;"",KB[[#This Row],[DOC]],E26),"000")</f>
        <v>003</v>
      </c>
      <c r="F27" s="40">
        <v>43836</v>
      </c>
      <c r="G27" s="40" t="str">
        <f>TYPE</f>
        <v>A</v>
      </c>
      <c r="H27" s="153" t="s">
        <v>521</v>
      </c>
      <c r="I27" s="42" t="s">
        <v>79</v>
      </c>
      <c r="J27" s="43" t="s">
        <v>77</v>
      </c>
      <c r="K27" s="44">
        <v>2</v>
      </c>
      <c r="L27" s="49">
        <v>20880</v>
      </c>
      <c r="M27" s="49">
        <v>7760</v>
      </c>
      <c r="N27" s="49">
        <v>13120</v>
      </c>
      <c r="O27" s="49">
        <v>5</v>
      </c>
      <c r="P27" s="49">
        <v>656</v>
      </c>
      <c r="Q27" s="49">
        <v>12464</v>
      </c>
      <c r="R27" s="49">
        <v>2600</v>
      </c>
      <c r="S27" s="49">
        <v>32406400</v>
      </c>
      <c r="T27" s="49">
        <v>13.07</v>
      </c>
      <c r="U27" s="49">
        <v>2613.0700000000002</v>
      </c>
      <c r="V27" s="49">
        <v>32569304</v>
      </c>
      <c r="W27" s="49">
        <v>162847</v>
      </c>
      <c r="X27" s="49">
        <v>32406457</v>
      </c>
      <c r="Y27" s="530" t="str">
        <f>IFERROR(IF(FIND("/KM",KB[[#This Row],[SUPPLIER]])&gt;0,"LAUT"),"DARAT")</f>
        <v>DARAT</v>
      </c>
    </row>
    <row r="28" spans="2:25">
      <c r="B28" s="140" t="str">
        <f>IFERROR(LEFT(KB[[#This Row],[SUPPLIER]],FIND("/",KB[[#This Row],[SUPPLIER]])-1),KB[[#This Row],[SUPPLIER]])</f>
        <v>SAIRI</v>
      </c>
      <c r="C28" s="141" t="str">
        <f>TEXT(VLOOKUP(KB[[#This Row],[RELASI]],DBRELASI[[RELASI]:[DOCKB]],10,0)+COUNTIFS($B$2:B28,KB[[#This Row],[RELASI]],$D$2:D28,1),"000")</f>
        <v>003</v>
      </c>
      <c r="D28" s="141">
        <f>IF(COUNTIFS($B$3:B28,KB[[#This Row],[RELASI]],$F$3:F28,KB[[#This Row],[TANGGAL]])&lt;&gt;1,0,1)</f>
        <v>1</v>
      </c>
      <c r="E28" s="141" t="str">
        <f>TEXT(IF(KB[[#This Row],[DOC]]&lt;&gt;"",KB[[#This Row],[DOC]],E27),"000")</f>
        <v>003</v>
      </c>
      <c r="F28" s="40">
        <v>43836</v>
      </c>
      <c r="G28" s="40" t="str">
        <f>TYPE</f>
        <v>A</v>
      </c>
      <c r="H28" s="153" t="s">
        <v>521</v>
      </c>
      <c r="I28" s="42" t="s">
        <v>84</v>
      </c>
      <c r="J28" s="43" t="s">
        <v>85</v>
      </c>
      <c r="K28" s="44">
        <v>2</v>
      </c>
      <c r="L28" s="49">
        <v>12750</v>
      </c>
      <c r="M28" s="49">
        <v>7740</v>
      </c>
      <c r="N28" s="49">
        <v>5010</v>
      </c>
      <c r="O28" s="49">
        <v>5</v>
      </c>
      <c r="P28" s="49">
        <v>250.5</v>
      </c>
      <c r="Q28" s="49">
        <v>4759.5</v>
      </c>
      <c r="R28" s="49">
        <v>2550</v>
      </c>
      <c r="S28" s="49">
        <v>12136725</v>
      </c>
      <c r="T28" s="49">
        <v>12.81</v>
      </c>
      <c r="U28" s="49">
        <v>2562.81</v>
      </c>
      <c r="V28" s="49">
        <v>12197694</v>
      </c>
      <c r="W28" s="49">
        <v>60989</v>
      </c>
      <c r="X28" s="49">
        <v>12136705</v>
      </c>
      <c r="Y28" s="530" t="str">
        <f>IFERROR(IF(FIND("/KM",KB[[#This Row],[SUPPLIER]])&gt;0,"LAUT"),"DARAT")</f>
        <v>DARAT</v>
      </c>
    </row>
    <row r="29" spans="2:25">
      <c r="B29" s="140" t="str">
        <f>IFERROR(LEFT(KB[[#This Row],[SUPPLIER]],FIND("/",KB[[#This Row],[SUPPLIER]])-1),KB[[#This Row],[SUPPLIER]])</f>
        <v>DINI CHAIRANI</v>
      </c>
      <c r="C29" s="141" t="str">
        <f>TEXT(VLOOKUP(KB[[#This Row],[RELASI]],DBRELASI[[RELASI]:[DOCKB]],10,0)+COUNTIFS($B$2:B29,KB[[#This Row],[RELASI]],$D$2:D29,1),"000")</f>
        <v>002</v>
      </c>
      <c r="D29" s="141">
        <f>IF(COUNTIFS($B$3:B29,KB[[#This Row],[RELASI]],$F$3:F29,KB[[#This Row],[TANGGAL]])&lt;&gt;1,0,1)</f>
        <v>1</v>
      </c>
      <c r="E29" s="141" t="str">
        <f>TEXT(IF(KB[[#This Row],[DOC]]&lt;&gt;"",KB[[#This Row],[DOC]],E28),"000")</f>
        <v>002</v>
      </c>
      <c r="F29" s="40">
        <v>43836</v>
      </c>
      <c r="G29" s="40" t="str">
        <f>TYPE</f>
        <v>A</v>
      </c>
      <c r="H29" s="153" t="s">
        <v>515</v>
      </c>
      <c r="I29" s="42" t="s">
        <v>525</v>
      </c>
      <c r="J29" s="43" t="s">
        <v>95</v>
      </c>
      <c r="K29" s="44">
        <v>2</v>
      </c>
      <c r="L29" s="49">
        <v>13460</v>
      </c>
      <c r="M29" s="49">
        <v>7800</v>
      </c>
      <c r="N29" s="49">
        <v>5660</v>
      </c>
      <c r="O29" s="49">
        <v>6</v>
      </c>
      <c r="P29" s="49">
        <v>339.6</v>
      </c>
      <c r="Q29" s="49">
        <v>5320.4</v>
      </c>
      <c r="R29" s="49">
        <v>2450</v>
      </c>
      <c r="S29" s="49">
        <v>13034980</v>
      </c>
      <c r="T29" s="49">
        <v>12.31</v>
      </c>
      <c r="U29" s="49">
        <v>2462.31</v>
      </c>
      <c r="V29" s="49">
        <v>13100474</v>
      </c>
      <c r="W29" s="49">
        <v>65502</v>
      </c>
      <c r="X29" s="49">
        <v>13034972</v>
      </c>
      <c r="Y29" s="530" t="str">
        <f>IFERROR(IF(FIND("/KM",KB[[#This Row],[SUPPLIER]])&gt;0,"LAUT"),"DARAT")</f>
        <v>LAUT</v>
      </c>
    </row>
    <row r="30" spans="2:25">
      <c r="B30" s="140" t="str">
        <f>IFERROR(LEFT(KB[[#This Row],[SUPPLIER]],FIND("/",KB[[#This Row],[SUPPLIER]])-1),KB[[#This Row],[SUPPLIER]])</f>
        <v>ERAWATI</v>
      </c>
      <c r="C30" s="141" t="str">
        <f>TEXT(VLOOKUP(KB[[#This Row],[RELASI]],DBRELASI[[RELASI]:[DOCKB]],10,0)+COUNTIFS($B$2:B30,KB[[#This Row],[RELASI]],$D$2:D30,1),"000")</f>
        <v>004</v>
      </c>
      <c r="D30" s="141">
        <f>IF(COUNTIFS($B$3:B30,KB[[#This Row],[RELASI]],$F$3:F30,KB[[#This Row],[TANGGAL]])&lt;&gt;1,0,1)</f>
        <v>1</v>
      </c>
      <c r="E30" s="141" t="str">
        <f>TEXT(IF(KB[[#This Row],[DOC]]&lt;&gt;"",KB[[#This Row],[DOC]],E29),"000")</f>
        <v>004</v>
      </c>
      <c r="F30" s="40">
        <v>43836</v>
      </c>
      <c r="G30" s="40" t="str">
        <f>TYPE</f>
        <v>A</v>
      </c>
      <c r="H30" s="153" t="s">
        <v>526</v>
      </c>
      <c r="I30" s="42" t="s">
        <v>506</v>
      </c>
      <c r="J30" s="43" t="s">
        <v>77</v>
      </c>
      <c r="K30" s="44">
        <v>1</v>
      </c>
      <c r="L30" s="49">
        <v>8140</v>
      </c>
      <c r="M30" s="49">
        <v>3890</v>
      </c>
      <c r="N30" s="49">
        <v>4250</v>
      </c>
      <c r="O30" s="49">
        <v>6</v>
      </c>
      <c r="P30" s="49">
        <v>255</v>
      </c>
      <c r="Q30" s="49">
        <v>3995</v>
      </c>
      <c r="R30" s="49">
        <v>2450</v>
      </c>
      <c r="S30" s="49">
        <v>9787750</v>
      </c>
      <c r="T30" s="49">
        <v>12.31</v>
      </c>
      <c r="U30" s="49">
        <v>2462.31</v>
      </c>
      <c r="V30" s="49">
        <v>9836928</v>
      </c>
      <c r="W30" s="49">
        <v>49185</v>
      </c>
      <c r="X30" s="49">
        <v>9787743</v>
      </c>
      <c r="Y30" s="530" t="str">
        <f>IFERROR(IF(FIND("/KM",KB[[#This Row],[SUPPLIER]])&gt;0,"LAUT"),"DARAT")</f>
        <v>LAUT</v>
      </c>
    </row>
    <row r="31" spans="2:25">
      <c r="B31" s="140" t="str">
        <f>IFERROR(LEFT(KB[[#This Row],[SUPPLIER]],FIND("/",KB[[#This Row],[SUPPLIER]])-1),KB[[#This Row],[SUPPLIER]])</f>
        <v>HENDRI</v>
      </c>
      <c r="C31" s="141" t="str">
        <f>TEXT(VLOOKUP(KB[[#This Row],[RELASI]],DBRELASI[[RELASI]:[DOCKB]],10,0)+COUNTIFS($B$2:B31,KB[[#This Row],[RELASI]],$D$2:D31,1),"000")</f>
        <v>003</v>
      </c>
      <c r="D31" s="141">
        <f>IF(COUNTIFS($B$3:B31,KB[[#This Row],[RELASI]],$F$3:F31,KB[[#This Row],[TANGGAL]])&lt;&gt;1,0,1)</f>
        <v>1</v>
      </c>
      <c r="E31" s="141" t="str">
        <f>TEXT(IF(KB[[#This Row],[DOC]]&lt;&gt;"",KB[[#This Row],[DOC]],E30),"000")</f>
        <v>003</v>
      </c>
      <c r="F31" s="40">
        <v>43836</v>
      </c>
      <c r="G31" s="40" t="str">
        <f>TYPE</f>
        <v>A</v>
      </c>
      <c r="H31" s="153" t="s">
        <v>521</v>
      </c>
      <c r="I31" s="42" t="s">
        <v>527</v>
      </c>
      <c r="J31" s="43" t="s">
        <v>475</v>
      </c>
      <c r="K31" s="44">
        <v>4</v>
      </c>
      <c r="L31" s="49">
        <v>34810</v>
      </c>
      <c r="M31" s="49">
        <v>15560</v>
      </c>
      <c r="N31" s="49">
        <v>19250</v>
      </c>
      <c r="O31" s="49">
        <v>6</v>
      </c>
      <c r="P31" s="49">
        <v>1155</v>
      </c>
      <c r="Q31" s="49">
        <v>18095</v>
      </c>
      <c r="R31" s="49">
        <v>2500</v>
      </c>
      <c r="S31" s="49">
        <v>45237500</v>
      </c>
      <c r="T31" s="49">
        <v>12.56</v>
      </c>
      <c r="U31" s="49">
        <v>2512.56</v>
      </c>
      <c r="V31" s="49">
        <v>45464773</v>
      </c>
      <c r="W31" s="49">
        <v>227324</v>
      </c>
      <c r="X31" s="49">
        <v>45237449</v>
      </c>
      <c r="Y31" s="530" t="str">
        <f>IFERROR(IF(FIND("/KM",KB[[#This Row],[SUPPLIER]])&gt;0,"LAUT"),"DARAT")</f>
        <v>LAUT</v>
      </c>
    </row>
    <row r="32" spans="2:25">
      <c r="B32" s="140" t="str">
        <f>IFERROR(LEFT(KB[[#This Row],[SUPPLIER]],FIND("/",KB[[#This Row],[SUPPLIER]])-1),KB[[#This Row],[SUPPLIER]])</f>
        <v>MARTONO</v>
      </c>
      <c r="C32" s="141" t="str">
        <f>TEXT(VLOOKUP(KB[[#This Row],[RELASI]],DBRELASI[[RELASI]:[DOCKB]],10,0)+COUNTIFS($B$2:B32,KB[[#This Row],[RELASI]],$D$2:D32,1),"000")</f>
        <v>004</v>
      </c>
      <c r="D32" s="141">
        <f>IF(COUNTIFS($B$3:B32,KB[[#This Row],[RELASI]],$F$3:F32,KB[[#This Row],[TANGGAL]])&lt;&gt;1,0,1)</f>
        <v>1</v>
      </c>
      <c r="E32" s="141" t="str">
        <f>TEXT(IF(KB[[#This Row],[DOC]]&lt;&gt;"",KB[[#This Row],[DOC]],E31),"000")</f>
        <v>004</v>
      </c>
      <c r="F32" s="40">
        <v>43836</v>
      </c>
      <c r="G32" s="40" t="str">
        <f>TYPE</f>
        <v>A</v>
      </c>
      <c r="H32" s="153" t="s">
        <v>526</v>
      </c>
      <c r="I32" s="42" t="s">
        <v>508</v>
      </c>
      <c r="J32" s="43" t="s">
        <v>83</v>
      </c>
      <c r="K32" s="44">
        <v>2</v>
      </c>
      <c r="L32" s="49">
        <v>13520</v>
      </c>
      <c r="M32" s="49">
        <v>7680</v>
      </c>
      <c r="N32" s="49">
        <v>5840</v>
      </c>
      <c r="O32" s="49">
        <v>6</v>
      </c>
      <c r="P32" s="49">
        <v>350.4</v>
      </c>
      <c r="Q32" s="49">
        <v>5489.6</v>
      </c>
      <c r="R32" s="49">
        <v>2450</v>
      </c>
      <c r="S32" s="49">
        <v>13449520</v>
      </c>
      <c r="T32" s="49">
        <v>12.31</v>
      </c>
      <c r="U32" s="49">
        <v>2462.31</v>
      </c>
      <c r="V32" s="49">
        <v>13517097</v>
      </c>
      <c r="W32" s="49">
        <v>67585</v>
      </c>
      <c r="X32" s="49">
        <v>13449512</v>
      </c>
      <c r="Y32" s="530" t="str">
        <f>IFERROR(IF(FIND("/KM",KB[[#This Row],[SUPPLIER]])&gt;0,"LAUT"),"DARAT")</f>
        <v>LAUT</v>
      </c>
    </row>
    <row r="33" spans="2:25">
      <c r="B33" s="140" t="str">
        <f>IFERROR(LEFT(KB[[#This Row],[SUPPLIER]],FIND("/",KB[[#This Row],[SUPPLIER]])-1),KB[[#This Row],[SUPPLIER]])</f>
        <v>MARTONO</v>
      </c>
      <c r="C33" s="141" t="str">
        <f>TEXT(VLOOKUP(KB[[#This Row],[RELASI]],DBRELASI[[RELASI]:[DOCKB]],10,0)+COUNTIFS($B$2:B33,KB[[#This Row],[RELASI]],$D$2:D33,1),"000")</f>
        <v>004</v>
      </c>
      <c r="D33" s="141">
        <f>IF(COUNTIFS($B$3:B33,KB[[#This Row],[RELASI]],$F$3:F33,KB[[#This Row],[TANGGAL]])&lt;&gt;1,0,1)</f>
        <v>0</v>
      </c>
      <c r="E33" s="141" t="str">
        <f>TEXT(IF(KB[[#This Row],[DOC]]&lt;&gt;"",KB[[#This Row],[DOC]],E32),"000")</f>
        <v>004</v>
      </c>
      <c r="F33" s="40">
        <v>43836</v>
      </c>
      <c r="G33" s="40" t="str">
        <f>TYPE</f>
        <v>A</v>
      </c>
      <c r="H33"/>
      <c r="I33" s="42" t="s">
        <v>528</v>
      </c>
      <c r="J33" s="43" t="s">
        <v>83</v>
      </c>
      <c r="K33" s="44">
        <v>1</v>
      </c>
      <c r="L33" s="49">
        <v>4830</v>
      </c>
      <c r="M33" s="49">
        <v>3940</v>
      </c>
      <c r="N33" s="49">
        <v>890</v>
      </c>
      <c r="O33" s="49">
        <v>6</v>
      </c>
      <c r="P33" s="49">
        <v>53.4</v>
      </c>
      <c r="Q33" s="49">
        <v>836.6</v>
      </c>
      <c r="R33" s="49">
        <v>2450</v>
      </c>
      <c r="S33" s="49">
        <v>2049670</v>
      </c>
      <c r="T33" s="49">
        <v>12.31</v>
      </c>
      <c r="U33" s="49">
        <v>2462.31</v>
      </c>
      <c r="V33" s="49">
        <v>2059969</v>
      </c>
      <c r="W33" s="49">
        <v>10300</v>
      </c>
      <c r="X33" s="49">
        <v>2049669</v>
      </c>
      <c r="Y33" s="530" t="str">
        <f>IFERROR(IF(FIND("/KM",KB[[#This Row],[SUPPLIER]])&gt;0,"LAUT"),"DARAT")</f>
        <v>LAUT</v>
      </c>
    </row>
    <row r="34" spans="2:25">
      <c r="B34" s="140" t="str">
        <f>IFERROR(LEFT(KB[[#This Row],[SUPPLIER]],FIND("/",KB[[#This Row],[SUPPLIER]])-1),KB[[#This Row],[SUPPLIER]])</f>
        <v>MARTONO</v>
      </c>
      <c r="C34" s="141" t="str">
        <f>TEXT(VLOOKUP(KB[[#This Row],[RELASI]],DBRELASI[[RELASI]:[DOCKB]],10,0)+COUNTIFS($B$2:B34,KB[[#This Row],[RELASI]],$D$2:D34,1),"000")</f>
        <v>004</v>
      </c>
      <c r="D34" s="141">
        <f>IF(COUNTIFS($B$3:B34,KB[[#This Row],[RELASI]],$F$3:F34,KB[[#This Row],[TANGGAL]])&lt;&gt;1,0,1)</f>
        <v>0</v>
      </c>
      <c r="E34" s="141" t="str">
        <f>TEXT(IF(KB[[#This Row],[DOC]]&lt;&gt;"",KB[[#This Row],[DOC]],E33),"000")</f>
        <v>004</v>
      </c>
      <c r="F34" s="40">
        <v>43836</v>
      </c>
      <c r="G34" s="40" t="str">
        <f>TYPE</f>
        <v>A</v>
      </c>
      <c r="H34"/>
      <c r="I34" s="42" t="s">
        <v>529</v>
      </c>
      <c r="J34" s="43" t="s">
        <v>83</v>
      </c>
      <c r="K34" s="44">
        <v>2</v>
      </c>
      <c r="L34" s="49">
        <v>15610</v>
      </c>
      <c r="M34" s="49">
        <v>7760</v>
      </c>
      <c r="N34" s="49">
        <v>7850</v>
      </c>
      <c r="O34" s="49">
        <v>6</v>
      </c>
      <c r="P34" s="49">
        <v>471</v>
      </c>
      <c r="Q34" s="49">
        <v>7379</v>
      </c>
      <c r="R34" s="49">
        <v>2450</v>
      </c>
      <c r="S34" s="49">
        <v>18078550</v>
      </c>
      <c r="T34" s="49">
        <v>12.31</v>
      </c>
      <c r="U34" s="49">
        <v>2462.31</v>
      </c>
      <c r="V34" s="49">
        <v>18169386</v>
      </c>
      <c r="W34" s="49">
        <v>90847</v>
      </c>
      <c r="X34" s="49">
        <v>18078539</v>
      </c>
      <c r="Y34" s="530" t="str">
        <f>IFERROR(IF(FIND("/KM",KB[[#This Row],[SUPPLIER]])&gt;0,"LAUT"),"DARAT")</f>
        <v>LAUT</v>
      </c>
    </row>
    <row r="35" spans="2:25">
      <c r="B35" s="140" t="str">
        <f>IFERROR(LEFT(KB[[#This Row],[SUPPLIER]],FIND("/",KB[[#This Row],[SUPPLIER]])-1),KB[[#This Row],[SUPPLIER]])</f>
        <v>MASRI</v>
      </c>
      <c r="C35" s="141" t="str">
        <f>TEXT(VLOOKUP(KB[[#This Row],[RELASI]],DBRELASI[[RELASI]:[DOCKB]],10,0)+COUNTIFS($B$2:B35,KB[[#This Row],[RELASI]],$D$2:D35,1),"000")</f>
        <v>003</v>
      </c>
      <c r="D35" s="141">
        <f>IF(COUNTIFS($B$3:B35,KB[[#This Row],[RELASI]],$F$3:F35,KB[[#This Row],[TANGGAL]])&lt;&gt;1,0,1)</f>
        <v>1</v>
      </c>
      <c r="E35" s="141" t="str">
        <f>TEXT(IF(KB[[#This Row],[DOC]]&lt;&gt;"",KB[[#This Row],[DOC]],E34),"000")</f>
        <v>003</v>
      </c>
      <c r="F35" s="40">
        <v>43836</v>
      </c>
      <c r="G35" s="40" t="str">
        <f>TYPE</f>
        <v>A</v>
      </c>
      <c r="H35" s="153" t="s">
        <v>521</v>
      </c>
      <c r="I35" s="42" t="s">
        <v>530</v>
      </c>
      <c r="J35" s="43" t="s">
        <v>511</v>
      </c>
      <c r="K35" s="44">
        <v>15</v>
      </c>
      <c r="L35" s="49">
        <v>125310</v>
      </c>
      <c r="M35" s="49">
        <v>58060</v>
      </c>
      <c r="N35" s="49">
        <v>67250</v>
      </c>
      <c r="O35" s="49">
        <v>5.9999999999999982</v>
      </c>
      <c r="P35" s="49">
        <v>4034.9999999999991</v>
      </c>
      <c r="Q35" s="49">
        <v>63215.000000000007</v>
      </c>
      <c r="R35" s="49">
        <v>2649.9999999999995</v>
      </c>
      <c r="S35" s="49">
        <v>167519750</v>
      </c>
      <c r="T35" s="49">
        <v>13.32</v>
      </c>
      <c r="U35" s="49">
        <v>2663.3199999999997</v>
      </c>
      <c r="V35" s="49">
        <v>168361775</v>
      </c>
      <c r="W35" s="49">
        <v>841808</v>
      </c>
      <c r="X35" s="49">
        <v>167519967</v>
      </c>
      <c r="Y35" s="530" t="str">
        <f>IFERROR(IF(FIND("/KM",KB[[#This Row],[SUPPLIER]])&gt;0,"LAUT"),"DARAT")</f>
        <v>LAUT</v>
      </c>
    </row>
    <row r="36" spans="2:25">
      <c r="B36" s="140" t="str">
        <f>IFERROR(LEFT(KB[[#This Row],[SUPPLIER]],FIND("/",KB[[#This Row],[SUPPLIER]])-1),KB[[#This Row],[SUPPLIER]])</f>
        <v>YANADI</v>
      </c>
      <c r="C36" s="141" t="str">
        <f>TEXT(VLOOKUP(KB[[#This Row],[RELASI]],DBRELASI[[RELASI]:[DOCKB]],10,0)+COUNTIFS($B$2:B36,KB[[#This Row],[RELASI]],$D$2:D36,1),"000")</f>
        <v>004</v>
      </c>
      <c r="D36" s="141">
        <f>IF(COUNTIFS($B$3:B36,KB[[#This Row],[RELASI]],$F$3:F36,KB[[#This Row],[TANGGAL]])&lt;&gt;1,0,1)</f>
        <v>1</v>
      </c>
      <c r="E36" s="141" t="str">
        <f>TEXT(IF(KB[[#This Row],[DOC]]&lt;&gt;"",KB[[#This Row],[DOC]],E35),"000")</f>
        <v>004</v>
      </c>
      <c r="F36" s="40">
        <v>43836</v>
      </c>
      <c r="G36" s="40" t="str">
        <f>TYPE</f>
        <v>A</v>
      </c>
      <c r="H36" s="154" t="s">
        <v>526</v>
      </c>
      <c r="I36" s="46" t="s">
        <v>531</v>
      </c>
      <c r="J36" s="47" t="s">
        <v>74</v>
      </c>
      <c r="K36" s="48">
        <v>1</v>
      </c>
      <c r="L36" s="49">
        <v>5030</v>
      </c>
      <c r="M36" s="49">
        <v>3810</v>
      </c>
      <c r="N36" s="49">
        <v>1220</v>
      </c>
      <c r="O36" s="49">
        <v>6.0000000000000009</v>
      </c>
      <c r="P36" s="49">
        <v>73.2</v>
      </c>
      <c r="Q36" s="49">
        <v>1146.8</v>
      </c>
      <c r="R36" s="49">
        <v>2450</v>
      </c>
      <c r="S36" s="49">
        <v>2809660</v>
      </c>
      <c r="T36" s="49">
        <v>12.31</v>
      </c>
      <c r="U36" s="49">
        <v>2462.31</v>
      </c>
      <c r="V36" s="49">
        <v>2823777</v>
      </c>
      <c r="W36" s="49">
        <v>14119</v>
      </c>
      <c r="X36" s="49">
        <v>2809658</v>
      </c>
      <c r="Y36" s="574" t="str">
        <f>IFERROR(IF(FIND("/KM",KB[[#This Row],[SUPPLIER]])&gt;0,"LAUT"),"DARAT")</f>
        <v>LAUT</v>
      </c>
    </row>
    <row r="37" spans="2:25">
      <c r="B37" s="140" t="str">
        <f>IFERROR(LEFT(KB[[#This Row],[SUPPLIER]],FIND("/",KB[[#This Row],[SUPPLIER]])-1),KB[[#This Row],[SUPPLIER]])</f>
        <v>ERAWATI</v>
      </c>
      <c r="C37" s="141" t="str">
        <f>TEXT(VLOOKUP(KB[[#This Row],[RELASI]],DBRELASI[[RELASI]:[DOCKB]],10,0)+COUNTIFS($B$2:B37,KB[[#This Row],[RELASI]],$D$2:D37,1),"000")</f>
        <v>005</v>
      </c>
      <c r="D37" s="141">
        <f>IF(COUNTIFS($B$3:B37,KB[[#This Row],[RELASI]],$F$3:F37,KB[[#This Row],[TANGGAL]])&lt;&gt;1,0,1)</f>
        <v>1</v>
      </c>
      <c r="E37" s="141" t="str">
        <f>TEXT(IF(KB[[#This Row],[DOC]]&lt;&gt;"",KB[[#This Row],[DOC]],E36),"000")</f>
        <v>005</v>
      </c>
      <c r="F37" s="40">
        <v>43837</v>
      </c>
      <c r="G37" s="40" t="str">
        <f>TYPE</f>
        <v>A</v>
      </c>
      <c r="H37" s="153" t="s">
        <v>532</v>
      </c>
      <c r="I37" s="42" t="s">
        <v>155</v>
      </c>
      <c r="J37" s="43" t="s">
        <v>77</v>
      </c>
      <c r="K37" s="44">
        <v>1</v>
      </c>
      <c r="L37" s="49">
        <v>12130</v>
      </c>
      <c r="M37" s="49">
        <v>4440</v>
      </c>
      <c r="N37" s="49">
        <v>7690</v>
      </c>
      <c r="O37" s="49">
        <v>5</v>
      </c>
      <c r="P37" s="49">
        <v>384.5</v>
      </c>
      <c r="Q37" s="49">
        <v>7305.5</v>
      </c>
      <c r="R37" s="49">
        <v>2500</v>
      </c>
      <c r="S37" s="49">
        <v>18263750</v>
      </c>
      <c r="T37" s="49">
        <v>12.56</v>
      </c>
      <c r="U37" s="49">
        <v>2512.56</v>
      </c>
      <c r="V37" s="49">
        <v>18355507</v>
      </c>
      <c r="W37" s="49">
        <v>91778</v>
      </c>
      <c r="X37" s="49">
        <v>18263729</v>
      </c>
      <c r="Y37" s="530" t="str">
        <f>IFERROR(IF(FIND("/KM",KB[[#This Row],[SUPPLIER]])&gt;0,"LAUT"),"DARAT")</f>
        <v>DARAT</v>
      </c>
    </row>
    <row r="38" spans="2:25">
      <c r="B38" s="140" t="str">
        <f>IFERROR(LEFT(KB[[#This Row],[SUPPLIER]],FIND("/",KB[[#This Row],[SUPPLIER]])-1),KB[[#This Row],[SUPPLIER]])</f>
        <v>MASRI</v>
      </c>
      <c r="C38" s="141" t="str">
        <f>TEXT(VLOOKUP(KB[[#This Row],[RELASI]],DBRELASI[[RELASI]:[DOCKB]],10,0)+COUNTIFS($B$2:B38,KB[[#This Row],[RELASI]],$D$2:D38,1),"000")</f>
        <v>004</v>
      </c>
      <c r="D38" s="141">
        <f>IF(COUNTIFS($B$3:B38,KB[[#This Row],[RELASI]],$F$3:F38,KB[[#This Row],[TANGGAL]])&lt;&gt;1,0,1)</f>
        <v>1</v>
      </c>
      <c r="E38" s="141" t="str">
        <f>TEXT(IF(KB[[#This Row],[DOC]]&lt;&gt;"",KB[[#This Row],[DOC]],E37),"000")</f>
        <v>004</v>
      </c>
      <c r="F38" s="40">
        <v>43837</v>
      </c>
      <c r="G38" s="40" t="str">
        <f>TYPE</f>
        <v>A</v>
      </c>
      <c r="H38" s="153" t="s">
        <v>526</v>
      </c>
      <c r="I38" s="42" t="s">
        <v>533</v>
      </c>
      <c r="J38" s="43" t="s">
        <v>511</v>
      </c>
      <c r="K38" s="44">
        <v>4</v>
      </c>
      <c r="L38" s="49">
        <v>32110</v>
      </c>
      <c r="M38" s="49">
        <v>15480</v>
      </c>
      <c r="N38" s="49">
        <v>16630</v>
      </c>
      <c r="O38" s="49">
        <v>5.9999999999999982</v>
      </c>
      <c r="P38" s="49">
        <v>997.79999999999984</v>
      </c>
      <c r="Q38" s="49">
        <v>15632.2</v>
      </c>
      <c r="R38" s="49">
        <v>2650</v>
      </c>
      <c r="S38" s="49">
        <v>41425330</v>
      </c>
      <c r="T38" s="49">
        <v>13.32</v>
      </c>
      <c r="U38" s="49">
        <v>2663.32</v>
      </c>
      <c r="V38" s="49">
        <v>41633550</v>
      </c>
      <c r="W38" s="49">
        <v>208168</v>
      </c>
      <c r="X38" s="49">
        <v>41425382</v>
      </c>
      <c r="Y38" s="530" t="str">
        <f>IFERROR(IF(FIND("/KM",KB[[#This Row],[SUPPLIER]])&gt;0,"LAUT"),"DARAT")</f>
        <v>LAUT</v>
      </c>
    </row>
    <row r="39" spans="2:25">
      <c r="B39" s="140" t="str">
        <f>IFERROR(LEFT(KB[[#This Row],[SUPPLIER]],FIND("/",KB[[#This Row],[SUPPLIER]])-1),KB[[#This Row],[SUPPLIER]])</f>
        <v>SUKAMTO</v>
      </c>
      <c r="C39" s="141" t="str">
        <f>TEXT(VLOOKUP(KB[[#This Row],[RELASI]],DBRELASI[[RELASI]:[DOCKB]],10,0)+COUNTIFS($B$2:B39,KB[[#This Row],[RELASI]],$D$2:D39,1),"000")</f>
        <v>002</v>
      </c>
      <c r="D39" s="141">
        <f>IF(COUNTIFS($B$3:B39,KB[[#This Row],[RELASI]],$F$3:F39,KB[[#This Row],[TANGGAL]])&lt;&gt;1,0,1)</f>
        <v>1</v>
      </c>
      <c r="E39" s="141" t="str">
        <f>TEXT(IF(KB[[#This Row],[DOC]]&lt;&gt;"",KB[[#This Row],[DOC]],E38),"000")</f>
        <v>002</v>
      </c>
      <c r="F39" s="40">
        <v>43837</v>
      </c>
      <c r="G39" s="40" t="str">
        <f>TYPE</f>
        <v>A</v>
      </c>
      <c r="H39" s="153" t="s">
        <v>515</v>
      </c>
      <c r="I39" s="42" t="s">
        <v>523</v>
      </c>
      <c r="J39" s="43" t="s">
        <v>524</v>
      </c>
      <c r="K39" s="44">
        <v>1</v>
      </c>
      <c r="L39" s="49">
        <v>8510</v>
      </c>
      <c r="M39" s="49">
        <v>3900</v>
      </c>
      <c r="N39" s="49">
        <v>4610</v>
      </c>
      <c r="O39" s="49">
        <v>5.9999999999999991</v>
      </c>
      <c r="P39" s="49">
        <v>276.59999999999997</v>
      </c>
      <c r="Q39" s="49">
        <v>4333.3999999999996</v>
      </c>
      <c r="R39" s="49">
        <v>2450</v>
      </c>
      <c r="S39" s="49">
        <v>10616830</v>
      </c>
      <c r="T39" s="49">
        <v>12.31</v>
      </c>
      <c r="U39" s="49">
        <v>2462.31</v>
      </c>
      <c r="V39" s="49">
        <v>10670174</v>
      </c>
      <c r="W39" s="49">
        <v>53351</v>
      </c>
      <c r="X39" s="49">
        <v>10616823</v>
      </c>
      <c r="Y39" s="530" t="str">
        <f>IFERROR(IF(FIND("/KM",KB[[#This Row],[SUPPLIER]])&gt;0,"LAUT"),"DARAT")</f>
        <v>LAUT</v>
      </c>
    </row>
    <row r="40" spans="2:25">
      <c r="B40" s="140" t="str">
        <f>IFERROR(LEFT(KB[[#This Row],[SUPPLIER]],FIND("/",KB[[#This Row],[SUPPLIER]])-1),KB[[#This Row],[SUPPLIER]])</f>
        <v>ZAINAL ABIDIN</v>
      </c>
      <c r="C40" s="141" t="str">
        <f>TEXT(VLOOKUP(KB[[#This Row],[RELASI]],DBRELASI[[RELASI]:[DOCKB]],10,0)+COUNTIFS($B$2:B40,KB[[#This Row],[RELASI]],$D$2:D40,1),"000")</f>
        <v>001</v>
      </c>
      <c r="D40" s="141">
        <f>IF(COUNTIFS($B$3:B40,KB[[#This Row],[RELASI]],$F$3:F40,KB[[#This Row],[TANGGAL]])&lt;&gt;1,0,1)</f>
        <v>1</v>
      </c>
      <c r="E40" s="141" t="str">
        <f>TEXT(IF(KB[[#This Row],[DOC]]&lt;&gt;"",KB[[#This Row],[DOC]],E39),"000")</f>
        <v>001</v>
      </c>
      <c r="F40" s="40">
        <v>43837</v>
      </c>
      <c r="G40" s="40" t="str">
        <f>TYPE</f>
        <v>A</v>
      </c>
      <c r="H40" s="154" t="s">
        <v>75</v>
      </c>
      <c r="I40" s="46" t="s">
        <v>534</v>
      </c>
      <c r="J40" s="47" t="s">
        <v>524</v>
      </c>
      <c r="K40" s="48">
        <v>3</v>
      </c>
      <c r="L40" s="49">
        <v>25530</v>
      </c>
      <c r="M40" s="49">
        <v>11800</v>
      </c>
      <c r="N40" s="49">
        <v>13730</v>
      </c>
      <c r="O40" s="49">
        <v>6</v>
      </c>
      <c r="P40" s="49">
        <v>823.80000000000007</v>
      </c>
      <c r="Q40" s="49">
        <v>12906.199999999999</v>
      </c>
      <c r="R40" s="49">
        <v>2400</v>
      </c>
      <c r="S40" s="49">
        <v>30974880</v>
      </c>
      <c r="T40" s="49">
        <v>12.06</v>
      </c>
      <c r="U40" s="49">
        <v>2412.06</v>
      </c>
      <c r="V40" s="49">
        <v>31130529</v>
      </c>
      <c r="W40" s="49">
        <v>155652</v>
      </c>
      <c r="X40" s="49">
        <v>30974877</v>
      </c>
      <c r="Y40" s="574" t="str">
        <f>IFERROR(IF(FIND("/KM",KB[[#This Row],[SUPPLIER]])&gt;0,"LAUT"),"DARAT")</f>
        <v>LAUT</v>
      </c>
    </row>
    <row r="41" spans="2:25">
      <c r="B41" s="140" t="str">
        <f>IFERROR(LEFT(KB[[#This Row],[SUPPLIER]],FIND("/",KB[[#This Row],[SUPPLIER]])-1),KB[[#This Row],[SUPPLIER]])</f>
        <v>INDRAYANI</v>
      </c>
      <c r="C41" s="141" t="str">
        <f>TEXT(VLOOKUP(KB[[#This Row],[RELASI]],DBRELASI[[RELASI]:[DOCKB]],10,0)+COUNTIFS($B$2:B41,KB[[#This Row],[RELASI]],$D$2:D41,1),"000")</f>
        <v>004</v>
      </c>
      <c r="D41" s="141">
        <f>IF(COUNTIFS($B$3:B41,KB[[#This Row],[RELASI]],$F$3:F41,KB[[#This Row],[TANGGAL]])&lt;&gt;1,0,1)</f>
        <v>1</v>
      </c>
      <c r="E41" s="141" t="str">
        <f>TEXT(IF(KB[[#This Row],[DOC]]&lt;&gt;"",KB[[#This Row],[DOC]],E40),"000")</f>
        <v>004</v>
      </c>
      <c r="F41" s="40">
        <v>43838</v>
      </c>
      <c r="G41" s="40" t="str">
        <f>TYPE</f>
        <v>A</v>
      </c>
      <c r="H41" s="153" t="s">
        <v>526</v>
      </c>
      <c r="I41" s="42" t="s">
        <v>79</v>
      </c>
      <c r="J41" s="43" t="s">
        <v>77</v>
      </c>
      <c r="K41" s="44">
        <v>2</v>
      </c>
      <c r="L41" s="49">
        <v>24180</v>
      </c>
      <c r="M41" s="49">
        <v>7530</v>
      </c>
      <c r="N41" s="49">
        <v>16650</v>
      </c>
      <c r="O41" s="49">
        <v>5</v>
      </c>
      <c r="P41" s="49">
        <v>832.5</v>
      </c>
      <c r="Q41" s="49">
        <v>15817.5</v>
      </c>
      <c r="R41" s="49">
        <v>2600</v>
      </c>
      <c r="S41" s="49">
        <v>41125500</v>
      </c>
      <c r="T41" s="49">
        <v>13.07</v>
      </c>
      <c r="U41" s="49">
        <v>2613.0700000000002</v>
      </c>
      <c r="V41" s="49">
        <v>41332234</v>
      </c>
      <c r="W41" s="49">
        <v>206661</v>
      </c>
      <c r="X41" s="49">
        <v>41125573</v>
      </c>
      <c r="Y41" s="530" t="str">
        <f>IFERROR(IF(FIND("/KM",KB[[#This Row],[SUPPLIER]])&gt;0,"LAUT"),"DARAT")</f>
        <v>DARAT</v>
      </c>
    </row>
    <row r="42" spans="2:25">
      <c r="B42" s="140" t="str">
        <f>IFERROR(LEFT(KB[[#This Row],[SUPPLIER]],FIND("/",KB[[#This Row],[SUPPLIER]])-1),KB[[#This Row],[SUPPLIER]])</f>
        <v>SAIRI</v>
      </c>
      <c r="C42" s="141" t="str">
        <f>TEXT(VLOOKUP(KB[[#This Row],[RELASI]],DBRELASI[[RELASI]:[DOCKB]],10,0)+COUNTIFS($B$2:B42,KB[[#This Row],[RELASI]],$D$2:D42,1),"000")</f>
        <v>004</v>
      </c>
      <c r="D42" s="141">
        <f>IF(COUNTIFS($B$3:B42,KB[[#This Row],[RELASI]],$F$3:F42,KB[[#This Row],[TANGGAL]])&lt;&gt;1,0,1)</f>
        <v>1</v>
      </c>
      <c r="E42" s="141" t="str">
        <f>TEXT(IF(KB[[#This Row],[DOC]]&lt;&gt;"",KB[[#This Row],[DOC]],E41),"000")</f>
        <v>004</v>
      </c>
      <c r="F42" s="40">
        <v>43838</v>
      </c>
      <c r="G42" s="40" t="str">
        <f>TYPE</f>
        <v>A</v>
      </c>
      <c r="H42" s="153" t="s">
        <v>526</v>
      </c>
      <c r="I42" s="42" t="s">
        <v>84</v>
      </c>
      <c r="J42" s="43" t="s">
        <v>85</v>
      </c>
      <c r="K42" s="44">
        <v>1</v>
      </c>
      <c r="L42" s="49">
        <v>7850</v>
      </c>
      <c r="M42" s="49">
        <v>4310</v>
      </c>
      <c r="N42" s="49">
        <v>3540</v>
      </c>
      <c r="O42" s="49">
        <v>5</v>
      </c>
      <c r="P42" s="49">
        <v>177</v>
      </c>
      <c r="Q42" s="49">
        <v>3363</v>
      </c>
      <c r="R42" s="49">
        <v>2550</v>
      </c>
      <c r="S42" s="49">
        <v>8575650</v>
      </c>
      <c r="T42" s="49">
        <v>12.81</v>
      </c>
      <c r="U42" s="49">
        <v>2562.81</v>
      </c>
      <c r="V42" s="49">
        <v>8618730</v>
      </c>
      <c r="W42" s="49">
        <v>43094</v>
      </c>
      <c r="X42" s="49">
        <v>8575636</v>
      </c>
      <c r="Y42" s="530" t="str">
        <f>IFERROR(IF(FIND("/KM",KB[[#This Row],[SUPPLIER]])&gt;0,"LAUT"),"DARAT")</f>
        <v>DARAT</v>
      </c>
    </row>
    <row r="43" spans="2:25">
      <c r="B43" s="140" t="str">
        <f>IFERROR(LEFT(KB[[#This Row],[SUPPLIER]],FIND("/",KB[[#This Row],[SUPPLIER]])-1),KB[[#This Row],[SUPPLIER]])</f>
        <v>ERAWATI</v>
      </c>
      <c r="C43" s="141" t="str">
        <f>TEXT(VLOOKUP(KB[[#This Row],[RELASI]],DBRELASI[[RELASI]:[DOCKB]],10,0)+COUNTIFS($B$2:B43,KB[[#This Row],[RELASI]],$D$2:D43,1),"000")</f>
        <v>006</v>
      </c>
      <c r="D43" s="141">
        <f>IF(COUNTIFS($B$3:B43,KB[[#This Row],[RELASI]],$F$3:F43,KB[[#This Row],[TANGGAL]])&lt;&gt;1,0,1)</f>
        <v>1</v>
      </c>
      <c r="E43" s="141" t="str">
        <f>TEXT(IF(KB[[#This Row],[DOC]]&lt;&gt;"",KB[[#This Row],[DOC]],E42),"000")</f>
        <v>006</v>
      </c>
      <c r="F43" s="40">
        <v>43838</v>
      </c>
      <c r="G43" s="40" t="str">
        <f>TYPE</f>
        <v>A</v>
      </c>
      <c r="H43" s="153" t="s">
        <v>759</v>
      </c>
      <c r="I43" s="42" t="s">
        <v>760</v>
      </c>
      <c r="J43" s="43" t="s">
        <v>77</v>
      </c>
      <c r="K43" s="44">
        <v>1</v>
      </c>
      <c r="L43" s="49">
        <v>6980</v>
      </c>
      <c r="M43" s="49">
        <v>3890</v>
      </c>
      <c r="N43" s="49">
        <v>3090</v>
      </c>
      <c r="O43" s="49">
        <v>6.0000000000000009</v>
      </c>
      <c r="P43" s="49">
        <v>185.4</v>
      </c>
      <c r="Q43" s="49">
        <v>2904.6</v>
      </c>
      <c r="R43" s="49">
        <v>2450</v>
      </c>
      <c r="S43" s="49">
        <v>7116270</v>
      </c>
      <c r="T43" s="49">
        <v>12.31</v>
      </c>
      <c r="U43" s="49">
        <v>2462.31</v>
      </c>
      <c r="V43" s="49">
        <v>7152026</v>
      </c>
      <c r="W43" s="49">
        <v>35760</v>
      </c>
      <c r="X43" s="49">
        <v>7116266</v>
      </c>
      <c r="Y43" s="530" t="str">
        <f>IFERROR(IF(FIND("/KM",KB[[#This Row],[SUPPLIER]])&gt;0,"LAUT"),"DARAT")</f>
        <v>LAUT</v>
      </c>
    </row>
    <row r="44" spans="2:25">
      <c r="B44" s="140" t="str">
        <f>IFERROR(LEFT(KB[[#This Row],[SUPPLIER]],FIND("/",KB[[#This Row],[SUPPLIER]])-1),KB[[#This Row],[SUPPLIER]])</f>
        <v>MARTONO</v>
      </c>
      <c r="C44" s="141" t="str">
        <f>TEXT(VLOOKUP(KB[[#This Row],[RELASI]],DBRELASI[[RELASI]:[DOCKB]],10,0)+COUNTIFS($B$2:B44,KB[[#This Row],[RELASI]],$D$2:D44,1),"000")</f>
        <v>005</v>
      </c>
      <c r="D44" s="141">
        <f>IF(COUNTIFS($B$3:B44,KB[[#This Row],[RELASI]],$F$3:F44,KB[[#This Row],[TANGGAL]])&lt;&gt;1,0,1)</f>
        <v>1</v>
      </c>
      <c r="E44" s="141" t="str">
        <f>TEXT(IF(KB[[#This Row],[DOC]]&lt;&gt;"",KB[[#This Row],[DOC]],E43),"000")</f>
        <v>005</v>
      </c>
      <c r="F44" s="40">
        <v>43838</v>
      </c>
      <c r="G44" s="40" t="str">
        <f>TYPE</f>
        <v>A</v>
      </c>
      <c r="H44" s="153" t="s">
        <v>532</v>
      </c>
      <c r="I44" s="42" t="s">
        <v>761</v>
      </c>
      <c r="J44" s="43" t="s">
        <v>83</v>
      </c>
      <c r="K44" s="44">
        <v>4</v>
      </c>
      <c r="L44" s="49">
        <v>32270</v>
      </c>
      <c r="M44" s="49">
        <v>15480</v>
      </c>
      <c r="N44" s="49">
        <v>16790</v>
      </c>
      <c r="O44" s="49">
        <v>6</v>
      </c>
      <c r="P44" s="49">
        <v>1007.4000000000001</v>
      </c>
      <c r="Q44" s="49">
        <v>15782.599999999999</v>
      </c>
      <c r="R44" s="49">
        <v>2500.0000000000005</v>
      </c>
      <c r="S44" s="49">
        <v>39456500</v>
      </c>
      <c r="T44" s="49">
        <v>12.56</v>
      </c>
      <c r="U44" s="49">
        <v>2512.5600000000004</v>
      </c>
      <c r="V44" s="49">
        <v>39654730</v>
      </c>
      <c r="W44" s="49">
        <v>198274</v>
      </c>
      <c r="X44" s="49">
        <v>39456456</v>
      </c>
      <c r="Y44" s="530" t="str">
        <f>IFERROR(IF(FIND("/KM",KB[[#This Row],[SUPPLIER]])&gt;0,"LAUT"),"DARAT")</f>
        <v>LAUT</v>
      </c>
    </row>
    <row r="45" spans="2:25">
      <c r="B45" s="140" t="str">
        <f>IFERROR(LEFT(KB[[#This Row],[SUPPLIER]],FIND("/",KB[[#This Row],[SUPPLIER]])-1),KB[[#This Row],[SUPPLIER]])</f>
        <v>MARTONO</v>
      </c>
      <c r="C45" s="141" t="str">
        <f>TEXT(VLOOKUP(KB[[#This Row],[RELASI]],DBRELASI[[RELASI]:[DOCKB]],10,0)+COUNTIFS($B$2:B45,KB[[#This Row],[RELASI]],$D$2:D45,1),"000")</f>
        <v>005</v>
      </c>
      <c r="D45" s="141">
        <f>IF(COUNTIFS($B$3:B45,KB[[#This Row],[RELASI]],$F$3:F45,KB[[#This Row],[TANGGAL]])&lt;&gt;1,0,1)</f>
        <v>0</v>
      </c>
      <c r="E45" s="141" t="str">
        <f>TEXT(IF(KB[[#This Row],[DOC]]&lt;&gt;"",KB[[#This Row],[DOC]],E44),"000")</f>
        <v>005</v>
      </c>
      <c r="F45" s="40">
        <v>43838</v>
      </c>
      <c r="G45" s="40" t="str">
        <f>TYPE</f>
        <v>A</v>
      </c>
      <c r="H45"/>
      <c r="I45" s="46" t="s">
        <v>762</v>
      </c>
      <c r="J45" s="47" t="s">
        <v>83</v>
      </c>
      <c r="K45" s="48">
        <v>5</v>
      </c>
      <c r="L45" s="49">
        <v>41090</v>
      </c>
      <c r="M45" s="49">
        <v>19480</v>
      </c>
      <c r="N45" s="49">
        <v>21610</v>
      </c>
      <c r="O45" s="49">
        <v>6</v>
      </c>
      <c r="P45" s="49">
        <v>1296.5999999999999</v>
      </c>
      <c r="Q45" s="49">
        <v>20313.399999999998</v>
      </c>
      <c r="R45" s="49">
        <v>2550.0000000000005</v>
      </c>
      <c r="S45" s="49">
        <v>51799170</v>
      </c>
      <c r="T45" s="49">
        <v>12.81</v>
      </c>
      <c r="U45" s="49">
        <v>2562.8100000000004</v>
      </c>
      <c r="V45" s="49">
        <v>52059384</v>
      </c>
      <c r="W45" s="49">
        <v>260296</v>
      </c>
      <c r="X45" s="49">
        <v>51799088</v>
      </c>
      <c r="Y45" s="574" t="str">
        <f>IFERROR(IF(FIND("/KM",KB[[#This Row],[SUPPLIER]])&gt;0,"LAUT"),"DARAT")</f>
        <v>LAUT</v>
      </c>
    </row>
    <row r="46" spans="2:25">
      <c r="B46" s="140" t="str">
        <f>IFERROR(LEFT(KB[[#This Row],[SUPPLIER]],FIND("/",KB[[#This Row],[SUPPLIER]])-1),KB[[#This Row],[SUPPLIER]])</f>
        <v>ERAWATI</v>
      </c>
      <c r="C46" s="141" t="str">
        <f>TEXT(VLOOKUP(KB[[#This Row],[RELASI]],DBRELASI[[RELASI]:[DOCKB]],10,0)+COUNTIFS($B$2:B46,KB[[#This Row],[RELASI]],$D$2:D46,1),"000")</f>
        <v>007</v>
      </c>
      <c r="D46" s="141">
        <f>IF(COUNTIFS($B$3:B46,KB[[#This Row],[RELASI]],$F$3:F46,KB[[#This Row],[TANGGAL]])&lt;&gt;1,0,1)</f>
        <v>1</v>
      </c>
      <c r="E46" s="141" t="str">
        <f>TEXT(IF(KB[[#This Row],[DOC]]&lt;&gt;"",KB[[#This Row],[DOC]],E45),"000")</f>
        <v>007</v>
      </c>
      <c r="F46" s="40">
        <v>43839</v>
      </c>
      <c r="G46" s="40" t="str">
        <f>TYPE</f>
        <v>A</v>
      </c>
      <c r="H46" s="153" t="s">
        <v>763</v>
      </c>
      <c r="I46" s="42" t="s">
        <v>155</v>
      </c>
      <c r="J46" s="43" t="s">
        <v>77</v>
      </c>
      <c r="K46" s="44">
        <v>1</v>
      </c>
      <c r="L46" s="49">
        <v>8020</v>
      </c>
      <c r="M46" s="49">
        <v>4320</v>
      </c>
      <c r="N46" s="49">
        <v>3700</v>
      </c>
      <c r="O46" s="49">
        <v>5</v>
      </c>
      <c r="P46" s="49">
        <v>185</v>
      </c>
      <c r="Q46" s="49">
        <v>3515</v>
      </c>
      <c r="R46" s="49">
        <v>2500</v>
      </c>
      <c r="S46" s="49">
        <v>8787500</v>
      </c>
      <c r="T46" s="49">
        <v>12.56</v>
      </c>
      <c r="U46" s="49">
        <v>2512.56</v>
      </c>
      <c r="V46" s="49">
        <v>8831648</v>
      </c>
      <c r="W46" s="49">
        <v>44158</v>
      </c>
      <c r="X46" s="49">
        <v>8787490</v>
      </c>
      <c r="Y46" s="530" t="str">
        <f>IFERROR(IF(FIND("/KM",KB[[#This Row],[SUPPLIER]])&gt;0,"LAUT"),"DARAT")</f>
        <v>DARAT</v>
      </c>
    </row>
    <row r="47" spans="2:25">
      <c r="B47" s="140" t="str">
        <f>IFERROR(LEFT(KB[[#This Row],[SUPPLIER]],FIND("/",KB[[#This Row],[SUPPLIER]])-1),KB[[#This Row],[SUPPLIER]])</f>
        <v>ERAWATI</v>
      </c>
      <c r="C47" s="141" t="str">
        <f>TEXT(VLOOKUP(KB[[#This Row],[RELASI]],DBRELASI[[RELASI]:[DOCKB]],10,0)+COUNTIFS($B$2:B47,KB[[#This Row],[RELASI]],$D$2:D47,1),"000")</f>
        <v>007</v>
      </c>
      <c r="D47" s="141">
        <f>IF(COUNTIFS($B$3:B47,KB[[#This Row],[RELASI]],$F$3:F47,KB[[#This Row],[TANGGAL]])&lt;&gt;1,0,1)</f>
        <v>0</v>
      </c>
      <c r="E47" s="141" t="str">
        <f>TEXT(IF(KB[[#This Row],[DOC]]&lt;&gt;"",KB[[#This Row],[DOC]],E46),"000")</f>
        <v>007</v>
      </c>
      <c r="F47" s="40">
        <v>43839</v>
      </c>
      <c r="G47" s="40" t="str">
        <f>TYPE</f>
        <v>A</v>
      </c>
      <c r="H47"/>
      <c r="I47" s="42" t="s">
        <v>506</v>
      </c>
      <c r="J47" s="43" t="s">
        <v>77</v>
      </c>
      <c r="K47" s="44">
        <v>1</v>
      </c>
      <c r="L47" s="49">
        <v>8350</v>
      </c>
      <c r="M47" s="49">
        <v>3940</v>
      </c>
      <c r="N47" s="49">
        <v>4410</v>
      </c>
      <c r="O47" s="49">
        <v>5.9999999999999991</v>
      </c>
      <c r="P47" s="49">
        <v>264.59999999999997</v>
      </c>
      <c r="Q47" s="49">
        <v>4145.3999999999996</v>
      </c>
      <c r="R47" s="49">
        <v>2450</v>
      </c>
      <c r="S47" s="49">
        <v>10156230</v>
      </c>
      <c r="T47" s="49">
        <v>12.31</v>
      </c>
      <c r="U47" s="49">
        <v>2462.31</v>
      </c>
      <c r="V47" s="49">
        <v>10207260</v>
      </c>
      <c r="W47" s="49">
        <v>51036</v>
      </c>
      <c r="X47" s="49">
        <v>10156224</v>
      </c>
      <c r="Y47" s="530" t="str">
        <f>IFERROR(IF(FIND("/KM",KB[[#This Row],[SUPPLIER]])&gt;0,"LAUT"),"DARAT")</f>
        <v>LAUT</v>
      </c>
    </row>
    <row r="48" spans="2:25">
      <c r="B48" s="140" t="str">
        <f>IFERROR(LEFT(KB[[#This Row],[SUPPLIER]],FIND("/",KB[[#This Row],[SUPPLIER]])-1),KB[[#This Row],[SUPPLIER]])</f>
        <v>INDRAYANI</v>
      </c>
      <c r="C48" s="141" t="str">
        <f>TEXT(VLOOKUP(KB[[#This Row],[RELASI]],DBRELASI[[RELASI]:[DOCKB]],10,0)+COUNTIFS($B$2:B48,KB[[#This Row],[RELASI]],$D$2:D48,1),"000")</f>
        <v>005</v>
      </c>
      <c r="D48" s="141">
        <f>IF(COUNTIFS($B$3:B48,KB[[#This Row],[RELASI]],$F$3:F48,KB[[#This Row],[TANGGAL]])&lt;&gt;1,0,1)</f>
        <v>1</v>
      </c>
      <c r="E48" s="141" t="str">
        <f>TEXT(IF(KB[[#This Row],[DOC]]&lt;&gt;"",KB[[#This Row],[DOC]],E47),"000")</f>
        <v>005</v>
      </c>
      <c r="F48" s="40">
        <v>43839</v>
      </c>
      <c r="G48" s="40" t="str">
        <f>TYPE</f>
        <v>A</v>
      </c>
      <c r="H48" s="153" t="s">
        <v>532</v>
      </c>
      <c r="I48" s="42" t="s">
        <v>79</v>
      </c>
      <c r="J48" s="43" t="s">
        <v>77</v>
      </c>
      <c r="K48" s="44">
        <v>1</v>
      </c>
      <c r="L48" s="49">
        <v>10650</v>
      </c>
      <c r="M48" s="49">
        <v>4130</v>
      </c>
      <c r="N48" s="49">
        <v>6520</v>
      </c>
      <c r="O48" s="49">
        <v>5</v>
      </c>
      <c r="P48" s="49">
        <v>326</v>
      </c>
      <c r="Q48" s="49">
        <v>6194</v>
      </c>
      <c r="R48" s="49">
        <v>2600</v>
      </c>
      <c r="S48" s="49">
        <v>16104400</v>
      </c>
      <c r="T48" s="49">
        <v>13.07</v>
      </c>
      <c r="U48" s="49">
        <v>2613.0700000000002</v>
      </c>
      <c r="V48" s="49">
        <v>16185356</v>
      </c>
      <c r="W48" s="49">
        <v>80927</v>
      </c>
      <c r="X48" s="49">
        <v>16104429</v>
      </c>
      <c r="Y48" s="530" t="str">
        <f>IFERROR(IF(FIND("/KM",KB[[#This Row],[SUPPLIER]])&gt;0,"LAUT"),"DARAT")</f>
        <v>DARAT</v>
      </c>
    </row>
    <row r="49" spans="2:25">
      <c r="B49" s="140" t="str">
        <f>IFERROR(LEFT(KB[[#This Row],[SUPPLIER]],FIND("/",KB[[#This Row],[SUPPLIER]])-1),KB[[#This Row],[SUPPLIER]])</f>
        <v>SAIRI</v>
      </c>
      <c r="C49" s="141" t="str">
        <f>TEXT(VLOOKUP(KB[[#This Row],[RELASI]],DBRELASI[[RELASI]:[DOCKB]],10,0)+COUNTIFS($B$2:B49,KB[[#This Row],[RELASI]],$D$2:D49,1),"000")</f>
        <v>005</v>
      </c>
      <c r="D49" s="141">
        <f>IF(COUNTIFS($B$3:B49,KB[[#This Row],[RELASI]],$F$3:F49,KB[[#This Row],[TANGGAL]])&lt;&gt;1,0,1)</f>
        <v>1</v>
      </c>
      <c r="E49" s="141" t="str">
        <f>TEXT(IF(KB[[#This Row],[DOC]]&lt;&gt;"",KB[[#This Row],[DOC]],E48),"000")</f>
        <v>005</v>
      </c>
      <c r="F49" s="40">
        <v>43839</v>
      </c>
      <c r="G49" s="40" t="str">
        <f>TYPE</f>
        <v>A</v>
      </c>
      <c r="H49" s="153" t="s">
        <v>532</v>
      </c>
      <c r="I49" s="42" t="s">
        <v>84</v>
      </c>
      <c r="J49" s="43" t="s">
        <v>85</v>
      </c>
      <c r="K49" s="44">
        <v>1</v>
      </c>
      <c r="L49" s="49">
        <v>3830</v>
      </c>
      <c r="M49" s="49">
        <v>1440</v>
      </c>
      <c r="N49" s="49">
        <v>2390</v>
      </c>
      <c r="O49" s="49">
        <v>5</v>
      </c>
      <c r="P49" s="49">
        <v>119.5</v>
      </c>
      <c r="Q49" s="49">
        <v>2270.5</v>
      </c>
      <c r="R49" s="49">
        <v>2550</v>
      </c>
      <c r="S49" s="49">
        <v>5789775</v>
      </c>
      <c r="T49" s="49">
        <v>12.81</v>
      </c>
      <c r="U49" s="49">
        <v>2562.81</v>
      </c>
      <c r="V49" s="49">
        <v>5818860</v>
      </c>
      <c r="W49" s="49">
        <v>29094</v>
      </c>
      <c r="X49" s="49">
        <v>5789766</v>
      </c>
      <c r="Y49" s="530" t="str">
        <f>IFERROR(IF(FIND("/KM",KB[[#This Row],[SUPPLIER]])&gt;0,"LAUT"),"DARAT")</f>
        <v>DARAT</v>
      </c>
    </row>
    <row r="50" spans="2:25">
      <c r="B50" s="140" t="str">
        <f>IFERROR(LEFT(KB[[#This Row],[SUPPLIER]],FIND("/",KB[[#This Row],[SUPPLIER]])-1),KB[[#This Row],[SUPPLIER]])</f>
        <v>MARTONO</v>
      </c>
      <c r="C50" s="141" t="str">
        <f>TEXT(VLOOKUP(KB[[#This Row],[RELASI]],DBRELASI[[RELASI]:[DOCKB]],10,0)+COUNTIFS($B$2:B50,KB[[#This Row],[RELASI]],$D$2:D50,1),"000")</f>
        <v>006</v>
      </c>
      <c r="D50" s="141">
        <f>IF(COUNTIFS($B$3:B50,KB[[#This Row],[RELASI]],$F$3:F50,KB[[#This Row],[TANGGAL]])&lt;&gt;1,0,1)</f>
        <v>1</v>
      </c>
      <c r="E50" s="141" t="str">
        <f>TEXT(IF(KB[[#This Row],[DOC]]&lt;&gt;"",KB[[#This Row],[DOC]],E49),"000")</f>
        <v>006</v>
      </c>
      <c r="F50" s="40">
        <v>43839</v>
      </c>
      <c r="G50" s="40" t="str">
        <f>TYPE</f>
        <v>A</v>
      </c>
      <c r="H50" s="153" t="s">
        <v>759</v>
      </c>
      <c r="I50" s="42" t="s">
        <v>529</v>
      </c>
      <c r="J50" s="43" t="s">
        <v>83</v>
      </c>
      <c r="K50" s="44">
        <v>1</v>
      </c>
      <c r="L50" s="49">
        <v>6060</v>
      </c>
      <c r="M50" s="49">
        <v>3940</v>
      </c>
      <c r="N50" s="49">
        <v>2120</v>
      </c>
      <c r="O50" s="49">
        <v>6</v>
      </c>
      <c r="P50" s="49">
        <v>127.19999999999999</v>
      </c>
      <c r="Q50" s="49">
        <v>1992.8</v>
      </c>
      <c r="R50" s="49">
        <v>2450</v>
      </c>
      <c r="S50" s="49">
        <v>4882360</v>
      </c>
      <c r="T50" s="49">
        <v>12.31</v>
      </c>
      <c r="U50" s="49">
        <v>2462.31</v>
      </c>
      <c r="V50" s="49">
        <v>4906891</v>
      </c>
      <c r="W50" s="49">
        <v>24534</v>
      </c>
      <c r="X50" s="49">
        <v>4882357</v>
      </c>
      <c r="Y50" s="530" t="str">
        <f>IFERROR(IF(FIND("/KM",KB[[#This Row],[SUPPLIER]])&gt;0,"LAUT"),"DARAT")</f>
        <v>LAUT</v>
      </c>
    </row>
    <row r="51" spans="2:25">
      <c r="B51" s="140" t="str">
        <f>IFERROR(LEFT(KB[[#This Row],[SUPPLIER]],FIND("/",KB[[#This Row],[SUPPLIER]])-1),KB[[#This Row],[SUPPLIER]])</f>
        <v>MASRI</v>
      </c>
      <c r="C51" s="141" t="str">
        <f>TEXT(VLOOKUP(KB[[#This Row],[RELASI]],DBRELASI[[RELASI]:[DOCKB]],10,0)+COUNTIFS($B$2:B51,KB[[#This Row],[RELASI]],$D$2:D51,1),"000")</f>
        <v>005</v>
      </c>
      <c r="D51" s="141">
        <f>IF(COUNTIFS($B$3:B51,KB[[#This Row],[RELASI]],$F$3:F51,KB[[#This Row],[TANGGAL]])&lt;&gt;1,0,1)</f>
        <v>1</v>
      </c>
      <c r="E51" s="141" t="str">
        <f>TEXT(IF(KB[[#This Row],[DOC]]&lt;&gt;"",KB[[#This Row],[DOC]],E50),"000")</f>
        <v>005</v>
      </c>
      <c r="F51" s="40">
        <v>43839</v>
      </c>
      <c r="G51" s="40" t="str">
        <f>TYPE</f>
        <v>A</v>
      </c>
      <c r="H51" s="153" t="s">
        <v>532</v>
      </c>
      <c r="I51" s="42" t="s">
        <v>764</v>
      </c>
      <c r="J51" s="43" t="s">
        <v>511</v>
      </c>
      <c r="K51" s="44">
        <v>19</v>
      </c>
      <c r="L51" s="49">
        <v>150850</v>
      </c>
      <c r="M51" s="49">
        <v>73200</v>
      </c>
      <c r="N51" s="49">
        <v>77650</v>
      </c>
      <c r="O51" s="49">
        <v>5.9999999999999991</v>
      </c>
      <c r="P51" s="49">
        <v>4658.9999999999991</v>
      </c>
      <c r="Q51" s="49">
        <v>72991.000000000015</v>
      </c>
      <c r="R51" s="49">
        <v>2649.9999999999995</v>
      </c>
      <c r="S51" s="49">
        <v>193426150</v>
      </c>
      <c r="T51" s="49">
        <v>13.32</v>
      </c>
      <c r="U51" s="49">
        <v>2663.3199999999997</v>
      </c>
      <c r="V51" s="49">
        <v>194398393</v>
      </c>
      <c r="W51" s="49">
        <v>971993</v>
      </c>
      <c r="X51" s="49">
        <v>193426400</v>
      </c>
      <c r="Y51" s="530" t="str">
        <f>IFERROR(IF(FIND("/KM",KB[[#This Row],[SUPPLIER]])&gt;0,"LAUT"),"DARAT")</f>
        <v>LAUT</v>
      </c>
    </row>
    <row r="52" spans="2:25">
      <c r="B52" s="140" t="str">
        <f>IFERROR(LEFT(KB[[#This Row],[SUPPLIER]],FIND("/",KB[[#This Row],[SUPPLIER]])-1),KB[[#This Row],[SUPPLIER]])</f>
        <v>MUHAMMAD ARAB</v>
      </c>
      <c r="C52" s="141" t="str">
        <f>TEXT(VLOOKUP(KB[[#This Row],[RELASI]],DBRELASI[[RELASI]:[DOCKB]],10,0)+COUNTIFS($B$2:B52,KB[[#This Row],[RELASI]],$D$2:D52,1),"000")</f>
        <v>001</v>
      </c>
      <c r="D52" s="141">
        <f>IF(COUNTIFS($B$3:B52,KB[[#This Row],[RELASI]],$F$3:F52,KB[[#This Row],[TANGGAL]])&lt;&gt;1,0,1)</f>
        <v>1</v>
      </c>
      <c r="E52" s="141" t="str">
        <f>TEXT(IF(KB[[#This Row],[DOC]]&lt;&gt;"",KB[[#This Row],[DOC]],E51),"000")</f>
        <v>001</v>
      </c>
      <c r="F52" s="40">
        <v>43839</v>
      </c>
      <c r="G52" s="40" t="str">
        <f>TYPE</f>
        <v>A</v>
      </c>
      <c r="H52" s="154" t="s">
        <v>75</v>
      </c>
      <c r="I52" s="46" t="s">
        <v>765</v>
      </c>
      <c r="J52" s="47" t="s">
        <v>766</v>
      </c>
      <c r="K52" s="48">
        <v>5</v>
      </c>
      <c r="L52" s="49">
        <v>43060</v>
      </c>
      <c r="M52" s="49">
        <v>19490</v>
      </c>
      <c r="N52" s="49">
        <v>23570</v>
      </c>
      <c r="O52" s="49">
        <v>5.9999999999999991</v>
      </c>
      <c r="P52" s="49">
        <v>1414.1999999999998</v>
      </c>
      <c r="Q52" s="49">
        <v>22155.800000000003</v>
      </c>
      <c r="R52" s="49">
        <v>2449.9999999999995</v>
      </c>
      <c r="S52" s="49">
        <v>54281710</v>
      </c>
      <c r="T52" s="49">
        <v>12.31</v>
      </c>
      <c r="U52" s="49">
        <v>2462.3099999999995</v>
      </c>
      <c r="V52" s="49">
        <v>54554447</v>
      </c>
      <c r="W52" s="49">
        <v>272772</v>
      </c>
      <c r="X52" s="49">
        <v>54281675</v>
      </c>
      <c r="Y52" s="574" t="str">
        <f>IFERROR(IF(FIND("/KM",KB[[#This Row],[SUPPLIER]])&gt;0,"LAUT"),"DARAT")</f>
        <v>LAUT</v>
      </c>
    </row>
    <row r="53" spans="2:25">
      <c r="B53" s="140" t="str">
        <f>IFERROR(LEFT(KB[[#This Row],[SUPPLIER]],FIND("/",KB[[#This Row],[SUPPLIER]])-1),KB[[#This Row],[SUPPLIER]])</f>
        <v>INDRAYANI</v>
      </c>
      <c r="C53" s="141" t="str">
        <f>TEXT(VLOOKUP(KB[[#This Row],[RELASI]],DBRELASI[[RELASI]:[DOCKB]],10,0)+COUNTIFS($B$2:B53,KB[[#This Row],[RELASI]],$D$2:D53,1),"000")</f>
        <v>006</v>
      </c>
      <c r="D53" s="141">
        <f>IF(COUNTIFS($B$3:B53,KB[[#This Row],[RELASI]],$F$3:F53,KB[[#This Row],[TANGGAL]])&lt;&gt;1,0,1)</f>
        <v>1</v>
      </c>
      <c r="E53" s="141" t="str">
        <f>TEXT(IF(KB[[#This Row],[DOC]]&lt;&gt;"",KB[[#This Row],[DOC]],E52),"000")</f>
        <v>006</v>
      </c>
      <c r="F53" s="40">
        <v>43840</v>
      </c>
      <c r="G53" s="40" t="str">
        <f>TYPE</f>
        <v>A</v>
      </c>
      <c r="H53" s="153" t="s">
        <v>759</v>
      </c>
      <c r="I53" s="42" t="s">
        <v>79</v>
      </c>
      <c r="J53" s="43" t="s">
        <v>77</v>
      </c>
      <c r="K53" s="44">
        <v>2</v>
      </c>
      <c r="L53" s="49">
        <v>18520</v>
      </c>
      <c r="M53" s="49">
        <v>7540</v>
      </c>
      <c r="N53" s="49">
        <v>10980</v>
      </c>
      <c r="O53" s="49">
        <v>5</v>
      </c>
      <c r="P53" s="49">
        <v>549</v>
      </c>
      <c r="Q53" s="49">
        <v>10431</v>
      </c>
      <c r="R53" s="49">
        <v>2600</v>
      </c>
      <c r="S53" s="49">
        <v>27120600</v>
      </c>
      <c r="T53" s="49">
        <v>13.07</v>
      </c>
      <c r="U53" s="49">
        <v>2613.0700000000002</v>
      </c>
      <c r="V53" s="49">
        <v>27256934</v>
      </c>
      <c r="W53" s="49">
        <v>136285</v>
      </c>
      <c r="X53" s="49">
        <v>27120649</v>
      </c>
      <c r="Y53" s="530" t="str">
        <f>IFERROR(IF(FIND("/KM",KB[[#This Row],[SUPPLIER]])&gt;0,"LAUT"),"DARAT")</f>
        <v>DARAT</v>
      </c>
    </row>
    <row r="54" spans="2:25">
      <c r="B54" s="140" t="str">
        <f>IFERROR(LEFT(KB[[#This Row],[SUPPLIER]],FIND("/",KB[[#This Row],[SUPPLIER]])-1),KB[[#This Row],[SUPPLIER]])</f>
        <v>SAIRI</v>
      </c>
      <c r="C54" s="141" t="str">
        <f>TEXT(VLOOKUP(KB[[#This Row],[RELASI]],DBRELASI[[RELASI]:[DOCKB]],10,0)+COUNTIFS($B$2:B54,KB[[#This Row],[RELASI]],$D$2:D54,1),"000")</f>
        <v>006</v>
      </c>
      <c r="D54" s="141">
        <f>IF(COUNTIFS($B$3:B54,KB[[#This Row],[RELASI]],$F$3:F54,KB[[#This Row],[TANGGAL]])&lt;&gt;1,0,1)</f>
        <v>1</v>
      </c>
      <c r="E54" s="141" t="str">
        <f>TEXT(IF(KB[[#This Row],[DOC]]&lt;&gt;"",KB[[#This Row],[DOC]],E53),"000")</f>
        <v>006</v>
      </c>
      <c r="F54" s="40">
        <v>43840</v>
      </c>
      <c r="G54" s="40" t="str">
        <f>TYPE</f>
        <v>A</v>
      </c>
      <c r="H54" s="154" t="s">
        <v>759</v>
      </c>
      <c r="I54" s="46" t="s">
        <v>84</v>
      </c>
      <c r="J54" s="47" t="s">
        <v>85</v>
      </c>
      <c r="K54" s="48">
        <v>1</v>
      </c>
      <c r="L54" s="49">
        <v>7850</v>
      </c>
      <c r="M54" s="49">
        <v>4330</v>
      </c>
      <c r="N54" s="49">
        <v>3520</v>
      </c>
      <c r="O54" s="49">
        <v>5</v>
      </c>
      <c r="P54" s="49">
        <v>176</v>
      </c>
      <c r="Q54" s="49">
        <v>3344</v>
      </c>
      <c r="R54" s="49">
        <v>2550</v>
      </c>
      <c r="S54" s="49">
        <v>8527200</v>
      </c>
      <c r="T54" s="49">
        <v>12.81</v>
      </c>
      <c r="U54" s="49">
        <v>2562.81</v>
      </c>
      <c r="V54" s="49">
        <v>8570037</v>
      </c>
      <c r="W54" s="49">
        <v>42850</v>
      </c>
      <c r="X54" s="49">
        <v>8527187</v>
      </c>
      <c r="Y54" s="574" t="str">
        <f>IFERROR(IF(FIND("/KM",KB[[#This Row],[SUPPLIER]])&gt;0,"LAUT"),"DARAT")</f>
        <v>DARAT</v>
      </c>
    </row>
    <row r="55" spans="2:25">
      <c r="B55" s="140" t="str">
        <f>IFERROR(LEFT(KB[[#This Row],[SUPPLIER]],FIND("/",KB[[#This Row],[SUPPLIER]])-1),KB[[#This Row],[SUPPLIER]])</f>
        <v>INDRAYANI</v>
      </c>
      <c r="C55" s="141" t="str">
        <f>TEXT(VLOOKUP(KB[[#This Row],[RELASI]],DBRELASI[[RELASI]:[DOCKB]],10,0)+COUNTIFS($B$2:B55,KB[[#This Row],[RELASI]],$D$2:D55,1),"000")</f>
        <v>007</v>
      </c>
      <c r="D55" s="141">
        <f>IF(COUNTIFS($B$3:B55,KB[[#This Row],[RELASI]],$F$3:F55,KB[[#This Row],[TANGGAL]])&lt;&gt;1,0,1)</f>
        <v>1</v>
      </c>
      <c r="E55" s="141" t="str">
        <f>TEXT(IF(KB[[#This Row],[DOC]]&lt;&gt;"",KB[[#This Row],[DOC]],E54),"000")</f>
        <v>007</v>
      </c>
      <c r="F55" s="40">
        <v>43841</v>
      </c>
      <c r="G55" s="40" t="str">
        <f>TYPE</f>
        <v>A</v>
      </c>
      <c r="H55" s="153" t="s">
        <v>763</v>
      </c>
      <c r="I55" s="42" t="s">
        <v>79</v>
      </c>
      <c r="J55" s="43" t="s">
        <v>77</v>
      </c>
      <c r="K55" s="44">
        <v>2</v>
      </c>
      <c r="L55" s="49">
        <v>20950</v>
      </c>
      <c r="M55" s="49">
        <v>8140</v>
      </c>
      <c r="N55" s="49">
        <v>12810</v>
      </c>
      <c r="O55" s="49">
        <v>5</v>
      </c>
      <c r="P55" s="49">
        <v>640.5</v>
      </c>
      <c r="Q55" s="49">
        <v>12169.5</v>
      </c>
      <c r="R55" s="49">
        <v>2600</v>
      </c>
      <c r="S55" s="49">
        <v>31640700</v>
      </c>
      <c r="T55" s="49">
        <v>13.07</v>
      </c>
      <c r="U55" s="49">
        <v>2613.0700000000002</v>
      </c>
      <c r="V55" s="49">
        <v>31799755</v>
      </c>
      <c r="W55" s="49">
        <v>158999</v>
      </c>
      <c r="X55" s="49">
        <v>31640756</v>
      </c>
      <c r="Y55" s="530" t="str">
        <f>IFERROR(IF(FIND("/KM",KB[[#This Row],[SUPPLIER]])&gt;0,"LAUT"),"DARAT")</f>
        <v>DARAT</v>
      </c>
    </row>
    <row r="56" spans="2:25">
      <c r="B56" s="140" t="str">
        <f>IFERROR(LEFT(KB[[#This Row],[SUPPLIER]],FIND("/",KB[[#This Row],[SUPPLIER]])-1),KB[[#This Row],[SUPPLIER]])</f>
        <v>ERAWATI</v>
      </c>
      <c r="C56" s="141" t="str">
        <f>TEXT(VLOOKUP(KB[[#This Row],[RELASI]],DBRELASI[[RELASI]:[DOCKB]],10,0)+COUNTIFS($B$2:B56,KB[[#This Row],[RELASI]],$D$2:D56,1),"000")</f>
        <v>008</v>
      </c>
      <c r="D56" s="141">
        <f>IF(COUNTIFS($B$3:B56,KB[[#This Row],[RELASI]],$F$3:F56,KB[[#This Row],[TANGGAL]])&lt;&gt;1,0,1)</f>
        <v>1</v>
      </c>
      <c r="E56" s="141" t="str">
        <f>TEXT(IF(KB[[#This Row],[DOC]]&lt;&gt;"",KB[[#This Row],[DOC]],E55),"000")</f>
        <v>008</v>
      </c>
      <c r="F56" s="40">
        <v>43841</v>
      </c>
      <c r="G56" s="40" t="str">
        <f>TYPE</f>
        <v>A</v>
      </c>
      <c r="H56" s="153" t="s">
        <v>767</v>
      </c>
      <c r="I56" s="42" t="s">
        <v>506</v>
      </c>
      <c r="J56" s="43" t="s">
        <v>77</v>
      </c>
      <c r="K56" s="44">
        <v>1</v>
      </c>
      <c r="L56" s="49">
        <v>7900</v>
      </c>
      <c r="M56" s="49">
        <v>3890</v>
      </c>
      <c r="N56" s="49">
        <v>4010</v>
      </c>
      <c r="O56" s="49">
        <v>6</v>
      </c>
      <c r="P56" s="49">
        <v>240.6</v>
      </c>
      <c r="Q56" s="49">
        <v>3769.4</v>
      </c>
      <c r="R56" s="49">
        <v>2450</v>
      </c>
      <c r="S56" s="49">
        <v>9235030</v>
      </c>
      <c r="T56" s="49">
        <v>12.31</v>
      </c>
      <c r="U56" s="49">
        <v>2462.31</v>
      </c>
      <c r="V56" s="49">
        <v>9281431</v>
      </c>
      <c r="W56" s="49">
        <v>46407</v>
      </c>
      <c r="X56" s="49">
        <v>9235024</v>
      </c>
      <c r="Y56" s="530" t="str">
        <f>IFERROR(IF(FIND("/KM",KB[[#This Row],[SUPPLIER]])&gt;0,"LAUT"),"DARAT")</f>
        <v>LAUT</v>
      </c>
    </row>
    <row r="57" spans="2:25">
      <c r="B57" s="140" t="str">
        <f>IFERROR(LEFT(KB[[#This Row],[SUPPLIER]],FIND("/",KB[[#This Row],[SUPPLIER]])-1),KB[[#This Row],[SUPPLIER]])</f>
        <v>MARTONO</v>
      </c>
      <c r="C57" s="141" t="str">
        <f>TEXT(VLOOKUP(KB[[#This Row],[RELASI]],DBRELASI[[RELASI]:[DOCKB]],10,0)+COUNTIFS($B$2:B57,KB[[#This Row],[RELASI]],$D$2:D57,1),"000")</f>
        <v>007</v>
      </c>
      <c r="D57" s="141">
        <f>IF(COUNTIFS($B$3:B57,KB[[#This Row],[RELASI]],$F$3:F57,KB[[#This Row],[TANGGAL]])&lt;&gt;1,0,1)</f>
        <v>1</v>
      </c>
      <c r="E57" s="141" t="str">
        <f>TEXT(IF(KB[[#This Row],[DOC]]&lt;&gt;"",KB[[#This Row],[DOC]],E56),"000")</f>
        <v>007</v>
      </c>
      <c r="F57" s="40">
        <v>43841</v>
      </c>
      <c r="G57" s="40" t="str">
        <f>TYPE</f>
        <v>A</v>
      </c>
      <c r="H57" s="153" t="s">
        <v>763</v>
      </c>
      <c r="I57" s="42" t="s">
        <v>508</v>
      </c>
      <c r="J57" s="43" t="s">
        <v>83</v>
      </c>
      <c r="K57" s="44">
        <v>1</v>
      </c>
      <c r="L57" s="49">
        <v>4760</v>
      </c>
      <c r="M57" s="49">
        <v>3880</v>
      </c>
      <c r="N57" s="49">
        <v>880</v>
      </c>
      <c r="O57" s="49">
        <v>5.9999999999999991</v>
      </c>
      <c r="P57" s="49">
        <v>52.8</v>
      </c>
      <c r="Q57" s="49">
        <v>827.2</v>
      </c>
      <c r="R57" s="49">
        <v>2450</v>
      </c>
      <c r="S57" s="49">
        <v>2026640</v>
      </c>
      <c r="T57" s="49">
        <v>12.31</v>
      </c>
      <c r="U57" s="49">
        <v>2462.31</v>
      </c>
      <c r="V57" s="49">
        <v>2036823</v>
      </c>
      <c r="W57" s="49">
        <v>10184</v>
      </c>
      <c r="X57" s="49">
        <v>2026639</v>
      </c>
      <c r="Y57" s="530" t="str">
        <f>IFERROR(IF(FIND("/KM",KB[[#This Row],[SUPPLIER]])&gt;0,"LAUT"),"DARAT")</f>
        <v>LAUT</v>
      </c>
    </row>
    <row r="58" spans="2:25">
      <c r="B58" s="140" t="str">
        <f>IFERROR(LEFT(KB[[#This Row],[SUPPLIER]],FIND("/",KB[[#This Row],[SUPPLIER]])-1),KB[[#This Row],[SUPPLIER]])</f>
        <v>MARTONO</v>
      </c>
      <c r="C58" s="141" t="str">
        <f>TEXT(VLOOKUP(KB[[#This Row],[RELASI]],DBRELASI[[RELASI]:[DOCKB]],10,0)+COUNTIFS($B$2:B58,KB[[#This Row],[RELASI]],$D$2:D58,1),"000")</f>
        <v>007</v>
      </c>
      <c r="D58" s="141">
        <f>IF(COUNTIFS($B$3:B58,KB[[#This Row],[RELASI]],$F$3:F58,KB[[#This Row],[TANGGAL]])&lt;&gt;1,0,1)</f>
        <v>0</v>
      </c>
      <c r="E58" s="141" t="str">
        <f>TEXT(IF(KB[[#This Row],[DOC]]&lt;&gt;"",KB[[#This Row],[DOC]],E57),"000")</f>
        <v>007</v>
      </c>
      <c r="F58" s="40">
        <v>43841</v>
      </c>
      <c r="G58" s="40" t="str">
        <f>TYPE</f>
        <v>A</v>
      </c>
      <c r="H58"/>
      <c r="I58" s="42" t="s">
        <v>522</v>
      </c>
      <c r="J58" s="43" t="s">
        <v>83</v>
      </c>
      <c r="K58" s="44">
        <v>3</v>
      </c>
      <c r="L58" s="49">
        <v>22040</v>
      </c>
      <c r="M58" s="49">
        <v>11640</v>
      </c>
      <c r="N58" s="49">
        <v>10400</v>
      </c>
      <c r="O58" s="49">
        <v>6</v>
      </c>
      <c r="P58" s="49">
        <v>624</v>
      </c>
      <c r="Q58" s="49">
        <v>9776</v>
      </c>
      <c r="R58" s="49">
        <v>2450</v>
      </c>
      <c r="S58" s="49">
        <v>23951200</v>
      </c>
      <c r="T58" s="49">
        <v>12.31</v>
      </c>
      <c r="U58" s="49">
        <v>2462.31</v>
      </c>
      <c r="V58" s="49">
        <v>24071543</v>
      </c>
      <c r="W58" s="49">
        <v>120357</v>
      </c>
      <c r="X58" s="49">
        <v>23951186</v>
      </c>
      <c r="Y58" s="530" t="str">
        <f>IFERROR(IF(FIND("/KM",KB[[#This Row],[SUPPLIER]])&gt;0,"LAUT"),"DARAT")</f>
        <v>LAUT</v>
      </c>
    </row>
    <row r="59" spans="2:25">
      <c r="B59" s="140" t="str">
        <f>IFERROR(LEFT(KB[[#This Row],[SUPPLIER]],FIND("/",KB[[#This Row],[SUPPLIER]])-1),KB[[#This Row],[SUPPLIER]])</f>
        <v>SUKAMTO</v>
      </c>
      <c r="C59" s="141" t="str">
        <f>TEXT(VLOOKUP(KB[[#This Row],[RELASI]],DBRELASI[[RELASI]:[DOCKB]],10,0)+COUNTIFS($B$2:B59,KB[[#This Row],[RELASI]],$D$2:D59,1),"000")</f>
        <v>003</v>
      </c>
      <c r="D59" s="141">
        <f>IF(COUNTIFS($B$3:B59,KB[[#This Row],[RELASI]],$F$3:F59,KB[[#This Row],[TANGGAL]])&lt;&gt;1,0,1)</f>
        <v>1</v>
      </c>
      <c r="E59" s="141" t="str">
        <f>TEXT(IF(KB[[#This Row],[DOC]]&lt;&gt;"",KB[[#This Row],[DOC]],E58),"000")</f>
        <v>003</v>
      </c>
      <c r="F59" s="40">
        <v>43841</v>
      </c>
      <c r="G59" s="40" t="str">
        <f>TYPE</f>
        <v>A</v>
      </c>
      <c r="H59" s="153" t="s">
        <v>521</v>
      </c>
      <c r="I59" s="42" t="s">
        <v>523</v>
      </c>
      <c r="J59" s="43" t="s">
        <v>524</v>
      </c>
      <c r="K59" s="44">
        <v>1</v>
      </c>
      <c r="L59" s="49">
        <v>8220</v>
      </c>
      <c r="M59" s="49">
        <v>3860</v>
      </c>
      <c r="N59" s="49">
        <v>4360</v>
      </c>
      <c r="O59" s="49">
        <v>5.9999999999999991</v>
      </c>
      <c r="P59" s="49">
        <v>261.59999999999997</v>
      </c>
      <c r="Q59" s="49">
        <v>4098.3999999999996</v>
      </c>
      <c r="R59" s="49">
        <v>2450</v>
      </c>
      <c r="S59" s="49">
        <v>10041080</v>
      </c>
      <c r="T59" s="49">
        <v>12.31</v>
      </c>
      <c r="U59" s="49">
        <v>2462.31</v>
      </c>
      <c r="V59" s="49">
        <v>10091531</v>
      </c>
      <c r="W59" s="49">
        <v>50458</v>
      </c>
      <c r="X59" s="49">
        <v>10041073</v>
      </c>
      <c r="Y59" s="530" t="str">
        <f>IFERROR(IF(FIND("/KM",KB[[#This Row],[SUPPLIER]])&gt;0,"LAUT"),"DARAT")</f>
        <v>LAUT</v>
      </c>
    </row>
    <row r="60" spans="2:25">
      <c r="B60" s="140" t="str">
        <f>IFERROR(LEFT(KB[[#This Row],[SUPPLIER]],FIND("/",KB[[#This Row],[SUPPLIER]])-1),KB[[#This Row],[SUPPLIER]])</f>
        <v>YANADI</v>
      </c>
      <c r="C60" s="141" t="str">
        <f>TEXT(VLOOKUP(KB[[#This Row],[RELASI]],DBRELASI[[RELASI]:[DOCKB]],10,0)+COUNTIFS($B$2:B60,KB[[#This Row],[RELASI]],$D$2:D60,1),"000")</f>
        <v>005</v>
      </c>
      <c r="D60" s="141">
        <f>IF(COUNTIFS($B$3:B60,KB[[#This Row],[RELASI]],$F$3:F60,KB[[#This Row],[TANGGAL]])&lt;&gt;1,0,1)</f>
        <v>1</v>
      </c>
      <c r="E60" s="141" t="str">
        <f>TEXT(IF(KB[[#This Row],[DOC]]&lt;&gt;"",KB[[#This Row],[DOC]],E59),"000")</f>
        <v>005</v>
      </c>
      <c r="F60" s="40">
        <v>43841</v>
      </c>
      <c r="G60" s="40" t="str">
        <f>TYPE</f>
        <v>A</v>
      </c>
      <c r="H60" s="154" t="s">
        <v>532</v>
      </c>
      <c r="I60" s="46" t="s">
        <v>768</v>
      </c>
      <c r="J60" s="47" t="s">
        <v>74</v>
      </c>
      <c r="K60" s="48">
        <v>1</v>
      </c>
      <c r="L60" s="49">
        <v>6540</v>
      </c>
      <c r="M60" s="49">
        <v>3810</v>
      </c>
      <c r="N60" s="49">
        <v>2730</v>
      </c>
      <c r="O60" s="49">
        <v>5.9999999999999991</v>
      </c>
      <c r="P60" s="49">
        <v>163.79999999999998</v>
      </c>
      <c r="Q60" s="49">
        <v>2566.1999999999998</v>
      </c>
      <c r="R60" s="49">
        <v>2450</v>
      </c>
      <c r="S60" s="49">
        <v>6287190</v>
      </c>
      <c r="T60" s="49">
        <v>12.31</v>
      </c>
      <c r="U60" s="49">
        <v>2462.31</v>
      </c>
      <c r="V60" s="49">
        <v>6318780</v>
      </c>
      <c r="W60" s="49">
        <v>31594</v>
      </c>
      <c r="X60" s="49">
        <v>6287186</v>
      </c>
      <c r="Y60" s="574" t="str">
        <f>IFERROR(IF(FIND("/KM",KB[[#This Row],[SUPPLIER]])&gt;0,"LAUT"),"DARAT")</f>
        <v>LAUT</v>
      </c>
    </row>
    <row r="61" spans="2:25">
      <c r="B61" s="140" t="str">
        <f>IFERROR(LEFT(KB[[#This Row],[SUPPLIER]],FIND("/",KB[[#This Row],[SUPPLIER]])-1),KB[[#This Row],[SUPPLIER]])</f>
        <v>ERAWATI</v>
      </c>
      <c r="C61" s="141" t="str">
        <f>TEXT(VLOOKUP(KB[[#This Row],[RELASI]],DBRELASI[[RELASI]:[DOCKB]],10,0)+COUNTIFS($B$2:B61,KB[[#This Row],[RELASI]],$D$2:D61,1),"000")</f>
        <v>009</v>
      </c>
      <c r="D61" s="141">
        <f>IF(COUNTIFS($B$3:B61,KB[[#This Row],[RELASI]],$F$3:F61,KB[[#This Row],[TANGGAL]])&lt;&gt;1,0,1)</f>
        <v>1</v>
      </c>
      <c r="E61" s="141" t="str">
        <f>TEXT(IF(KB[[#This Row],[DOC]]&lt;&gt;"",KB[[#This Row],[DOC]],E60),"000")</f>
        <v>009</v>
      </c>
      <c r="F61" s="40">
        <v>43843</v>
      </c>
      <c r="G61" s="40" t="str">
        <f>TYPE</f>
        <v>A</v>
      </c>
      <c r="H61" s="153" t="s">
        <v>769</v>
      </c>
      <c r="I61" s="42" t="s">
        <v>155</v>
      </c>
      <c r="J61" s="43" t="s">
        <v>77</v>
      </c>
      <c r="K61" s="44">
        <v>3</v>
      </c>
      <c r="L61" s="49">
        <v>11190</v>
      </c>
      <c r="M61" s="49">
        <v>5760</v>
      </c>
      <c r="N61" s="49">
        <v>5430</v>
      </c>
      <c r="O61" s="49">
        <v>5.1970534069981582</v>
      </c>
      <c r="P61" s="49">
        <v>282.2</v>
      </c>
      <c r="Q61" s="49">
        <v>5147.8</v>
      </c>
      <c r="R61" s="49">
        <v>2600</v>
      </c>
      <c r="S61" s="49">
        <v>13384280</v>
      </c>
      <c r="T61" s="49">
        <v>13.07</v>
      </c>
      <c r="U61" s="49">
        <v>2613.0700000000002</v>
      </c>
      <c r="V61" s="49">
        <v>13451562</v>
      </c>
      <c r="W61" s="49">
        <v>67257</v>
      </c>
      <c r="X61" s="49">
        <v>13384305</v>
      </c>
      <c r="Y61" s="530" t="str">
        <f>IFERROR(IF(FIND("/KM",KB[[#This Row],[SUPPLIER]])&gt;0,"LAUT"),"DARAT")</f>
        <v>DARAT</v>
      </c>
    </row>
    <row r="62" spans="2:25">
      <c r="B62" s="140" t="str">
        <f>IFERROR(LEFT(KB[[#This Row],[SUPPLIER]],FIND("/",KB[[#This Row],[SUPPLIER]])-1),KB[[#This Row],[SUPPLIER]])</f>
        <v>ERAWATI</v>
      </c>
      <c r="C62" s="141" t="str">
        <f>TEXT(VLOOKUP(KB[[#This Row],[RELASI]],DBRELASI[[RELASI]:[DOCKB]],10,0)+COUNTIFS($B$2:B62,KB[[#This Row],[RELASI]],$D$2:D62,1),"000")</f>
        <v>009</v>
      </c>
      <c r="D62" s="141">
        <f>IF(COUNTIFS($B$3:B62,KB[[#This Row],[RELASI]],$F$3:F62,KB[[#This Row],[TANGGAL]])&lt;&gt;1,0,1)</f>
        <v>0</v>
      </c>
      <c r="E62" s="141" t="str">
        <f>TEXT(IF(KB[[#This Row],[DOC]]&lt;&gt;"",KB[[#This Row],[DOC]],E61),"000")</f>
        <v>009</v>
      </c>
      <c r="F62" s="40">
        <v>43843</v>
      </c>
      <c r="G62" s="40" t="str">
        <f>TYPE</f>
        <v>A</v>
      </c>
      <c r="H62"/>
      <c r="I62" s="42" t="s">
        <v>506</v>
      </c>
      <c r="J62" s="43" t="s">
        <v>77</v>
      </c>
      <c r="K62" s="44">
        <v>1</v>
      </c>
      <c r="L62" s="49">
        <v>8060</v>
      </c>
      <c r="M62" s="49">
        <v>3860</v>
      </c>
      <c r="N62" s="49">
        <v>4200</v>
      </c>
      <c r="O62" s="49">
        <v>6</v>
      </c>
      <c r="P62" s="49">
        <v>252</v>
      </c>
      <c r="Q62" s="49">
        <v>3948</v>
      </c>
      <c r="R62" s="49">
        <v>2550</v>
      </c>
      <c r="S62" s="49">
        <v>10067400</v>
      </c>
      <c r="T62" s="49">
        <v>12.81</v>
      </c>
      <c r="U62" s="49">
        <v>2562.81</v>
      </c>
      <c r="V62" s="49">
        <v>10117974</v>
      </c>
      <c r="W62" s="49">
        <v>50590</v>
      </c>
      <c r="X62" s="49">
        <v>10067384</v>
      </c>
      <c r="Y62" s="530" t="str">
        <f>IFERROR(IF(FIND("/KM",KB[[#This Row],[SUPPLIER]])&gt;0,"LAUT"),"DARAT")</f>
        <v>LAUT</v>
      </c>
    </row>
    <row r="63" spans="2:25">
      <c r="B63" s="140" t="str">
        <f>IFERROR(LEFT(KB[[#This Row],[SUPPLIER]],FIND("/",KB[[#This Row],[SUPPLIER]])-1),KB[[#This Row],[SUPPLIER]])</f>
        <v>INDRAYANI</v>
      </c>
      <c r="C63" s="141" t="str">
        <f>TEXT(VLOOKUP(KB[[#This Row],[RELASI]],DBRELASI[[RELASI]:[DOCKB]],10,0)+COUNTIFS($B$2:B63,KB[[#This Row],[RELASI]],$D$2:D63,1),"000")</f>
        <v>008</v>
      </c>
      <c r="D63" s="141">
        <f>IF(COUNTIFS($B$3:B63,KB[[#This Row],[RELASI]],$F$3:F63,KB[[#This Row],[TANGGAL]])&lt;&gt;1,0,1)</f>
        <v>1</v>
      </c>
      <c r="E63" s="141" t="str">
        <f>TEXT(IF(KB[[#This Row],[DOC]]&lt;&gt;"",KB[[#This Row],[DOC]],E62),"000")</f>
        <v>008</v>
      </c>
      <c r="F63" s="40">
        <v>43843</v>
      </c>
      <c r="G63" s="40" t="str">
        <f>TYPE</f>
        <v>A</v>
      </c>
      <c r="H63" s="153" t="s">
        <v>767</v>
      </c>
      <c r="I63" s="42" t="s">
        <v>79</v>
      </c>
      <c r="J63" s="43" t="s">
        <v>77</v>
      </c>
      <c r="K63" s="44">
        <v>3</v>
      </c>
      <c r="L63" s="49">
        <v>29140</v>
      </c>
      <c r="M63" s="49">
        <v>17110</v>
      </c>
      <c r="N63" s="49">
        <v>12030</v>
      </c>
      <c r="O63" s="49">
        <v>5</v>
      </c>
      <c r="P63" s="49">
        <v>601.5</v>
      </c>
      <c r="Q63" s="49">
        <v>11428.5</v>
      </c>
      <c r="R63" s="49">
        <v>2700</v>
      </c>
      <c r="S63" s="49">
        <v>30856950</v>
      </c>
      <c r="T63" s="49">
        <v>13.57</v>
      </c>
      <c r="U63" s="49">
        <v>2713.57</v>
      </c>
      <c r="V63" s="49">
        <v>31012035</v>
      </c>
      <c r="W63" s="49">
        <v>155060</v>
      </c>
      <c r="X63" s="49">
        <v>30856975</v>
      </c>
      <c r="Y63" s="530" t="str">
        <f>IFERROR(IF(FIND("/KM",KB[[#This Row],[SUPPLIER]])&gt;0,"LAUT"),"DARAT")</f>
        <v>DARAT</v>
      </c>
    </row>
    <row r="64" spans="2:25">
      <c r="B64" s="140" t="str">
        <f>IFERROR(LEFT(KB[[#This Row],[SUPPLIER]],FIND("/",KB[[#This Row],[SUPPLIER]])-1),KB[[#This Row],[SUPPLIER]])</f>
        <v>DINI CHAIRANI</v>
      </c>
      <c r="C64" s="141" t="str">
        <f>TEXT(VLOOKUP(KB[[#This Row],[RELASI]],DBRELASI[[RELASI]:[DOCKB]],10,0)+COUNTIFS($B$2:B64,KB[[#This Row],[RELASI]],$D$2:D64,1),"000")</f>
        <v>003</v>
      </c>
      <c r="D64" s="141">
        <f>IF(COUNTIFS($B$3:B64,KB[[#This Row],[RELASI]],$F$3:F64,KB[[#This Row],[TANGGAL]])&lt;&gt;1,0,1)</f>
        <v>1</v>
      </c>
      <c r="E64" s="141" t="str">
        <f>TEXT(IF(KB[[#This Row],[DOC]]&lt;&gt;"",KB[[#This Row],[DOC]],E63),"000")</f>
        <v>003</v>
      </c>
      <c r="F64" s="40">
        <v>43843</v>
      </c>
      <c r="G64" s="40" t="str">
        <f>TYPE</f>
        <v>A</v>
      </c>
      <c r="H64" s="153" t="s">
        <v>521</v>
      </c>
      <c r="I64" s="42" t="s">
        <v>516</v>
      </c>
      <c r="J64" s="43" t="s">
        <v>95</v>
      </c>
      <c r="K64" s="44">
        <v>1</v>
      </c>
      <c r="L64" s="49">
        <v>7260</v>
      </c>
      <c r="M64" s="49">
        <v>3910</v>
      </c>
      <c r="N64" s="49">
        <v>3350</v>
      </c>
      <c r="O64" s="49">
        <v>6</v>
      </c>
      <c r="P64" s="49">
        <v>201</v>
      </c>
      <c r="Q64" s="49">
        <v>3149</v>
      </c>
      <c r="R64" s="49">
        <v>2550</v>
      </c>
      <c r="S64" s="49">
        <v>8029950</v>
      </c>
      <c r="T64" s="49">
        <v>12.81</v>
      </c>
      <c r="U64" s="49">
        <v>2562.81</v>
      </c>
      <c r="V64" s="49">
        <v>8070289</v>
      </c>
      <c r="W64" s="49">
        <v>40351</v>
      </c>
      <c r="X64" s="49">
        <v>8029938</v>
      </c>
      <c r="Y64" s="530" t="str">
        <f>IFERROR(IF(FIND("/KM",KB[[#This Row],[SUPPLIER]])&gt;0,"LAUT"),"DARAT")</f>
        <v>LAUT</v>
      </c>
    </row>
    <row r="65" spans="2:25">
      <c r="B65" s="140" t="str">
        <f>IFERROR(LEFT(KB[[#This Row],[SUPPLIER]],FIND("/",KB[[#This Row],[SUPPLIER]])-1),KB[[#This Row],[SUPPLIER]])</f>
        <v>HENDRI</v>
      </c>
      <c r="C65" s="141" t="str">
        <f>TEXT(VLOOKUP(KB[[#This Row],[RELASI]],DBRELASI[[RELASI]:[DOCKB]],10,0)+COUNTIFS($B$2:B65,KB[[#This Row],[RELASI]],$D$2:D65,1),"000")</f>
        <v>004</v>
      </c>
      <c r="D65" s="141">
        <f>IF(COUNTIFS($B$3:B65,KB[[#This Row],[RELASI]],$F$3:F65,KB[[#This Row],[TANGGAL]])&lt;&gt;1,0,1)</f>
        <v>1</v>
      </c>
      <c r="E65" s="141" t="str">
        <f>TEXT(IF(KB[[#This Row],[DOC]]&lt;&gt;"",KB[[#This Row],[DOC]],E64),"000")</f>
        <v>004</v>
      </c>
      <c r="F65" s="40">
        <v>43843</v>
      </c>
      <c r="G65" s="40" t="str">
        <f>TYPE</f>
        <v>A</v>
      </c>
      <c r="H65" s="153" t="s">
        <v>526</v>
      </c>
      <c r="I65" s="42" t="s">
        <v>770</v>
      </c>
      <c r="J65" s="43" t="s">
        <v>475</v>
      </c>
      <c r="K65" s="44">
        <v>1</v>
      </c>
      <c r="L65" s="49">
        <v>8550</v>
      </c>
      <c r="M65" s="49">
        <v>3900</v>
      </c>
      <c r="N65" s="49">
        <v>4650</v>
      </c>
      <c r="O65" s="49">
        <v>6</v>
      </c>
      <c r="P65" s="49">
        <v>279</v>
      </c>
      <c r="Q65" s="49">
        <v>4371</v>
      </c>
      <c r="R65" s="49">
        <v>2550</v>
      </c>
      <c r="S65" s="49">
        <v>11146050</v>
      </c>
      <c r="T65" s="49">
        <v>12.81</v>
      </c>
      <c r="U65" s="49">
        <v>2562.81</v>
      </c>
      <c r="V65" s="49">
        <v>11202043</v>
      </c>
      <c r="W65" s="49">
        <v>56010</v>
      </c>
      <c r="X65" s="49">
        <v>11146033</v>
      </c>
      <c r="Y65" s="530" t="str">
        <f>IFERROR(IF(FIND("/KM",KB[[#This Row],[SUPPLIER]])&gt;0,"LAUT"),"DARAT")</f>
        <v>LAUT</v>
      </c>
    </row>
    <row r="66" spans="2:25">
      <c r="B66" s="140" t="str">
        <f>IFERROR(LEFT(KB[[#This Row],[SUPPLIER]],FIND("/",KB[[#This Row],[SUPPLIER]])-1),KB[[#This Row],[SUPPLIER]])</f>
        <v>MASRI</v>
      </c>
      <c r="C66" s="141" t="str">
        <f>TEXT(VLOOKUP(KB[[#This Row],[RELASI]],DBRELASI[[RELASI]:[DOCKB]],10,0)+COUNTIFS($B$2:B66,KB[[#This Row],[RELASI]],$D$2:D66,1),"000")</f>
        <v>006</v>
      </c>
      <c r="D66" s="141">
        <f>IF(COUNTIFS($B$3:B66,KB[[#This Row],[RELASI]],$F$3:F66,KB[[#This Row],[TANGGAL]])&lt;&gt;1,0,1)</f>
        <v>1</v>
      </c>
      <c r="E66" s="141" t="str">
        <f>TEXT(IF(KB[[#This Row],[DOC]]&lt;&gt;"",KB[[#This Row],[DOC]],E65),"000")</f>
        <v>006</v>
      </c>
      <c r="F66" s="40">
        <v>43843</v>
      </c>
      <c r="G66" s="40" t="str">
        <f>TYPE</f>
        <v>A</v>
      </c>
      <c r="H66" s="154" t="s">
        <v>759</v>
      </c>
      <c r="I66" s="46" t="s">
        <v>771</v>
      </c>
      <c r="J66" s="47" t="s">
        <v>511</v>
      </c>
      <c r="K66" s="48">
        <v>25</v>
      </c>
      <c r="L66" s="49">
        <v>215820</v>
      </c>
      <c r="M66" s="49">
        <v>96780</v>
      </c>
      <c r="N66" s="49">
        <v>119040</v>
      </c>
      <c r="O66" s="49">
        <v>6.0000000000000009</v>
      </c>
      <c r="P66" s="49">
        <v>7142.4000000000015</v>
      </c>
      <c r="Q66" s="49">
        <v>111897.59999999998</v>
      </c>
      <c r="R66" s="49">
        <v>2700.0000000000005</v>
      </c>
      <c r="S66" s="49">
        <v>302123520</v>
      </c>
      <c r="T66" s="49">
        <v>13.57</v>
      </c>
      <c r="U66" s="49">
        <v>2713.5700000000006</v>
      </c>
      <c r="V66" s="49">
        <v>303641969</v>
      </c>
      <c r="W66" s="49">
        <v>1518211</v>
      </c>
      <c r="X66" s="49">
        <v>302123758</v>
      </c>
      <c r="Y66" s="574" t="str">
        <f>IFERROR(IF(FIND("/KM",KB[[#This Row],[SUPPLIER]])&gt;0,"LAUT"),"DARAT")</f>
        <v>LAUT</v>
      </c>
    </row>
    <row r="67" spans="2:25">
      <c r="B67" s="140" t="str">
        <f>IFERROR(LEFT(KB[[#This Row],[SUPPLIER]],FIND("/",KB[[#This Row],[SUPPLIER]])-1),KB[[#This Row],[SUPPLIER]])</f>
        <v>INDRAYANI</v>
      </c>
      <c r="C67" s="141" t="str">
        <f>TEXT(VLOOKUP(KB[[#This Row],[RELASI]],DBRELASI[[RELASI]:[DOCKB]],10,0)+COUNTIFS($B$2:B67,KB[[#This Row],[RELASI]],$D$2:D67,1),"000")</f>
        <v>009</v>
      </c>
      <c r="D67" s="141">
        <f>IF(COUNTIFS($B$3:B67,KB[[#This Row],[RELASI]],$F$3:F67,KB[[#This Row],[TANGGAL]])&lt;&gt;1,0,1)</f>
        <v>1</v>
      </c>
      <c r="E67" s="141" t="str">
        <f>TEXT(IF(KB[[#This Row],[DOC]]&lt;&gt;"",KB[[#This Row],[DOC]],E66),"000")</f>
        <v>009</v>
      </c>
      <c r="F67" s="40">
        <v>43844</v>
      </c>
      <c r="G67" s="40" t="str">
        <f>TYPE</f>
        <v>A</v>
      </c>
      <c r="H67" s="153" t="s">
        <v>769</v>
      </c>
      <c r="I67" s="42" t="s">
        <v>79</v>
      </c>
      <c r="J67" s="43" t="s">
        <v>77</v>
      </c>
      <c r="K67" s="44">
        <v>2</v>
      </c>
      <c r="L67" s="49">
        <v>17320</v>
      </c>
      <c r="M67" s="49">
        <v>7790</v>
      </c>
      <c r="N67" s="49">
        <v>9530</v>
      </c>
      <c r="O67" s="49">
        <v>5.6002098635886677</v>
      </c>
      <c r="P67" s="49">
        <v>533.70000000000005</v>
      </c>
      <c r="Q67" s="49">
        <v>8996.2999999999993</v>
      </c>
      <c r="R67" s="49">
        <v>2700</v>
      </c>
      <c r="S67" s="49">
        <v>24290010</v>
      </c>
      <c r="T67" s="49">
        <v>13.57</v>
      </c>
      <c r="U67" s="49">
        <v>2713.57</v>
      </c>
      <c r="V67" s="49">
        <v>24412090</v>
      </c>
      <c r="W67" s="49">
        <v>122061</v>
      </c>
      <c r="X67" s="49">
        <v>24290029</v>
      </c>
      <c r="Y67" s="530" t="str">
        <f>IFERROR(IF(FIND("/KM",KB[[#This Row],[SUPPLIER]])&gt;0,"LAUT"),"DARAT")</f>
        <v>DARAT</v>
      </c>
    </row>
    <row r="68" spans="2:25">
      <c r="B68" s="140" t="str">
        <f>IFERROR(LEFT(KB[[#This Row],[SUPPLIER]],FIND("/",KB[[#This Row],[SUPPLIER]])-1),KB[[#This Row],[SUPPLIER]])</f>
        <v>DINI CHAIRANI</v>
      </c>
      <c r="C68" s="141" t="str">
        <f>TEXT(VLOOKUP(KB[[#This Row],[RELASI]],DBRELASI[[RELASI]:[DOCKB]],10,0)+COUNTIFS($B$2:B68,KB[[#This Row],[RELASI]],$D$2:D68,1),"000")</f>
        <v>004</v>
      </c>
      <c r="D68" s="141">
        <f>IF(COUNTIFS($B$3:B68,KB[[#This Row],[RELASI]],$F$3:F68,KB[[#This Row],[TANGGAL]])&lt;&gt;1,0,1)</f>
        <v>1</v>
      </c>
      <c r="E68" s="141" t="str">
        <f>TEXT(IF(KB[[#This Row],[DOC]]&lt;&gt;"",KB[[#This Row],[DOC]],E67),"000")</f>
        <v>004</v>
      </c>
      <c r="F68" s="40">
        <v>43844</v>
      </c>
      <c r="G68" s="40" t="str">
        <f>TYPE</f>
        <v>A</v>
      </c>
      <c r="H68" s="153" t="s">
        <v>526</v>
      </c>
      <c r="I68" s="42" t="s">
        <v>772</v>
      </c>
      <c r="J68" s="43" t="s">
        <v>95</v>
      </c>
      <c r="K68" s="44">
        <v>2</v>
      </c>
      <c r="L68" s="49">
        <v>15200</v>
      </c>
      <c r="M68" s="49">
        <v>7810</v>
      </c>
      <c r="N68" s="49">
        <v>7390</v>
      </c>
      <c r="O68" s="49">
        <v>5.9999999999999991</v>
      </c>
      <c r="P68" s="49">
        <v>443.4</v>
      </c>
      <c r="Q68" s="49">
        <v>6946.6</v>
      </c>
      <c r="R68" s="49">
        <v>2550</v>
      </c>
      <c r="S68" s="49">
        <v>17713830</v>
      </c>
      <c r="T68" s="49">
        <v>12.81</v>
      </c>
      <c r="U68" s="49">
        <v>2562.81</v>
      </c>
      <c r="V68" s="49">
        <v>17802816</v>
      </c>
      <c r="W68" s="49">
        <v>89014</v>
      </c>
      <c r="X68" s="49">
        <v>17713802</v>
      </c>
      <c r="Y68" s="530" t="str">
        <f>IFERROR(IF(FIND("/KM",KB[[#This Row],[SUPPLIER]])&gt;0,"LAUT"),"DARAT")</f>
        <v>LAUT</v>
      </c>
    </row>
    <row r="69" spans="2:25">
      <c r="B69" s="140" t="str">
        <f>IFERROR(LEFT(KB[[#This Row],[SUPPLIER]],FIND("/",KB[[#This Row],[SUPPLIER]])-1),KB[[#This Row],[SUPPLIER]])</f>
        <v>HENDRI</v>
      </c>
      <c r="C69" s="141" t="str">
        <f>TEXT(VLOOKUP(KB[[#This Row],[RELASI]],DBRELASI[[RELASI]:[DOCKB]],10,0)+COUNTIFS($B$2:B69,KB[[#This Row],[RELASI]],$D$2:D69,1),"000")</f>
        <v>005</v>
      </c>
      <c r="D69" s="141">
        <f>IF(COUNTIFS($B$3:B69,KB[[#This Row],[RELASI]],$F$3:F69,KB[[#This Row],[TANGGAL]])&lt;&gt;1,0,1)</f>
        <v>1</v>
      </c>
      <c r="E69" s="141" t="str">
        <f>TEXT(IF(KB[[#This Row],[DOC]]&lt;&gt;"",KB[[#This Row],[DOC]],E68),"000")</f>
        <v>005</v>
      </c>
      <c r="F69" s="40">
        <v>43844</v>
      </c>
      <c r="G69" s="40" t="str">
        <f>TYPE</f>
        <v>A</v>
      </c>
      <c r="H69" s="153" t="s">
        <v>532</v>
      </c>
      <c r="I69" s="42" t="s">
        <v>527</v>
      </c>
      <c r="J69" s="43" t="s">
        <v>475</v>
      </c>
      <c r="K69" s="44">
        <v>5</v>
      </c>
      <c r="L69" s="49">
        <v>43520</v>
      </c>
      <c r="M69" s="49">
        <v>19610</v>
      </c>
      <c r="N69" s="49">
        <v>23910</v>
      </c>
      <c r="O69" s="49">
        <v>6</v>
      </c>
      <c r="P69" s="49">
        <v>1434.6</v>
      </c>
      <c r="Q69" s="49">
        <v>22475.4</v>
      </c>
      <c r="R69" s="49">
        <v>2600</v>
      </c>
      <c r="S69" s="49">
        <v>58436040</v>
      </c>
      <c r="T69" s="49">
        <v>13.07</v>
      </c>
      <c r="U69" s="49">
        <v>2613.0700000000002</v>
      </c>
      <c r="V69" s="49">
        <v>58729794</v>
      </c>
      <c r="W69" s="49">
        <v>293649</v>
      </c>
      <c r="X69" s="49">
        <v>58436145</v>
      </c>
      <c r="Y69" s="530" t="str">
        <f>IFERROR(IF(FIND("/KM",KB[[#This Row],[SUPPLIER]])&gt;0,"LAUT"),"DARAT")</f>
        <v>LAUT</v>
      </c>
    </row>
    <row r="70" spans="2:25">
      <c r="B70" s="140" t="str">
        <f>IFERROR(LEFT(KB[[#This Row],[SUPPLIER]],FIND("/",KB[[#This Row],[SUPPLIER]])-1),KB[[#This Row],[SUPPLIER]])</f>
        <v>HENDRI</v>
      </c>
      <c r="C70" s="141" t="str">
        <f>TEXT(VLOOKUP(KB[[#This Row],[RELASI]],DBRELASI[[RELASI]:[DOCKB]],10,0)+COUNTIFS($B$2:B70,KB[[#This Row],[RELASI]],$D$2:D70,1),"000")</f>
        <v>005</v>
      </c>
      <c r="D70" s="141">
        <f>IF(COUNTIFS($B$3:B70,KB[[#This Row],[RELASI]],$F$3:F70,KB[[#This Row],[TANGGAL]])&lt;&gt;1,0,1)</f>
        <v>0</v>
      </c>
      <c r="E70" s="141" t="str">
        <f>TEXT(IF(KB[[#This Row],[DOC]]&lt;&gt;"",KB[[#This Row],[DOC]],E69),"000")</f>
        <v>005</v>
      </c>
      <c r="F70" s="40">
        <v>43844</v>
      </c>
      <c r="G70" s="40" t="str">
        <f>TYPE</f>
        <v>A</v>
      </c>
      <c r="H70"/>
      <c r="I70" s="42" t="s">
        <v>507</v>
      </c>
      <c r="J70" s="43" t="s">
        <v>475</v>
      </c>
      <c r="K70" s="44">
        <v>2</v>
      </c>
      <c r="L70" s="49">
        <v>18050</v>
      </c>
      <c r="M70" s="49">
        <v>7660</v>
      </c>
      <c r="N70" s="49">
        <v>10390</v>
      </c>
      <c r="O70" s="49">
        <v>5.9999999999999991</v>
      </c>
      <c r="P70" s="49">
        <v>623.4</v>
      </c>
      <c r="Q70" s="49">
        <v>9766.6</v>
      </c>
      <c r="R70" s="49">
        <v>2600</v>
      </c>
      <c r="S70" s="49">
        <v>25393160</v>
      </c>
      <c r="T70" s="49">
        <v>13.07</v>
      </c>
      <c r="U70" s="49">
        <v>2613.0700000000002</v>
      </c>
      <c r="V70" s="49">
        <v>25520809</v>
      </c>
      <c r="W70" s="49">
        <v>127604</v>
      </c>
      <c r="X70" s="49">
        <v>25393205</v>
      </c>
      <c r="Y70" s="530" t="str">
        <f>IFERROR(IF(FIND("/KM",KB[[#This Row],[SUPPLIER]])&gt;0,"LAUT"),"DARAT")</f>
        <v>LAUT</v>
      </c>
    </row>
    <row r="71" spans="2:25">
      <c r="B71" s="140" t="str">
        <f>IFERROR(LEFT(KB[[#This Row],[SUPPLIER]],FIND("/",KB[[#This Row],[SUPPLIER]])-1),KB[[#This Row],[SUPPLIER]])</f>
        <v>MARTONO</v>
      </c>
      <c r="C71" s="141" t="str">
        <f>TEXT(VLOOKUP(KB[[#This Row],[RELASI]],DBRELASI[[RELASI]:[DOCKB]],10,0)+COUNTIFS($B$2:B71,KB[[#This Row],[RELASI]],$D$2:D71,1),"000")</f>
        <v>008</v>
      </c>
      <c r="D71" s="141">
        <f>IF(COUNTIFS($B$3:B71,KB[[#This Row],[RELASI]],$F$3:F71,KB[[#This Row],[TANGGAL]])&lt;&gt;1,0,1)</f>
        <v>1</v>
      </c>
      <c r="E71" s="141" t="str">
        <f>TEXT(IF(KB[[#This Row],[DOC]]&lt;&gt;"",KB[[#This Row],[DOC]],E70),"000")</f>
        <v>008</v>
      </c>
      <c r="F71" s="40">
        <v>43844</v>
      </c>
      <c r="G71" s="40" t="str">
        <f>TYPE</f>
        <v>A</v>
      </c>
      <c r="H71" s="153" t="s">
        <v>767</v>
      </c>
      <c r="I71" s="42" t="s">
        <v>519</v>
      </c>
      <c r="J71" s="43" t="s">
        <v>83</v>
      </c>
      <c r="K71" s="44">
        <v>2</v>
      </c>
      <c r="L71" s="49">
        <v>16550</v>
      </c>
      <c r="M71" s="49">
        <v>7770</v>
      </c>
      <c r="N71" s="49">
        <v>8780</v>
      </c>
      <c r="O71" s="49">
        <v>6</v>
      </c>
      <c r="P71" s="49">
        <v>526.79999999999995</v>
      </c>
      <c r="Q71" s="49">
        <v>8253.2000000000007</v>
      </c>
      <c r="R71" s="49">
        <v>2550</v>
      </c>
      <c r="S71" s="49">
        <v>21045660</v>
      </c>
      <c r="T71" s="49">
        <v>12.81</v>
      </c>
      <c r="U71" s="49">
        <v>2562.81</v>
      </c>
      <c r="V71" s="49">
        <v>21151383</v>
      </c>
      <c r="W71" s="49">
        <v>105756</v>
      </c>
      <c r="X71" s="49">
        <v>21045627</v>
      </c>
      <c r="Y71" s="530" t="str">
        <f>IFERROR(IF(FIND("/KM",KB[[#This Row],[SUPPLIER]])&gt;0,"LAUT"),"DARAT")</f>
        <v>LAUT</v>
      </c>
    </row>
    <row r="72" spans="2:25">
      <c r="B72" s="140" t="str">
        <f>IFERROR(LEFT(KB[[#This Row],[SUPPLIER]],FIND("/",KB[[#This Row],[SUPPLIER]])-1),KB[[#This Row],[SUPPLIER]])</f>
        <v>RITA ERNITA</v>
      </c>
      <c r="C72" s="141" t="str">
        <f>TEXT(VLOOKUP(KB[[#This Row],[RELASI]],DBRELASI[[RELASI]:[DOCKB]],10,0)+COUNTIFS($B$2:B72,KB[[#This Row],[RELASI]],$D$2:D72,1),"000")</f>
        <v>002</v>
      </c>
      <c r="D72" s="141">
        <f>IF(COUNTIFS($B$3:B72,KB[[#This Row],[RELASI]],$F$3:F72,KB[[#This Row],[TANGGAL]])&lt;&gt;1,0,1)</f>
        <v>1</v>
      </c>
      <c r="E72" s="141" t="str">
        <f>TEXT(IF(KB[[#This Row],[DOC]]&lt;&gt;"",KB[[#This Row],[DOC]],E71),"000")</f>
        <v>002</v>
      </c>
      <c r="F72" s="40">
        <v>43844</v>
      </c>
      <c r="G72" s="40" t="str">
        <f>TYPE</f>
        <v>A</v>
      </c>
      <c r="H72" s="154" t="s">
        <v>515</v>
      </c>
      <c r="I72" s="46" t="s">
        <v>513</v>
      </c>
      <c r="J72" s="47" t="s">
        <v>96</v>
      </c>
      <c r="K72" s="48">
        <v>9</v>
      </c>
      <c r="L72" s="49">
        <v>74030</v>
      </c>
      <c r="M72" s="49">
        <v>34980</v>
      </c>
      <c r="N72" s="49">
        <v>39050</v>
      </c>
      <c r="O72" s="49">
        <v>6</v>
      </c>
      <c r="P72" s="49">
        <v>2343</v>
      </c>
      <c r="Q72" s="49">
        <v>36706.999999999993</v>
      </c>
      <c r="R72" s="49">
        <v>2650.0000000000005</v>
      </c>
      <c r="S72" s="49">
        <v>97273550</v>
      </c>
      <c r="T72" s="49">
        <v>13.32</v>
      </c>
      <c r="U72" s="49">
        <v>2663.3200000000006</v>
      </c>
      <c r="V72" s="49">
        <v>97762487</v>
      </c>
      <c r="W72" s="49">
        <v>488813</v>
      </c>
      <c r="X72" s="49">
        <v>97273674</v>
      </c>
      <c r="Y72" s="574" t="str">
        <f>IFERROR(IF(FIND("/KM",KB[[#This Row],[SUPPLIER]])&gt;0,"LAUT"),"DARAT")</f>
        <v>LAUT</v>
      </c>
    </row>
    <row r="73" spans="2:25">
      <c r="B73" s="140" t="str">
        <f>IFERROR(LEFT(KB[[#This Row],[SUPPLIER]],FIND("/",KB[[#This Row],[SUPPLIER]])-1),KB[[#This Row],[SUPPLIER]])</f>
        <v>ERAWATI</v>
      </c>
      <c r="C73" s="141" t="str">
        <f>TEXT(VLOOKUP(KB[[#This Row],[RELASI]],DBRELASI[[RELASI]:[DOCKB]],10,0)+COUNTIFS($B$2:B73,KB[[#This Row],[RELASI]],$D$2:D73,1),"000")</f>
        <v>010</v>
      </c>
      <c r="D73" s="141">
        <f>IF(COUNTIFS($B$3:B73,KB[[#This Row],[RELASI]],$F$3:F73,KB[[#This Row],[TANGGAL]])&lt;&gt;1,0,1)</f>
        <v>1</v>
      </c>
      <c r="E73" s="141" t="str">
        <f>TEXT(IF(KB[[#This Row],[DOC]]&lt;&gt;"",KB[[#This Row],[DOC]],E72),"000")</f>
        <v>010</v>
      </c>
      <c r="F73" s="40">
        <v>43845</v>
      </c>
      <c r="G73" s="40" t="str">
        <f>TYPE</f>
        <v>A</v>
      </c>
      <c r="H73" s="153" t="s">
        <v>773</v>
      </c>
      <c r="I73" s="42" t="s">
        <v>155</v>
      </c>
      <c r="J73" s="43" t="s">
        <v>77</v>
      </c>
      <c r="K73" s="44">
        <v>1</v>
      </c>
      <c r="L73" s="49">
        <v>8640</v>
      </c>
      <c r="M73" s="49">
        <v>4870</v>
      </c>
      <c r="N73" s="49">
        <v>3770</v>
      </c>
      <c r="O73" s="49">
        <v>5.9999999999999991</v>
      </c>
      <c r="P73" s="49">
        <v>226.2</v>
      </c>
      <c r="Q73" s="49">
        <v>3543.8</v>
      </c>
      <c r="R73" s="49">
        <v>2600</v>
      </c>
      <c r="S73" s="49">
        <v>9213880</v>
      </c>
      <c r="T73" s="49">
        <v>13.07</v>
      </c>
      <c r="U73" s="49">
        <v>2613.0700000000002</v>
      </c>
      <c r="V73" s="49">
        <v>9260197</v>
      </c>
      <c r="W73" s="49">
        <v>46301</v>
      </c>
      <c r="X73" s="49">
        <v>9213896</v>
      </c>
      <c r="Y73" s="530" t="str">
        <f>IFERROR(IF(FIND("/KM",KB[[#This Row],[SUPPLIER]])&gt;0,"LAUT"),"DARAT")</f>
        <v>DARAT</v>
      </c>
    </row>
    <row r="74" spans="2:25">
      <c r="B74" s="140" t="str">
        <f>IFERROR(LEFT(KB[[#This Row],[SUPPLIER]],FIND("/",KB[[#This Row],[SUPPLIER]])-1),KB[[#This Row],[SUPPLIER]])</f>
        <v>SAIRI</v>
      </c>
      <c r="C74" s="141" t="str">
        <f>TEXT(VLOOKUP(KB[[#This Row],[RELASI]],DBRELASI[[RELASI]:[DOCKB]],10,0)+COUNTIFS($B$2:B74,KB[[#This Row],[RELASI]],$D$2:D74,1),"000")</f>
        <v>007</v>
      </c>
      <c r="D74" s="141">
        <f>IF(COUNTIFS($B$3:B74,KB[[#This Row],[RELASI]],$F$3:F74,KB[[#This Row],[TANGGAL]])&lt;&gt;1,0,1)</f>
        <v>1</v>
      </c>
      <c r="E74" s="141" t="str">
        <f>TEXT(IF(KB[[#This Row],[DOC]]&lt;&gt;"",KB[[#This Row],[DOC]],E73),"000")</f>
        <v>007</v>
      </c>
      <c r="F74" s="40">
        <v>43845</v>
      </c>
      <c r="G74" s="40" t="str">
        <f>TYPE</f>
        <v>A</v>
      </c>
      <c r="H74" s="153" t="s">
        <v>763</v>
      </c>
      <c r="I74" s="42" t="s">
        <v>84</v>
      </c>
      <c r="J74" s="43" t="s">
        <v>85</v>
      </c>
      <c r="K74" s="44">
        <v>1</v>
      </c>
      <c r="L74" s="49">
        <v>3920</v>
      </c>
      <c r="M74" s="49">
        <v>1620</v>
      </c>
      <c r="N74" s="49">
        <v>2300</v>
      </c>
      <c r="O74" s="49">
        <v>5</v>
      </c>
      <c r="P74" s="49">
        <v>115</v>
      </c>
      <c r="Q74" s="49">
        <v>2185</v>
      </c>
      <c r="R74" s="49">
        <v>2650</v>
      </c>
      <c r="S74" s="49">
        <v>5790250</v>
      </c>
      <c r="T74" s="49">
        <v>13.32</v>
      </c>
      <c r="U74" s="49">
        <v>2663.32</v>
      </c>
      <c r="V74" s="49">
        <v>5819354</v>
      </c>
      <c r="W74" s="49">
        <v>29097</v>
      </c>
      <c r="X74" s="49">
        <v>5790257</v>
      </c>
      <c r="Y74" s="530" t="str">
        <f>IFERROR(IF(FIND("/KM",KB[[#This Row],[SUPPLIER]])&gt;0,"LAUT"),"DARAT")</f>
        <v>DARAT</v>
      </c>
    </row>
    <row r="75" spans="2:25">
      <c r="B75" s="140" t="str">
        <f>IFERROR(LEFT(KB[[#This Row],[SUPPLIER]],FIND("/",KB[[#This Row],[SUPPLIER]])-1),KB[[#This Row],[SUPPLIER]])</f>
        <v>HENDRI</v>
      </c>
      <c r="C75" s="141" t="str">
        <f>TEXT(VLOOKUP(KB[[#This Row],[RELASI]],DBRELASI[[RELASI]:[DOCKB]],10,0)+COUNTIFS($B$2:B75,KB[[#This Row],[RELASI]],$D$2:D75,1),"000")</f>
        <v>006</v>
      </c>
      <c r="D75" s="141">
        <f>IF(COUNTIFS($B$3:B75,KB[[#This Row],[RELASI]],$F$3:F75,KB[[#This Row],[TANGGAL]])&lt;&gt;1,0,1)</f>
        <v>1</v>
      </c>
      <c r="E75" s="141" t="str">
        <f>TEXT(IF(KB[[#This Row],[DOC]]&lt;&gt;"",KB[[#This Row],[DOC]],E74),"000")</f>
        <v>006</v>
      </c>
      <c r="F75" s="40">
        <v>43845</v>
      </c>
      <c r="G75" s="40" t="str">
        <f>TYPE</f>
        <v>A</v>
      </c>
      <c r="H75" s="153" t="s">
        <v>759</v>
      </c>
      <c r="I75" s="42" t="s">
        <v>774</v>
      </c>
      <c r="J75" s="43" t="s">
        <v>475</v>
      </c>
      <c r="K75" s="44">
        <v>4</v>
      </c>
      <c r="L75" s="49">
        <v>32700</v>
      </c>
      <c r="M75" s="49">
        <v>15650</v>
      </c>
      <c r="N75" s="49">
        <v>17050</v>
      </c>
      <c r="O75" s="49">
        <v>5.9999999999999982</v>
      </c>
      <c r="P75" s="49">
        <v>1022.9999999999998</v>
      </c>
      <c r="Q75" s="49">
        <v>16027</v>
      </c>
      <c r="R75" s="49">
        <v>2600</v>
      </c>
      <c r="S75" s="49">
        <v>41670200</v>
      </c>
      <c r="T75" s="49">
        <v>13.07</v>
      </c>
      <c r="U75" s="49">
        <v>2613.0700000000002</v>
      </c>
      <c r="V75" s="49">
        <v>41879673</v>
      </c>
      <c r="W75" s="49">
        <v>209398</v>
      </c>
      <c r="X75" s="49">
        <v>41670275</v>
      </c>
      <c r="Y75" s="530" t="str">
        <f>IFERROR(IF(FIND("/KM",KB[[#This Row],[SUPPLIER]])&gt;0,"LAUT"),"DARAT")</f>
        <v>LAUT</v>
      </c>
    </row>
    <row r="76" spans="2:25">
      <c r="B76" s="140" t="str">
        <f>IFERROR(LEFT(KB[[#This Row],[SUPPLIER]],FIND("/",KB[[#This Row],[SUPPLIER]])-1),KB[[#This Row],[SUPPLIER]])</f>
        <v>MARTONO</v>
      </c>
      <c r="C76" s="141" t="str">
        <f>TEXT(VLOOKUP(KB[[#This Row],[RELASI]],DBRELASI[[RELASI]:[DOCKB]],10,0)+COUNTIFS($B$2:B76,KB[[#This Row],[RELASI]],$D$2:D76,1),"000")</f>
        <v>009</v>
      </c>
      <c r="D76" s="141">
        <f>IF(COUNTIFS($B$3:B76,KB[[#This Row],[RELASI]],$F$3:F76,KB[[#This Row],[TANGGAL]])&lt;&gt;1,0,1)</f>
        <v>1</v>
      </c>
      <c r="E76" s="141" t="str">
        <f>TEXT(IF(KB[[#This Row],[DOC]]&lt;&gt;"",KB[[#This Row],[DOC]],E75),"000")</f>
        <v>009</v>
      </c>
      <c r="F76" s="40">
        <v>43845</v>
      </c>
      <c r="G76" s="40" t="str">
        <f>TYPE</f>
        <v>A</v>
      </c>
      <c r="H76" s="153" t="s">
        <v>769</v>
      </c>
      <c r="I76" s="42" t="s">
        <v>761</v>
      </c>
      <c r="J76" s="43" t="s">
        <v>83</v>
      </c>
      <c r="K76" s="44">
        <v>4</v>
      </c>
      <c r="L76" s="49">
        <v>33410</v>
      </c>
      <c r="M76" s="49">
        <v>15570</v>
      </c>
      <c r="N76" s="49">
        <v>17840</v>
      </c>
      <c r="O76" s="49">
        <v>6</v>
      </c>
      <c r="P76" s="49">
        <v>1070.4000000000001</v>
      </c>
      <c r="Q76" s="49">
        <v>16769.599999999999</v>
      </c>
      <c r="R76" s="49">
        <v>2600</v>
      </c>
      <c r="S76" s="49">
        <v>43600960</v>
      </c>
      <c r="T76" s="49">
        <v>13.07</v>
      </c>
      <c r="U76" s="49">
        <v>2613.0700000000002</v>
      </c>
      <c r="V76" s="49">
        <v>43820140</v>
      </c>
      <c r="W76" s="49">
        <v>219100</v>
      </c>
      <c r="X76" s="49">
        <v>43601040</v>
      </c>
      <c r="Y76" s="530" t="str">
        <f>IFERROR(IF(FIND("/KM",KB[[#This Row],[SUPPLIER]])&gt;0,"LAUT"),"DARAT")</f>
        <v>LAUT</v>
      </c>
    </row>
    <row r="77" spans="2:25">
      <c r="B77" s="140" t="str">
        <f>IFERROR(LEFT(KB[[#This Row],[SUPPLIER]],FIND("/",KB[[#This Row],[SUPPLIER]])-1),KB[[#This Row],[SUPPLIER]])</f>
        <v>MASRI</v>
      </c>
      <c r="C77" s="141" t="str">
        <f>TEXT(VLOOKUP(KB[[#This Row],[RELASI]],DBRELASI[[RELASI]:[DOCKB]],10,0)+COUNTIFS($B$2:B77,KB[[#This Row],[RELASI]],$D$2:D77,1),"000")</f>
        <v>007</v>
      </c>
      <c r="D77" s="141">
        <f>IF(COUNTIFS($B$3:B77,KB[[#This Row],[RELASI]],$F$3:F77,KB[[#This Row],[TANGGAL]])&lt;&gt;1,0,1)</f>
        <v>1</v>
      </c>
      <c r="E77" s="141" t="str">
        <f>TEXT(IF(KB[[#This Row],[DOC]]&lt;&gt;"",KB[[#This Row],[DOC]],E76),"000")</f>
        <v>007</v>
      </c>
      <c r="F77" s="40">
        <v>43845</v>
      </c>
      <c r="G77" s="40" t="str">
        <f>TYPE</f>
        <v>A</v>
      </c>
      <c r="H77" s="153" t="s">
        <v>763</v>
      </c>
      <c r="I77" s="42" t="s">
        <v>775</v>
      </c>
      <c r="J77" s="43" t="s">
        <v>511</v>
      </c>
      <c r="K77" s="44">
        <v>16</v>
      </c>
      <c r="L77" s="49">
        <v>135340</v>
      </c>
      <c r="M77" s="49">
        <v>62350</v>
      </c>
      <c r="N77" s="49">
        <v>72990</v>
      </c>
      <c r="O77" s="49">
        <v>6</v>
      </c>
      <c r="P77" s="49">
        <v>4379.3999999999996</v>
      </c>
      <c r="Q77" s="49">
        <v>68610.600000000006</v>
      </c>
      <c r="R77" s="49">
        <v>2749.9999999999995</v>
      </c>
      <c r="S77" s="49">
        <v>188679150</v>
      </c>
      <c r="T77" s="49">
        <v>13.82</v>
      </c>
      <c r="U77" s="49">
        <v>2763.8199999999997</v>
      </c>
      <c r="V77" s="49">
        <v>189627350</v>
      </c>
      <c r="W77" s="49">
        <v>948135</v>
      </c>
      <c r="X77" s="49">
        <v>188679215</v>
      </c>
      <c r="Y77" s="530" t="str">
        <f>IFERROR(IF(FIND("/KM",KB[[#This Row],[SUPPLIER]])&gt;0,"LAUT"),"DARAT")</f>
        <v>LAUT</v>
      </c>
    </row>
    <row r="78" spans="2:25">
      <c r="B78" s="140" t="str">
        <f>IFERROR(LEFT(KB[[#This Row],[SUPPLIER]],FIND("/",KB[[#This Row],[SUPPLIER]])-1),KB[[#This Row],[SUPPLIER]])</f>
        <v>MASRI</v>
      </c>
      <c r="C78" s="141" t="str">
        <f>TEXT(VLOOKUP(KB[[#This Row],[RELASI]],DBRELASI[[RELASI]:[DOCKB]],10,0)+COUNTIFS($B$2:B78,KB[[#This Row],[RELASI]],$D$2:D78,1),"000")</f>
        <v>007</v>
      </c>
      <c r="D78" s="141">
        <f>IF(COUNTIFS($B$3:B78,KB[[#This Row],[RELASI]],$F$3:F78,KB[[#This Row],[TANGGAL]])&lt;&gt;1,0,1)</f>
        <v>0</v>
      </c>
      <c r="E78" s="141" t="str">
        <f>TEXT(IF(KB[[#This Row],[DOC]]&lt;&gt;"",KB[[#This Row],[DOC]],E77),"000")</f>
        <v>007</v>
      </c>
      <c r="F78" s="40">
        <v>43845</v>
      </c>
      <c r="G78" s="40" t="str">
        <f>TYPE</f>
        <v>A</v>
      </c>
      <c r="H78"/>
      <c r="I78" s="42" t="s">
        <v>776</v>
      </c>
      <c r="J78" s="43" t="s">
        <v>511</v>
      </c>
      <c r="K78" s="44">
        <v>12</v>
      </c>
      <c r="L78" s="49">
        <v>98560</v>
      </c>
      <c r="M78" s="49">
        <v>46800</v>
      </c>
      <c r="N78" s="49">
        <v>51760</v>
      </c>
      <c r="O78" s="49">
        <v>6</v>
      </c>
      <c r="P78" s="49">
        <v>3105.6000000000004</v>
      </c>
      <c r="Q78" s="49">
        <v>48654.399999999994</v>
      </c>
      <c r="R78" s="49">
        <v>2750.0000000000005</v>
      </c>
      <c r="S78" s="49">
        <v>133799600</v>
      </c>
      <c r="T78" s="49">
        <v>13.82</v>
      </c>
      <c r="U78" s="49">
        <v>2763.8200000000006</v>
      </c>
      <c r="V78" s="49">
        <v>134472005</v>
      </c>
      <c r="W78" s="49">
        <v>672360</v>
      </c>
      <c r="X78" s="49">
        <v>133799645</v>
      </c>
      <c r="Y78" s="530" t="str">
        <f>IFERROR(IF(FIND("/KM",KB[[#This Row],[SUPPLIER]])&gt;0,"LAUT"),"DARAT")</f>
        <v>LAUT</v>
      </c>
    </row>
    <row r="79" spans="2:25">
      <c r="B79" s="140" t="str">
        <f>IFERROR(LEFT(KB[[#This Row],[SUPPLIER]],FIND("/",KB[[#This Row],[SUPPLIER]])-1),KB[[#This Row],[SUPPLIER]])</f>
        <v>SUKAMTO</v>
      </c>
      <c r="C79" s="141" t="str">
        <f>TEXT(VLOOKUP(KB[[#This Row],[RELASI]],DBRELASI[[RELASI]:[DOCKB]],10,0)+COUNTIFS($B$2:B79,KB[[#This Row],[RELASI]],$D$2:D79,1),"000")</f>
        <v>004</v>
      </c>
      <c r="D79" s="141">
        <f>IF(COUNTIFS($B$3:B79,KB[[#This Row],[RELASI]],$F$3:F79,KB[[#This Row],[TANGGAL]])&lt;&gt;1,0,1)</f>
        <v>1</v>
      </c>
      <c r="E79" s="141" t="str">
        <f>TEXT(IF(KB[[#This Row],[DOC]]&lt;&gt;"",KB[[#This Row],[DOC]],E78),"000")</f>
        <v>004</v>
      </c>
      <c r="F79" s="40">
        <v>43845</v>
      </c>
      <c r="G79" s="40" t="str">
        <f>TYPE</f>
        <v>A</v>
      </c>
      <c r="H79" s="154" t="s">
        <v>526</v>
      </c>
      <c r="I79" s="46" t="s">
        <v>523</v>
      </c>
      <c r="J79" s="47" t="s">
        <v>524</v>
      </c>
      <c r="K79" s="48">
        <v>1</v>
      </c>
      <c r="L79" s="49">
        <v>8100</v>
      </c>
      <c r="M79" s="49">
        <v>3920</v>
      </c>
      <c r="N79" s="49">
        <v>4180</v>
      </c>
      <c r="O79" s="49">
        <v>6</v>
      </c>
      <c r="P79" s="49">
        <v>250.79999999999998</v>
      </c>
      <c r="Q79" s="49">
        <v>3929.2</v>
      </c>
      <c r="R79" s="49">
        <v>2550</v>
      </c>
      <c r="S79" s="49">
        <v>10019460</v>
      </c>
      <c r="T79" s="49">
        <v>12.81</v>
      </c>
      <c r="U79" s="49">
        <v>2562.81</v>
      </c>
      <c r="V79" s="49">
        <v>10069793</v>
      </c>
      <c r="W79" s="49">
        <v>50349</v>
      </c>
      <c r="X79" s="49">
        <v>10019444</v>
      </c>
      <c r="Y79" s="574" t="str">
        <f>IFERROR(IF(FIND("/KM",KB[[#This Row],[SUPPLIER]])&gt;0,"LAUT"),"DARAT")</f>
        <v>LAUT</v>
      </c>
    </row>
    <row r="80" spans="2:25">
      <c r="B80" s="140" t="str">
        <f>IFERROR(LEFT(KB[[#This Row],[SUPPLIER]],FIND("/",KB[[#This Row],[SUPPLIER]])-1),KB[[#This Row],[SUPPLIER]])</f>
        <v>INDRAYANI</v>
      </c>
      <c r="C80" s="141" t="str">
        <f>TEXT(VLOOKUP(KB[[#This Row],[RELASI]],DBRELASI[[RELASI]:[DOCKB]],10,0)+COUNTIFS($B$2:B80,KB[[#This Row],[RELASI]],$D$2:D80,1),"000")</f>
        <v>010</v>
      </c>
      <c r="D80" s="141">
        <f>IF(COUNTIFS($B$3:B80,KB[[#This Row],[RELASI]],$F$3:F80,KB[[#This Row],[TANGGAL]])&lt;&gt;1,0,1)</f>
        <v>1</v>
      </c>
      <c r="E80" s="141" t="str">
        <f>TEXT(IF(KB[[#This Row],[DOC]]&lt;&gt;"",KB[[#This Row],[DOC]],E79),"000")</f>
        <v>010</v>
      </c>
      <c r="F80" s="40">
        <v>43846</v>
      </c>
      <c r="G80" s="40" t="str">
        <f>TYPE</f>
        <v>A</v>
      </c>
      <c r="H80" s="153" t="s">
        <v>773</v>
      </c>
      <c r="I80" s="42" t="s">
        <v>79</v>
      </c>
      <c r="J80" s="43" t="s">
        <v>77</v>
      </c>
      <c r="K80" s="44">
        <v>1</v>
      </c>
      <c r="L80" s="49">
        <v>10680</v>
      </c>
      <c r="M80" s="49">
        <v>3330</v>
      </c>
      <c r="N80" s="49">
        <v>7350</v>
      </c>
      <c r="O80" s="49">
        <v>5</v>
      </c>
      <c r="P80" s="49">
        <v>367.5</v>
      </c>
      <c r="Q80" s="49">
        <v>6982.5</v>
      </c>
      <c r="R80" s="49">
        <v>2700</v>
      </c>
      <c r="S80" s="49">
        <v>18852750</v>
      </c>
      <c r="T80" s="49">
        <v>13.57</v>
      </c>
      <c r="U80" s="49">
        <v>2713.57</v>
      </c>
      <c r="V80" s="49">
        <v>18947503</v>
      </c>
      <c r="W80" s="49">
        <v>94738</v>
      </c>
      <c r="X80" s="49">
        <v>18852765</v>
      </c>
      <c r="Y80" s="530" t="str">
        <f>IFERROR(IF(FIND("/KM",KB[[#This Row],[SUPPLIER]])&gt;0,"LAUT"),"DARAT")</f>
        <v>DARAT</v>
      </c>
    </row>
    <row r="81" spans="2:25">
      <c r="B81" s="140" t="str">
        <f>IFERROR(LEFT(KB[[#This Row],[SUPPLIER]],FIND("/",KB[[#This Row],[SUPPLIER]])-1),KB[[#This Row],[SUPPLIER]])</f>
        <v>DINI CHAIRANI</v>
      </c>
      <c r="C81" s="141" t="str">
        <f>TEXT(VLOOKUP(KB[[#This Row],[RELASI]],DBRELASI[[RELASI]:[DOCKB]],10,0)+COUNTIFS($B$2:B81,KB[[#This Row],[RELASI]],$D$2:D81,1),"000")</f>
        <v>005</v>
      </c>
      <c r="D81" s="141">
        <f>IF(COUNTIFS($B$3:B81,KB[[#This Row],[RELASI]],$F$3:F81,KB[[#This Row],[TANGGAL]])&lt;&gt;1,0,1)</f>
        <v>1</v>
      </c>
      <c r="E81" s="141" t="str">
        <f>TEXT(IF(KB[[#This Row],[DOC]]&lt;&gt;"",KB[[#This Row],[DOC]],E80),"000")</f>
        <v>005</v>
      </c>
      <c r="F81" s="40">
        <v>43846</v>
      </c>
      <c r="G81" s="40" t="str">
        <f>TYPE</f>
        <v>A</v>
      </c>
      <c r="H81" s="153" t="s">
        <v>532</v>
      </c>
      <c r="I81" s="42" t="s">
        <v>525</v>
      </c>
      <c r="J81" s="43" t="s">
        <v>95</v>
      </c>
      <c r="K81" s="44">
        <v>1</v>
      </c>
      <c r="L81" s="49">
        <v>5650</v>
      </c>
      <c r="M81" s="49">
        <v>3910</v>
      </c>
      <c r="N81" s="49">
        <v>1740</v>
      </c>
      <c r="O81" s="49">
        <v>6</v>
      </c>
      <c r="P81" s="49">
        <v>104.39999999999999</v>
      </c>
      <c r="Q81" s="49">
        <v>1635.6</v>
      </c>
      <c r="R81" s="49">
        <v>2550</v>
      </c>
      <c r="S81" s="49">
        <v>4170780</v>
      </c>
      <c r="T81" s="49">
        <v>12.81</v>
      </c>
      <c r="U81" s="49">
        <v>2562.81</v>
      </c>
      <c r="V81" s="49">
        <v>4191732</v>
      </c>
      <c r="W81" s="49">
        <v>20959</v>
      </c>
      <c r="X81" s="49">
        <v>4170773</v>
      </c>
      <c r="Y81" s="530" t="str">
        <f>IFERROR(IF(FIND("/KM",KB[[#This Row],[SUPPLIER]])&gt;0,"LAUT"),"DARAT")</f>
        <v>LAUT</v>
      </c>
    </row>
    <row r="82" spans="2:25">
      <c r="B82" s="140" t="str">
        <f>IFERROR(LEFT(KB[[#This Row],[SUPPLIER]],FIND("/",KB[[#This Row],[SUPPLIER]])-1),KB[[#This Row],[SUPPLIER]])</f>
        <v>ERAWATI</v>
      </c>
      <c r="C82" s="141" t="str">
        <f>TEXT(VLOOKUP(KB[[#This Row],[RELASI]],DBRELASI[[RELASI]:[DOCKB]],10,0)+COUNTIFS($B$2:B82,KB[[#This Row],[RELASI]],$D$2:D82,1),"000")</f>
        <v>011</v>
      </c>
      <c r="D82" s="141">
        <f>IF(COUNTIFS($B$3:B82,KB[[#This Row],[RELASI]],$F$3:F82,KB[[#This Row],[TANGGAL]])&lt;&gt;1,0,1)</f>
        <v>1</v>
      </c>
      <c r="E82" s="141" t="str">
        <f>TEXT(IF(KB[[#This Row],[DOC]]&lt;&gt;"",KB[[#This Row],[DOC]],E81),"000")</f>
        <v>011</v>
      </c>
      <c r="F82" s="40">
        <v>43846</v>
      </c>
      <c r="G82" s="40" t="str">
        <f>TYPE</f>
        <v>A</v>
      </c>
      <c r="H82" s="154" t="s">
        <v>777</v>
      </c>
      <c r="I82" s="46" t="s">
        <v>506</v>
      </c>
      <c r="J82" s="47" t="s">
        <v>77</v>
      </c>
      <c r="K82" s="48">
        <v>1</v>
      </c>
      <c r="L82" s="49">
        <v>6740</v>
      </c>
      <c r="M82" s="49">
        <v>3880</v>
      </c>
      <c r="N82" s="49">
        <v>2860</v>
      </c>
      <c r="O82" s="49">
        <v>5.9999999999999991</v>
      </c>
      <c r="P82" s="49">
        <v>171.6</v>
      </c>
      <c r="Q82" s="49">
        <v>2688.4</v>
      </c>
      <c r="R82" s="49">
        <v>2550</v>
      </c>
      <c r="S82" s="49">
        <v>6855420</v>
      </c>
      <c r="T82" s="49">
        <v>12.81</v>
      </c>
      <c r="U82" s="49">
        <v>2562.81</v>
      </c>
      <c r="V82" s="49">
        <v>6889858</v>
      </c>
      <c r="W82" s="49">
        <v>34449</v>
      </c>
      <c r="X82" s="49">
        <v>6855409</v>
      </c>
      <c r="Y82" s="574" t="str">
        <f>IFERROR(IF(FIND("/KM",KB[[#This Row],[SUPPLIER]])&gt;0,"LAUT"),"DARAT")</f>
        <v>LAUT</v>
      </c>
    </row>
    <row r="83" spans="2:25">
      <c r="B83" s="140" t="str">
        <f>IFERROR(LEFT(KB[[#This Row],[SUPPLIER]],FIND("/",KB[[#This Row],[SUPPLIER]])-1),KB[[#This Row],[SUPPLIER]])</f>
        <v>ERAWATI</v>
      </c>
      <c r="C83" s="141" t="str">
        <f>TEXT(VLOOKUP(KB[[#This Row],[RELASI]],DBRELASI[[RELASI]:[DOCKB]],10,0)+COUNTIFS($B$2:B83,KB[[#This Row],[RELASI]],$D$2:D83,1),"000")</f>
        <v>012</v>
      </c>
      <c r="D83" s="141">
        <f>IF(COUNTIFS($B$3:B83,KB[[#This Row],[RELASI]],$F$3:F83,KB[[#This Row],[TANGGAL]])&lt;&gt;1,0,1)</f>
        <v>1</v>
      </c>
      <c r="E83" s="141" t="str">
        <f>TEXT(IF(KB[[#This Row],[DOC]]&lt;&gt;"",KB[[#This Row],[DOC]],E82),"000")</f>
        <v>012</v>
      </c>
      <c r="F83" s="40">
        <v>43847</v>
      </c>
      <c r="G83" s="40" t="str">
        <f>TYPE</f>
        <v>A</v>
      </c>
      <c r="H83" s="153" t="s">
        <v>778</v>
      </c>
      <c r="I83" s="42" t="s">
        <v>155</v>
      </c>
      <c r="J83" s="43" t="s">
        <v>77</v>
      </c>
      <c r="K83" s="44">
        <v>1</v>
      </c>
      <c r="L83" s="49">
        <v>11160</v>
      </c>
      <c r="M83" s="49">
        <v>4520</v>
      </c>
      <c r="N83" s="49">
        <v>6640</v>
      </c>
      <c r="O83" s="49">
        <v>5.9999999999999991</v>
      </c>
      <c r="P83" s="49">
        <v>398.4</v>
      </c>
      <c r="Q83" s="49">
        <v>6241.6</v>
      </c>
      <c r="R83" s="49">
        <v>2600</v>
      </c>
      <c r="S83" s="49">
        <v>16228160</v>
      </c>
      <c r="T83" s="49">
        <v>13.07</v>
      </c>
      <c r="U83" s="49">
        <v>2613.0700000000002</v>
      </c>
      <c r="V83" s="49">
        <v>16309738</v>
      </c>
      <c r="W83" s="49">
        <v>81549</v>
      </c>
      <c r="X83" s="49">
        <v>16228189</v>
      </c>
      <c r="Y83" s="530" t="str">
        <f>IFERROR(IF(FIND("/KM",KB[[#This Row],[SUPPLIER]])&gt;0,"LAUT"),"DARAT")</f>
        <v>DARAT</v>
      </c>
    </row>
    <row r="84" spans="2:25">
      <c r="B84" s="140" t="str">
        <f>IFERROR(LEFT(KB[[#This Row],[SUPPLIER]],FIND("/",KB[[#This Row],[SUPPLIER]])-1),KB[[#This Row],[SUPPLIER]])</f>
        <v>ERAWATI</v>
      </c>
      <c r="C84" s="141" t="str">
        <f>TEXT(VLOOKUP(KB[[#This Row],[RELASI]],DBRELASI[[RELASI]:[DOCKB]],10,0)+COUNTIFS($B$2:B84,KB[[#This Row],[RELASI]],$D$2:D84,1),"000")</f>
        <v>012</v>
      </c>
      <c r="D84" s="141">
        <f>IF(COUNTIFS($B$3:B84,KB[[#This Row],[RELASI]],$F$3:F84,KB[[#This Row],[TANGGAL]])&lt;&gt;1,0,1)</f>
        <v>0</v>
      </c>
      <c r="E84" s="141" t="str">
        <f>TEXT(IF(KB[[#This Row],[DOC]]&lt;&gt;"",KB[[#This Row],[DOC]],E83),"000")</f>
        <v>012</v>
      </c>
      <c r="F84" s="40">
        <v>43847</v>
      </c>
      <c r="G84" s="40" t="str">
        <f>TYPE</f>
        <v>A</v>
      </c>
      <c r="H84"/>
      <c r="I84" s="42" t="s">
        <v>506</v>
      </c>
      <c r="J84" s="43" t="s">
        <v>77</v>
      </c>
      <c r="K84" s="44">
        <v>1</v>
      </c>
      <c r="L84" s="49">
        <v>6910</v>
      </c>
      <c r="M84" s="49">
        <v>3910</v>
      </c>
      <c r="N84" s="49">
        <v>3000</v>
      </c>
      <c r="O84" s="49">
        <v>6</v>
      </c>
      <c r="P84" s="49">
        <v>180</v>
      </c>
      <c r="Q84" s="49">
        <v>2820</v>
      </c>
      <c r="R84" s="49">
        <v>2550</v>
      </c>
      <c r="S84" s="49">
        <v>7191000</v>
      </c>
      <c r="T84" s="49">
        <v>12.81</v>
      </c>
      <c r="U84" s="49">
        <v>2562.81</v>
      </c>
      <c r="V84" s="49">
        <v>7227124</v>
      </c>
      <c r="W84" s="49">
        <v>36136</v>
      </c>
      <c r="X84" s="49">
        <v>7190988</v>
      </c>
      <c r="Y84" s="530" t="str">
        <f>IFERROR(IF(FIND("/KM",KB[[#This Row],[SUPPLIER]])&gt;0,"LAUT"),"DARAT")</f>
        <v>LAUT</v>
      </c>
    </row>
    <row r="85" spans="2:25">
      <c r="B85" s="140" t="str">
        <f>IFERROR(LEFT(KB[[#This Row],[SUPPLIER]],FIND("/",KB[[#This Row],[SUPPLIER]])-1),KB[[#This Row],[SUPPLIER]])</f>
        <v>SAIRI</v>
      </c>
      <c r="C85" s="141" t="str">
        <f>TEXT(VLOOKUP(KB[[#This Row],[RELASI]],DBRELASI[[RELASI]:[DOCKB]],10,0)+COUNTIFS($B$2:B85,KB[[#This Row],[RELASI]],$D$2:D85,1),"000")</f>
        <v>008</v>
      </c>
      <c r="D85" s="141">
        <f>IF(COUNTIFS($B$3:B85,KB[[#This Row],[RELASI]],$F$3:F85,KB[[#This Row],[TANGGAL]])&lt;&gt;1,0,1)</f>
        <v>1</v>
      </c>
      <c r="E85" s="141" t="str">
        <f>TEXT(IF(KB[[#This Row],[DOC]]&lt;&gt;"",KB[[#This Row],[DOC]],E84),"000")</f>
        <v>008</v>
      </c>
      <c r="F85" s="40">
        <v>43847</v>
      </c>
      <c r="G85" s="40" t="str">
        <f>TYPE</f>
        <v>A</v>
      </c>
      <c r="H85" s="153" t="s">
        <v>767</v>
      </c>
      <c r="I85" s="42" t="s">
        <v>84</v>
      </c>
      <c r="J85" s="43" t="s">
        <v>85</v>
      </c>
      <c r="K85" s="44">
        <v>2</v>
      </c>
      <c r="L85" s="49">
        <v>8250</v>
      </c>
      <c r="M85" s="49">
        <v>4290</v>
      </c>
      <c r="N85" s="49">
        <v>3960</v>
      </c>
      <c r="O85" s="49">
        <v>5.7651515151515147</v>
      </c>
      <c r="P85" s="49">
        <v>228.29999999999998</v>
      </c>
      <c r="Q85" s="49">
        <v>3731.7</v>
      </c>
      <c r="R85" s="49">
        <v>2650</v>
      </c>
      <c r="S85" s="49">
        <v>9889005</v>
      </c>
      <c r="T85" s="49">
        <v>13.32</v>
      </c>
      <c r="U85" s="49">
        <v>2663.32</v>
      </c>
      <c r="V85" s="49">
        <v>9938711</v>
      </c>
      <c r="W85" s="49">
        <v>49693</v>
      </c>
      <c r="X85" s="49">
        <v>9889018</v>
      </c>
      <c r="Y85" s="530" t="str">
        <f>IFERROR(IF(FIND("/KM",KB[[#This Row],[SUPPLIER]])&gt;0,"LAUT"),"DARAT")</f>
        <v>DARAT</v>
      </c>
    </row>
    <row r="86" spans="2:25">
      <c r="B86" s="140" t="str">
        <f>IFERROR(LEFT(KB[[#This Row],[SUPPLIER]],FIND("/",KB[[#This Row],[SUPPLIER]])-1),KB[[#This Row],[SUPPLIER]])</f>
        <v>DINI CHAIRANI</v>
      </c>
      <c r="C86" s="141" t="str">
        <f>TEXT(VLOOKUP(KB[[#This Row],[RELASI]],DBRELASI[[RELASI]:[DOCKB]],10,0)+COUNTIFS($B$2:B86,KB[[#This Row],[RELASI]],$D$2:D86,1),"000")</f>
        <v>006</v>
      </c>
      <c r="D86" s="141">
        <f>IF(COUNTIFS($B$3:B86,KB[[#This Row],[RELASI]],$F$3:F86,KB[[#This Row],[TANGGAL]])&lt;&gt;1,0,1)</f>
        <v>1</v>
      </c>
      <c r="E86" s="141" t="str">
        <f>TEXT(IF(KB[[#This Row],[DOC]]&lt;&gt;"",KB[[#This Row],[DOC]],E85),"000")</f>
        <v>006</v>
      </c>
      <c r="F86" s="40">
        <v>43847</v>
      </c>
      <c r="G86" s="40" t="str">
        <f>TYPE</f>
        <v>A</v>
      </c>
      <c r="H86" s="154" t="s">
        <v>759</v>
      </c>
      <c r="I86" s="46" t="s">
        <v>779</v>
      </c>
      <c r="J86" s="47" t="s">
        <v>95</v>
      </c>
      <c r="K86" s="48">
        <v>1</v>
      </c>
      <c r="L86" s="49">
        <v>6970</v>
      </c>
      <c r="M86" s="49">
        <v>3900</v>
      </c>
      <c r="N86" s="49">
        <v>3070</v>
      </c>
      <c r="O86" s="49">
        <v>6</v>
      </c>
      <c r="P86" s="49">
        <v>184.2</v>
      </c>
      <c r="Q86" s="49">
        <v>2885.8</v>
      </c>
      <c r="R86" s="49">
        <v>2550</v>
      </c>
      <c r="S86" s="49">
        <v>7358790</v>
      </c>
      <c r="T86" s="49">
        <v>12.81</v>
      </c>
      <c r="U86" s="49">
        <v>2562.81</v>
      </c>
      <c r="V86" s="49">
        <v>7395757</v>
      </c>
      <c r="W86" s="49">
        <v>36979</v>
      </c>
      <c r="X86" s="49">
        <v>7358778</v>
      </c>
      <c r="Y86" s="574" t="str">
        <f>IFERROR(IF(FIND("/KM",KB[[#This Row],[SUPPLIER]])&gt;0,"LAUT"),"DARAT")</f>
        <v>LAUT</v>
      </c>
    </row>
    <row r="87" spans="2:25">
      <c r="B87" s="140" t="str">
        <f>IFERROR(LEFT(KB[[#This Row],[SUPPLIER]],FIND("/",KB[[#This Row],[SUPPLIER]])-1),KB[[#This Row],[SUPPLIER]])</f>
        <v>ERAWATI</v>
      </c>
      <c r="C87" s="141" t="str">
        <f>TEXT(VLOOKUP(KB[[#This Row],[RELASI]],DBRELASI[[RELASI]:[DOCKB]],10,0)+COUNTIFS($B$2:B87,KB[[#This Row],[RELASI]],$D$2:D87,1),"000")</f>
        <v>013</v>
      </c>
      <c r="D87" s="141">
        <f>IF(COUNTIFS($B$3:B87,KB[[#This Row],[RELASI]],$F$3:F87,KB[[#This Row],[TANGGAL]])&lt;&gt;1,0,1)</f>
        <v>1</v>
      </c>
      <c r="E87" s="141" t="str">
        <f>TEXT(IF(KB[[#This Row],[DOC]]&lt;&gt;"",KB[[#This Row],[DOC]],E86),"000")</f>
        <v>013</v>
      </c>
      <c r="F87" s="40">
        <v>43848</v>
      </c>
      <c r="G87" s="40" t="str">
        <f>TYPE</f>
        <v>A</v>
      </c>
      <c r="H87" s="153" t="s">
        <v>780</v>
      </c>
      <c r="I87" s="42" t="s">
        <v>155</v>
      </c>
      <c r="J87" s="43" t="s">
        <v>77</v>
      </c>
      <c r="K87" s="44">
        <v>2</v>
      </c>
      <c r="L87" s="49">
        <v>19990</v>
      </c>
      <c r="M87" s="49">
        <v>8740</v>
      </c>
      <c r="N87" s="49">
        <v>11250</v>
      </c>
      <c r="O87" s="49">
        <v>5.5004444444444438</v>
      </c>
      <c r="P87" s="49">
        <v>618.79999999999995</v>
      </c>
      <c r="Q87" s="49">
        <v>10631.2</v>
      </c>
      <c r="R87" s="49">
        <v>2800</v>
      </c>
      <c r="S87" s="49">
        <v>29767360</v>
      </c>
      <c r="T87" s="49">
        <v>14.07</v>
      </c>
      <c r="U87" s="49">
        <v>2814.07</v>
      </c>
      <c r="V87" s="49">
        <v>29916941</v>
      </c>
      <c r="W87" s="49">
        <v>149585</v>
      </c>
      <c r="X87" s="49">
        <v>29767356</v>
      </c>
      <c r="Y87" s="530" t="str">
        <f>IFERROR(IF(FIND("/KM",KB[[#This Row],[SUPPLIER]])&gt;0,"LAUT"),"DARAT")</f>
        <v>DARAT</v>
      </c>
    </row>
    <row r="88" spans="2:25">
      <c r="B88" s="140" t="str">
        <f>IFERROR(LEFT(KB[[#This Row],[SUPPLIER]],FIND("/",KB[[#This Row],[SUPPLIER]])-1),KB[[#This Row],[SUPPLIER]])</f>
        <v>ERAWATI</v>
      </c>
      <c r="C88" s="141" t="str">
        <f>TEXT(VLOOKUP(KB[[#This Row],[RELASI]],DBRELASI[[RELASI]:[DOCKB]],10,0)+COUNTIFS($B$2:B88,KB[[#This Row],[RELASI]],$D$2:D88,1),"000")</f>
        <v>013</v>
      </c>
      <c r="D88" s="141">
        <f>IF(COUNTIFS($B$3:B88,KB[[#This Row],[RELASI]],$F$3:F88,KB[[#This Row],[TANGGAL]])&lt;&gt;1,0,1)</f>
        <v>0</v>
      </c>
      <c r="E88" s="141" t="str">
        <f>TEXT(IF(KB[[#This Row],[DOC]]&lt;&gt;"",KB[[#This Row],[DOC]],E87),"000")</f>
        <v>013</v>
      </c>
      <c r="F88" s="40">
        <v>43848</v>
      </c>
      <c r="G88" s="40" t="str">
        <f>TYPE</f>
        <v>A</v>
      </c>
      <c r="H88"/>
      <c r="I88" s="42" t="s">
        <v>506</v>
      </c>
      <c r="J88" s="43" t="s">
        <v>77</v>
      </c>
      <c r="K88" s="44">
        <v>1</v>
      </c>
      <c r="L88" s="49">
        <v>8220</v>
      </c>
      <c r="M88" s="49">
        <v>3910</v>
      </c>
      <c r="N88" s="49">
        <v>4310</v>
      </c>
      <c r="O88" s="49">
        <v>5.9999999999999991</v>
      </c>
      <c r="P88" s="49">
        <v>258.59999999999997</v>
      </c>
      <c r="Q88" s="49">
        <v>4051.4</v>
      </c>
      <c r="R88" s="49">
        <v>2750</v>
      </c>
      <c r="S88" s="49">
        <v>11141350</v>
      </c>
      <c r="T88" s="49">
        <v>13.82</v>
      </c>
      <c r="U88" s="49">
        <v>2763.82</v>
      </c>
      <c r="V88" s="49">
        <v>11197340</v>
      </c>
      <c r="W88" s="49">
        <v>55987</v>
      </c>
      <c r="X88" s="49">
        <v>11141353</v>
      </c>
      <c r="Y88" s="530" t="str">
        <f>IFERROR(IF(FIND("/KM",KB[[#This Row],[SUPPLIER]])&gt;0,"LAUT"),"DARAT")</f>
        <v>LAUT</v>
      </c>
    </row>
    <row r="89" spans="2:25">
      <c r="B89" s="140" t="str">
        <f>IFERROR(LEFT(KB[[#This Row],[SUPPLIER]],FIND("/",KB[[#This Row],[SUPPLIER]])-1),KB[[#This Row],[SUPPLIER]])</f>
        <v>INDRAYANI</v>
      </c>
      <c r="C89" s="141" t="str">
        <f>TEXT(VLOOKUP(KB[[#This Row],[RELASI]],DBRELASI[[RELASI]:[DOCKB]],10,0)+COUNTIFS($B$2:B89,KB[[#This Row],[RELASI]],$D$2:D89,1),"000")</f>
        <v>011</v>
      </c>
      <c r="D89" s="141">
        <f>IF(COUNTIFS($B$3:B89,KB[[#This Row],[RELASI]],$F$3:F89,KB[[#This Row],[TANGGAL]])&lt;&gt;1,0,1)</f>
        <v>1</v>
      </c>
      <c r="E89" s="141" t="str">
        <f>TEXT(IF(KB[[#This Row],[DOC]]&lt;&gt;"",KB[[#This Row],[DOC]],E88),"000")</f>
        <v>011</v>
      </c>
      <c r="F89" s="40">
        <v>43848</v>
      </c>
      <c r="G89" s="40" t="str">
        <f>TYPE</f>
        <v>A</v>
      </c>
      <c r="H89" s="153" t="s">
        <v>777</v>
      </c>
      <c r="I89" s="42" t="s">
        <v>79</v>
      </c>
      <c r="J89" s="43" t="s">
        <v>77</v>
      </c>
      <c r="K89" s="44">
        <v>1</v>
      </c>
      <c r="L89" s="49">
        <v>9800</v>
      </c>
      <c r="M89" s="49">
        <v>8630</v>
      </c>
      <c r="N89" s="49">
        <v>1170</v>
      </c>
      <c r="O89" s="49">
        <v>6.0000000000000009</v>
      </c>
      <c r="P89" s="49">
        <v>70.2</v>
      </c>
      <c r="Q89" s="49">
        <v>1099.8</v>
      </c>
      <c r="R89" s="49">
        <v>2900</v>
      </c>
      <c r="S89" s="49">
        <v>3189420</v>
      </c>
      <c r="T89" s="49">
        <v>14.57</v>
      </c>
      <c r="U89" s="49">
        <v>2914.57</v>
      </c>
      <c r="V89" s="49">
        <v>3205444</v>
      </c>
      <c r="W89" s="49">
        <v>16027</v>
      </c>
      <c r="X89" s="49">
        <v>3189417</v>
      </c>
      <c r="Y89" s="530" t="str">
        <f>IFERROR(IF(FIND("/KM",KB[[#This Row],[SUPPLIER]])&gt;0,"LAUT"),"DARAT")</f>
        <v>DARAT</v>
      </c>
    </row>
    <row r="90" spans="2:25">
      <c r="B90" s="140" t="str">
        <f>IFERROR(LEFT(KB[[#This Row],[SUPPLIER]],FIND("/",KB[[#This Row],[SUPPLIER]])-1),KB[[#This Row],[SUPPLIER]])</f>
        <v>RUSLAN JAYA, SH</v>
      </c>
      <c r="C90" s="141" t="str">
        <f>TEXT(VLOOKUP(KB[[#This Row],[RELASI]],DBRELASI[[RELASI]:[DOCKB]],10,0)+COUNTIFS($B$2:B90,KB[[#This Row],[RELASI]],$D$2:D90,1),"000")</f>
        <v>001</v>
      </c>
      <c r="D90" s="141">
        <f>IF(COUNTIFS($B$3:B90,KB[[#This Row],[RELASI]],$F$3:F90,KB[[#This Row],[TANGGAL]])&lt;&gt;1,0,1)</f>
        <v>1</v>
      </c>
      <c r="E90" s="141" t="str">
        <f>TEXT(IF(KB[[#This Row],[DOC]]&lt;&gt;"",KB[[#This Row],[DOC]],E89),"000")</f>
        <v>001</v>
      </c>
      <c r="F90" s="40">
        <v>43848</v>
      </c>
      <c r="G90" s="40" t="str">
        <f>TYPE</f>
        <v>A</v>
      </c>
      <c r="H90" s="153" t="s">
        <v>75</v>
      </c>
      <c r="I90" s="42" t="s">
        <v>479</v>
      </c>
      <c r="J90" s="43" t="s">
        <v>475</v>
      </c>
      <c r="K90" s="44">
        <v>2</v>
      </c>
      <c r="L90" s="49">
        <v>22130</v>
      </c>
      <c r="M90" s="49">
        <v>8950</v>
      </c>
      <c r="N90" s="49">
        <v>13180</v>
      </c>
      <c r="O90" s="49">
        <v>5.3315629742033384</v>
      </c>
      <c r="P90" s="49">
        <v>702.7</v>
      </c>
      <c r="Q90" s="49">
        <v>12477.3</v>
      </c>
      <c r="R90" s="49">
        <v>2800</v>
      </c>
      <c r="S90" s="49">
        <v>34936440</v>
      </c>
      <c r="T90" s="49">
        <v>14.07</v>
      </c>
      <c r="U90" s="49">
        <v>2814.07</v>
      </c>
      <c r="V90" s="49">
        <v>35111996</v>
      </c>
      <c r="W90" s="49">
        <v>175560</v>
      </c>
      <c r="X90" s="49">
        <v>34936436</v>
      </c>
      <c r="Y90" s="530" t="str">
        <f>IFERROR(IF(FIND("/KM",KB[[#This Row],[SUPPLIER]])&gt;0,"LAUT"),"DARAT")</f>
        <v>DARAT</v>
      </c>
    </row>
    <row r="91" spans="2:25">
      <c r="B91" s="140" t="str">
        <f>IFERROR(LEFT(KB[[#This Row],[SUPPLIER]],FIND("/",KB[[#This Row],[SUPPLIER]])-1),KB[[#This Row],[SUPPLIER]])</f>
        <v>DINI CHAIRANI</v>
      </c>
      <c r="C91" s="141" t="str">
        <f>TEXT(VLOOKUP(KB[[#This Row],[RELASI]],DBRELASI[[RELASI]:[DOCKB]],10,0)+COUNTIFS($B$2:B91,KB[[#This Row],[RELASI]],$D$2:D91,1),"000")</f>
        <v>007</v>
      </c>
      <c r="D91" s="141">
        <f>IF(COUNTIFS($B$3:B91,KB[[#This Row],[RELASI]],$F$3:F91,KB[[#This Row],[TANGGAL]])&lt;&gt;1,0,1)</f>
        <v>1</v>
      </c>
      <c r="E91" s="141" t="str">
        <f>TEXT(IF(KB[[#This Row],[DOC]]&lt;&gt;"",KB[[#This Row],[DOC]],E90),"000")</f>
        <v>007</v>
      </c>
      <c r="F91" s="40">
        <v>43848</v>
      </c>
      <c r="G91" s="40" t="str">
        <f>TYPE</f>
        <v>A</v>
      </c>
      <c r="H91" s="154" t="s">
        <v>763</v>
      </c>
      <c r="I91" s="46" t="s">
        <v>772</v>
      </c>
      <c r="J91" s="47" t="s">
        <v>95</v>
      </c>
      <c r="K91" s="48">
        <v>1</v>
      </c>
      <c r="L91" s="49">
        <v>9130</v>
      </c>
      <c r="M91" s="49">
        <v>3900</v>
      </c>
      <c r="N91" s="49">
        <v>5230</v>
      </c>
      <c r="O91" s="49">
        <v>6.0000000000000009</v>
      </c>
      <c r="P91" s="49">
        <v>313.8</v>
      </c>
      <c r="Q91" s="49">
        <v>4916.2</v>
      </c>
      <c r="R91" s="49">
        <v>2750</v>
      </c>
      <c r="S91" s="49">
        <v>13519550</v>
      </c>
      <c r="T91" s="49">
        <v>13.82</v>
      </c>
      <c r="U91" s="49">
        <v>2763.82</v>
      </c>
      <c r="V91" s="49">
        <v>13587492</v>
      </c>
      <c r="W91" s="49">
        <v>67937</v>
      </c>
      <c r="X91" s="49">
        <v>13519555</v>
      </c>
      <c r="Y91" s="574" t="str">
        <f>IFERROR(IF(FIND("/KM",KB[[#This Row],[SUPPLIER]])&gt;0,"LAUT"),"DARAT")</f>
        <v>LAUT</v>
      </c>
    </row>
    <row r="92" spans="2:25">
      <c r="B92" s="140" t="str">
        <f>IFERROR(LEFT(KB[[#This Row],[SUPPLIER]],FIND("/",KB[[#This Row],[SUPPLIER]])-1),KB[[#This Row],[SUPPLIER]])</f>
        <v>ERAWATI</v>
      </c>
      <c r="C92" s="141" t="str">
        <f>TEXT(VLOOKUP(KB[[#This Row],[RELASI]],DBRELASI[[RELASI]:[DOCKB]],10,0)+COUNTIFS($B$2:B92,KB[[#This Row],[RELASI]],$D$2:D92,1),"000")</f>
        <v>014</v>
      </c>
      <c r="D92" s="141">
        <f>IF(COUNTIFS($B$3:B92,KB[[#This Row],[RELASI]],$F$3:F92,KB[[#This Row],[TANGGAL]])&lt;&gt;1,0,1)</f>
        <v>1</v>
      </c>
      <c r="E92" s="141" t="str">
        <f>TEXT(IF(KB[[#This Row],[DOC]]&lt;&gt;"",KB[[#This Row],[DOC]],E91),"000")</f>
        <v>014</v>
      </c>
      <c r="F92" s="40">
        <v>43850</v>
      </c>
      <c r="G92" s="40" t="str">
        <f>TYPE</f>
        <v>A</v>
      </c>
      <c r="H92" s="153" t="s">
        <v>781</v>
      </c>
      <c r="I92" s="42" t="s">
        <v>155</v>
      </c>
      <c r="J92" s="43" t="s">
        <v>77</v>
      </c>
      <c r="K92" s="44">
        <v>3</v>
      </c>
      <c r="L92" s="49">
        <v>29960</v>
      </c>
      <c r="M92" s="49">
        <v>14460</v>
      </c>
      <c r="N92" s="49">
        <v>15500</v>
      </c>
      <c r="O92" s="49">
        <v>5</v>
      </c>
      <c r="P92" s="49">
        <v>775</v>
      </c>
      <c r="Q92" s="49">
        <v>14725</v>
      </c>
      <c r="R92" s="49">
        <v>2800</v>
      </c>
      <c r="S92" s="49">
        <v>41230000</v>
      </c>
      <c r="T92" s="49">
        <v>14.07</v>
      </c>
      <c r="U92" s="49">
        <v>2814.07</v>
      </c>
      <c r="V92" s="49">
        <v>41437181</v>
      </c>
      <c r="W92" s="49">
        <v>207186</v>
      </c>
      <c r="X92" s="49">
        <v>41229995</v>
      </c>
      <c r="Y92" s="530" t="str">
        <f>IFERROR(IF(FIND("/KM",KB[[#This Row],[SUPPLIER]])&gt;0,"LAUT"),"DARAT")</f>
        <v>DARAT</v>
      </c>
    </row>
    <row r="93" spans="2:25">
      <c r="B93" s="140" t="str">
        <f>IFERROR(LEFT(KB[[#This Row],[SUPPLIER]],FIND("/",KB[[#This Row],[SUPPLIER]])-1),KB[[#This Row],[SUPPLIER]])</f>
        <v>INDRAYANI</v>
      </c>
      <c r="C93" s="141" t="str">
        <f>TEXT(VLOOKUP(KB[[#This Row],[RELASI]],DBRELASI[[RELASI]:[DOCKB]],10,0)+COUNTIFS($B$2:B93,KB[[#This Row],[RELASI]],$D$2:D93,1),"000")</f>
        <v>012</v>
      </c>
      <c r="D93" s="141">
        <f>IF(COUNTIFS($B$3:B93,KB[[#This Row],[RELASI]],$F$3:F93,KB[[#This Row],[TANGGAL]])&lt;&gt;1,0,1)</f>
        <v>1</v>
      </c>
      <c r="E93" s="141" t="str">
        <f>TEXT(IF(KB[[#This Row],[DOC]]&lt;&gt;"",KB[[#This Row],[DOC]],E92),"000")</f>
        <v>012</v>
      </c>
      <c r="F93" s="40">
        <v>43850</v>
      </c>
      <c r="G93" s="40" t="str">
        <f>TYPE</f>
        <v>A</v>
      </c>
      <c r="H93" s="153" t="s">
        <v>778</v>
      </c>
      <c r="I93" s="42" t="s">
        <v>79</v>
      </c>
      <c r="J93" s="43" t="s">
        <v>77</v>
      </c>
      <c r="K93" s="44">
        <v>2</v>
      </c>
      <c r="L93" s="49">
        <v>23250</v>
      </c>
      <c r="M93" s="49">
        <v>8560</v>
      </c>
      <c r="N93" s="49">
        <v>14690</v>
      </c>
      <c r="O93" s="49">
        <v>5</v>
      </c>
      <c r="P93" s="49">
        <v>734.5</v>
      </c>
      <c r="Q93" s="49">
        <v>13955.5</v>
      </c>
      <c r="R93" s="49">
        <v>2900</v>
      </c>
      <c r="S93" s="49">
        <v>40470950</v>
      </c>
      <c r="T93" s="49">
        <v>14.57</v>
      </c>
      <c r="U93" s="49">
        <v>2914.57</v>
      </c>
      <c r="V93" s="49">
        <v>40674281</v>
      </c>
      <c r="W93" s="49">
        <v>203371</v>
      </c>
      <c r="X93" s="49">
        <v>40470910</v>
      </c>
      <c r="Y93" s="530" t="str">
        <f>IFERROR(IF(FIND("/KM",KB[[#This Row],[SUPPLIER]])&gt;0,"LAUT"),"DARAT")</f>
        <v>DARAT</v>
      </c>
    </row>
    <row r="94" spans="2:25">
      <c r="B94" s="140" t="str">
        <f>IFERROR(LEFT(KB[[#This Row],[SUPPLIER]],FIND("/",KB[[#This Row],[SUPPLIER]])-1),KB[[#This Row],[SUPPLIER]])</f>
        <v>SAIRI</v>
      </c>
      <c r="C94" s="141" t="str">
        <f>TEXT(VLOOKUP(KB[[#This Row],[RELASI]],DBRELASI[[RELASI]:[DOCKB]],10,0)+COUNTIFS($B$2:B94,KB[[#This Row],[RELASI]],$D$2:D94,1),"000")</f>
        <v>009</v>
      </c>
      <c r="D94" s="141">
        <f>IF(COUNTIFS($B$3:B94,KB[[#This Row],[RELASI]],$F$3:F94,KB[[#This Row],[TANGGAL]])&lt;&gt;1,0,1)</f>
        <v>1</v>
      </c>
      <c r="E94" s="141" t="str">
        <f>TEXT(IF(KB[[#This Row],[DOC]]&lt;&gt;"",KB[[#This Row],[DOC]],E93),"000")</f>
        <v>009</v>
      </c>
      <c r="F94" s="40">
        <v>43850</v>
      </c>
      <c r="G94" s="40" t="str">
        <f>TYPE</f>
        <v>A</v>
      </c>
      <c r="H94" s="153" t="s">
        <v>769</v>
      </c>
      <c r="I94" s="42" t="s">
        <v>84</v>
      </c>
      <c r="J94" s="43" t="s">
        <v>85</v>
      </c>
      <c r="K94" s="44">
        <v>1</v>
      </c>
      <c r="L94" s="49">
        <v>4740</v>
      </c>
      <c r="M94" s="49">
        <v>1550</v>
      </c>
      <c r="N94" s="49">
        <v>3190</v>
      </c>
      <c r="O94" s="49">
        <v>5</v>
      </c>
      <c r="P94" s="49">
        <v>159.5</v>
      </c>
      <c r="Q94" s="49">
        <v>3030.5</v>
      </c>
      <c r="R94" s="49">
        <v>2850</v>
      </c>
      <c r="S94" s="49">
        <v>8636925</v>
      </c>
      <c r="T94" s="49">
        <v>14.32</v>
      </c>
      <c r="U94" s="49">
        <v>2864.32</v>
      </c>
      <c r="V94" s="49">
        <v>8680322</v>
      </c>
      <c r="W94" s="49">
        <v>43402</v>
      </c>
      <c r="X94" s="49">
        <v>8636920</v>
      </c>
      <c r="Y94" s="530" t="str">
        <f>IFERROR(IF(FIND("/KM",KB[[#This Row],[SUPPLIER]])&gt;0,"LAUT"),"DARAT")</f>
        <v>DARAT</v>
      </c>
    </row>
    <row r="95" spans="2:25">
      <c r="B95" s="140" t="str">
        <f>IFERROR(LEFT(KB[[#This Row],[SUPPLIER]],FIND("/",KB[[#This Row],[SUPPLIER]])-1),KB[[#This Row],[SUPPLIER]])</f>
        <v>AMIR</v>
      </c>
      <c r="C95" s="141" t="str">
        <f>TEXT(VLOOKUP(KB[[#This Row],[RELASI]],DBRELASI[[RELASI]:[DOCKB]],10,0)+COUNTIFS($B$2:B95,KB[[#This Row],[RELASI]],$D$2:D95,1),"000")</f>
        <v>001</v>
      </c>
      <c r="D95" s="141">
        <f>IF(COUNTIFS($B$3:B95,KB[[#This Row],[RELASI]],$F$3:F95,KB[[#This Row],[TANGGAL]])&lt;&gt;1,0,1)</f>
        <v>1</v>
      </c>
      <c r="E95" s="141" t="str">
        <f>TEXT(IF(KB[[#This Row],[DOC]]&lt;&gt;"",KB[[#This Row],[DOC]],E94),"000")</f>
        <v>001</v>
      </c>
      <c r="F95" s="40">
        <v>43850</v>
      </c>
      <c r="G95" s="40" t="str">
        <f>TYPE</f>
        <v>A</v>
      </c>
      <c r="H95" s="153" t="s">
        <v>75</v>
      </c>
      <c r="I95" s="42" t="s">
        <v>782</v>
      </c>
      <c r="J95" s="43" t="s">
        <v>783</v>
      </c>
      <c r="K95" s="44">
        <v>6</v>
      </c>
      <c r="L95" s="49">
        <v>46210</v>
      </c>
      <c r="M95" s="49">
        <v>23330</v>
      </c>
      <c r="N95" s="49">
        <v>22880</v>
      </c>
      <c r="O95" s="49">
        <v>6.0000000000000009</v>
      </c>
      <c r="P95" s="49">
        <v>1372.8000000000002</v>
      </c>
      <c r="Q95" s="49">
        <v>21507.199999999997</v>
      </c>
      <c r="R95" s="49">
        <v>2800.0000000000005</v>
      </c>
      <c r="S95" s="49">
        <v>60220160</v>
      </c>
      <c r="T95" s="49">
        <v>14.07</v>
      </c>
      <c r="U95" s="49">
        <v>2814.0700000000006</v>
      </c>
      <c r="V95" s="49">
        <v>60522765</v>
      </c>
      <c r="W95" s="49">
        <v>302614</v>
      </c>
      <c r="X95" s="49">
        <v>60220151</v>
      </c>
      <c r="Y95" s="530" t="str">
        <f>IFERROR(IF(FIND("/KM",KB[[#This Row],[SUPPLIER]])&gt;0,"LAUT"),"DARAT")</f>
        <v>LAUT</v>
      </c>
    </row>
    <row r="96" spans="2:25">
      <c r="B96" s="140" t="str">
        <f>IFERROR(LEFT(KB[[#This Row],[SUPPLIER]],FIND("/",KB[[#This Row],[SUPPLIER]])-1),KB[[#This Row],[SUPPLIER]])</f>
        <v>DINI CHAIRANI</v>
      </c>
      <c r="C96" s="141" t="str">
        <f>TEXT(VLOOKUP(KB[[#This Row],[RELASI]],DBRELASI[[RELASI]:[DOCKB]],10,0)+COUNTIFS($B$2:B96,KB[[#This Row],[RELASI]],$D$2:D96,1),"000")</f>
        <v>008</v>
      </c>
      <c r="D96" s="141">
        <f>IF(COUNTIFS($B$3:B96,KB[[#This Row],[RELASI]],$F$3:F96,KB[[#This Row],[TANGGAL]])&lt;&gt;1,0,1)</f>
        <v>1</v>
      </c>
      <c r="E96" s="141" t="str">
        <f>TEXT(IF(KB[[#This Row],[DOC]]&lt;&gt;"",KB[[#This Row],[DOC]],E95),"000")</f>
        <v>008</v>
      </c>
      <c r="F96" s="40">
        <v>43850</v>
      </c>
      <c r="G96" s="40" t="str">
        <f>TYPE</f>
        <v>A</v>
      </c>
      <c r="H96" s="153" t="s">
        <v>767</v>
      </c>
      <c r="I96" s="42" t="s">
        <v>517</v>
      </c>
      <c r="J96" s="43" t="s">
        <v>95</v>
      </c>
      <c r="K96" s="44">
        <v>5</v>
      </c>
      <c r="L96" s="49">
        <v>43710</v>
      </c>
      <c r="M96" s="49">
        <v>19690</v>
      </c>
      <c r="N96" s="49">
        <v>24020</v>
      </c>
      <c r="O96" s="49">
        <v>6.0000000000000009</v>
      </c>
      <c r="P96" s="49">
        <v>1441.2</v>
      </c>
      <c r="Q96" s="49">
        <v>22578.799999999999</v>
      </c>
      <c r="R96" s="49">
        <v>2800</v>
      </c>
      <c r="S96" s="49">
        <v>63220640</v>
      </c>
      <c r="T96" s="49">
        <v>14.07</v>
      </c>
      <c r="U96" s="49">
        <v>2814.07</v>
      </c>
      <c r="V96" s="49">
        <v>63538324</v>
      </c>
      <c r="W96" s="49">
        <v>317692</v>
      </c>
      <c r="X96" s="49">
        <v>63220632</v>
      </c>
      <c r="Y96" s="530" t="str">
        <f>IFERROR(IF(FIND("/KM",KB[[#This Row],[SUPPLIER]])&gt;0,"LAUT"),"DARAT")</f>
        <v>LAUT</v>
      </c>
    </row>
    <row r="97" spans="2:25">
      <c r="B97" s="140" t="str">
        <f>IFERROR(LEFT(KB[[#This Row],[SUPPLIER]],FIND("/",KB[[#This Row],[SUPPLIER]])-1),KB[[#This Row],[SUPPLIER]])</f>
        <v>DINI CHAIRANI</v>
      </c>
      <c r="C97" s="141" t="str">
        <f>TEXT(VLOOKUP(KB[[#This Row],[RELASI]],DBRELASI[[RELASI]:[DOCKB]],10,0)+COUNTIFS($B$2:B97,KB[[#This Row],[RELASI]],$D$2:D97,1),"000")</f>
        <v>008</v>
      </c>
      <c r="D97" s="141">
        <f>IF(COUNTIFS($B$3:B97,KB[[#This Row],[RELASI]],$F$3:F97,KB[[#This Row],[TANGGAL]])&lt;&gt;1,0,1)</f>
        <v>0</v>
      </c>
      <c r="E97" s="141" t="str">
        <f>TEXT(IF(KB[[#This Row],[DOC]]&lt;&gt;"",KB[[#This Row],[DOC]],E96),"000")</f>
        <v>008</v>
      </c>
      <c r="F97" s="40">
        <v>43850</v>
      </c>
      <c r="G97" s="40" t="str">
        <f>TYPE</f>
        <v>A</v>
      </c>
      <c r="H97"/>
      <c r="I97" s="42" t="s">
        <v>779</v>
      </c>
      <c r="J97" s="43" t="s">
        <v>95</v>
      </c>
      <c r="K97" s="44">
        <v>1</v>
      </c>
      <c r="L97" s="49">
        <v>7630</v>
      </c>
      <c r="M97" s="49">
        <v>3800</v>
      </c>
      <c r="N97" s="49">
        <v>3830</v>
      </c>
      <c r="O97" s="49">
        <v>6</v>
      </c>
      <c r="P97" s="49">
        <v>229.79999999999998</v>
      </c>
      <c r="Q97" s="49">
        <v>3600.2</v>
      </c>
      <c r="R97" s="49">
        <v>2750</v>
      </c>
      <c r="S97" s="49">
        <v>9900550</v>
      </c>
      <c r="T97" s="49">
        <v>13.82</v>
      </c>
      <c r="U97" s="49">
        <v>2763.82</v>
      </c>
      <c r="V97" s="49">
        <v>9950305</v>
      </c>
      <c r="W97" s="49">
        <v>49752</v>
      </c>
      <c r="X97" s="49">
        <v>9900553</v>
      </c>
      <c r="Y97" s="530" t="str">
        <f>IFERROR(IF(FIND("/KM",KB[[#This Row],[SUPPLIER]])&gt;0,"LAUT"),"DARAT")</f>
        <v>LAUT</v>
      </c>
    </row>
    <row r="98" spans="2:25">
      <c r="B98" s="140" t="str">
        <f>IFERROR(LEFT(KB[[#This Row],[SUPPLIER]],FIND("/",KB[[#This Row],[SUPPLIER]])-1),KB[[#This Row],[SUPPLIER]])</f>
        <v>HENDRI</v>
      </c>
      <c r="C98" s="141" t="str">
        <f>TEXT(VLOOKUP(KB[[#This Row],[RELASI]],DBRELASI[[RELASI]:[DOCKB]],10,0)+COUNTIFS($B$2:B98,KB[[#This Row],[RELASI]],$D$2:D98,1),"000")</f>
        <v>007</v>
      </c>
      <c r="D98" s="141">
        <f>IF(COUNTIFS($B$3:B98,KB[[#This Row],[RELASI]],$F$3:F98,KB[[#This Row],[TANGGAL]])&lt;&gt;1,0,1)</f>
        <v>1</v>
      </c>
      <c r="E98" s="141" t="str">
        <f>TEXT(IF(KB[[#This Row],[DOC]]&lt;&gt;"",KB[[#This Row],[DOC]],E97),"000")</f>
        <v>007</v>
      </c>
      <c r="F98" s="40">
        <v>43850</v>
      </c>
      <c r="G98" s="40" t="str">
        <f>TYPE</f>
        <v>A</v>
      </c>
      <c r="H98" s="153" t="s">
        <v>763</v>
      </c>
      <c r="I98" s="42" t="s">
        <v>784</v>
      </c>
      <c r="J98" s="43" t="s">
        <v>475</v>
      </c>
      <c r="K98" s="44">
        <v>9</v>
      </c>
      <c r="L98" s="49">
        <v>76190</v>
      </c>
      <c r="M98" s="49">
        <v>34820</v>
      </c>
      <c r="N98" s="49">
        <v>41370</v>
      </c>
      <c r="O98" s="49">
        <v>6</v>
      </c>
      <c r="P98" s="49">
        <v>2482.1999999999998</v>
      </c>
      <c r="Q98" s="49">
        <v>38887.800000000003</v>
      </c>
      <c r="R98" s="49">
        <v>2800</v>
      </c>
      <c r="S98" s="49">
        <v>108885840</v>
      </c>
      <c r="T98" s="49">
        <v>14.07</v>
      </c>
      <c r="U98" s="49">
        <v>2814.07</v>
      </c>
      <c r="V98" s="49">
        <v>109432991</v>
      </c>
      <c r="W98" s="49">
        <v>547167</v>
      </c>
      <c r="X98" s="49">
        <v>108885824</v>
      </c>
      <c r="Y98" s="530" t="str">
        <f>IFERROR(IF(FIND("/KM",KB[[#This Row],[SUPPLIER]])&gt;0,"LAUT"),"DARAT")</f>
        <v>LAUT</v>
      </c>
    </row>
    <row r="99" spans="2:25">
      <c r="B99" s="140" t="str">
        <f>IFERROR(LEFT(KB[[#This Row],[SUPPLIER]],FIND("/",KB[[#This Row],[SUPPLIER]])-1),KB[[#This Row],[SUPPLIER]])</f>
        <v>HENDRI</v>
      </c>
      <c r="C99" s="141" t="str">
        <f>TEXT(VLOOKUP(KB[[#This Row],[RELASI]],DBRELASI[[RELASI]:[DOCKB]],10,0)+COUNTIFS($B$2:B99,KB[[#This Row],[RELASI]],$D$2:D99,1),"000")</f>
        <v>007</v>
      </c>
      <c r="D99" s="141">
        <f>IF(COUNTIFS($B$3:B99,KB[[#This Row],[RELASI]],$F$3:F99,KB[[#This Row],[TANGGAL]])&lt;&gt;1,0,1)</f>
        <v>0</v>
      </c>
      <c r="E99" s="141" t="str">
        <f>TEXT(IF(KB[[#This Row],[DOC]]&lt;&gt;"",KB[[#This Row],[DOC]],E98),"000")</f>
        <v>007</v>
      </c>
      <c r="F99" s="40">
        <v>43850</v>
      </c>
      <c r="G99" s="40" t="str">
        <f>TYPE</f>
        <v>A</v>
      </c>
      <c r="H99"/>
      <c r="I99" s="42" t="s">
        <v>785</v>
      </c>
      <c r="J99" s="43" t="s">
        <v>475</v>
      </c>
      <c r="K99" s="44">
        <v>5</v>
      </c>
      <c r="L99" s="49">
        <v>40660</v>
      </c>
      <c r="M99" s="49">
        <v>19320</v>
      </c>
      <c r="N99" s="49">
        <v>21340</v>
      </c>
      <c r="O99" s="49">
        <v>5.9999999999999991</v>
      </c>
      <c r="P99" s="49">
        <v>1280.3999999999999</v>
      </c>
      <c r="Q99" s="49">
        <v>20059.600000000002</v>
      </c>
      <c r="R99" s="49">
        <v>2799.9999999999995</v>
      </c>
      <c r="S99" s="49">
        <v>56166880</v>
      </c>
      <c r="T99" s="49">
        <v>14.07</v>
      </c>
      <c r="U99" s="49">
        <v>2814.0699999999997</v>
      </c>
      <c r="V99" s="49">
        <v>56449118</v>
      </c>
      <c r="W99" s="49">
        <v>282245</v>
      </c>
      <c r="X99" s="49">
        <v>56166873</v>
      </c>
      <c r="Y99" s="530" t="str">
        <f>IFERROR(IF(FIND("/KM",KB[[#This Row],[SUPPLIER]])&gt;0,"LAUT"),"DARAT")</f>
        <v>LAUT</v>
      </c>
    </row>
    <row r="100" spans="2:25">
      <c r="B100" s="140" t="str">
        <f>IFERROR(LEFT(KB[[#This Row],[SUPPLIER]],FIND("/",KB[[#This Row],[SUPPLIER]])-1),KB[[#This Row],[SUPPLIER]])</f>
        <v>HENDRI</v>
      </c>
      <c r="C100" s="141" t="str">
        <f>TEXT(VLOOKUP(KB[[#This Row],[RELASI]],DBRELASI[[RELASI]:[DOCKB]],10,0)+COUNTIFS($B$2:B100,KB[[#This Row],[RELASI]],$D$2:D100,1),"000")</f>
        <v>007</v>
      </c>
      <c r="D100" s="141">
        <f>IF(COUNTIFS($B$3:B100,KB[[#This Row],[RELASI]],$F$3:F100,KB[[#This Row],[TANGGAL]])&lt;&gt;1,0,1)</f>
        <v>0</v>
      </c>
      <c r="E100" s="141" t="str">
        <f>TEXT(IF(KB[[#This Row],[DOC]]&lt;&gt;"",KB[[#This Row],[DOC]],E99),"000")</f>
        <v>007</v>
      </c>
      <c r="F100" s="40">
        <v>43850</v>
      </c>
      <c r="G100" s="40" t="str">
        <f>TYPE</f>
        <v>A</v>
      </c>
      <c r="H100"/>
      <c r="I100" s="42" t="s">
        <v>786</v>
      </c>
      <c r="J100" s="43" t="s">
        <v>475</v>
      </c>
      <c r="K100" s="44">
        <v>2</v>
      </c>
      <c r="L100" s="49">
        <v>15670</v>
      </c>
      <c r="M100" s="49">
        <v>7900</v>
      </c>
      <c r="N100" s="49">
        <v>7770</v>
      </c>
      <c r="O100" s="49">
        <v>5.9999999999999991</v>
      </c>
      <c r="P100" s="49">
        <v>466.19999999999993</v>
      </c>
      <c r="Q100" s="49">
        <v>7303.7999999999993</v>
      </c>
      <c r="R100" s="49">
        <v>2750.0000000000005</v>
      </c>
      <c r="S100" s="49">
        <v>20085450</v>
      </c>
      <c r="T100" s="49">
        <v>13.82</v>
      </c>
      <c r="U100" s="49">
        <v>2763.8200000000006</v>
      </c>
      <c r="V100" s="49">
        <v>20186389</v>
      </c>
      <c r="W100" s="49">
        <v>100932</v>
      </c>
      <c r="X100" s="49">
        <v>20085457</v>
      </c>
      <c r="Y100" s="530" t="str">
        <f>IFERROR(IF(FIND("/KM",KB[[#This Row],[SUPPLIER]])&gt;0,"LAUT"),"DARAT")</f>
        <v>LAUT</v>
      </c>
    </row>
    <row r="101" spans="2:25">
      <c r="B101" s="140" t="str">
        <f>IFERROR(LEFT(KB[[#This Row],[SUPPLIER]],FIND("/",KB[[#This Row],[SUPPLIER]])-1),KB[[#This Row],[SUPPLIER]])</f>
        <v>MARTONO</v>
      </c>
      <c r="C101" s="141" t="str">
        <f>TEXT(VLOOKUP(KB[[#This Row],[RELASI]],DBRELASI[[RELASI]:[DOCKB]],10,0)+COUNTIFS($B$2:B101,KB[[#This Row],[RELASI]],$D$2:D101,1),"000")</f>
        <v>010</v>
      </c>
      <c r="D101" s="141">
        <f>IF(COUNTIFS($B$3:B101,KB[[#This Row],[RELASI]],$F$3:F101,KB[[#This Row],[TANGGAL]])&lt;&gt;1,0,1)</f>
        <v>1</v>
      </c>
      <c r="E101" s="141" t="str">
        <f>TEXT(IF(KB[[#This Row],[DOC]]&lt;&gt;"",KB[[#This Row],[DOC]],E100),"000")</f>
        <v>010</v>
      </c>
      <c r="F101" s="40">
        <v>43850</v>
      </c>
      <c r="G101" s="40" t="str">
        <f>TYPE</f>
        <v>A</v>
      </c>
      <c r="H101" s="153" t="s">
        <v>773</v>
      </c>
      <c r="I101" s="42" t="s">
        <v>508</v>
      </c>
      <c r="J101" s="43" t="s">
        <v>83</v>
      </c>
      <c r="K101" s="44">
        <v>1</v>
      </c>
      <c r="L101" s="49">
        <v>9010</v>
      </c>
      <c r="M101" s="49">
        <v>3960</v>
      </c>
      <c r="N101" s="49">
        <v>5050</v>
      </c>
      <c r="O101" s="49">
        <v>6</v>
      </c>
      <c r="P101" s="49">
        <v>303</v>
      </c>
      <c r="Q101" s="49">
        <v>4747</v>
      </c>
      <c r="R101" s="49">
        <v>2750</v>
      </c>
      <c r="S101" s="49">
        <v>13054250</v>
      </c>
      <c r="T101" s="49">
        <v>13.82</v>
      </c>
      <c r="U101" s="49">
        <v>2763.82</v>
      </c>
      <c r="V101" s="49">
        <v>13119854</v>
      </c>
      <c r="W101" s="49">
        <v>65599</v>
      </c>
      <c r="X101" s="49">
        <v>13054255</v>
      </c>
      <c r="Y101" s="530" t="str">
        <f>IFERROR(IF(FIND("/KM",KB[[#This Row],[SUPPLIER]])&gt;0,"LAUT"),"DARAT")</f>
        <v>LAUT</v>
      </c>
    </row>
    <row r="102" spans="2:25">
      <c r="B102" s="140" t="str">
        <f>IFERROR(LEFT(KB[[#This Row],[SUPPLIER]],FIND("/",KB[[#This Row],[SUPPLIER]])-1),KB[[#This Row],[SUPPLIER]])</f>
        <v>MARTONO</v>
      </c>
      <c r="C102" s="141" t="str">
        <f>TEXT(VLOOKUP(KB[[#This Row],[RELASI]],DBRELASI[[RELASI]:[DOCKB]],10,0)+COUNTIFS($B$2:B102,KB[[#This Row],[RELASI]],$D$2:D102,1),"000")</f>
        <v>010</v>
      </c>
      <c r="D102" s="141">
        <f>IF(COUNTIFS($B$3:B102,KB[[#This Row],[RELASI]],$F$3:F102,KB[[#This Row],[TANGGAL]])&lt;&gt;1,0,1)</f>
        <v>0</v>
      </c>
      <c r="E102" s="141" t="str">
        <f>TEXT(IF(KB[[#This Row],[DOC]]&lt;&gt;"",KB[[#This Row],[DOC]],E101),"000")</f>
        <v>010</v>
      </c>
      <c r="F102" s="40">
        <v>43850</v>
      </c>
      <c r="G102" s="40" t="str">
        <f>TYPE</f>
        <v>A</v>
      </c>
      <c r="H102"/>
      <c r="I102" s="42" t="s">
        <v>762</v>
      </c>
      <c r="J102" s="43" t="s">
        <v>83</v>
      </c>
      <c r="K102" s="44">
        <v>1</v>
      </c>
      <c r="L102" s="49">
        <v>9000</v>
      </c>
      <c r="M102" s="49">
        <v>3880</v>
      </c>
      <c r="N102" s="49">
        <v>5120</v>
      </c>
      <c r="O102" s="49">
        <v>5.9999999999999991</v>
      </c>
      <c r="P102" s="49">
        <v>307.2</v>
      </c>
      <c r="Q102" s="49">
        <v>4812.8</v>
      </c>
      <c r="R102" s="49">
        <v>2850</v>
      </c>
      <c r="S102" s="49">
        <v>13716480</v>
      </c>
      <c r="T102" s="49">
        <v>14.32</v>
      </c>
      <c r="U102" s="49">
        <v>2864.32</v>
      </c>
      <c r="V102" s="49">
        <v>13785399</v>
      </c>
      <c r="W102" s="49">
        <v>68927</v>
      </c>
      <c r="X102" s="49">
        <v>13716472</v>
      </c>
      <c r="Y102" s="530" t="str">
        <f>IFERROR(IF(FIND("/KM",KB[[#This Row],[SUPPLIER]])&gt;0,"LAUT"),"DARAT")</f>
        <v>LAUT</v>
      </c>
    </row>
    <row r="103" spans="2:25">
      <c r="B103" s="140" t="str">
        <f>IFERROR(LEFT(KB[[#This Row],[SUPPLIER]],FIND("/",KB[[#This Row],[SUPPLIER]])-1),KB[[#This Row],[SUPPLIER]])</f>
        <v>MARTONO</v>
      </c>
      <c r="C103" s="141" t="str">
        <f>TEXT(VLOOKUP(KB[[#This Row],[RELASI]],DBRELASI[[RELASI]:[DOCKB]],10,0)+COUNTIFS($B$2:B103,KB[[#This Row],[RELASI]],$D$2:D103,1),"000")</f>
        <v>010</v>
      </c>
      <c r="D103" s="141">
        <f>IF(COUNTIFS($B$3:B103,KB[[#This Row],[RELASI]],$F$3:F103,KB[[#This Row],[TANGGAL]])&lt;&gt;1,0,1)</f>
        <v>0</v>
      </c>
      <c r="E103" s="141" t="str">
        <f>TEXT(IF(KB[[#This Row],[DOC]]&lt;&gt;"",KB[[#This Row],[DOC]],E102),"000")</f>
        <v>010</v>
      </c>
      <c r="F103" s="40">
        <v>43850</v>
      </c>
      <c r="G103" s="40" t="str">
        <f>TYPE</f>
        <v>A</v>
      </c>
      <c r="H103"/>
      <c r="I103" s="42" t="s">
        <v>787</v>
      </c>
      <c r="J103" s="43" t="s">
        <v>83</v>
      </c>
      <c r="K103" s="44">
        <v>6</v>
      </c>
      <c r="L103" s="49">
        <v>48980</v>
      </c>
      <c r="M103" s="49">
        <v>23010</v>
      </c>
      <c r="N103" s="49">
        <v>25970</v>
      </c>
      <c r="O103" s="49">
        <v>6</v>
      </c>
      <c r="P103" s="49">
        <v>1558.1999999999998</v>
      </c>
      <c r="Q103" s="49">
        <v>24411.800000000003</v>
      </c>
      <c r="R103" s="49">
        <v>2849.9999999999995</v>
      </c>
      <c r="S103" s="49">
        <v>69573630</v>
      </c>
      <c r="T103" s="49">
        <v>14.32</v>
      </c>
      <c r="U103" s="49">
        <v>2864.3199999999997</v>
      </c>
      <c r="V103" s="49">
        <v>69923208</v>
      </c>
      <c r="W103" s="49">
        <v>349616</v>
      </c>
      <c r="X103" s="49">
        <v>69573592</v>
      </c>
      <c r="Y103" s="530" t="str">
        <f>IFERROR(IF(FIND("/KM",KB[[#This Row],[SUPPLIER]])&gt;0,"LAUT"),"DARAT")</f>
        <v>LAUT</v>
      </c>
    </row>
    <row r="104" spans="2:25">
      <c r="B104" s="140" t="str">
        <f>IFERROR(LEFT(KB[[#This Row],[SUPPLIER]],FIND("/",KB[[#This Row],[SUPPLIER]])-1),KB[[#This Row],[SUPPLIER]])</f>
        <v>MARTONO</v>
      </c>
      <c r="C104" s="141" t="str">
        <f>TEXT(VLOOKUP(KB[[#This Row],[RELASI]],DBRELASI[[RELASI]:[DOCKB]],10,0)+COUNTIFS($B$2:B104,KB[[#This Row],[RELASI]],$D$2:D104,1),"000")</f>
        <v>010</v>
      </c>
      <c r="D104" s="141">
        <f>IF(COUNTIFS($B$3:B104,KB[[#This Row],[RELASI]],$F$3:F104,KB[[#This Row],[TANGGAL]])&lt;&gt;1,0,1)</f>
        <v>0</v>
      </c>
      <c r="E104" s="141" t="str">
        <f>TEXT(IF(KB[[#This Row],[DOC]]&lt;&gt;"",KB[[#This Row],[DOC]],E103),"000")</f>
        <v>010</v>
      </c>
      <c r="F104" s="40">
        <v>43850</v>
      </c>
      <c r="G104" s="40" t="str">
        <f>TYPE</f>
        <v>A</v>
      </c>
      <c r="H104"/>
      <c r="I104" s="42" t="s">
        <v>522</v>
      </c>
      <c r="J104" s="43" t="s">
        <v>83</v>
      </c>
      <c r="K104" s="44">
        <v>3</v>
      </c>
      <c r="L104" s="49">
        <v>21730</v>
      </c>
      <c r="M104" s="49">
        <v>11640</v>
      </c>
      <c r="N104" s="49">
        <v>10090</v>
      </c>
      <c r="O104" s="49">
        <v>5.9999999999999991</v>
      </c>
      <c r="P104" s="49">
        <v>605.4</v>
      </c>
      <c r="Q104" s="49">
        <v>9484.6</v>
      </c>
      <c r="R104" s="49">
        <v>2750</v>
      </c>
      <c r="S104" s="49">
        <v>26082650</v>
      </c>
      <c r="T104" s="49">
        <v>13.82</v>
      </c>
      <c r="U104" s="49">
        <v>2763.82</v>
      </c>
      <c r="V104" s="49">
        <v>26213727</v>
      </c>
      <c r="W104" s="49">
        <v>131069</v>
      </c>
      <c r="X104" s="49">
        <v>26082658</v>
      </c>
      <c r="Y104" s="530" t="str">
        <f>IFERROR(IF(FIND("/KM",KB[[#This Row],[SUPPLIER]])&gt;0,"LAUT"),"DARAT")</f>
        <v>LAUT</v>
      </c>
    </row>
    <row r="105" spans="2:25">
      <c r="B105" s="140" t="str">
        <f>IFERROR(LEFT(KB[[#This Row],[SUPPLIER]],FIND("/",KB[[#This Row],[SUPPLIER]])-1),KB[[#This Row],[SUPPLIER]])</f>
        <v>MASRI</v>
      </c>
      <c r="C105" s="141" t="str">
        <f>TEXT(VLOOKUP(KB[[#This Row],[RELASI]],DBRELASI[[RELASI]:[DOCKB]],10,0)+COUNTIFS($B$2:B105,KB[[#This Row],[RELASI]],$D$2:D105,1),"000")</f>
        <v>008</v>
      </c>
      <c r="D105" s="141">
        <f>IF(COUNTIFS($B$3:B105,KB[[#This Row],[RELASI]],$F$3:F105,KB[[#This Row],[TANGGAL]])&lt;&gt;1,0,1)</f>
        <v>1</v>
      </c>
      <c r="E105" s="141" t="str">
        <f>TEXT(IF(KB[[#This Row],[DOC]]&lt;&gt;"",KB[[#This Row],[DOC]],E104),"000")</f>
        <v>008</v>
      </c>
      <c r="F105" s="40">
        <v>43850</v>
      </c>
      <c r="G105" s="40" t="str">
        <f>TYPE</f>
        <v>A</v>
      </c>
      <c r="H105" s="153" t="s">
        <v>767</v>
      </c>
      <c r="I105" s="42" t="s">
        <v>788</v>
      </c>
      <c r="J105" s="43" t="s">
        <v>511</v>
      </c>
      <c r="K105" s="44">
        <v>6</v>
      </c>
      <c r="L105" s="49">
        <v>51870</v>
      </c>
      <c r="M105" s="49">
        <v>23130</v>
      </c>
      <c r="N105" s="49">
        <v>28740</v>
      </c>
      <c r="O105" s="49">
        <v>6.0000000000000009</v>
      </c>
      <c r="P105" s="49">
        <v>1724.4</v>
      </c>
      <c r="Q105" s="49">
        <v>27015.599999999999</v>
      </c>
      <c r="R105" s="49">
        <v>2850</v>
      </c>
      <c r="S105" s="49">
        <v>76994460</v>
      </c>
      <c r="T105" s="49">
        <v>14.32</v>
      </c>
      <c r="U105" s="49">
        <v>2864.32</v>
      </c>
      <c r="V105" s="49">
        <v>77381323</v>
      </c>
      <c r="W105" s="49">
        <v>386908</v>
      </c>
      <c r="X105" s="49">
        <v>76994415</v>
      </c>
      <c r="Y105" s="530" t="str">
        <f>IFERROR(IF(FIND("/KM",KB[[#This Row],[SUPPLIER]])&gt;0,"LAUT"),"DARAT")</f>
        <v>LAUT</v>
      </c>
    </row>
    <row r="106" spans="2:25">
      <c r="B106" s="140" t="str">
        <f>IFERROR(LEFT(KB[[#This Row],[SUPPLIER]],FIND("/",KB[[#This Row],[SUPPLIER]])-1),KB[[#This Row],[SUPPLIER]])</f>
        <v>SUKAMTO</v>
      </c>
      <c r="C106" s="141" t="str">
        <f>TEXT(VLOOKUP(KB[[#This Row],[RELASI]],DBRELASI[[RELASI]:[DOCKB]],10,0)+COUNTIFS($B$2:B106,KB[[#This Row],[RELASI]],$D$2:D106,1),"000")</f>
        <v>005</v>
      </c>
      <c r="D106" s="141">
        <f>IF(COUNTIFS($B$3:B106,KB[[#This Row],[RELASI]],$F$3:F106,KB[[#This Row],[TANGGAL]])&lt;&gt;1,0,1)</f>
        <v>1</v>
      </c>
      <c r="E106" s="141" t="str">
        <f>TEXT(IF(KB[[#This Row],[DOC]]&lt;&gt;"",KB[[#This Row],[DOC]],E105),"000")</f>
        <v>005</v>
      </c>
      <c r="F106" s="40">
        <v>43850</v>
      </c>
      <c r="G106" s="40" t="str">
        <f>TYPE</f>
        <v>A</v>
      </c>
      <c r="H106" s="154" t="s">
        <v>532</v>
      </c>
      <c r="I106" s="46" t="s">
        <v>523</v>
      </c>
      <c r="J106" s="47" t="s">
        <v>524</v>
      </c>
      <c r="K106" s="48">
        <v>1</v>
      </c>
      <c r="L106" s="49">
        <v>8710</v>
      </c>
      <c r="M106" s="49">
        <v>4010</v>
      </c>
      <c r="N106" s="49">
        <v>4700</v>
      </c>
      <c r="O106" s="49">
        <v>6</v>
      </c>
      <c r="P106" s="49">
        <v>282</v>
      </c>
      <c r="Q106" s="49">
        <v>4418</v>
      </c>
      <c r="R106" s="49">
        <v>2750</v>
      </c>
      <c r="S106" s="49">
        <v>12149500</v>
      </c>
      <c r="T106" s="49">
        <v>13.82</v>
      </c>
      <c r="U106" s="49">
        <v>2763.82</v>
      </c>
      <c r="V106" s="49">
        <v>12210557</v>
      </c>
      <c r="W106" s="49">
        <v>61053</v>
      </c>
      <c r="X106" s="49">
        <v>12149504</v>
      </c>
      <c r="Y106" s="574" t="str">
        <f>IFERROR(IF(FIND("/KM",KB[[#This Row],[SUPPLIER]])&gt;0,"LAUT"),"DARAT")</f>
        <v>LAUT</v>
      </c>
    </row>
    <row r="107" spans="2:25">
      <c r="B107" s="140" t="str">
        <f>IFERROR(LEFT(KB[[#This Row],[SUPPLIER]],FIND("/",KB[[#This Row],[SUPPLIER]])-1),KB[[#This Row],[SUPPLIER]])</f>
        <v>ERAWATI</v>
      </c>
      <c r="C107" s="141" t="str">
        <f>TEXT(VLOOKUP(KB[[#This Row],[RELASI]],DBRELASI[[RELASI]:[DOCKB]],10,0)+COUNTIFS($B$2:B107,KB[[#This Row],[RELASI]],$D$2:D107,1),"000")</f>
        <v>015</v>
      </c>
      <c r="D107" s="141">
        <f>IF(COUNTIFS($B$3:B107,KB[[#This Row],[RELASI]],$F$3:F107,KB[[#This Row],[TANGGAL]])&lt;&gt;1,0,1)</f>
        <v>1</v>
      </c>
      <c r="E107" s="141" t="str">
        <f>TEXT(IF(KB[[#This Row],[DOC]]&lt;&gt;"",KB[[#This Row],[DOC]],E106),"000")</f>
        <v>015</v>
      </c>
      <c r="F107" s="40">
        <v>43851</v>
      </c>
      <c r="G107" s="40" t="str">
        <f>TYPE</f>
        <v>A</v>
      </c>
      <c r="H107" s="153" t="s">
        <v>789</v>
      </c>
      <c r="I107" s="42" t="s">
        <v>155</v>
      </c>
      <c r="J107" s="43" t="s">
        <v>77</v>
      </c>
      <c r="K107" s="44">
        <v>5</v>
      </c>
      <c r="L107" s="49">
        <v>48020</v>
      </c>
      <c r="M107" s="49">
        <v>34300</v>
      </c>
      <c r="N107" s="49">
        <v>13720</v>
      </c>
      <c r="O107" s="49">
        <v>5.4016034985422738</v>
      </c>
      <c r="P107" s="49">
        <v>741.09999999999991</v>
      </c>
      <c r="Q107" s="49">
        <v>12978.9</v>
      </c>
      <c r="R107" s="49">
        <v>2800</v>
      </c>
      <c r="S107" s="49">
        <v>36340920</v>
      </c>
      <c r="T107" s="49">
        <v>14.07</v>
      </c>
      <c r="U107" s="49">
        <v>2814.07</v>
      </c>
      <c r="V107" s="49">
        <v>36523533</v>
      </c>
      <c r="W107" s="49">
        <v>182618</v>
      </c>
      <c r="X107" s="49">
        <v>36340915</v>
      </c>
      <c r="Y107" s="530" t="str">
        <f>IFERROR(IF(FIND("/KM",KB[[#This Row],[SUPPLIER]])&gt;0,"LAUT"),"DARAT")</f>
        <v>DARAT</v>
      </c>
    </row>
    <row r="108" spans="2:25">
      <c r="B108" s="140" t="str">
        <f>IFERROR(LEFT(KB[[#This Row],[SUPPLIER]],FIND("/",KB[[#This Row],[SUPPLIER]])-1),KB[[#This Row],[SUPPLIER]])</f>
        <v>ERAWATI</v>
      </c>
      <c r="C108" s="141" t="str">
        <f>TEXT(VLOOKUP(KB[[#This Row],[RELASI]],DBRELASI[[RELASI]:[DOCKB]],10,0)+COUNTIFS($B$2:B108,KB[[#This Row],[RELASI]],$D$2:D108,1),"000")</f>
        <v>015</v>
      </c>
      <c r="D108" s="141">
        <f>IF(COUNTIFS($B$3:B108,KB[[#This Row],[RELASI]],$F$3:F108,KB[[#This Row],[TANGGAL]])&lt;&gt;1,0,1)</f>
        <v>0</v>
      </c>
      <c r="E108" s="141" t="str">
        <f>TEXT(IF(KB[[#This Row],[DOC]]&lt;&gt;"",KB[[#This Row],[DOC]],E107),"000")</f>
        <v>015</v>
      </c>
      <c r="F108" s="40">
        <v>43851</v>
      </c>
      <c r="G108" s="40" t="str">
        <f>TYPE</f>
        <v>A</v>
      </c>
      <c r="H108"/>
      <c r="I108" s="42" t="s">
        <v>506</v>
      </c>
      <c r="J108" s="43" t="s">
        <v>77</v>
      </c>
      <c r="K108" s="44">
        <v>1</v>
      </c>
      <c r="L108" s="49">
        <v>8030</v>
      </c>
      <c r="M108" s="49">
        <v>3950</v>
      </c>
      <c r="N108" s="49">
        <v>4080</v>
      </c>
      <c r="O108" s="49">
        <v>6</v>
      </c>
      <c r="P108" s="49">
        <v>244.79999999999998</v>
      </c>
      <c r="Q108" s="49">
        <v>3835.2</v>
      </c>
      <c r="R108" s="49">
        <v>2750</v>
      </c>
      <c r="S108" s="49">
        <v>10546800</v>
      </c>
      <c r="T108" s="49">
        <v>13.82</v>
      </c>
      <c r="U108" s="49">
        <v>2763.82</v>
      </c>
      <c r="V108" s="49">
        <v>10599802</v>
      </c>
      <c r="W108" s="49">
        <v>52999</v>
      </c>
      <c r="X108" s="49">
        <v>10546803</v>
      </c>
      <c r="Y108" s="530" t="str">
        <f>IFERROR(IF(FIND("/KM",KB[[#This Row],[SUPPLIER]])&gt;0,"LAUT"),"DARAT")</f>
        <v>LAUT</v>
      </c>
    </row>
    <row r="109" spans="2:25">
      <c r="B109" s="140" t="str">
        <f>IFERROR(LEFT(KB[[#This Row],[SUPPLIER]],FIND("/",KB[[#This Row],[SUPPLIER]])-1),KB[[#This Row],[SUPPLIER]])</f>
        <v>INDRAYANI</v>
      </c>
      <c r="C109" s="141" t="str">
        <f>TEXT(VLOOKUP(KB[[#This Row],[RELASI]],DBRELASI[[RELASI]:[DOCKB]],10,0)+COUNTIFS($B$2:B109,KB[[#This Row],[RELASI]],$D$2:D109,1),"000")</f>
        <v>013</v>
      </c>
      <c r="D109" s="141">
        <f>IF(COUNTIFS($B$3:B109,KB[[#This Row],[RELASI]],$F$3:F109,KB[[#This Row],[TANGGAL]])&lt;&gt;1,0,1)</f>
        <v>1</v>
      </c>
      <c r="E109" s="141" t="str">
        <f>TEXT(IF(KB[[#This Row],[DOC]]&lt;&gt;"",KB[[#This Row],[DOC]],E108),"000")</f>
        <v>013</v>
      </c>
      <c r="F109" s="40">
        <v>43851</v>
      </c>
      <c r="G109" s="40" t="str">
        <f>TYPE</f>
        <v>A</v>
      </c>
      <c r="H109" s="153" t="s">
        <v>780</v>
      </c>
      <c r="I109" s="42" t="s">
        <v>79</v>
      </c>
      <c r="J109" s="43" t="s">
        <v>77</v>
      </c>
      <c r="K109" s="44">
        <v>2</v>
      </c>
      <c r="L109" s="49">
        <v>23110</v>
      </c>
      <c r="M109" s="49">
        <v>7860</v>
      </c>
      <c r="N109" s="49">
        <v>15250</v>
      </c>
      <c r="O109" s="49">
        <v>5</v>
      </c>
      <c r="P109" s="49">
        <v>762.5</v>
      </c>
      <c r="Q109" s="49">
        <v>14487.5</v>
      </c>
      <c r="R109" s="49">
        <v>2900</v>
      </c>
      <c r="S109" s="49">
        <v>42013750</v>
      </c>
      <c r="T109" s="49">
        <v>14.57</v>
      </c>
      <c r="U109" s="49">
        <v>2914.57</v>
      </c>
      <c r="V109" s="49">
        <v>42224833</v>
      </c>
      <c r="W109" s="49">
        <v>211124</v>
      </c>
      <c r="X109" s="49">
        <v>42013709</v>
      </c>
      <c r="Y109" s="530" t="str">
        <f>IFERROR(IF(FIND("/KM",KB[[#This Row],[SUPPLIER]])&gt;0,"LAUT"),"DARAT")</f>
        <v>DARAT</v>
      </c>
    </row>
    <row r="110" spans="2:25">
      <c r="B110" s="140" t="str">
        <f>IFERROR(LEFT(KB[[#This Row],[SUPPLIER]],FIND("/",KB[[#This Row],[SUPPLIER]])-1),KB[[#This Row],[SUPPLIER]])</f>
        <v>RUSLAN JAYA, SH</v>
      </c>
      <c r="C110" s="141" t="str">
        <f>TEXT(VLOOKUP(KB[[#This Row],[RELASI]],DBRELASI[[RELASI]:[DOCKB]],10,0)+COUNTIFS($B$2:B110,KB[[#This Row],[RELASI]],$D$2:D110,1),"000")</f>
        <v>002</v>
      </c>
      <c r="D110" s="141">
        <f>IF(COUNTIFS($B$3:B110,KB[[#This Row],[RELASI]],$F$3:F110,KB[[#This Row],[TANGGAL]])&lt;&gt;1,0,1)</f>
        <v>1</v>
      </c>
      <c r="E110" s="141" t="str">
        <f>TEXT(IF(KB[[#This Row],[DOC]]&lt;&gt;"",KB[[#This Row],[DOC]],E109),"000")</f>
        <v>002</v>
      </c>
      <c r="F110" s="40">
        <v>43851</v>
      </c>
      <c r="G110" s="40" t="str">
        <f>TYPE</f>
        <v>A</v>
      </c>
      <c r="H110" s="153" t="s">
        <v>515</v>
      </c>
      <c r="I110" s="42" t="s">
        <v>479</v>
      </c>
      <c r="J110" s="43" t="s">
        <v>475</v>
      </c>
      <c r="K110" s="44">
        <v>1</v>
      </c>
      <c r="L110" s="49">
        <v>11770</v>
      </c>
      <c r="M110" s="49">
        <v>10180</v>
      </c>
      <c r="N110" s="49">
        <v>1590</v>
      </c>
      <c r="O110" s="49">
        <v>5.9999999999999991</v>
      </c>
      <c r="P110" s="49">
        <v>95.399999999999991</v>
      </c>
      <c r="Q110" s="49">
        <v>1494.6</v>
      </c>
      <c r="R110" s="49">
        <v>2800</v>
      </c>
      <c r="S110" s="49">
        <v>4184880</v>
      </c>
      <c r="T110" s="49">
        <v>14.07</v>
      </c>
      <c r="U110" s="49">
        <v>2814.07</v>
      </c>
      <c r="V110" s="49">
        <v>4205909</v>
      </c>
      <c r="W110" s="49">
        <v>21030</v>
      </c>
      <c r="X110" s="49">
        <v>4184879</v>
      </c>
      <c r="Y110" s="530" t="str">
        <f>IFERROR(IF(FIND("/KM",KB[[#This Row],[SUPPLIER]])&gt;0,"LAUT"),"DARAT")</f>
        <v>DARAT</v>
      </c>
    </row>
    <row r="111" spans="2:25">
      <c r="B111" s="140" t="str">
        <f>IFERROR(LEFT(KB[[#This Row],[SUPPLIER]],FIND("/",KB[[#This Row],[SUPPLIER]])-1),KB[[#This Row],[SUPPLIER]])</f>
        <v>DINI CHAIRANI</v>
      </c>
      <c r="C111" s="141" t="str">
        <f>TEXT(VLOOKUP(KB[[#This Row],[RELASI]],DBRELASI[[RELASI]:[DOCKB]],10,0)+COUNTIFS($B$2:B111,KB[[#This Row],[RELASI]],$D$2:D111,1),"000")</f>
        <v>009</v>
      </c>
      <c r="D111" s="141">
        <f>IF(COUNTIFS($B$3:B111,KB[[#This Row],[RELASI]],$F$3:F111,KB[[#This Row],[TANGGAL]])&lt;&gt;1,0,1)</f>
        <v>1</v>
      </c>
      <c r="E111" s="141" t="str">
        <f>TEXT(IF(KB[[#This Row],[DOC]]&lt;&gt;"",KB[[#This Row],[DOC]],E110),"000")</f>
        <v>009</v>
      </c>
      <c r="F111" s="40">
        <v>43851</v>
      </c>
      <c r="G111" s="40" t="str">
        <f>TYPE</f>
        <v>A</v>
      </c>
      <c r="H111" s="153" t="s">
        <v>769</v>
      </c>
      <c r="I111" s="42" t="s">
        <v>516</v>
      </c>
      <c r="J111" s="43" t="s">
        <v>95</v>
      </c>
      <c r="K111" s="44">
        <v>2</v>
      </c>
      <c r="L111" s="49">
        <v>13560</v>
      </c>
      <c r="M111" s="49">
        <v>7820</v>
      </c>
      <c r="N111" s="49">
        <v>5740</v>
      </c>
      <c r="O111" s="49">
        <v>6</v>
      </c>
      <c r="P111" s="49">
        <v>344.4</v>
      </c>
      <c r="Q111" s="49">
        <v>5395.6</v>
      </c>
      <c r="R111" s="49">
        <v>2750</v>
      </c>
      <c r="S111" s="49">
        <v>14837900</v>
      </c>
      <c r="T111" s="49">
        <v>13.82</v>
      </c>
      <c r="U111" s="49">
        <v>2763.82</v>
      </c>
      <c r="V111" s="49">
        <v>14912468</v>
      </c>
      <c r="W111" s="49">
        <v>74562</v>
      </c>
      <c r="X111" s="49">
        <v>14837906</v>
      </c>
      <c r="Y111" s="530" t="str">
        <f>IFERROR(IF(FIND("/KM",KB[[#This Row],[SUPPLIER]])&gt;0,"LAUT"),"DARAT")</f>
        <v>LAUT</v>
      </c>
    </row>
    <row r="112" spans="2:25">
      <c r="B112" s="140" t="str">
        <f>IFERROR(LEFT(KB[[#This Row],[SUPPLIER]],FIND("/",KB[[#This Row],[SUPPLIER]])-1),KB[[#This Row],[SUPPLIER]])</f>
        <v>DINI CHAIRANI</v>
      </c>
      <c r="C112" s="141" t="str">
        <f>TEXT(VLOOKUP(KB[[#This Row],[RELASI]],DBRELASI[[RELASI]:[DOCKB]],10,0)+COUNTIFS($B$2:B112,KB[[#This Row],[RELASI]],$D$2:D112,1),"000")</f>
        <v>009</v>
      </c>
      <c r="D112" s="141">
        <f>IF(COUNTIFS($B$3:B112,KB[[#This Row],[RELASI]],$F$3:F112,KB[[#This Row],[TANGGAL]])&lt;&gt;1,0,1)</f>
        <v>0</v>
      </c>
      <c r="E112" s="141" t="str">
        <f>TEXT(IF(KB[[#This Row],[DOC]]&lt;&gt;"",KB[[#This Row],[DOC]],E111),"000")</f>
        <v>009</v>
      </c>
      <c r="F112" s="40">
        <v>43851</v>
      </c>
      <c r="G112" s="40" t="str">
        <f>TYPE</f>
        <v>A</v>
      </c>
      <c r="H112"/>
      <c r="I112" s="42" t="s">
        <v>772</v>
      </c>
      <c r="J112" s="43" t="s">
        <v>95</v>
      </c>
      <c r="K112" s="44">
        <v>2</v>
      </c>
      <c r="L112" s="49">
        <v>14900</v>
      </c>
      <c r="M112" s="49">
        <v>7860</v>
      </c>
      <c r="N112" s="49">
        <v>7040</v>
      </c>
      <c r="O112" s="49">
        <v>5.9999999999999991</v>
      </c>
      <c r="P112" s="49">
        <v>422.4</v>
      </c>
      <c r="Q112" s="49">
        <v>6617.6</v>
      </c>
      <c r="R112" s="49">
        <v>2750</v>
      </c>
      <c r="S112" s="49">
        <v>18198400</v>
      </c>
      <c r="T112" s="49">
        <v>13.82</v>
      </c>
      <c r="U112" s="49">
        <v>2763.82</v>
      </c>
      <c r="V112" s="49">
        <v>18289856</v>
      </c>
      <c r="W112" s="49">
        <v>91449</v>
      </c>
      <c r="X112" s="49">
        <v>18198407</v>
      </c>
      <c r="Y112" s="530" t="str">
        <f>IFERROR(IF(FIND("/KM",KB[[#This Row],[SUPPLIER]])&gt;0,"LAUT"),"DARAT")</f>
        <v>LAUT</v>
      </c>
    </row>
    <row r="113" spans="2:25">
      <c r="B113" s="140" t="str">
        <f>IFERROR(LEFT(KB[[#This Row],[SUPPLIER]],FIND("/",KB[[#This Row],[SUPPLIER]])-1),KB[[#This Row],[SUPPLIER]])</f>
        <v>HENDRI</v>
      </c>
      <c r="C113" s="141" t="str">
        <f>TEXT(VLOOKUP(KB[[#This Row],[RELASI]],DBRELASI[[RELASI]:[DOCKB]],10,0)+COUNTIFS($B$2:B113,KB[[#This Row],[RELASI]],$D$2:D113,1),"000")</f>
        <v>008</v>
      </c>
      <c r="D113" s="141">
        <f>IF(COUNTIFS($B$3:B113,KB[[#This Row],[RELASI]],$F$3:F113,KB[[#This Row],[TANGGAL]])&lt;&gt;1,0,1)</f>
        <v>1</v>
      </c>
      <c r="E113" s="141" t="str">
        <f>TEXT(IF(KB[[#This Row],[DOC]]&lt;&gt;"",KB[[#This Row],[DOC]],E112),"000")</f>
        <v>008</v>
      </c>
      <c r="F113" s="40">
        <v>43851</v>
      </c>
      <c r="G113" s="40" t="str">
        <f>TYPE</f>
        <v>A</v>
      </c>
      <c r="H113" s="153" t="s">
        <v>767</v>
      </c>
      <c r="I113" s="42" t="s">
        <v>527</v>
      </c>
      <c r="J113" s="43" t="s">
        <v>475</v>
      </c>
      <c r="K113" s="44">
        <v>6</v>
      </c>
      <c r="L113" s="49">
        <v>50030</v>
      </c>
      <c r="M113" s="49">
        <v>23290</v>
      </c>
      <c r="N113" s="49">
        <v>26740</v>
      </c>
      <c r="O113" s="49">
        <v>6</v>
      </c>
      <c r="P113" s="49">
        <v>1604.3999999999999</v>
      </c>
      <c r="Q113" s="49">
        <v>25135.599999999999</v>
      </c>
      <c r="R113" s="49">
        <v>2800</v>
      </c>
      <c r="S113" s="49">
        <v>70379680</v>
      </c>
      <c r="T113" s="49">
        <v>14.07</v>
      </c>
      <c r="U113" s="49">
        <v>2814.07</v>
      </c>
      <c r="V113" s="49">
        <v>70733337</v>
      </c>
      <c r="W113" s="49">
        <v>353667</v>
      </c>
      <c r="X113" s="49">
        <v>70379670</v>
      </c>
      <c r="Y113" s="530" t="str">
        <f>IFERROR(IF(FIND("/KM",KB[[#This Row],[SUPPLIER]])&gt;0,"LAUT"),"DARAT")</f>
        <v>LAUT</v>
      </c>
    </row>
    <row r="114" spans="2:25">
      <c r="B114" s="140" t="str">
        <f>IFERROR(LEFT(KB[[#This Row],[SUPPLIER]],FIND("/",KB[[#This Row],[SUPPLIER]])-1),KB[[#This Row],[SUPPLIER]])</f>
        <v>HENDRI</v>
      </c>
      <c r="C114" s="141" t="str">
        <f>TEXT(VLOOKUP(KB[[#This Row],[RELASI]],DBRELASI[[RELASI]:[DOCKB]],10,0)+COUNTIFS($B$2:B114,KB[[#This Row],[RELASI]],$D$2:D114,1),"000")</f>
        <v>008</v>
      </c>
      <c r="D114" s="141">
        <f>IF(COUNTIFS($B$3:B114,KB[[#This Row],[RELASI]],$F$3:F114,KB[[#This Row],[TANGGAL]])&lt;&gt;1,0,1)</f>
        <v>0</v>
      </c>
      <c r="E114" s="141" t="str">
        <f>TEXT(IF(KB[[#This Row],[DOC]]&lt;&gt;"",KB[[#This Row],[DOC]],E113),"000")</f>
        <v>008</v>
      </c>
      <c r="F114" s="40">
        <v>43851</v>
      </c>
      <c r="G114" s="40" t="str">
        <f>TYPE</f>
        <v>A</v>
      </c>
      <c r="H114"/>
      <c r="I114" s="42" t="s">
        <v>790</v>
      </c>
      <c r="J114" s="43" t="s">
        <v>475</v>
      </c>
      <c r="K114" s="44">
        <v>2</v>
      </c>
      <c r="L114" s="49">
        <v>14330</v>
      </c>
      <c r="M114" s="49">
        <v>7830</v>
      </c>
      <c r="N114" s="49">
        <v>6500</v>
      </c>
      <c r="O114" s="49">
        <v>6</v>
      </c>
      <c r="P114" s="49">
        <v>390</v>
      </c>
      <c r="Q114" s="49">
        <v>6110</v>
      </c>
      <c r="R114" s="49">
        <v>2750</v>
      </c>
      <c r="S114" s="49">
        <v>16802500</v>
      </c>
      <c r="T114" s="49">
        <v>13.82</v>
      </c>
      <c r="U114" s="49">
        <v>2763.82</v>
      </c>
      <c r="V114" s="49">
        <v>16886940</v>
      </c>
      <c r="W114" s="49">
        <v>84435</v>
      </c>
      <c r="X114" s="49">
        <v>16802505</v>
      </c>
      <c r="Y114" s="530" t="str">
        <f>IFERROR(IF(FIND("/KM",KB[[#This Row],[SUPPLIER]])&gt;0,"LAUT"),"DARAT")</f>
        <v>LAUT</v>
      </c>
    </row>
    <row r="115" spans="2:25">
      <c r="B115" s="140" t="str">
        <f>IFERROR(LEFT(KB[[#This Row],[SUPPLIER]],FIND("/",KB[[#This Row],[SUPPLIER]])-1),KB[[#This Row],[SUPPLIER]])</f>
        <v>HENDRI</v>
      </c>
      <c r="C115" s="141" t="str">
        <f>TEXT(VLOOKUP(KB[[#This Row],[RELASI]],DBRELASI[[RELASI]:[DOCKB]],10,0)+COUNTIFS($B$2:B115,KB[[#This Row],[RELASI]],$D$2:D115,1),"000")</f>
        <v>008</v>
      </c>
      <c r="D115" s="141">
        <f>IF(COUNTIFS($B$3:B115,KB[[#This Row],[RELASI]],$F$3:F115,KB[[#This Row],[TANGGAL]])&lt;&gt;1,0,1)</f>
        <v>0</v>
      </c>
      <c r="E115" s="141" t="str">
        <f>TEXT(IF(KB[[#This Row],[DOC]]&lt;&gt;"",KB[[#This Row],[DOC]],E114),"000")</f>
        <v>008</v>
      </c>
      <c r="F115" s="40">
        <v>43851</v>
      </c>
      <c r="G115" s="40" t="str">
        <f>TYPE</f>
        <v>A</v>
      </c>
      <c r="H115"/>
      <c r="I115" s="42" t="s">
        <v>774</v>
      </c>
      <c r="J115" s="43" t="s">
        <v>475</v>
      </c>
      <c r="K115" s="44">
        <v>3</v>
      </c>
      <c r="L115" s="49">
        <v>25860</v>
      </c>
      <c r="M115" s="49">
        <v>11750</v>
      </c>
      <c r="N115" s="49">
        <v>14110</v>
      </c>
      <c r="O115" s="49">
        <v>6</v>
      </c>
      <c r="P115" s="49">
        <v>846.59999999999991</v>
      </c>
      <c r="Q115" s="49">
        <v>13263.400000000001</v>
      </c>
      <c r="R115" s="49">
        <v>2799.9999999999995</v>
      </c>
      <c r="S115" s="49">
        <v>37137520</v>
      </c>
      <c r="T115" s="49">
        <v>14.07</v>
      </c>
      <c r="U115" s="49">
        <v>2814.0699999999997</v>
      </c>
      <c r="V115" s="49">
        <v>37324136</v>
      </c>
      <c r="W115" s="49">
        <v>186621</v>
      </c>
      <c r="X115" s="49">
        <v>37137515</v>
      </c>
      <c r="Y115" s="530" t="str">
        <f>IFERROR(IF(FIND("/KM",KB[[#This Row],[SUPPLIER]])&gt;0,"LAUT"),"DARAT")</f>
        <v>LAUT</v>
      </c>
    </row>
    <row r="116" spans="2:25">
      <c r="B116" s="140" t="str">
        <f>IFERROR(LEFT(KB[[#This Row],[SUPPLIER]],FIND("/",KB[[#This Row],[SUPPLIER]])-1),KB[[#This Row],[SUPPLIER]])</f>
        <v>MARTONO</v>
      </c>
      <c r="C116" s="141" t="str">
        <f>TEXT(VLOOKUP(KB[[#This Row],[RELASI]],DBRELASI[[RELASI]:[DOCKB]],10,0)+COUNTIFS($B$2:B116,KB[[#This Row],[RELASI]],$D$2:D116,1),"000")</f>
        <v>011</v>
      </c>
      <c r="D116" s="141">
        <f>IF(COUNTIFS($B$3:B116,KB[[#This Row],[RELASI]],$F$3:F116,KB[[#This Row],[TANGGAL]])&lt;&gt;1,0,1)</f>
        <v>1</v>
      </c>
      <c r="E116" s="141" t="str">
        <f>TEXT(IF(KB[[#This Row],[DOC]]&lt;&gt;"",KB[[#This Row],[DOC]],E115),"000")</f>
        <v>011</v>
      </c>
      <c r="F116" s="40">
        <v>43851</v>
      </c>
      <c r="G116" s="40" t="str">
        <f>TYPE</f>
        <v>A</v>
      </c>
      <c r="H116" s="153" t="s">
        <v>777</v>
      </c>
      <c r="I116" s="42" t="s">
        <v>762</v>
      </c>
      <c r="J116" s="43" t="s">
        <v>83</v>
      </c>
      <c r="K116" s="44">
        <v>4</v>
      </c>
      <c r="L116" s="49">
        <v>32400</v>
      </c>
      <c r="M116" s="49">
        <v>15470</v>
      </c>
      <c r="N116" s="49">
        <v>16930</v>
      </c>
      <c r="O116" s="49">
        <v>6</v>
      </c>
      <c r="P116" s="49">
        <v>1015.8000000000001</v>
      </c>
      <c r="Q116" s="49">
        <v>15914.199999999999</v>
      </c>
      <c r="R116" s="49">
        <v>2850</v>
      </c>
      <c r="S116" s="49">
        <v>45355470</v>
      </c>
      <c r="T116" s="49">
        <v>14.32</v>
      </c>
      <c r="U116" s="49">
        <v>2864.32</v>
      </c>
      <c r="V116" s="49">
        <v>45583361</v>
      </c>
      <c r="W116" s="49">
        <v>227917</v>
      </c>
      <c r="X116" s="49">
        <v>45355444</v>
      </c>
      <c r="Y116" s="530" t="str">
        <f>IFERROR(IF(FIND("/KM",KB[[#This Row],[SUPPLIER]])&gt;0,"LAUT"),"DARAT")</f>
        <v>LAUT</v>
      </c>
    </row>
    <row r="117" spans="2:25">
      <c r="B117" s="140" t="str">
        <f>IFERROR(LEFT(KB[[#This Row],[SUPPLIER]],FIND("/",KB[[#This Row],[SUPPLIER]])-1),KB[[#This Row],[SUPPLIER]])</f>
        <v>MARTONO</v>
      </c>
      <c r="C117" s="141" t="str">
        <f>TEXT(VLOOKUP(KB[[#This Row],[RELASI]],DBRELASI[[RELASI]:[DOCKB]],10,0)+COUNTIFS($B$2:B117,KB[[#This Row],[RELASI]],$D$2:D117,1),"000")</f>
        <v>011</v>
      </c>
      <c r="D117" s="141">
        <f>IF(COUNTIFS($B$3:B117,KB[[#This Row],[RELASI]],$F$3:F117,KB[[#This Row],[TANGGAL]])&lt;&gt;1,0,1)</f>
        <v>0</v>
      </c>
      <c r="E117" s="141" t="str">
        <f>TEXT(IF(KB[[#This Row],[DOC]]&lt;&gt;"",KB[[#This Row],[DOC]],E116),"000")</f>
        <v>011</v>
      </c>
      <c r="F117" s="40">
        <v>43851</v>
      </c>
      <c r="G117" s="40" t="str">
        <f>TYPE</f>
        <v>A</v>
      </c>
      <c r="H117"/>
      <c r="I117" s="42" t="s">
        <v>791</v>
      </c>
      <c r="J117" s="43" t="s">
        <v>83</v>
      </c>
      <c r="K117" s="44">
        <v>2</v>
      </c>
      <c r="L117" s="49">
        <v>17310</v>
      </c>
      <c r="M117" s="49">
        <v>7980</v>
      </c>
      <c r="N117" s="49">
        <v>9330</v>
      </c>
      <c r="O117" s="49">
        <v>6</v>
      </c>
      <c r="P117" s="49">
        <v>559.79999999999995</v>
      </c>
      <c r="Q117" s="49">
        <v>8770.2000000000007</v>
      </c>
      <c r="R117" s="49">
        <v>2749.9999999999995</v>
      </c>
      <c r="S117" s="49">
        <v>24118050</v>
      </c>
      <c r="T117" s="49">
        <v>13.82</v>
      </c>
      <c r="U117" s="49">
        <v>2763.8199999999997</v>
      </c>
      <c r="V117" s="49">
        <v>24239254</v>
      </c>
      <c r="W117" s="49">
        <v>121197</v>
      </c>
      <c r="X117" s="49">
        <v>24118057</v>
      </c>
      <c r="Y117" s="530" t="str">
        <f>IFERROR(IF(FIND("/KM",KB[[#This Row],[SUPPLIER]])&gt;0,"LAUT"),"DARAT")</f>
        <v>LAUT</v>
      </c>
    </row>
    <row r="118" spans="2:25">
      <c r="B118" s="140" t="str">
        <f>IFERROR(LEFT(KB[[#This Row],[SUPPLIER]],FIND("/",KB[[#This Row],[SUPPLIER]])-1),KB[[#This Row],[SUPPLIER]])</f>
        <v>MARTONO</v>
      </c>
      <c r="C118" s="141" t="str">
        <f>TEXT(VLOOKUP(KB[[#This Row],[RELASI]],DBRELASI[[RELASI]:[DOCKB]],10,0)+COUNTIFS($B$2:B118,KB[[#This Row],[RELASI]],$D$2:D118,1),"000")</f>
        <v>011</v>
      </c>
      <c r="D118" s="141">
        <f>IF(COUNTIFS($B$3:B118,KB[[#This Row],[RELASI]],$F$3:F118,KB[[#This Row],[TANGGAL]])&lt;&gt;1,0,1)</f>
        <v>0</v>
      </c>
      <c r="E118" s="141" t="str">
        <f>TEXT(IF(KB[[#This Row],[DOC]]&lt;&gt;"",KB[[#This Row],[DOC]],E117),"000")</f>
        <v>011</v>
      </c>
      <c r="F118" s="40">
        <v>43851</v>
      </c>
      <c r="G118" s="40" t="str">
        <f>TYPE</f>
        <v>A</v>
      </c>
      <c r="H118"/>
      <c r="I118" s="42" t="s">
        <v>792</v>
      </c>
      <c r="J118" s="43" t="s">
        <v>83</v>
      </c>
      <c r="K118" s="44">
        <v>1</v>
      </c>
      <c r="L118" s="49">
        <v>7730</v>
      </c>
      <c r="M118" s="49">
        <v>4010</v>
      </c>
      <c r="N118" s="49">
        <v>3720</v>
      </c>
      <c r="O118" s="49">
        <v>5.9999999999999991</v>
      </c>
      <c r="P118" s="49">
        <v>223.2</v>
      </c>
      <c r="Q118" s="49">
        <v>3496.8</v>
      </c>
      <c r="R118" s="49">
        <v>2750</v>
      </c>
      <c r="S118" s="49">
        <v>9616200</v>
      </c>
      <c r="T118" s="49">
        <v>13.82</v>
      </c>
      <c r="U118" s="49">
        <v>2763.82</v>
      </c>
      <c r="V118" s="49">
        <v>9664526</v>
      </c>
      <c r="W118" s="49">
        <v>48323</v>
      </c>
      <c r="X118" s="49">
        <v>9616203</v>
      </c>
      <c r="Y118" s="530" t="str">
        <f>IFERROR(IF(FIND("/KM",KB[[#This Row],[SUPPLIER]])&gt;0,"LAUT"),"DARAT")</f>
        <v>LAUT</v>
      </c>
    </row>
    <row r="119" spans="2:25">
      <c r="B119" s="140" t="str">
        <f>IFERROR(LEFT(KB[[#This Row],[SUPPLIER]],FIND("/",KB[[#This Row],[SUPPLIER]])-1),KB[[#This Row],[SUPPLIER]])</f>
        <v>MASRI</v>
      </c>
      <c r="C119" s="141" t="str">
        <f>TEXT(VLOOKUP(KB[[#This Row],[RELASI]],DBRELASI[[RELASI]:[DOCKB]],10,0)+COUNTIFS($B$2:B119,KB[[#This Row],[RELASI]],$D$2:D119,1),"000")</f>
        <v>009</v>
      </c>
      <c r="D119" s="141">
        <f>IF(COUNTIFS($B$3:B119,KB[[#This Row],[RELASI]],$F$3:F119,KB[[#This Row],[TANGGAL]])&lt;&gt;1,0,1)</f>
        <v>1</v>
      </c>
      <c r="E119" s="141" t="str">
        <f>TEXT(IF(KB[[#This Row],[DOC]]&lt;&gt;"",KB[[#This Row],[DOC]],E118),"000")</f>
        <v>009</v>
      </c>
      <c r="F119" s="40">
        <v>43851</v>
      </c>
      <c r="G119" s="40" t="str">
        <f>TYPE</f>
        <v>A</v>
      </c>
      <c r="H119" s="153" t="s">
        <v>769</v>
      </c>
      <c r="I119" s="42" t="s">
        <v>530</v>
      </c>
      <c r="J119" s="43" t="s">
        <v>511</v>
      </c>
      <c r="K119" s="44">
        <v>9</v>
      </c>
      <c r="L119" s="49">
        <v>72170</v>
      </c>
      <c r="M119" s="49">
        <v>34770</v>
      </c>
      <c r="N119" s="49">
        <v>37400</v>
      </c>
      <c r="O119" s="49">
        <v>6</v>
      </c>
      <c r="P119" s="49">
        <v>2244</v>
      </c>
      <c r="Q119" s="49">
        <v>35156</v>
      </c>
      <c r="R119" s="49">
        <v>2850</v>
      </c>
      <c r="S119" s="49">
        <v>100194600</v>
      </c>
      <c r="T119" s="49">
        <v>14.32</v>
      </c>
      <c r="U119" s="49">
        <v>2864.32</v>
      </c>
      <c r="V119" s="49">
        <v>100698033</v>
      </c>
      <c r="W119" s="49">
        <v>503490</v>
      </c>
      <c r="X119" s="49">
        <v>100194543</v>
      </c>
      <c r="Y119" s="530" t="str">
        <f>IFERROR(IF(FIND("/KM",KB[[#This Row],[SUPPLIER]])&gt;0,"LAUT"),"DARAT")</f>
        <v>LAUT</v>
      </c>
    </row>
    <row r="120" spans="2:25">
      <c r="B120" s="140" t="str">
        <f>IFERROR(LEFT(KB[[#This Row],[SUPPLIER]],FIND("/",KB[[#This Row],[SUPPLIER]])-1),KB[[#This Row],[SUPPLIER]])</f>
        <v>RITA ERNITA</v>
      </c>
      <c r="C120" s="141" t="str">
        <f>TEXT(VLOOKUP(KB[[#This Row],[RELASI]],DBRELASI[[RELASI]:[DOCKB]],10,0)+COUNTIFS($B$2:B120,KB[[#This Row],[RELASI]],$D$2:D120,1),"000")</f>
        <v>003</v>
      </c>
      <c r="D120" s="141">
        <f>IF(COUNTIFS($B$3:B120,KB[[#This Row],[RELASI]],$F$3:F120,KB[[#This Row],[TANGGAL]])&lt;&gt;1,0,1)</f>
        <v>1</v>
      </c>
      <c r="E120" s="141" t="str">
        <f>TEXT(IF(KB[[#This Row],[DOC]]&lt;&gt;"",KB[[#This Row],[DOC]],E119),"000")</f>
        <v>003</v>
      </c>
      <c r="F120" s="40">
        <v>43851</v>
      </c>
      <c r="G120" s="40" t="str">
        <f>TYPE</f>
        <v>A</v>
      </c>
      <c r="H120" s="153" t="s">
        <v>521</v>
      </c>
      <c r="I120" s="42" t="s">
        <v>793</v>
      </c>
      <c r="J120" s="43" t="s">
        <v>96</v>
      </c>
      <c r="K120" s="44">
        <v>7</v>
      </c>
      <c r="L120" s="49">
        <v>57440</v>
      </c>
      <c r="M120" s="49">
        <v>27080</v>
      </c>
      <c r="N120" s="49">
        <v>30360</v>
      </c>
      <c r="O120" s="49">
        <v>5.9999999999999991</v>
      </c>
      <c r="P120" s="49">
        <v>1821.6</v>
      </c>
      <c r="Q120" s="49">
        <v>28538.400000000001</v>
      </c>
      <c r="R120" s="49">
        <v>2850</v>
      </c>
      <c r="S120" s="49">
        <v>81334440</v>
      </c>
      <c r="T120" s="49">
        <v>14.32</v>
      </c>
      <c r="U120" s="49">
        <v>2864.32</v>
      </c>
      <c r="V120" s="49">
        <v>81743109</v>
      </c>
      <c r="W120" s="49">
        <v>408716</v>
      </c>
      <c r="X120" s="49">
        <v>81334393</v>
      </c>
      <c r="Y120" s="530" t="str">
        <f>IFERROR(IF(FIND("/KM",KB[[#This Row],[SUPPLIER]])&gt;0,"LAUT"),"DARAT")</f>
        <v>LAUT</v>
      </c>
    </row>
    <row r="121" spans="2:25">
      <c r="B121" s="140" t="str">
        <f>IFERROR(LEFT(KB[[#This Row],[SUPPLIER]],FIND("/",KB[[#This Row],[SUPPLIER]])-1),KB[[#This Row],[SUPPLIER]])</f>
        <v>WARTINI</v>
      </c>
      <c r="C121" s="141" t="str">
        <f>TEXT(VLOOKUP(KB[[#This Row],[RELASI]],DBRELASI[[RELASI]:[DOCKB]],10,0)+COUNTIFS($B$2:B121,KB[[#This Row],[RELASI]],$D$2:D121,1),"000")</f>
        <v>001</v>
      </c>
      <c r="D121" s="141">
        <f>IF(COUNTIFS($B$3:B121,KB[[#This Row],[RELASI]],$F$3:F121,KB[[#This Row],[TANGGAL]])&lt;&gt;1,0,1)</f>
        <v>1</v>
      </c>
      <c r="E121" s="141" t="str">
        <f>TEXT(IF(KB[[#This Row],[DOC]]&lt;&gt;"",KB[[#This Row],[DOC]],E120),"000")</f>
        <v>001</v>
      </c>
      <c r="F121" s="40">
        <v>43851</v>
      </c>
      <c r="G121" s="40" t="str">
        <f>TYPE</f>
        <v>A</v>
      </c>
      <c r="H121" s="153" t="s">
        <v>75</v>
      </c>
      <c r="I121" s="42" t="s">
        <v>794</v>
      </c>
      <c r="J121" s="43" t="s">
        <v>97</v>
      </c>
      <c r="K121" s="44">
        <v>7</v>
      </c>
      <c r="L121" s="49">
        <v>57470</v>
      </c>
      <c r="M121" s="49">
        <v>26940</v>
      </c>
      <c r="N121" s="49">
        <v>30530</v>
      </c>
      <c r="O121" s="49">
        <v>6</v>
      </c>
      <c r="P121" s="49">
        <v>1831.8</v>
      </c>
      <c r="Q121" s="49">
        <v>28698.199999999997</v>
      </c>
      <c r="R121" s="49">
        <v>2850.0000000000005</v>
      </c>
      <c r="S121" s="49">
        <v>81789870</v>
      </c>
      <c r="T121" s="49">
        <v>14.32</v>
      </c>
      <c r="U121" s="49">
        <v>2864.3200000000006</v>
      </c>
      <c r="V121" s="49">
        <v>82200828</v>
      </c>
      <c r="W121" s="49">
        <v>411004</v>
      </c>
      <c r="X121" s="49">
        <v>81789824</v>
      </c>
      <c r="Y121" s="530" t="str">
        <f>IFERROR(IF(FIND("/KM",KB[[#This Row],[SUPPLIER]])&gt;0,"LAUT"),"DARAT")</f>
        <v>LAUT</v>
      </c>
    </row>
    <row r="122" spans="2:25">
      <c r="B122" s="140" t="str">
        <f>IFERROR(LEFT(KB[[#This Row],[SUPPLIER]],FIND("/",KB[[#This Row],[SUPPLIER]])-1),KB[[#This Row],[SUPPLIER]])</f>
        <v>YANADI</v>
      </c>
      <c r="C122" s="141" t="str">
        <f>TEXT(VLOOKUP(KB[[#This Row],[RELASI]],DBRELASI[[RELASI]:[DOCKB]],10,0)+COUNTIFS($B$2:B122,KB[[#This Row],[RELASI]],$D$2:D122,1),"000")</f>
        <v>006</v>
      </c>
      <c r="D122" s="141">
        <f>IF(COUNTIFS($B$3:B122,KB[[#This Row],[RELASI]],$F$3:F122,KB[[#This Row],[TANGGAL]])&lt;&gt;1,0,1)</f>
        <v>1</v>
      </c>
      <c r="E122" s="141" t="str">
        <f>TEXT(IF(KB[[#This Row],[DOC]]&lt;&gt;"",KB[[#This Row],[DOC]],E121),"000")</f>
        <v>006</v>
      </c>
      <c r="F122" s="40">
        <v>43851</v>
      </c>
      <c r="G122" s="40" t="str">
        <f>TYPE</f>
        <v>A</v>
      </c>
      <c r="H122" s="154" t="s">
        <v>759</v>
      </c>
      <c r="I122" s="46" t="s">
        <v>795</v>
      </c>
      <c r="J122" s="47" t="s">
        <v>74</v>
      </c>
      <c r="K122" s="48">
        <v>2</v>
      </c>
      <c r="L122" s="49">
        <v>16060</v>
      </c>
      <c r="M122" s="49">
        <v>7920</v>
      </c>
      <c r="N122" s="49">
        <v>8140</v>
      </c>
      <c r="O122" s="49">
        <v>5.9999999999999991</v>
      </c>
      <c r="P122" s="49">
        <v>488.4</v>
      </c>
      <c r="Q122" s="49">
        <v>7651.6</v>
      </c>
      <c r="R122" s="49">
        <v>2750</v>
      </c>
      <c r="S122" s="49">
        <v>21041900</v>
      </c>
      <c r="T122" s="49">
        <v>13.82</v>
      </c>
      <c r="U122" s="49">
        <v>2763.82</v>
      </c>
      <c r="V122" s="49">
        <v>21147645</v>
      </c>
      <c r="W122" s="49">
        <v>105738</v>
      </c>
      <c r="X122" s="49">
        <v>21041907</v>
      </c>
      <c r="Y122" s="574" t="str">
        <f>IFERROR(IF(FIND("/KM",KB[[#This Row],[SUPPLIER]])&gt;0,"LAUT"),"DARAT")</f>
        <v>LAUT</v>
      </c>
    </row>
    <row r="123" spans="2:25">
      <c r="B123" s="140" t="str">
        <f>IFERROR(LEFT(KB[[#This Row],[SUPPLIER]],FIND("/",KB[[#This Row],[SUPPLIER]])-1),KB[[#This Row],[SUPPLIER]])</f>
        <v>ERAWATI</v>
      </c>
      <c r="C123" s="141" t="str">
        <f>TEXT(VLOOKUP(KB[[#This Row],[RELASI]],DBRELASI[[RELASI]:[DOCKB]],10,0)+COUNTIFS($B$2:B123,KB[[#This Row],[RELASI]],$D$2:D123,1),"000")</f>
        <v>016</v>
      </c>
      <c r="D123" s="141">
        <f>IF(COUNTIFS($B$3:B123,KB[[#This Row],[RELASI]],$F$3:F123,KB[[#This Row],[TANGGAL]])&lt;&gt;1,0,1)</f>
        <v>1</v>
      </c>
      <c r="E123" s="141" t="str">
        <f>TEXT(IF(KB[[#This Row],[DOC]]&lt;&gt;"",KB[[#This Row],[DOC]],E122),"000")</f>
        <v>016</v>
      </c>
      <c r="F123" s="40">
        <v>43852</v>
      </c>
      <c r="G123" s="40" t="str">
        <f>TYPE</f>
        <v>A</v>
      </c>
      <c r="H123" s="153" t="s">
        <v>796</v>
      </c>
      <c r="I123" s="42" t="s">
        <v>155</v>
      </c>
      <c r="J123" s="43" t="s">
        <v>77</v>
      </c>
      <c r="K123" s="44">
        <v>6</v>
      </c>
      <c r="L123" s="49">
        <v>46530</v>
      </c>
      <c r="M123" s="49">
        <v>24540</v>
      </c>
      <c r="N123" s="49">
        <v>21990</v>
      </c>
      <c r="O123" s="49">
        <v>5.0363801728058206</v>
      </c>
      <c r="P123" s="49">
        <v>1107.5</v>
      </c>
      <c r="Q123" s="49">
        <v>20882.5</v>
      </c>
      <c r="R123" s="49">
        <v>2800</v>
      </c>
      <c r="S123" s="49">
        <v>58471000</v>
      </c>
      <c r="T123" s="49">
        <v>14.07</v>
      </c>
      <c r="U123" s="49">
        <v>2814.07</v>
      </c>
      <c r="V123" s="49">
        <v>58764818</v>
      </c>
      <c r="W123" s="49">
        <v>293823</v>
      </c>
      <c r="X123" s="49">
        <v>58470995</v>
      </c>
      <c r="Y123" s="530" t="str">
        <f>IFERROR(IF(FIND("/KM",KB[[#This Row],[SUPPLIER]])&gt;0,"LAUT"),"DARAT")</f>
        <v>DARAT</v>
      </c>
    </row>
    <row r="124" spans="2:25">
      <c r="B124" s="140" t="str">
        <f>IFERROR(LEFT(KB[[#This Row],[SUPPLIER]],FIND("/",KB[[#This Row],[SUPPLIER]])-1),KB[[#This Row],[SUPPLIER]])</f>
        <v>ERAWATI</v>
      </c>
      <c r="C124" s="141" t="str">
        <f>TEXT(VLOOKUP(KB[[#This Row],[RELASI]],DBRELASI[[RELASI]:[DOCKB]],10,0)+COUNTIFS($B$2:B124,KB[[#This Row],[RELASI]],$D$2:D124,1),"000")</f>
        <v>016</v>
      </c>
      <c r="D124" s="141">
        <f>IF(COUNTIFS($B$3:B124,KB[[#This Row],[RELASI]],$F$3:F124,KB[[#This Row],[TANGGAL]])&lt;&gt;1,0,1)</f>
        <v>0</v>
      </c>
      <c r="E124" s="141" t="str">
        <f>TEXT(IF(KB[[#This Row],[DOC]]&lt;&gt;"",KB[[#This Row],[DOC]],E123),"000")</f>
        <v>016</v>
      </c>
      <c r="F124" s="40">
        <v>43852</v>
      </c>
      <c r="G124" s="40" t="str">
        <f>TYPE</f>
        <v>A</v>
      </c>
      <c r="H124"/>
      <c r="I124" s="42" t="s">
        <v>506</v>
      </c>
      <c r="J124" s="43" t="s">
        <v>77</v>
      </c>
      <c r="K124" s="44">
        <v>1</v>
      </c>
      <c r="L124" s="49">
        <v>8910</v>
      </c>
      <c r="M124" s="49">
        <v>3900</v>
      </c>
      <c r="N124" s="49">
        <v>5010</v>
      </c>
      <c r="O124" s="49">
        <v>5.9999999999999991</v>
      </c>
      <c r="P124" s="49">
        <v>300.59999999999997</v>
      </c>
      <c r="Q124" s="49">
        <v>4709.3999999999996</v>
      </c>
      <c r="R124" s="49">
        <v>2750</v>
      </c>
      <c r="S124" s="49">
        <v>12950850</v>
      </c>
      <c r="T124" s="49">
        <v>13.82</v>
      </c>
      <c r="U124" s="49">
        <v>2763.82</v>
      </c>
      <c r="V124" s="49">
        <v>13015934</v>
      </c>
      <c r="W124" s="49">
        <v>65080</v>
      </c>
      <c r="X124" s="49">
        <v>12950854</v>
      </c>
      <c r="Y124" s="530" t="str">
        <f>IFERROR(IF(FIND("/KM",KB[[#This Row],[SUPPLIER]])&gt;0,"LAUT"),"DARAT")</f>
        <v>LAUT</v>
      </c>
    </row>
    <row r="125" spans="2:25">
      <c r="B125" s="140" t="str">
        <f>IFERROR(LEFT(KB[[#This Row],[SUPPLIER]],FIND("/",KB[[#This Row],[SUPPLIER]])-1),KB[[#This Row],[SUPPLIER]])</f>
        <v>INDRAYANI</v>
      </c>
      <c r="C125" s="141" t="str">
        <f>TEXT(VLOOKUP(KB[[#This Row],[RELASI]],DBRELASI[[RELASI]:[DOCKB]],10,0)+COUNTIFS($B$2:B125,KB[[#This Row],[RELASI]],$D$2:D125,1),"000")</f>
        <v>014</v>
      </c>
      <c r="D125" s="141">
        <f>IF(COUNTIFS($B$3:B125,KB[[#This Row],[RELASI]],$F$3:F125,KB[[#This Row],[TANGGAL]])&lt;&gt;1,0,1)</f>
        <v>1</v>
      </c>
      <c r="E125" s="141" t="str">
        <f>TEXT(IF(KB[[#This Row],[DOC]]&lt;&gt;"",KB[[#This Row],[DOC]],E124),"000")</f>
        <v>014</v>
      </c>
      <c r="F125" s="40">
        <v>43852</v>
      </c>
      <c r="G125" s="40" t="str">
        <f>TYPE</f>
        <v>A</v>
      </c>
      <c r="H125" s="153" t="s">
        <v>781</v>
      </c>
      <c r="I125" s="42" t="s">
        <v>79</v>
      </c>
      <c r="J125" s="43" t="s">
        <v>77</v>
      </c>
      <c r="K125" s="44">
        <v>2</v>
      </c>
      <c r="L125" s="49">
        <v>25900</v>
      </c>
      <c r="M125" s="49">
        <v>9730</v>
      </c>
      <c r="N125" s="49">
        <v>16170</v>
      </c>
      <c r="O125" s="49">
        <v>5</v>
      </c>
      <c r="P125" s="49">
        <v>808.5</v>
      </c>
      <c r="Q125" s="49">
        <v>15361.5</v>
      </c>
      <c r="R125" s="49">
        <v>2900</v>
      </c>
      <c r="S125" s="49">
        <v>44548350</v>
      </c>
      <c r="T125" s="49">
        <v>14.57</v>
      </c>
      <c r="U125" s="49">
        <v>2914.57</v>
      </c>
      <c r="V125" s="49">
        <v>44772167</v>
      </c>
      <c r="W125" s="49">
        <v>223861</v>
      </c>
      <c r="X125" s="49">
        <v>44548306</v>
      </c>
      <c r="Y125" s="530" t="str">
        <f>IFERROR(IF(FIND("/KM",KB[[#This Row],[SUPPLIER]])&gt;0,"LAUT"),"DARAT")</f>
        <v>DARAT</v>
      </c>
    </row>
    <row r="126" spans="2:25">
      <c r="B126" s="140" t="str">
        <f>IFERROR(LEFT(KB[[#This Row],[SUPPLIER]],FIND("/",KB[[#This Row],[SUPPLIER]])-1),KB[[#This Row],[SUPPLIER]])</f>
        <v>RUSLAN JAYA, SH</v>
      </c>
      <c r="C126" s="141" t="str">
        <f>TEXT(VLOOKUP(KB[[#This Row],[RELASI]],DBRELASI[[RELASI]:[DOCKB]],10,0)+COUNTIFS($B$2:B126,KB[[#This Row],[RELASI]],$D$2:D126,1),"000")</f>
        <v>003</v>
      </c>
      <c r="D126" s="141">
        <f>IF(COUNTIFS($B$3:B126,KB[[#This Row],[RELASI]],$F$3:F126,KB[[#This Row],[TANGGAL]])&lt;&gt;1,0,1)</f>
        <v>1</v>
      </c>
      <c r="E126" s="141" t="str">
        <f>TEXT(IF(KB[[#This Row],[DOC]]&lt;&gt;"",KB[[#This Row],[DOC]],E125),"000")</f>
        <v>003</v>
      </c>
      <c r="F126" s="40">
        <v>43852</v>
      </c>
      <c r="G126" s="40" t="str">
        <f>TYPE</f>
        <v>A</v>
      </c>
      <c r="H126" s="153" t="s">
        <v>521</v>
      </c>
      <c r="I126" s="42" t="s">
        <v>479</v>
      </c>
      <c r="J126" s="43" t="s">
        <v>475</v>
      </c>
      <c r="K126" s="44">
        <v>2</v>
      </c>
      <c r="L126" s="49">
        <v>21390</v>
      </c>
      <c r="M126" s="49">
        <v>8960</v>
      </c>
      <c r="N126" s="49">
        <v>12430</v>
      </c>
      <c r="O126" s="49">
        <v>5</v>
      </c>
      <c r="P126" s="49">
        <v>621.5</v>
      </c>
      <c r="Q126" s="49">
        <v>11808.5</v>
      </c>
      <c r="R126" s="49">
        <v>2800</v>
      </c>
      <c r="S126" s="49">
        <v>33063800</v>
      </c>
      <c r="T126" s="49">
        <v>14.07</v>
      </c>
      <c r="U126" s="49">
        <v>2814.07</v>
      </c>
      <c r="V126" s="49">
        <v>33229945</v>
      </c>
      <c r="W126" s="49">
        <v>166149</v>
      </c>
      <c r="X126" s="49">
        <v>33063796</v>
      </c>
      <c r="Y126" s="530" t="str">
        <f>IFERROR(IF(FIND("/KM",KB[[#This Row],[SUPPLIER]])&gt;0,"LAUT"),"DARAT")</f>
        <v>DARAT</v>
      </c>
    </row>
    <row r="127" spans="2:25">
      <c r="B127" s="140" t="str">
        <f>IFERROR(LEFT(KB[[#This Row],[SUPPLIER]],FIND("/",KB[[#This Row],[SUPPLIER]])-1),KB[[#This Row],[SUPPLIER]])</f>
        <v>SAIRI</v>
      </c>
      <c r="C127" s="141" t="str">
        <f>TEXT(VLOOKUP(KB[[#This Row],[RELASI]],DBRELASI[[RELASI]:[DOCKB]],10,0)+COUNTIFS($B$2:B127,KB[[#This Row],[RELASI]],$D$2:D127,1),"000")</f>
        <v>010</v>
      </c>
      <c r="D127" s="141">
        <f>IF(COUNTIFS($B$3:B127,KB[[#This Row],[RELASI]],$F$3:F127,KB[[#This Row],[TANGGAL]])&lt;&gt;1,0,1)</f>
        <v>1</v>
      </c>
      <c r="E127" s="141" t="str">
        <f>TEXT(IF(KB[[#This Row],[DOC]]&lt;&gt;"",KB[[#This Row],[DOC]],E126),"000")</f>
        <v>010</v>
      </c>
      <c r="F127" s="40">
        <v>43852</v>
      </c>
      <c r="G127" s="40" t="str">
        <f>TYPE</f>
        <v>A</v>
      </c>
      <c r="H127" s="153" t="s">
        <v>773</v>
      </c>
      <c r="I127" s="42" t="s">
        <v>84</v>
      </c>
      <c r="J127" s="43" t="s">
        <v>85</v>
      </c>
      <c r="K127" s="44">
        <v>2</v>
      </c>
      <c r="L127" s="49">
        <v>7830</v>
      </c>
      <c r="M127" s="49">
        <v>4700</v>
      </c>
      <c r="N127" s="49">
        <v>3130</v>
      </c>
      <c r="O127" s="49">
        <v>5</v>
      </c>
      <c r="P127" s="49">
        <v>156.5</v>
      </c>
      <c r="Q127" s="49">
        <v>2973.5</v>
      </c>
      <c r="R127" s="49">
        <v>2850</v>
      </c>
      <c r="S127" s="49">
        <v>8474475</v>
      </c>
      <c r="T127" s="49">
        <v>14.32</v>
      </c>
      <c r="U127" s="49">
        <v>2864.32</v>
      </c>
      <c r="V127" s="49">
        <v>8517056</v>
      </c>
      <c r="W127" s="49">
        <v>42585</v>
      </c>
      <c r="X127" s="49">
        <v>8474471</v>
      </c>
      <c r="Y127" s="530" t="str">
        <f>IFERROR(IF(FIND("/KM",KB[[#This Row],[SUPPLIER]])&gt;0,"LAUT"),"DARAT")</f>
        <v>DARAT</v>
      </c>
    </row>
    <row r="128" spans="2:25">
      <c r="B128" s="140" t="str">
        <f>IFERROR(LEFT(KB[[#This Row],[SUPPLIER]],FIND("/",KB[[#This Row],[SUPPLIER]])-1),KB[[#This Row],[SUPPLIER]])</f>
        <v>YANADI</v>
      </c>
      <c r="C128" s="141" t="str">
        <f>TEXT(VLOOKUP(KB[[#This Row],[RELASI]],DBRELASI[[RELASI]:[DOCKB]],10,0)+COUNTIFS($B$2:B128,KB[[#This Row],[RELASI]],$D$2:D128,1),"000")</f>
        <v>007</v>
      </c>
      <c r="D128" s="141">
        <f>IF(COUNTIFS($B$3:B128,KB[[#This Row],[RELASI]],$F$3:F128,KB[[#This Row],[TANGGAL]])&lt;&gt;1,0,1)</f>
        <v>1</v>
      </c>
      <c r="E128" s="141" t="str">
        <f>TEXT(IF(KB[[#This Row],[DOC]]&lt;&gt;"",KB[[#This Row],[DOC]],E127),"000")</f>
        <v>007</v>
      </c>
      <c r="F128" s="40">
        <v>43852</v>
      </c>
      <c r="G128" s="40" t="str">
        <f>TYPE</f>
        <v>A</v>
      </c>
      <c r="H128" s="153" t="s">
        <v>763</v>
      </c>
      <c r="I128" s="42" t="s">
        <v>137</v>
      </c>
      <c r="J128" s="43" t="s">
        <v>74</v>
      </c>
      <c r="K128" s="44">
        <v>1</v>
      </c>
      <c r="L128" s="49">
        <v>12910</v>
      </c>
      <c r="M128" s="49">
        <v>4440</v>
      </c>
      <c r="N128" s="49">
        <v>8470</v>
      </c>
      <c r="O128" s="49">
        <v>5</v>
      </c>
      <c r="P128" s="49">
        <v>423.5</v>
      </c>
      <c r="Q128" s="49">
        <v>8046.5</v>
      </c>
      <c r="R128" s="49">
        <v>2800</v>
      </c>
      <c r="S128" s="49">
        <v>22530200</v>
      </c>
      <c r="T128" s="49">
        <v>14.07</v>
      </c>
      <c r="U128" s="49">
        <v>2814.07</v>
      </c>
      <c r="V128" s="49">
        <v>22643414</v>
      </c>
      <c r="W128" s="49">
        <v>113217</v>
      </c>
      <c r="X128" s="49">
        <v>22530197</v>
      </c>
      <c r="Y128" s="530" t="str">
        <f>IFERROR(IF(FIND("/KM",KB[[#This Row],[SUPPLIER]])&gt;0,"LAUT"),"DARAT")</f>
        <v>DARAT</v>
      </c>
    </row>
    <row r="129" spans="2:25">
      <c r="B129" s="140" t="str">
        <f>IFERROR(LEFT(KB[[#This Row],[SUPPLIER]],FIND("/",KB[[#This Row],[SUPPLIER]])-1),KB[[#This Row],[SUPPLIER]])</f>
        <v>YANADI</v>
      </c>
      <c r="C129" s="141" t="str">
        <f>TEXT(VLOOKUP(KB[[#This Row],[RELASI]],DBRELASI[[RELASI]:[DOCKB]],10,0)+COUNTIFS($B$2:B129,KB[[#This Row],[RELASI]],$D$2:D129,1),"000")</f>
        <v>007</v>
      </c>
      <c r="D129" s="141">
        <f>IF(COUNTIFS($B$3:B129,KB[[#This Row],[RELASI]],$F$3:F129,KB[[#This Row],[TANGGAL]])&lt;&gt;1,0,1)</f>
        <v>0</v>
      </c>
      <c r="E129" s="141" t="str">
        <f>TEXT(IF(KB[[#This Row],[DOC]]&lt;&gt;"",KB[[#This Row],[DOC]],E128),"000")</f>
        <v>007</v>
      </c>
      <c r="F129" s="40">
        <v>43852</v>
      </c>
      <c r="G129" s="40" t="str">
        <f>TYPE</f>
        <v>A</v>
      </c>
      <c r="H129"/>
      <c r="I129" s="42" t="s">
        <v>531</v>
      </c>
      <c r="J129" s="43" t="s">
        <v>74</v>
      </c>
      <c r="K129" s="44">
        <v>2</v>
      </c>
      <c r="L129" s="49">
        <v>14740</v>
      </c>
      <c r="M129" s="49">
        <v>8020</v>
      </c>
      <c r="N129" s="49">
        <v>6720</v>
      </c>
      <c r="O129" s="49">
        <v>6</v>
      </c>
      <c r="P129" s="49">
        <v>403.2</v>
      </c>
      <c r="Q129" s="49">
        <v>6316.8</v>
      </c>
      <c r="R129" s="49">
        <v>2750</v>
      </c>
      <c r="S129" s="49">
        <v>17371200</v>
      </c>
      <c r="T129" s="49">
        <v>13.82</v>
      </c>
      <c r="U129" s="49">
        <v>2763.82</v>
      </c>
      <c r="V129" s="49">
        <v>17458499</v>
      </c>
      <c r="W129" s="49">
        <v>87293</v>
      </c>
      <c r="X129" s="49">
        <v>17371206</v>
      </c>
      <c r="Y129" s="530" t="str">
        <f>IFERROR(IF(FIND("/KM",KB[[#This Row],[SUPPLIER]])&gt;0,"LAUT"),"DARAT")</f>
        <v>LAUT</v>
      </c>
    </row>
    <row r="130" spans="2:25">
      <c r="B130" s="140" t="str">
        <f>IFERROR(LEFT(KB[[#This Row],[SUPPLIER]],FIND("/",KB[[#This Row],[SUPPLIER]])-1),KB[[#This Row],[SUPPLIER]])</f>
        <v>DINI CHAIRANI</v>
      </c>
      <c r="C130" s="141" t="str">
        <f>TEXT(VLOOKUP(KB[[#This Row],[RELASI]],DBRELASI[[RELASI]:[DOCKB]],10,0)+COUNTIFS($B$2:B130,KB[[#This Row],[RELASI]],$D$2:D130,1),"000")</f>
        <v>010</v>
      </c>
      <c r="D130" s="141">
        <f>IF(COUNTIFS($B$3:B130,KB[[#This Row],[RELASI]],$F$3:F130,KB[[#This Row],[TANGGAL]])&lt;&gt;1,0,1)</f>
        <v>1</v>
      </c>
      <c r="E130" s="141" t="str">
        <f>TEXT(IF(KB[[#This Row],[DOC]]&lt;&gt;"",KB[[#This Row],[DOC]],E129),"000")</f>
        <v>010</v>
      </c>
      <c r="F130" s="40">
        <v>43852</v>
      </c>
      <c r="G130" s="40" t="str">
        <f>TYPE</f>
        <v>A</v>
      </c>
      <c r="H130" s="153" t="s">
        <v>773</v>
      </c>
      <c r="I130" s="42" t="s">
        <v>525</v>
      </c>
      <c r="J130" s="43" t="s">
        <v>95</v>
      </c>
      <c r="K130" s="44">
        <v>1</v>
      </c>
      <c r="L130" s="49">
        <v>7020</v>
      </c>
      <c r="M130" s="49">
        <v>3780</v>
      </c>
      <c r="N130" s="49">
        <v>3240</v>
      </c>
      <c r="O130" s="49">
        <v>6</v>
      </c>
      <c r="P130" s="49">
        <v>194.4</v>
      </c>
      <c r="Q130" s="49">
        <v>3045.6</v>
      </c>
      <c r="R130" s="49">
        <v>2750</v>
      </c>
      <c r="S130" s="49">
        <v>8375400</v>
      </c>
      <c r="T130" s="49">
        <v>13.82</v>
      </c>
      <c r="U130" s="49">
        <v>2763.82</v>
      </c>
      <c r="V130" s="49">
        <v>8417490</v>
      </c>
      <c r="W130" s="49">
        <v>42087</v>
      </c>
      <c r="X130" s="49">
        <v>8375403</v>
      </c>
      <c r="Y130" s="530" t="str">
        <f>IFERROR(IF(FIND("/KM",KB[[#This Row],[SUPPLIER]])&gt;0,"LAUT"),"DARAT")</f>
        <v>LAUT</v>
      </c>
    </row>
    <row r="131" spans="2:25">
      <c r="B131" s="140" t="str">
        <f>IFERROR(LEFT(KB[[#This Row],[SUPPLIER]],FIND("/",KB[[#This Row],[SUPPLIER]])-1),KB[[#This Row],[SUPPLIER]])</f>
        <v>HENDRI</v>
      </c>
      <c r="C131" s="141" t="str">
        <f>TEXT(VLOOKUP(KB[[#This Row],[RELASI]],DBRELASI[[RELASI]:[DOCKB]],10,0)+COUNTIFS($B$2:B131,KB[[#This Row],[RELASI]],$D$2:D131,1),"000")</f>
        <v>009</v>
      </c>
      <c r="D131" s="141">
        <f>IF(COUNTIFS($B$3:B131,KB[[#This Row],[RELASI]],$F$3:F131,KB[[#This Row],[TANGGAL]])&lt;&gt;1,0,1)</f>
        <v>1</v>
      </c>
      <c r="E131" s="141" t="str">
        <f>TEXT(IF(KB[[#This Row],[DOC]]&lt;&gt;"",KB[[#This Row],[DOC]],E130),"000")</f>
        <v>009</v>
      </c>
      <c r="F131" s="40">
        <v>43852</v>
      </c>
      <c r="G131" s="40" t="str">
        <f>TYPE</f>
        <v>A</v>
      </c>
      <c r="H131" s="153" t="s">
        <v>769</v>
      </c>
      <c r="I131" s="42" t="s">
        <v>770</v>
      </c>
      <c r="J131" s="43" t="s">
        <v>475</v>
      </c>
      <c r="K131" s="44">
        <v>1</v>
      </c>
      <c r="L131" s="49">
        <v>8090</v>
      </c>
      <c r="M131" s="49">
        <v>3960</v>
      </c>
      <c r="N131" s="49">
        <v>4130</v>
      </c>
      <c r="O131" s="49">
        <v>6</v>
      </c>
      <c r="P131" s="49">
        <v>247.79999999999998</v>
      </c>
      <c r="Q131" s="49">
        <v>3882.2</v>
      </c>
      <c r="R131" s="49">
        <v>2750</v>
      </c>
      <c r="S131" s="49">
        <v>10676050</v>
      </c>
      <c r="T131" s="49">
        <v>13.82</v>
      </c>
      <c r="U131" s="49">
        <v>2763.82</v>
      </c>
      <c r="V131" s="49">
        <v>10729702</v>
      </c>
      <c r="W131" s="49">
        <v>53649</v>
      </c>
      <c r="X131" s="49">
        <v>10676053</v>
      </c>
      <c r="Y131" s="530" t="str">
        <f>IFERROR(IF(FIND("/KM",KB[[#This Row],[SUPPLIER]])&gt;0,"LAUT"),"DARAT")</f>
        <v>LAUT</v>
      </c>
    </row>
    <row r="132" spans="2:25">
      <c r="B132" s="140" t="str">
        <f>IFERROR(LEFT(KB[[#This Row],[SUPPLIER]],FIND("/",KB[[#This Row],[SUPPLIER]])-1),KB[[#This Row],[SUPPLIER]])</f>
        <v>MARTONO</v>
      </c>
      <c r="C132" s="141" t="str">
        <f>TEXT(VLOOKUP(KB[[#This Row],[RELASI]],DBRELASI[[RELASI]:[DOCKB]],10,0)+COUNTIFS($B$2:B132,KB[[#This Row],[RELASI]],$D$2:D132,1),"000")</f>
        <v>012</v>
      </c>
      <c r="D132" s="141">
        <f>IF(COUNTIFS($B$3:B132,KB[[#This Row],[RELASI]],$F$3:F132,KB[[#This Row],[TANGGAL]])&lt;&gt;1,0,1)</f>
        <v>1</v>
      </c>
      <c r="E132" s="141" t="str">
        <f>TEXT(IF(KB[[#This Row],[DOC]]&lt;&gt;"",KB[[#This Row],[DOC]],E131),"000")</f>
        <v>012</v>
      </c>
      <c r="F132" s="40">
        <v>43852</v>
      </c>
      <c r="G132" s="40" t="str">
        <f>TYPE</f>
        <v>A</v>
      </c>
      <c r="H132" s="153" t="s">
        <v>778</v>
      </c>
      <c r="I132" s="42" t="s">
        <v>797</v>
      </c>
      <c r="J132" s="43" t="s">
        <v>83</v>
      </c>
      <c r="K132" s="44">
        <v>2</v>
      </c>
      <c r="L132" s="49">
        <v>17160</v>
      </c>
      <c r="M132" s="49">
        <v>7780</v>
      </c>
      <c r="N132" s="49">
        <v>9380</v>
      </c>
      <c r="O132" s="49">
        <v>6</v>
      </c>
      <c r="P132" s="49">
        <v>562.79999999999995</v>
      </c>
      <c r="Q132" s="49">
        <v>8817.2000000000007</v>
      </c>
      <c r="R132" s="49">
        <v>2750</v>
      </c>
      <c r="S132" s="49">
        <v>24247300</v>
      </c>
      <c r="T132" s="49">
        <v>13.82</v>
      </c>
      <c r="U132" s="49">
        <v>2763.82</v>
      </c>
      <c r="V132" s="49">
        <v>24369153</v>
      </c>
      <c r="W132" s="49">
        <v>121846</v>
      </c>
      <c r="X132" s="49">
        <v>24247307</v>
      </c>
      <c r="Y132" s="530" t="str">
        <f>IFERROR(IF(FIND("/KM",KB[[#This Row],[SUPPLIER]])&gt;0,"LAUT"),"DARAT")</f>
        <v>LAUT</v>
      </c>
    </row>
    <row r="133" spans="2:25">
      <c r="B133" s="140" t="str">
        <f>IFERROR(LEFT(KB[[#This Row],[SUPPLIER]],FIND("/",KB[[#This Row],[SUPPLIER]])-1),KB[[#This Row],[SUPPLIER]])</f>
        <v>MARTONO</v>
      </c>
      <c r="C133" s="141" t="str">
        <f>TEXT(VLOOKUP(KB[[#This Row],[RELASI]],DBRELASI[[RELASI]:[DOCKB]],10,0)+COUNTIFS($B$2:B133,KB[[#This Row],[RELASI]],$D$2:D133,1),"000")</f>
        <v>012</v>
      </c>
      <c r="D133" s="141">
        <f>IF(COUNTIFS($B$3:B133,KB[[#This Row],[RELASI]],$F$3:F133,KB[[#This Row],[TANGGAL]])&lt;&gt;1,0,1)</f>
        <v>0</v>
      </c>
      <c r="E133" s="141" t="str">
        <f>TEXT(IF(KB[[#This Row],[DOC]]&lt;&gt;"",KB[[#This Row],[DOC]],E132),"000")</f>
        <v>012</v>
      </c>
      <c r="F133" s="40">
        <v>43852</v>
      </c>
      <c r="G133" s="40" t="str">
        <f>TYPE</f>
        <v>A</v>
      </c>
      <c r="H133"/>
      <c r="I133" s="42" t="s">
        <v>529</v>
      </c>
      <c r="J133" s="43" t="s">
        <v>83</v>
      </c>
      <c r="K133" s="44">
        <v>1</v>
      </c>
      <c r="L133" s="49">
        <v>15530</v>
      </c>
      <c r="M133" s="49">
        <v>7860</v>
      </c>
      <c r="N133" s="49">
        <v>7670</v>
      </c>
      <c r="O133" s="49">
        <v>6</v>
      </c>
      <c r="P133" s="49">
        <v>460.2</v>
      </c>
      <c r="Q133" s="49">
        <v>7209.8</v>
      </c>
      <c r="R133" s="49">
        <v>2750</v>
      </c>
      <c r="S133" s="49">
        <v>19826950</v>
      </c>
      <c r="T133" s="49">
        <v>13.82</v>
      </c>
      <c r="U133" s="49">
        <v>2763.82</v>
      </c>
      <c r="V133" s="49">
        <v>19926589</v>
      </c>
      <c r="W133" s="49">
        <v>99633</v>
      </c>
      <c r="X133" s="49">
        <v>19826956</v>
      </c>
      <c r="Y133" s="530" t="str">
        <f>IFERROR(IF(FIND("/KM",KB[[#This Row],[SUPPLIER]])&gt;0,"LAUT"),"DARAT")</f>
        <v>LAUT</v>
      </c>
    </row>
    <row r="134" spans="2:25">
      <c r="B134" s="140" t="str">
        <f>IFERROR(LEFT(KB[[#This Row],[SUPPLIER]],FIND("/",KB[[#This Row],[SUPPLIER]])-1),KB[[#This Row],[SUPPLIER]])</f>
        <v>WARTINI</v>
      </c>
      <c r="C134" s="141" t="str">
        <f>TEXT(VLOOKUP(KB[[#This Row],[RELASI]],DBRELASI[[RELASI]:[DOCKB]],10,0)+COUNTIFS($B$2:B134,KB[[#This Row],[RELASI]],$D$2:D134,1),"000")</f>
        <v>002</v>
      </c>
      <c r="D134" s="141">
        <f>IF(COUNTIFS($B$3:B134,KB[[#This Row],[RELASI]],$F$3:F134,KB[[#This Row],[TANGGAL]])&lt;&gt;1,0,1)</f>
        <v>1</v>
      </c>
      <c r="E134" s="141" t="str">
        <f>TEXT(IF(KB[[#This Row],[DOC]]&lt;&gt;"",KB[[#This Row],[DOC]],E133),"000")</f>
        <v>002</v>
      </c>
      <c r="F134" s="40">
        <v>43852</v>
      </c>
      <c r="G134" s="40" t="str">
        <f>TYPE</f>
        <v>A</v>
      </c>
      <c r="H134" s="154" t="s">
        <v>515</v>
      </c>
      <c r="I134" s="46" t="s">
        <v>794</v>
      </c>
      <c r="J134" s="47" t="s">
        <v>97</v>
      </c>
      <c r="K134" s="48">
        <v>7</v>
      </c>
      <c r="L134" s="49">
        <v>58380</v>
      </c>
      <c r="M134" s="49">
        <v>27190</v>
      </c>
      <c r="N134" s="49">
        <v>31190</v>
      </c>
      <c r="O134" s="49">
        <v>5.9999999999999991</v>
      </c>
      <c r="P134" s="49">
        <v>1871.3999999999996</v>
      </c>
      <c r="Q134" s="49">
        <v>29318.6</v>
      </c>
      <c r="R134" s="49">
        <v>2850</v>
      </c>
      <c r="S134" s="49">
        <v>83558010</v>
      </c>
      <c r="T134" s="49">
        <v>14.32</v>
      </c>
      <c r="U134" s="49">
        <v>2864.32</v>
      </c>
      <c r="V134" s="49">
        <v>83977851</v>
      </c>
      <c r="W134" s="49">
        <v>419888</v>
      </c>
      <c r="X134" s="49">
        <v>83557963</v>
      </c>
      <c r="Y134" s="574" t="str">
        <f>IFERROR(IF(FIND("/KM",KB[[#This Row],[SUPPLIER]])&gt;0,"LAUT"),"DARAT")</f>
        <v>LAUT</v>
      </c>
    </row>
    <row r="135" spans="2:25">
      <c r="B135" s="140" t="str">
        <f>IFERROR(LEFT(KB[[#This Row],[SUPPLIER]],FIND("/",KB[[#This Row],[SUPPLIER]])-1),KB[[#This Row],[SUPPLIER]])</f>
        <v>ERAWATI</v>
      </c>
      <c r="C135" s="141" t="str">
        <f>TEXT(VLOOKUP(KB[[#This Row],[RELASI]],DBRELASI[[RELASI]:[DOCKB]],10,0)+COUNTIFS($B$2:B135,KB[[#This Row],[RELASI]],$D$2:D135,1),"000")</f>
        <v>017</v>
      </c>
      <c r="D135" s="141">
        <f>IF(COUNTIFS($B$3:B135,KB[[#This Row],[RELASI]],$F$3:F135,KB[[#This Row],[TANGGAL]])&lt;&gt;1,0,1)</f>
        <v>1</v>
      </c>
      <c r="E135" s="141" t="str">
        <f>TEXT(IF(KB[[#This Row],[DOC]]&lt;&gt;"",KB[[#This Row],[DOC]],E134),"000")</f>
        <v>017</v>
      </c>
      <c r="F135" s="40">
        <v>43853</v>
      </c>
      <c r="G135" s="40" t="str">
        <f>TYPE</f>
        <v>A</v>
      </c>
      <c r="H135" s="153" t="s">
        <v>798</v>
      </c>
      <c r="I135" s="42" t="s">
        <v>155</v>
      </c>
      <c r="J135" s="43" t="s">
        <v>77</v>
      </c>
      <c r="K135" s="44">
        <v>4</v>
      </c>
      <c r="L135" s="49">
        <v>41460</v>
      </c>
      <c r="M135" s="49">
        <v>14910</v>
      </c>
      <c r="N135" s="49">
        <v>26550</v>
      </c>
      <c r="O135" s="49">
        <v>5.107721280602636</v>
      </c>
      <c r="P135" s="49">
        <v>1356.1</v>
      </c>
      <c r="Q135" s="49">
        <v>25193.9</v>
      </c>
      <c r="R135" s="49">
        <v>2800</v>
      </c>
      <c r="S135" s="49">
        <v>70542920</v>
      </c>
      <c r="T135" s="49">
        <v>14.07</v>
      </c>
      <c r="U135" s="49">
        <v>2814.07</v>
      </c>
      <c r="V135" s="49">
        <v>70897398</v>
      </c>
      <c r="W135" s="49">
        <v>354488</v>
      </c>
      <c r="X135" s="49">
        <v>70542910</v>
      </c>
      <c r="Y135" s="530" t="str">
        <f>IFERROR(IF(FIND("/KM",KB[[#This Row],[SUPPLIER]])&gt;0,"LAUT"),"DARAT")</f>
        <v>DARAT</v>
      </c>
    </row>
    <row r="136" spans="2:25">
      <c r="B136" s="140" t="str">
        <f>IFERROR(LEFT(KB[[#This Row],[SUPPLIER]],FIND("/",KB[[#This Row],[SUPPLIER]])-1),KB[[#This Row],[SUPPLIER]])</f>
        <v>ERAWATI</v>
      </c>
      <c r="C136" s="141" t="str">
        <f>TEXT(VLOOKUP(KB[[#This Row],[RELASI]],DBRELASI[[RELASI]:[DOCKB]],10,0)+COUNTIFS($B$2:B136,KB[[#This Row],[RELASI]],$D$2:D136,1),"000")</f>
        <v>017</v>
      </c>
      <c r="D136" s="141">
        <f>IF(COUNTIFS($B$3:B136,KB[[#This Row],[RELASI]],$F$3:F136,KB[[#This Row],[TANGGAL]])&lt;&gt;1,0,1)</f>
        <v>0</v>
      </c>
      <c r="E136" s="141" t="str">
        <f>TEXT(IF(KB[[#This Row],[DOC]]&lt;&gt;"",KB[[#This Row],[DOC]],E135),"000")</f>
        <v>017</v>
      </c>
      <c r="F136" s="40">
        <v>43853</v>
      </c>
      <c r="G136" s="40" t="str">
        <f>TYPE</f>
        <v>A</v>
      </c>
      <c r="H136"/>
      <c r="I136" s="42" t="s">
        <v>760</v>
      </c>
      <c r="J136" s="43" t="s">
        <v>77</v>
      </c>
      <c r="K136" s="44">
        <v>1</v>
      </c>
      <c r="L136" s="49">
        <v>7450</v>
      </c>
      <c r="M136" s="49">
        <v>3870</v>
      </c>
      <c r="N136" s="49">
        <v>3580</v>
      </c>
      <c r="O136" s="49">
        <v>6</v>
      </c>
      <c r="P136" s="49">
        <v>214.79999999999998</v>
      </c>
      <c r="Q136" s="49">
        <v>3365.2</v>
      </c>
      <c r="R136" s="49">
        <v>2750</v>
      </c>
      <c r="S136" s="49">
        <v>9254300</v>
      </c>
      <c r="T136" s="49">
        <v>13.82</v>
      </c>
      <c r="U136" s="49">
        <v>2763.82</v>
      </c>
      <c r="V136" s="49">
        <v>9300807</v>
      </c>
      <c r="W136" s="49">
        <v>46504</v>
      </c>
      <c r="X136" s="49">
        <v>9254303</v>
      </c>
      <c r="Y136" s="530" t="str">
        <f>IFERROR(IF(FIND("/KM",KB[[#This Row],[SUPPLIER]])&gt;0,"LAUT"),"DARAT")</f>
        <v>LAUT</v>
      </c>
    </row>
    <row r="137" spans="2:25">
      <c r="B137" s="140" t="str">
        <f>IFERROR(LEFT(KB[[#This Row],[SUPPLIER]],FIND("/",KB[[#This Row],[SUPPLIER]])-1),KB[[#This Row],[SUPPLIER]])</f>
        <v>INDRAYANI</v>
      </c>
      <c r="C137" s="141" t="str">
        <f>TEXT(VLOOKUP(KB[[#This Row],[RELASI]],DBRELASI[[RELASI]:[DOCKB]],10,0)+COUNTIFS($B$2:B137,KB[[#This Row],[RELASI]],$D$2:D137,1),"000")</f>
        <v>015</v>
      </c>
      <c r="D137" s="141">
        <f>IF(COUNTIFS($B$3:B137,KB[[#This Row],[RELASI]],$F$3:F137,KB[[#This Row],[TANGGAL]])&lt;&gt;1,0,1)</f>
        <v>1</v>
      </c>
      <c r="E137" s="141" t="str">
        <f>TEXT(IF(KB[[#This Row],[DOC]]&lt;&gt;"",KB[[#This Row],[DOC]],E136),"000")</f>
        <v>015</v>
      </c>
      <c r="F137" s="40">
        <v>43853</v>
      </c>
      <c r="G137" s="40" t="str">
        <f>TYPE</f>
        <v>A</v>
      </c>
      <c r="H137" s="153" t="s">
        <v>789</v>
      </c>
      <c r="I137" s="42" t="s">
        <v>79</v>
      </c>
      <c r="J137" s="43" t="s">
        <v>77</v>
      </c>
      <c r="K137" s="44">
        <v>2</v>
      </c>
      <c r="L137" s="49">
        <v>22280</v>
      </c>
      <c r="M137" s="49">
        <v>8480</v>
      </c>
      <c r="N137" s="49">
        <v>13800</v>
      </c>
      <c r="O137" s="49">
        <v>5</v>
      </c>
      <c r="P137" s="49">
        <v>690</v>
      </c>
      <c r="Q137" s="49">
        <v>13110</v>
      </c>
      <c r="R137" s="49">
        <v>2900</v>
      </c>
      <c r="S137" s="49">
        <v>38019000</v>
      </c>
      <c r="T137" s="49">
        <v>14.57</v>
      </c>
      <c r="U137" s="49">
        <v>2914.57</v>
      </c>
      <c r="V137" s="49">
        <v>38210013</v>
      </c>
      <c r="W137" s="49">
        <v>191050</v>
      </c>
      <c r="X137" s="49">
        <v>38018963</v>
      </c>
      <c r="Y137" s="530" t="str">
        <f>IFERROR(IF(FIND("/KM",KB[[#This Row],[SUPPLIER]])&gt;0,"LAUT"),"DARAT")</f>
        <v>DARAT</v>
      </c>
    </row>
    <row r="138" spans="2:25">
      <c r="B138" s="140" t="str">
        <f>IFERROR(LEFT(KB[[#This Row],[SUPPLIER]],FIND("/",KB[[#This Row],[SUPPLIER]])-1),KB[[#This Row],[SUPPLIER]])</f>
        <v>RUSLAN JAYA, SH</v>
      </c>
      <c r="C138" s="141" t="str">
        <f>TEXT(VLOOKUP(KB[[#This Row],[RELASI]],DBRELASI[[RELASI]:[DOCKB]],10,0)+COUNTIFS($B$2:B138,KB[[#This Row],[RELASI]],$D$2:D138,1),"000")</f>
        <v>004</v>
      </c>
      <c r="D138" s="141">
        <f>IF(COUNTIFS($B$3:B138,KB[[#This Row],[RELASI]],$F$3:F138,KB[[#This Row],[TANGGAL]])&lt;&gt;1,0,1)</f>
        <v>1</v>
      </c>
      <c r="E138" s="141" t="str">
        <f>TEXT(IF(KB[[#This Row],[DOC]]&lt;&gt;"",KB[[#This Row],[DOC]],E137),"000")</f>
        <v>004</v>
      </c>
      <c r="F138" s="40">
        <v>43853</v>
      </c>
      <c r="G138" s="40" t="str">
        <f>TYPE</f>
        <v>A</v>
      </c>
      <c r="H138" s="153" t="s">
        <v>526</v>
      </c>
      <c r="I138" s="42" t="s">
        <v>479</v>
      </c>
      <c r="J138" s="43" t="s">
        <v>475</v>
      </c>
      <c r="K138" s="44">
        <v>1</v>
      </c>
      <c r="L138" s="49">
        <v>8020</v>
      </c>
      <c r="M138" s="49">
        <v>4630</v>
      </c>
      <c r="N138" s="49">
        <v>3390</v>
      </c>
      <c r="O138" s="49">
        <v>5</v>
      </c>
      <c r="P138" s="49">
        <v>169.5</v>
      </c>
      <c r="Q138" s="49">
        <v>3220.5</v>
      </c>
      <c r="R138" s="49">
        <v>2800</v>
      </c>
      <c r="S138" s="49">
        <v>9017400</v>
      </c>
      <c r="T138" s="49">
        <v>14.07</v>
      </c>
      <c r="U138" s="49">
        <v>2814.07</v>
      </c>
      <c r="V138" s="49">
        <v>9062712</v>
      </c>
      <c r="W138" s="49">
        <v>45314</v>
      </c>
      <c r="X138" s="49">
        <v>9017398</v>
      </c>
      <c r="Y138" s="530" t="str">
        <f>IFERROR(IF(FIND("/KM",KB[[#This Row],[SUPPLIER]])&gt;0,"LAUT"),"DARAT")</f>
        <v>DARAT</v>
      </c>
    </row>
    <row r="139" spans="2:25">
      <c r="B139" s="140" t="str">
        <f>IFERROR(LEFT(KB[[#This Row],[SUPPLIER]],FIND("/",KB[[#This Row],[SUPPLIER]])-1),KB[[#This Row],[SUPPLIER]])</f>
        <v>SAIRI</v>
      </c>
      <c r="C139" s="141" t="str">
        <f>TEXT(VLOOKUP(KB[[#This Row],[RELASI]],DBRELASI[[RELASI]:[DOCKB]],10,0)+COUNTIFS($B$2:B139,KB[[#This Row],[RELASI]],$D$2:D139,1),"000")</f>
        <v>011</v>
      </c>
      <c r="D139" s="141">
        <f>IF(COUNTIFS($B$3:B139,KB[[#This Row],[RELASI]],$F$3:F139,KB[[#This Row],[TANGGAL]])&lt;&gt;1,0,1)</f>
        <v>1</v>
      </c>
      <c r="E139" s="141" t="str">
        <f>TEXT(IF(KB[[#This Row],[DOC]]&lt;&gt;"",KB[[#This Row],[DOC]],E138),"000")</f>
        <v>011</v>
      </c>
      <c r="F139" s="40">
        <v>43853</v>
      </c>
      <c r="G139" s="40" t="str">
        <f>TYPE</f>
        <v>A</v>
      </c>
      <c r="H139" s="153" t="s">
        <v>777</v>
      </c>
      <c r="I139" s="42" t="s">
        <v>84</v>
      </c>
      <c r="J139" s="43" t="s">
        <v>85</v>
      </c>
      <c r="K139" s="44">
        <v>5</v>
      </c>
      <c r="L139" s="49">
        <v>35580</v>
      </c>
      <c r="M139" s="49">
        <v>14800</v>
      </c>
      <c r="N139" s="49">
        <v>20780</v>
      </c>
      <c r="O139" s="49">
        <v>5</v>
      </c>
      <c r="P139" s="49">
        <v>1039</v>
      </c>
      <c r="Q139" s="49">
        <v>19741</v>
      </c>
      <c r="R139" s="49">
        <v>2850</v>
      </c>
      <c r="S139" s="49">
        <v>56261850</v>
      </c>
      <c r="T139" s="49">
        <v>14.32</v>
      </c>
      <c r="U139" s="49">
        <v>2864.32</v>
      </c>
      <c r="V139" s="49">
        <v>56544540</v>
      </c>
      <c r="W139" s="49">
        <v>282722</v>
      </c>
      <c r="X139" s="49">
        <v>56261818</v>
      </c>
      <c r="Y139" s="530" t="str">
        <f>IFERROR(IF(FIND("/KM",KB[[#This Row],[SUPPLIER]])&gt;0,"LAUT"),"DARAT")</f>
        <v>DARAT</v>
      </c>
    </row>
    <row r="140" spans="2:25">
      <c r="B140" s="140" t="str">
        <f>IFERROR(LEFT(KB[[#This Row],[SUPPLIER]],FIND("/",KB[[#This Row],[SUPPLIER]])-1),KB[[#This Row],[SUPPLIER]])</f>
        <v>DINI CHAIRANI</v>
      </c>
      <c r="C140" s="141" t="str">
        <f>TEXT(VLOOKUP(KB[[#This Row],[RELASI]],DBRELASI[[RELASI]:[DOCKB]],10,0)+COUNTIFS($B$2:B140,KB[[#This Row],[RELASI]],$D$2:D140,1),"000")</f>
        <v>011</v>
      </c>
      <c r="D140" s="141">
        <f>IF(COUNTIFS($B$3:B140,KB[[#This Row],[RELASI]],$F$3:F140,KB[[#This Row],[TANGGAL]])&lt;&gt;1,0,1)</f>
        <v>1</v>
      </c>
      <c r="E140" s="141" t="str">
        <f>TEXT(IF(KB[[#This Row],[DOC]]&lt;&gt;"",KB[[#This Row],[DOC]],E139),"000")</f>
        <v>011</v>
      </c>
      <c r="F140" s="40">
        <v>43853</v>
      </c>
      <c r="G140" s="40" t="str">
        <f>TYPE</f>
        <v>A</v>
      </c>
      <c r="H140" s="153" t="s">
        <v>777</v>
      </c>
      <c r="I140" s="42" t="s">
        <v>799</v>
      </c>
      <c r="J140" s="43" t="s">
        <v>95</v>
      </c>
      <c r="K140" s="44">
        <v>1</v>
      </c>
      <c r="L140" s="49">
        <v>6560</v>
      </c>
      <c r="M140" s="49">
        <v>3960</v>
      </c>
      <c r="N140" s="49">
        <v>2600</v>
      </c>
      <c r="O140" s="49">
        <v>6</v>
      </c>
      <c r="P140" s="49">
        <v>156</v>
      </c>
      <c r="Q140" s="49">
        <v>2444</v>
      </c>
      <c r="R140" s="49">
        <v>2750</v>
      </c>
      <c r="S140" s="49">
        <v>6721000</v>
      </c>
      <c r="T140" s="49">
        <v>13.82</v>
      </c>
      <c r="U140" s="49">
        <v>2763.82</v>
      </c>
      <c r="V140" s="49">
        <v>6754776</v>
      </c>
      <c r="W140" s="49">
        <v>33774</v>
      </c>
      <c r="X140" s="49">
        <v>6721002</v>
      </c>
      <c r="Y140" s="530" t="str">
        <f>IFERROR(IF(FIND("/KM",KB[[#This Row],[SUPPLIER]])&gt;0,"LAUT"),"DARAT")</f>
        <v>LAUT</v>
      </c>
    </row>
    <row r="141" spans="2:25">
      <c r="B141" s="140" t="str">
        <f>IFERROR(LEFT(KB[[#This Row],[SUPPLIER]],FIND("/",KB[[#This Row],[SUPPLIER]])-1),KB[[#This Row],[SUPPLIER]])</f>
        <v>HENDRI</v>
      </c>
      <c r="C141" s="141" t="str">
        <f>TEXT(VLOOKUP(KB[[#This Row],[RELASI]],DBRELASI[[RELASI]:[DOCKB]],10,0)+COUNTIFS($B$2:B141,KB[[#This Row],[RELASI]],$D$2:D141,1),"000")</f>
        <v>010</v>
      </c>
      <c r="D141" s="141">
        <f>IF(COUNTIFS($B$3:B141,KB[[#This Row],[RELASI]],$F$3:F141,KB[[#This Row],[TANGGAL]])&lt;&gt;1,0,1)</f>
        <v>1</v>
      </c>
      <c r="E141" s="141" t="str">
        <f>TEXT(IF(KB[[#This Row],[DOC]]&lt;&gt;"",KB[[#This Row],[DOC]],E140),"000")</f>
        <v>010</v>
      </c>
      <c r="F141" s="40">
        <v>43853</v>
      </c>
      <c r="G141" s="40" t="str">
        <f>TYPE</f>
        <v>A</v>
      </c>
      <c r="H141" s="153" t="s">
        <v>773</v>
      </c>
      <c r="I141" s="42" t="s">
        <v>800</v>
      </c>
      <c r="J141" s="43" t="s">
        <v>475</v>
      </c>
      <c r="K141" s="44">
        <v>1</v>
      </c>
      <c r="L141" s="49">
        <v>8730</v>
      </c>
      <c r="M141" s="49">
        <v>3890</v>
      </c>
      <c r="N141" s="49">
        <v>4840</v>
      </c>
      <c r="O141" s="49">
        <v>6</v>
      </c>
      <c r="P141" s="49">
        <v>290.39999999999998</v>
      </c>
      <c r="Q141" s="49">
        <v>4549.6000000000004</v>
      </c>
      <c r="R141" s="49">
        <v>2750</v>
      </c>
      <c r="S141" s="49">
        <v>12511400</v>
      </c>
      <c r="T141" s="49">
        <v>13.82</v>
      </c>
      <c r="U141" s="49">
        <v>2763.82</v>
      </c>
      <c r="V141" s="49">
        <v>12574275</v>
      </c>
      <c r="W141" s="49">
        <v>62871</v>
      </c>
      <c r="X141" s="49">
        <v>12511404</v>
      </c>
      <c r="Y141" s="530" t="str">
        <f>IFERROR(IF(FIND("/KM",KB[[#This Row],[SUPPLIER]])&gt;0,"LAUT"),"DARAT")</f>
        <v>LAUT</v>
      </c>
    </row>
    <row r="142" spans="2:25">
      <c r="B142" s="140" t="str">
        <f>IFERROR(LEFT(KB[[#This Row],[SUPPLIER]],FIND("/",KB[[#This Row],[SUPPLIER]])-1),KB[[#This Row],[SUPPLIER]])</f>
        <v>MARTONO</v>
      </c>
      <c r="C142" s="141" t="str">
        <f>TEXT(VLOOKUP(KB[[#This Row],[RELASI]],DBRELASI[[RELASI]:[DOCKB]],10,0)+COUNTIFS($B$2:B142,KB[[#This Row],[RELASI]],$D$2:D142,1),"000")</f>
        <v>013</v>
      </c>
      <c r="D142" s="141">
        <f>IF(COUNTIFS($B$3:B142,KB[[#This Row],[RELASI]],$F$3:F142,KB[[#This Row],[TANGGAL]])&lt;&gt;1,0,1)</f>
        <v>1</v>
      </c>
      <c r="E142" s="141" t="str">
        <f>TEXT(IF(KB[[#This Row],[DOC]]&lt;&gt;"",KB[[#This Row],[DOC]],E141),"000")</f>
        <v>013</v>
      </c>
      <c r="F142" s="40">
        <v>43853</v>
      </c>
      <c r="G142" s="40" t="str">
        <f>TYPE</f>
        <v>A</v>
      </c>
      <c r="H142" s="153" t="s">
        <v>780</v>
      </c>
      <c r="I142" s="42" t="s">
        <v>508</v>
      </c>
      <c r="J142" s="43" t="s">
        <v>83</v>
      </c>
      <c r="K142" s="44">
        <v>1</v>
      </c>
      <c r="L142" s="49">
        <v>8120</v>
      </c>
      <c r="M142" s="49">
        <v>3800</v>
      </c>
      <c r="N142" s="49">
        <v>4320</v>
      </c>
      <c r="O142" s="49">
        <v>5.9999999999999991</v>
      </c>
      <c r="P142" s="49">
        <v>259.2</v>
      </c>
      <c r="Q142" s="49">
        <v>4060.8</v>
      </c>
      <c r="R142" s="49">
        <v>2750</v>
      </c>
      <c r="S142" s="49">
        <v>11167200</v>
      </c>
      <c r="T142" s="49">
        <v>13.82</v>
      </c>
      <c r="U142" s="49">
        <v>2763.82</v>
      </c>
      <c r="V142" s="49">
        <v>11223320</v>
      </c>
      <c r="W142" s="49">
        <v>56117</v>
      </c>
      <c r="X142" s="49">
        <v>11167203</v>
      </c>
      <c r="Y142" s="530" t="str">
        <f>IFERROR(IF(FIND("/KM",KB[[#This Row],[SUPPLIER]])&gt;0,"LAUT"),"DARAT")</f>
        <v>LAUT</v>
      </c>
    </row>
    <row r="143" spans="2:25">
      <c r="B143" s="140" t="str">
        <f>IFERROR(LEFT(KB[[#This Row],[SUPPLIER]],FIND("/",KB[[#This Row],[SUPPLIER]])-1),KB[[#This Row],[SUPPLIER]])</f>
        <v>MARTONO</v>
      </c>
      <c r="C143" s="141" t="str">
        <f>TEXT(VLOOKUP(KB[[#This Row],[RELASI]],DBRELASI[[RELASI]:[DOCKB]],10,0)+COUNTIFS($B$2:B143,KB[[#This Row],[RELASI]],$D$2:D143,1),"000")</f>
        <v>013</v>
      </c>
      <c r="D143" s="141">
        <f>IF(COUNTIFS($B$3:B143,KB[[#This Row],[RELASI]],$F$3:F143,KB[[#This Row],[TANGGAL]])&lt;&gt;1,0,1)</f>
        <v>0</v>
      </c>
      <c r="E143" s="141" t="str">
        <f>TEXT(IF(KB[[#This Row],[DOC]]&lt;&gt;"",KB[[#This Row],[DOC]],E142),"000")</f>
        <v>013</v>
      </c>
      <c r="F143" s="40">
        <v>43853</v>
      </c>
      <c r="G143" s="40" t="str">
        <f>TYPE</f>
        <v>A</v>
      </c>
      <c r="H143"/>
      <c r="I143" s="42" t="s">
        <v>801</v>
      </c>
      <c r="J143" s="43" t="s">
        <v>83</v>
      </c>
      <c r="K143" s="44">
        <v>2</v>
      </c>
      <c r="L143" s="49">
        <v>13970</v>
      </c>
      <c r="M143" s="49">
        <v>7680</v>
      </c>
      <c r="N143" s="49">
        <v>6290</v>
      </c>
      <c r="O143" s="49">
        <v>6</v>
      </c>
      <c r="P143" s="49">
        <v>377.4</v>
      </c>
      <c r="Q143" s="49">
        <v>5912.6</v>
      </c>
      <c r="R143" s="49">
        <v>2750</v>
      </c>
      <c r="S143" s="49">
        <v>16259650</v>
      </c>
      <c r="T143" s="49">
        <v>13.82</v>
      </c>
      <c r="U143" s="49">
        <v>2763.82</v>
      </c>
      <c r="V143" s="49">
        <v>16341362</v>
      </c>
      <c r="W143" s="49">
        <v>81706</v>
      </c>
      <c r="X143" s="49">
        <v>16259656</v>
      </c>
      <c r="Y143" s="530" t="str">
        <f>IFERROR(IF(FIND("/KM",KB[[#This Row],[SUPPLIER]])&gt;0,"LAUT"),"DARAT")</f>
        <v>LAUT</v>
      </c>
    </row>
    <row r="144" spans="2:25">
      <c r="B144" s="140" t="str">
        <f>IFERROR(LEFT(KB[[#This Row],[SUPPLIER]],FIND("/",KB[[#This Row],[SUPPLIER]])-1),KB[[#This Row],[SUPPLIER]])</f>
        <v>MASRI</v>
      </c>
      <c r="C144" s="141" t="str">
        <f>TEXT(VLOOKUP(KB[[#This Row],[RELASI]],DBRELASI[[RELASI]:[DOCKB]],10,0)+COUNTIFS($B$2:B144,KB[[#This Row],[RELASI]],$D$2:D144,1),"000")</f>
        <v>010</v>
      </c>
      <c r="D144" s="141">
        <f>IF(COUNTIFS($B$3:B144,KB[[#This Row],[RELASI]],$F$3:F144,KB[[#This Row],[TANGGAL]])&lt;&gt;1,0,1)</f>
        <v>1</v>
      </c>
      <c r="E144" s="141" t="str">
        <f>TEXT(IF(KB[[#This Row],[DOC]]&lt;&gt;"",KB[[#This Row],[DOC]],E143),"000")</f>
        <v>010</v>
      </c>
      <c r="F144" s="40">
        <v>43853</v>
      </c>
      <c r="G144" s="40" t="str">
        <f>TYPE</f>
        <v>A</v>
      </c>
      <c r="H144" s="153" t="s">
        <v>773</v>
      </c>
      <c r="I144" s="42" t="s">
        <v>802</v>
      </c>
      <c r="J144" s="43" t="s">
        <v>511</v>
      </c>
      <c r="K144" s="44">
        <v>21</v>
      </c>
      <c r="L144" s="49">
        <v>177470</v>
      </c>
      <c r="M144" s="49">
        <v>81630</v>
      </c>
      <c r="N144" s="49">
        <v>95840</v>
      </c>
      <c r="O144" s="49">
        <v>6.0000000000000009</v>
      </c>
      <c r="P144" s="49">
        <v>5750.4000000000005</v>
      </c>
      <c r="Q144" s="49">
        <v>90089.599999999977</v>
      </c>
      <c r="R144" s="49">
        <v>2850.0000000000009</v>
      </c>
      <c r="S144" s="49">
        <v>256755360</v>
      </c>
      <c r="T144" s="49">
        <v>14.32</v>
      </c>
      <c r="U144" s="49">
        <v>2864.3200000000011</v>
      </c>
      <c r="V144" s="49">
        <v>258045442</v>
      </c>
      <c r="W144" s="49">
        <v>1290225</v>
      </c>
      <c r="X144" s="49">
        <v>256755217</v>
      </c>
      <c r="Y144" s="530" t="str">
        <f>IFERROR(IF(FIND("/KM",KB[[#This Row],[SUPPLIER]])&gt;0,"LAUT"),"DARAT")</f>
        <v>LAUT</v>
      </c>
    </row>
    <row r="145" spans="2:25">
      <c r="B145" s="140" t="str">
        <f>IFERROR(LEFT(KB[[#This Row],[SUPPLIER]],FIND("/",KB[[#This Row],[SUPPLIER]])-1),KB[[#This Row],[SUPPLIER]])</f>
        <v>SUKAMTO</v>
      </c>
      <c r="C145" s="141" t="str">
        <f>TEXT(VLOOKUP(KB[[#This Row],[RELASI]],DBRELASI[[RELASI]:[DOCKB]],10,0)+COUNTIFS($B$2:B145,KB[[#This Row],[RELASI]],$D$2:D145,1),"000")</f>
        <v>006</v>
      </c>
      <c r="D145" s="141">
        <f>IF(COUNTIFS($B$3:B145,KB[[#This Row],[RELASI]],$F$3:F145,KB[[#This Row],[TANGGAL]])&lt;&gt;1,0,1)</f>
        <v>1</v>
      </c>
      <c r="E145" s="141" t="str">
        <f>TEXT(IF(KB[[#This Row],[DOC]]&lt;&gt;"",KB[[#This Row],[DOC]],E144),"000")</f>
        <v>006</v>
      </c>
      <c r="F145" s="40">
        <v>43853</v>
      </c>
      <c r="G145" s="40" t="str">
        <f>TYPE</f>
        <v>A</v>
      </c>
      <c r="H145" s="154" t="s">
        <v>759</v>
      </c>
      <c r="I145" s="46" t="s">
        <v>523</v>
      </c>
      <c r="J145" s="47" t="s">
        <v>524</v>
      </c>
      <c r="K145" s="48">
        <v>1</v>
      </c>
      <c r="L145" s="49">
        <v>8380</v>
      </c>
      <c r="M145" s="49">
        <v>3890</v>
      </c>
      <c r="N145" s="49">
        <v>4490</v>
      </c>
      <c r="O145" s="49">
        <v>6</v>
      </c>
      <c r="P145" s="49">
        <v>269.39999999999998</v>
      </c>
      <c r="Q145" s="49">
        <v>4220.6000000000004</v>
      </c>
      <c r="R145" s="49">
        <v>2749.9999999999995</v>
      </c>
      <c r="S145" s="49">
        <v>11606650</v>
      </c>
      <c r="T145" s="49">
        <v>13.82</v>
      </c>
      <c r="U145" s="49">
        <v>2763.8199999999997</v>
      </c>
      <c r="V145" s="49">
        <v>11664979</v>
      </c>
      <c r="W145" s="49">
        <v>58325</v>
      </c>
      <c r="X145" s="49">
        <v>11606654</v>
      </c>
      <c r="Y145" s="574" t="str">
        <f>IFERROR(IF(FIND("/KM",KB[[#This Row],[SUPPLIER]])&gt;0,"LAUT"),"DARAT")</f>
        <v>LAUT</v>
      </c>
    </row>
    <row r="146" spans="2:25">
      <c r="B146" s="140" t="str">
        <f>IFERROR(LEFT(KB[[#This Row],[SUPPLIER]],FIND("/",KB[[#This Row],[SUPPLIER]])-1),KB[[#This Row],[SUPPLIER]])</f>
        <v>ERAWATI</v>
      </c>
      <c r="C146" s="141" t="str">
        <f>TEXT(VLOOKUP(KB[[#This Row],[RELASI]],DBRELASI[[RELASI]:[DOCKB]],10,0)+COUNTIFS($B$2:B146,KB[[#This Row],[RELASI]],$D$2:D146,1),"000")</f>
        <v>018</v>
      </c>
      <c r="D146" s="141">
        <f>IF(COUNTIFS($B$3:B146,KB[[#This Row],[RELASI]],$F$3:F146,KB[[#This Row],[TANGGAL]])&lt;&gt;1,0,1)</f>
        <v>1</v>
      </c>
      <c r="E146" s="141" t="str">
        <f>TEXT(IF(KB[[#This Row],[DOC]]&lt;&gt;"",KB[[#This Row],[DOC]],E145),"000")</f>
        <v>018</v>
      </c>
      <c r="F146" s="40">
        <v>43854</v>
      </c>
      <c r="G146" s="40" t="str">
        <f>TYPE</f>
        <v>A</v>
      </c>
      <c r="H146" s="153" t="s">
        <v>803</v>
      </c>
      <c r="I146" s="42" t="s">
        <v>155</v>
      </c>
      <c r="J146" s="43" t="s">
        <v>77</v>
      </c>
      <c r="K146" s="44">
        <v>4</v>
      </c>
      <c r="L146" s="49">
        <v>34250</v>
      </c>
      <c r="M146" s="49">
        <v>17530</v>
      </c>
      <c r="N146" s="49">
        <v>16720</v>
      </c>
      <c r="O146" s="49">
        <v>5</v>
      </c>
      <c r="P146" s="49">
        <v>836</v>
      </c>
      <c r="Q146" s="49">
        <v>15884</v>
      </c>
      <c r="R146" s="49">
        <v>2800</v>
      </c>
      <c r="S146" s="49">
        <v>44475200</v>
      </c>
      <c r="T146" s="49">
        <v>14.07</v>
      </c>
      <c r="U146" s="49">
        <v>2814.07</v>
      </c>
      <c r="V146" s="49">
        <v>44698689</v>
      </c>
      <c r="W146" s="49">
        <v>223493</v>
      </c>
      <c r="X146" s="49">
        <v>44475196</v>
      </c>
      <c r="Y146" s="530" t="str">
        <f>IFERROR(IF(FIND("/KM",KB[[#This Row],[SUPPLIER]])&gt;0,"LAUT"),"DARAT")</f>
        <v>DARAT</v>
      </c>
    </row>
    <row r="147" spans="2:25">
      <c r="B147" s="140" t="str">
        <f>IFERROR(LEFT(KB[[#This Row],[SUPPLIER]],FIND("/",KB[[#This Row],[SUPPLIER]])-1),KB[[#This Row],[SUPPLIER]])</f>
        <v>ERAWATI</v>
      </c>
      <c r="C147" s="141" t="str">
        <f>TEXT(VLOOKUP(KB[[#This Row],[RELASI]],DBRELASI[[RELASI]:[DOCKB]],10,0)+COUNTIFS($B$2:B147,KB[[#This Row],[RELASI]],$D$2:D147,1),"000")</f>
        <v>018</v>
      </c>
      <c r="D147" s="141">
        <f>IF(COUNTIFS($B$3:B147,KB[[#This Row],[RELASI]],$F$3:F147,KB[[#This Row],[TANGGAL]])&lt;&gt;1,0,1)</f>
        <v>0</v>
      </c>
      <c r="E147" s="141" t="str">
        <f>TEXT(IF(KB[[#This Row],[DOC]]&lt;&gt;"",KB[[#This Row],[DOC]],E146),"000")</f>
        <v>018</v>
      </c>
      <c r="F147" s="40">
        <v>43854</v>
      </c>
      <c r="G147" s="40" t="str">
        <f>TYPE</f>
        <v>A</v>
      </c>
      <c r="H147"/>
      <c r="I147" s="42" t="s">
        <v>506</v>
      </c>
      <c r="J147" s="43" t="s">
        <v>77</v>
      </c>
      <c r="K147" s="44">
        <v>1</v>
      </c>
      <c r="L147" s="49">
        <v>8300</v>
      </c>
      <c r="M147" s="49">
        <v>3870</v>
      </c>
      <c r="N147" s="49">
        <v>4430</v>
      </c>
      <c r="O147" s="49">
        <v>6.0000000000000009</v>
      </c>
      <c r="P147" s="49">
        <v>265.8</v>
      </c>
      <c r="Q147" s="49">
        <v>4164.2</v>
      </c>
      <c r="R147" s="49">
        <v>2750</v>
      </c>
      <c r="S147" s="49">
        <v>11451550</v>
      </c>
      <c r="T147" s="49">
        <v>13.82</v>
      </c>
      <c r="U147" s="49">
        <v>2763.82</v>
      </c>
      <c r="V147" s="49">
        <v>11509099</v>
      </c>
      <c r="W147" s="49">
        <v>57545</v>
      </c>
      <c r="X147" s="49">
        <v>11451554</v>
      </c>
      <c r="Y147" s="530" t="str">
        <f>IFERROR(IF(FIND("/KM",KB[[#This Row],[SUPPLIER]])&gt;0,"LAUT"),"DARAT")</f>
        <v>LAUT</v>
      </c>
    </row>
    <row r="148" spans="2:25">
      <c r="B148" s="140" t="str">
        <f>IFERROR(LEFT(KB[[#This Row],[SUPPLIER]],FIND("/",KB[[#This Row],[SUPPLIER]])-1),KB[[#This Row],[SUPPLIER]])</f>
        <v>INDRAYANI</v>
      </c>
      <c r="C148" s="141" t="str">
        <f>TEXT(VLOOKUP(KB[[#This Row],[RELASI]],DBRELASI[[RELASI]:[DOCKB]],10,0)+COUNTIFS($B$2:B148,KB[[#This Row],[RELASI]],$D$2:D148,1),"000")</f>
        <v>016</v>
      </c>
      <c r="D148" s="141">
        <f>IF(COUNTIFS($B$3:B148,KB[[#This Row],[RELASI]],$F$3:F148,KB[[#This Row],[TANGGAL]])&lt;&gt;1,0,1)</f>
        <v>1</v>
      </c>
      <c r="E148" s="141" t="str">
        <f>TEXT(IF(KB[[#This Row],[DOC]]&lt;&gt;"",KB[[#This Row],[DOC]],E147),"000")</f>
        <v>016</v>
      </c>
      <c r="F148" s="40">
        <v>43854</v>
      </c>
      <c r="G148" s="40" t="str">
        <f>TYPE</f>
        <v>A</v>
      </c>
      <c r="H148" s="153" t="s">
        <v>796</v>
      </c>
      <c r="I148" s="42" t="s">
        <v>79</v>
      </c>
      <c r="J148" s="43" t="s">
        <v>77</v>
      </c>
      <c r="K148" s="44">
        <v>3</v>
      </c>
      <c r="L148" s="49">
        <v>34410</v>
      </c>
      <c r="M148" s="49">
        <v>12970</v>
      </c>
      <c r="N148" s="49">
        <v>21440</v>
      </c>
      <c r="O148" s="49">
        <v>5</v>
      </c>
      <c r="P148" s="49">
        <v>1072</v>
      </c>
      <c r="Q148" s="49">
        <v>20368</v>
      </c>
      <c r="R148" s="49">
        <v>2900</v>
      </c>
      <c r="S148" s="49">
        <v>59067200</v>
      </c>
      <c r="T148" s="49">
        <v>14.57</v>
      </c>
      <c r="U148" s="49">
        <v>2914.57</v>
      </c>
      <c r="V148" s="49">
        <v>59363962</v>
      </c>
      <c r="W148" s="49">
        <v>296820</v>
      </c>
      <c r="X148" s="49">
        <v>59067142</v>
      </c>
      <c r="Y148" s="530" t="str">
        <f>IFERROR(IF(FIND("/KM",KB[[#This Row],[SUPPLIER]])&gt;0,"LAUT"),"DARAT")</f>
        <v>DARAT</v>
      </c>
    </row>
    <row r="149" spans="2:25">
      <c r="B149" s="140" t="str">
        <f>IFERROR(LEFT(KB[[#This Row],[SUPPLIER]],FIND("/",KB[[#This Row],[SUPPLIER]])-1),KB[[#This Row],[SUPPLIER]])</f>
        <v>RUSLAN JAYA, SH</v>
      </c>
      <c r="C149" s="141" t="str">
        <f>TEXT(VLOOKUP(KB[[#This Row],[RELASI]],DBRELASI[[RELASI]:[DOCKB]],10,0)+COUNTIFS($B$2:B149,KB[[#This Row],[RELASI]],$D$2:D149,1),"000")</f>
        <v>005</v>
      </c>
      <c r="D149" s="141">
        <f>IF(COUNTIFS($B$3:B149,KB[[#This Row],[RELASI]],$F$3:F149,KB[[#This Row],[TANGGAL]])&lt;&gt;1,0,1)</f>
        <v>1</v>
      </c>
      <c r="E149" s="141" t="str">
        <f>TEXT(IF(KB[[#This Row],[DOC]]&lt;&gt;"",KB[[#This Row],[DOC]],E148),"000")</f>
        <v>005</v>
      </c>
      <c r="F149" s="40">
        <v>43854</v>
      </c>
      <c r="G149" s="40" t="str">
        <f>TYPE</f>
        <v>A</v>
      </c>
      <c r="H149" s="153" t="s">
        <v>532</v>
      </c>
      <c r="I149" s="42" t="s">
        <v>479</v>
      </c>
      <c r="J149" s="43" t="s">
        <v>475</v>
      </c>
      <c r="K149" s="44">
        <v>1</v>
      </c>
      <c r="L149" s="49">
        <v>9760</v>
      </c>
      <c r="M149" s="49">
        <v>4650</v>
      </c>
      <c r="N149" s="49">
        <v>5110</v>
      </c>
      <c r="O149" s="49">
        <v>5</v>
      </c>
      <c r="P149" s="49">
        <v>255.5</v>
      </c>
      <c r="Q149" s="49">
        <v>4854.5</v>
      </c>
      <c r="R149" s="49">
        <v>2800</v>
      </c>
      <c r="S149" s="49">
        <v>13592600</v>
      </c>
      <c r="T149" s="49">
        <v>14.07</v>
      </c>
      <c r="U149" s="49">
        <v>2814.07</v>
      </c>
      <c r="V149" s="49">
        <v>13660903</v>
      </c>
      <c r="W149" s="49">
        <v>68305</v>
      </c>
      <c r="X149" s="49">
        <v>13592598</v>
      </c>
      <c r="Y149" s="530" t="str">
        <f>IFERROR(IF(FIND("/KM",KB[[#This Row],[SUPPLIER]])&gt;0,"LAUT"),"DARAT")</f>
        <v>DARAT</v>
      </c>
    </row>
    <row r="150" spans="2:25">
      <c r="B150" s="140" t="str">
        <f>IFERROR(LEFT(KB[[#This Row],[SUPPLIER]],FIND("/",KB[[#This Row],[SUPPLIER]])-1),KB[[#This Row],[SUPPLIER]])</f>
        <v>SAIRI</v>
      </c>
      <c r="C150" s="141" t="str">
        <f>TEXT(VLOOKUP(KB[[#This Row],[RELASI]],DBRELASI[[RELASI]:[DOCKB]],10,0)+COUNTIFS($B$2:B150,KB[[#This Row],[RELASI]],$D$2:D150,1),"000")</f>
        <v>012</v>
      </c>
      <c r="D150" s="141">
        <f>IF(COUNTIFS($B$3:B150,KB[[#This Row],[RELASI]],$F$3:F150,KB[[#This Row],[TANGGAL]])&lt;&gt;1,0,1)</f>
        <v>1</v>
      </c>
      <c r="E150" s="141" t="str">
        <f>TEXT(IF(KB[[#This Row],[DOC]]&lt;&gt;"",KB[[#This Row],[DOC]],E149),"000")</f>
        <v>012</v>
      </c>
      <c r="F150" s="40">
        <v>43854</v>
      </c>
      <c r="G150" s="40" t="str">
        <f>TYPE</f>
        <v>A</v>
      </c>
      <c r="H150" s="153" t="s">
        <v>778</v>
      </c>
      <c r="I150" s="42" t="s">
        <v>84</v>
      </c>
      <c r="J150" s="43" t="s">
        <v>85</v>
      </c>
      <c r="K150" s="44">
        <v>1</v>
      </c>
      <c r="L150" s="49">
        <v>4260</v>
      </c>
      <c r="M150" s="49">
        <v>1530</v>
      </c>
      <c r="N150" s="49">
        <v>2730</v>
      </c>
      <c r="O150" s="49">
        <v>5</v>
      </c>
      <c r="P150" s="49">
        <v>136.5</v>
      </c>
      <c r="Q150" s="49">
        <v>2593.5</v>
      </c>
      <c r="R150" s="49">
        <v>2850</v>
      </c>
      <c r="S150" s="49">
        <v>7391475</v>
      </c>
      <c r="T150" s="49">
        <v>14.32</v>
      </c>
      <c r="U150" s="49">
        <v>2864.32</v>
      </c>
      <c r="V150" s="49">
        <v>7428614</v>
      </c>
      <c r="W150" s="49">
        <v>37143</v>
      </c>
      <c r="X150" s="49">
        <v>7391471</v>
      </c>
      <c r="Y150" s="530" t="str">
        <f>IFERROR(IF(FIND("/KM",KB[[#This Row],[SUPPLIER]])&gt;0,"LAUT"),"DARAT")</f>
        <v>DARAT</v>
      </c>
    </row>
    <row r="151" spans="2:25">
      <c r="B151" s="140" t="str">
        <f>IFERROR(LEFT(KB[[#This Row],[SUPPLIER]],FIND("/",KB[[#This Row],[SUPPLIER]])-1),KB[[#This Row],[SUPPLIER]])</f>
        <v>YANADI</v>
      </c>
      <c r="C151" s="141" t="str">
        <f>TEXT(VLOOKUP(KB[[#This Row],[RELASI]],DBRELASI[[RELASI]:[DOCKB]],10,0)+COUNTIFS($B$2:B151,KB[[#This Row],[RELASI]],$D$2:D151,1),"000")</f>
        <v>008</v>
      </c>
      <c r="D151" s="141">
        <f>IF(COUNTIFS($B$3:B151,KB[[#This Row],[RELASI]],$F$3:F151,KB[[#This Row],[TANGGAL]])&lt;&gt;1,0,1)</f>
        <v>1</v>
      </c>
      <c r="E151" s="141" t="str">
        <f>TEXT(IF(KB[[#This Row],[DOC]]&lt;&gt;"",KB[[#This Row],[DOC]],E150),"000")</f>
        <v>008</v>
      </c>
      <c r="F151" s="40">
        <v>43854</v>
      </c>
      <c r="G151" s="40" t="str">
        <f>TYPE</f>
        <v>A</v>
      </c>
      <c r="H151" s="153" t="s">
        <v>767</v>
      </c>
      <c r="I151" s="42" t="s">
        <v>137</v>
      </c>
      <c r="J151" s="43" t="s">
        <v>74</v>
      </c>
      <c r="K151" s="44">
        <v>2</v>
      </c>
      <c r="L151" s="49">
        <v>26890</v>
      </c>
      <c r="M151" s="49">
        <v>8930</v>
      </c>
      <c r="N151" s="49">
        <v>17960</v>
      </c>
      <c r="O151" s="49">
        <v>5</v>
      </c>
      <c r="P151" s="49">
        <v>898</v>
      </c>
      <c r="Q151" s="49">
        <v>17062</v>
      </c>
      <c r="R151" s="49">
        <v>2800</v>
      </c>
      <c r="S151" s="49">
        <v>47773600</v>
      </c>
      <c r="T151" s="49">
        <v>14.07</v>
      </c>
      <c r="U151" s="49">
        <v>2814.07</v>
      </c>
      <c r="V151" s="49">
        <v>48013663</v>
      </c>
      <c r="W151" s="49">
        <v>240068</v>
      </c>
      <c r="X151" s="49">
        <v>47773595</v>
      </c>
      <c r="Y151" s="530" t="str">
        <f>IFERROR(IF(FIND("/KM",KB[[#This Row],[SUPPLIER]])&gt;0,"LAUT"),"DARAT")</f>
        <v>DARAT</v>
      </c>
    </row>
    <row r="152" spans="2:25">
      <c r="B152" s="140" t="str">
        <f>IFERROR(LEFT(KB[[#This Row],[SUPPLIER]],FIND("/",KB[[#This Row],[SUPPLIER]])-1),KB[[#This Row],[SUPPLIER]])</f>
        <v>YANADI</v>
      </c>
      <c r="C152" s="141" t="str">
        <f>TEXT(VLOOKUP(KB[[#This Row],[RELASI]],DBRELASI[[RELASI]:[DOCKB]],10,0)+COUNTIFS($B$2:B152,KB[[#This Row],[RELASI]],$D$2:D152,1),"000")</f>
        <v>008</v>
      </c>
      <c r="D152" s="141">
        <f>IF(COUNTIFS($B$3:B152,KB[[#This Row],[RELASI]],$F$3:F152,KB[[#This Row],[TANGGAL]])&lt;&gt;1,0,1)</f>
        <v>0</v>
      </c>
      <c r="E152" s="141" t="str">
        <f>TEXT(IF(KB[[#This Row],[DOC]]&lt;&gt;"",KB[[#This Row],[DOC]],E151),"000")</f>
        <v>008</v>
      </c>
      <c r="F152" s="40">
        <v>43854</v>
      </c>
      <c r="G152" s="40" t="str">
        <f>TYPE</f>
        <v>A</v>
      </c>
      <c r="H152"/>
      <c r="I152" s="42" t="s">
        <v>531</v>
      </c>
      <c r="J152" s="43" t="s">
        <v>74</v>
      </c>
      <c r="K152" s="44">
        <v>2</v>
      </c>
      <c r="L152" s="49">
        <v>16590</v>
      </c>
      <c r="M152" s="49">
        <v>7890</v>
      </c>
      <c r="N152" s="49">
        <v>8700</v>
      </c>
      <c r="O152" s="49">
        <v>6</v>
      </c>
      <c r="P152" s="49">
        <v>522</v>
      </c>
      <c r="Q152" s="49">
        <v>8178</v>
      </c>
      <c r="R152" s="49">
        <v>2750</v>
      </c>
      <c r="S152" s="49">
        <v>22489500</v>
      </c>
      <c r="T152" s="49">
        <v>13.82</v>
      </c>
      <c r="U152" s="49">
        <v>2763.82</v>
      </c>
      <c r="V152" s="49">
        <v>22602520</v>
      </c>
      <c r="W152" s="49">
        <v>113012</v>
      </c>
      <c r="X152" s="49">
        <v>22489508</v>
      </c>
      <c r="Y152" s="530" t="str">
        <f>IFERROR(IF(FIND("/KM",KB[[#This Row],[SUPPLIER]])&gt;0,"LAUT"),"DARAT")</f>
        <v>LAUT</v>
      </c>
    </row>
    <row r="153" spans="2:25">
      <c r="B153" s="140" t="str">
        <f>IFERROR(LEFT(KB[[#This Row],[SUPPLIER]],FIND("/",KB[[#This Row],[SUPPLIER]])-1),KB[[#This Row],[SUPPLIER]])</f>
        <v>DINI CHAIRANI</v>
      </c>
      <c r="C153" s="141" t="str">
        <f>TEXT(VLOOKUP(KB[[#This Row],[RELASI]],DBRELASI[[RELASI]:[DOCKB]],10,0)+COUNTIFS($B$2:B153,KB[[#This Row],[RELASI]],$D$2:D153,1),"000")</f>
        <v>012</v>
      </c>
      <c r="D153" s="141">
        <f>IF(COUNTIFS($B$3:B153,KB[[#This Row],[RELASI]],$F$3:F153,KB[[#This Row],[TANGGAL]])&lt;&gt;1,0,1)</f>
        <v>1</v>
      </c>
      <c r="E153" s="141" t="str">
        <f>TEXT(IF(KB[[#This Row],[DOC]]&lt;&gt;"",KB[[#This Row],[DOC]],E152),"000")</f>
        <v>012</v>
      </c>
      <c r="F153" s="40">
        <v>43854</v>
      </c>
      <c r="G153" s="40" t="str">
        <f>TYPE</f>
        <v>A</v>
      </c>
      <c r="H153" s="153" t="s">
        <v>778</v>
      </c>
      <c r="I153" s="42" t="s">
        <v>517</v>
      </c>
      <c r="J153" s="43" t="s">
        <v>95</v>
      </c>
      <c r="K153" s="44">
        <v>5</v>
      </c>
      <c r="L153" s="49">
        <v>41120</v>
      </c>
      <c r="M153" s="49">
        <v>19560</v>
      </c>
      <c r="N153" s="49">
        <v>21560</v>
      </c>
      <c r="O153" s="49">
        <v>6</v>
      </c>
      <c r="P153" s="49">
        <v>1293.5999999999999</v>
      </c>
      <c r="Q153" s="49">
        <v>20266.400000000001</v>
      </c>
      <c r="R153" s="49">
        <v>2800</v>
      </c>
      <c r="S153" s="49">
        <v>56745920</v>
      </c>
      <c r="T153" s="49">
        <v>14.07</v>
      </c>
      <c r="U153" s="49">
        <v>2814.07</v>
      </c>
      <c r="V153" s="49">
        <v>57031068</v>
      </c>
      <c r="W153" s="49">
        <v>285156</v>
      </c>
      <c r="X153" s="49">
        <v>56745912</v>
      </c>
      <c r="Y153" s="530" t="str">
        <f>IFERROR(IF(FIND("/KM",KB[[#This Row],[SUPPLIER]])&gt;0,"LAUT"),"DARAT")</f>
        <v>LAUT</v>
      </c>
    </row>
    <row r="154" spans="2:25">
      <c r="B154" s="140" t="str">
        <f>IFERROR(LEFT(KB[[#This Row],[SUPPLIER]],FIND("/",KB[[#This Row],[SUPPLIER]])-1),KB[[#This Row],[SUPPLIER]])</f>
        <v>DINI CHAIRANI</v>
      </c>
      <c r="C154" s="141" t="str">
        <f>TEXT(VLOOKUP(KB[[#This Row],[RELASI]],DBRELASI[[RELASI]:[DOCKB]],10,0)+COUNTIFS($B$2:B154,KB[[#This Row],[RELASI]],$D$2:D154,1),"000")</f>
        <v>012</v>
      </c>
      <c r="D154" s="141">
        <f>IF(COUNTIFS($B$3:B154,KB[[#This Row],[RELASI]],$F$3:F154,KB[[#This Row],[TANGGAL]])&lt;&gt;1,0,1)</f>
        <v>0</v>
      </c>
      <c r="E154" s="141" t="str">
        <f>TEXT(IF(KB[[#This Row],[DOC]]&lt;&gt;"",KB[[#This Row],[DOC]],E153),"000")</f>
        <v>012</v>
      </c>
      <c r="F154" s="40">
        <v>43854</v>
      </c>
      <c r="G154" s="40" t="str">
        <f>TYPE</f>
        <v>A</v>
      </c>
      <c r="H154"/>
      <c r="I154" s="42" t="s">
        <v>772</v>
      </c>
      <c r="J154" s="43" t="s">
        <v>95</v>
      </c>
      <c r="K154" s="44">
        <v>2</v>
      </c>
      <c r="L154" s="49">
        <v>16530</v>
      </c>
      <c r="M154" s="49">
        <v>7720</v>
      </c>
      <c r="N154" s="49">
        <v>8810</v>
      </c>
      <c r="O154" s="49">
        <v>5.9999999999999991</v>
      </c>
      <c r="P154" s="49">
        <v>528.59999999999991</v>
      </c>
      <c r="Q154" s="49">
        <v>8281.4000000000015</v>
      </c>
      <c r="R154" s="49">
        <v>2749.9999999999995</v>
      </c>
      <c r="S154" s="49">
        <v>22773850</v>
      </c>
      <c r="T154" s="49">
        <v>13.82</v>
      </c>
      <c r="U154" s="49">
        <v>2763.8199999999997</v>
      </c>
      <c r="V154" s="49">
        <v>22888299</v>
      </c>
      <c r="W154" s="49">
        <v>114442</v>
      </c>
      <c r="X154" s="49">
        <v>22773857</v>
      </c>
      <c r="Y154" s="530" t="str">
        <f>IFERROR(IF(FIND("/KM",KB[[#This Row],[SUPPLIER]])&gt;0,"LAUT"),"DARAT")</f>
        <v>LAUT</v>
      </c>
    </row>
    <row r="155" spans="2:25">
      <c r="B155" s="140" t="str">
        <f>IFERROR(LEFT(KB[[#This Row],[SUPPLIER]],FIND("/",KB[[#This Row],[SUPPLIER]])-1),KB[[#This Row],[SUPPLIER]])</f>
        <v>MARTONO</v>
      </c>
      <c r="C155" s="141" t="str">
        <f>TEXT(VLOOKUP(KB[[#This Row],[RELASI]],DBRELASI[[RELASI]:[DOCKB]],10,0)+COUNTIFS($B$2:B155,KB[[#This Row],[RELASI]],$D$2:D155,1),"000")</f>
        <v>014</v>
      </c>
      <c r="D155" s="141">
        <f>IF(COUNTIFS($B$3:B155,KB[[#This Row],[RELASI]],$F$3:F155,KB[[#This Row],[TANGGAL]])&lt;&gt;1,0,1)</f>
        <v>1</v>
      </c>
      <c r="E155" s="141" t="str">
        <f>TEXT(IF(KB[[#This Row],[DOC]]&lt;&gt;"",KB[[#This Row],[DOC]],E154),"000")</f>
        <v>014</v>
      </c>
      <c r="F155" s="40">
        <v>43854</v>
      </c>
      <c r="G155" s="40" t="str">
        <f>TYPE</f>
        <v>A</v>
      </c>
      <c r="H155" s="153" t="s">
        <v>781</v>
      </c>
      <c r="I155" s="42" t="s">
        <v>761</v>
      </c>
      <c r="J155" s="43" t="s">
        <v>83</v>
      </c>
      <c r="K155" s="44">
        <v>4</v>
      </c>
      <c r="L155" s="49">
        <v>33590</v>
      </c>
      <c r="M155" s="49">
        <v>15730</v>
      </c>
      <c r="N155" s="49">
        <v>17860</v>
      </c>
      <c r="O155" s="49">
        <v>6</v>
      </c>
      <c r="P155" s="49">
        <v>1071.5999999999999</v>
      </c>
      <c r="Q155" s="49">
        <v>16788.400000000001</v>
      </c>
      <c r="R155" s="49">
        <v>2799.9999999999995</v>
      </c>
      <c r="S155" s="49">
        <v>47007520</v>
      </c>
      <c r="T155" s="49">
        <v>14.07</v>
      </c>
      <c r="U155" s="49">
        <v>2814.0699999999997</v>
      </c>
      <c r="V155" s="49">
        <v>47243733</v>
      </c>
      <c r="W155" s="49">
        <v>236218</v>
      </c>
      <c r="X155" s="49">
        <v>47007515</v>
      </c>
      <c r="Y155" s="530" t="str">
        <f>IFERROR(IF(FIND("/KM",KB[[#This Row],[SUPPLIER]])&gt;0,"LAUT"),"DARAT")</f>
        <v>LAUT</v>
      </c>
    </row>
    <row r="156" spans="2:25">
      <c r="B156" s="140" t="str">
        <f>IFERROR(LEFT(KB[[#This Row],[SUPPLIER]],FIND("/",KB[[#This Row],[SUPPLIER]])-1),KB[[#This Row],[SUPPLIER]])</f>
        <v>MARTONO</v>
      </c>
      <c r="C156" s="141" t="str">
        <f>TEXT(VLOOKUP(KB[[#This Row],[RELASI]],DBRELASI[[RELASI]:[DOCKB]],10,0)+COUNTIFS($B$2:B156,KB[[#This Row],[RELASI]],$D$2:D156,1),"000")</f>
        <v>014</v>
      </c>
      <c r="D156" s="141">
        <f>IF(COUNTIFS($B$3:B156,KB[[#This Row],[RELASI]],$F$3:F156,KB[[#This Row],[TANGGAL]])&lt;&gt;1,0,1)</f>
        <v>0</v>
      </c>
      <c r="E156" s="141" t="str">
        <f>TEXT(IF(KB[[#This Row],[DOC]]&lt;&gt;"",KB[[#This Row],[DOC]],E155),"000")</f>
        <v>014</v>
      </c>
      <c r="F156" s="40">
        <v>43854</v>
      </c>
      <c r="G156" s="40" t="str">
        <f>TYPE</f>
        <v>A</v>
      </c>
      <c r="H156"/>
      <c r="I156" s="42" t="s">
        <v>804</v>
      </c>
      <c r="J156" s="43" t="s">
        <v>83</v>
      </c>
      <c r="K156" s="44">
        <v>1</v>
      </c>
      <c r="L156" s="49">
        <v>6140</v>
      </c>
      <c r="M156" s="49">
        <v>3950</v>
      </c>
      <c r="N156" s="49">
        <v>2190</v>
      </c>
      <c r="O156" s="49">
        <v>6.0000000000000009</v>
      </c>
      <c r="P156" s="49">
        <v>131.4</v>
      </c>
      <c r="Q156" s="49">
        <v>2058.6</v>
      </c>
      <c r="R156" s="49">
        <v>2750</v>
      </c>
      <c r="S156" s="49">
        <v>5661150</v>
      </c>
      <c r="T156" s="49">
        <v>13.82</v>
      </c>
      <c r="U156" s="49">
        <v>2763.82</v>
      </c>
      <c r="V156" s="49">
        <v>5689600</v>
      </c>
      <c r="W156" s="49">
        <v>28448</v>
      </c>
      <c r="X156" s="49">
        <v>5661152</v>
      </c>
      <c r="Y156" s="530" t="str">
        <f>IFERROR(IF(FIND("/KM",KB[[#This Row],[SUPPLIER]])&gt;0,"LAUT"),"DARAT")</f>
        <v>LAUT</v>
      </c>
    </row>
    <row r="157" spans="2:25">
      <c r="B157" s="140" t="str">
        <f>IFERROR(LEFT(KB[[#This Row],[SUPPLIER]],FIND("/",KB[[#This Row],[SUPPLIER]])-1),KB[[#This Row],[SUPPLIER]])</f>
        <v>MARTONO</v>
      </c>
      <c r="C157" s="141" t="str">
        <f>TEXT(VLOOKUP(KB[[#This Row],[RELASI]],DBRELASI[[RELASI]:[DOCKB]],10,0)+COUNTIFS($B$2:B157,KB[[#This Row],[RELASI]],$D$2:D157,1),"000")</f>
        <v>014</v>
      </c>
      <c r="D157" s="141">
        <f>IF(COUNTIFS($B$3:B157,KB[[#This Row],[RELASI]],$F$3:F157,KB[[#This Row],[TANGGAL]])&lt;&gt;1,0,1)</f>
        <v>0</v>
      </c>
      <c r="E157" s="141" t="str">
        <f>TEXT(IF(KB[[#This Row],[DOC]]&lt;&gt;"",KB[[#This Row],[DOC]],E156),"000")</f>
        <v>014</v>
      </c>
      <c r="F157" s="40">
        <v>43854</v>
      </c>
      <c r="G157" s="40" t="str">
        <f>TYPE</f>
        <v>A</v>
      </c>
      <c r="H157"/>
      <c r="I157" s="42" t="s">
        <v>805</v>
      </c>
      <c r="J157" s="43" t="s">
        <v>83</v>
      </c>
      <c r="K157" s="44">
        <v>5</v>
      </c>
      <c r="L157" s="49">
        <v>38880</v>
      </c>
      <c r="M157" s="49">
        <v>19350</v>
      </c>
      <c r="N157" s="49">
        <v>19530</v>
      </c>
      <c r="O157" s="49">
        <v>5.9999999999999991</v>
      </c>
      <c r="P157" s="49">
        <v>1171.8</v>
      </c>
      <c r="Q157" s="49">
        <v>18358.2</v>
      </c>
      <c r="R157" s="49">
        <v>2850</v>
      </c>
      <c r="S157" s="49">
        <v>52320870</v>
      </c>
      <c r="T157" s="49">
        <v>14.32</v>
      </c>
      <c r="U157" s="49">
        <v>2864.32</v>
      </c>
      <c r="V157" s="49">
        <v>52583759</v>
      </c>
      <c r="W157" s="49">
        <v>262918</v>
      </c>
      <c r="X157" s="49">
        <v>52320841</v>
      </c>
      <c r="Y157" s="530" t="str">
        <f>IFERROR(IF(FIND("/KM",KB[[#This Row],[SUPPLIER]])&gt;0,"LAUT"),"DARAT")</f>
        <v>LAUT</v>
      </c>
    </row>
    <row r="158" spans="2:25">
      <c r="B158" s="140" t="str">
        <f>IFERROR(LEFT(KB[[#This Row],[SUPPLIER]],FIND("/",KB[[#This Row],[SUPPLIER]])-1),KB[[#This Row],[SUPPLIER]])</f>
        <v>MARTONO</v>
      </c>
      <c r="C158" s="141" t="str">
        <f>TEXT(VLOOKUP(KB[[#This Row],[RELASI]],DBRELASI[[RELASI]:[DOCKB]],10,0)+COUNTIFS($B$2:B158,KB[[#This Row],[RELASI]],$D$2:D158,1),"000")</f>
        <v>014</v>
      </c>
      <c r="D158" s="141">
        <f>IF(COUNTIFS($B$3:B158,KB[[#This Row],[RELASI]],$F$3:F158,KB[[#This Row],[TANGGAL]])&lt;&gt;1,0,1)</f>
        <v>0</v>
      </c>
      <c r="E158" s="141" t="str">
        <f>TEXT(IF(KB[[#This Row],[DOC]]&lt;&gt;"",KB[[#This Row],[DOC]],E157),"000")</f>
        <v>014</v>
      </c>
      <c r="F158" s="40">
        <v>43854</v>
      </c>
      <c r="G158" s="40" t="str">
        <f>TYPE</f>
        <v>A</v>
      </c>
      <c r="H158"/>
      <c r="I158" s="42" t="s">
        <v>791</v>
      </c>
      <c r="J158" s="43" t="s">
        <v>83</v>
      </c>
      <c r="K158" s="44">
        <v>2</v>
      </c>
      <c r="L158" s="49">
        <v>17530</v>
      </c>
      <c r="M158" s="49">
        <v>7790</v>
      </c>
      <c r="N158" s="49">
        <v>9740</v>
      </c>
      <c r="O158" s="49">
        <v>5.9999999999999991</v>
      </c>
      <c r="P158" s="49">
        <v>584.4</v>
      </c>
      <c r="Q158" s="49">
        <v>9155.5999999999985</v>
      </c>
      <c r="R158" s="49">
        <v>2750.0000000000005</v>
      </c>
      <c r="S158" s="49">
        <v>25177900</v>
      </c>
      <c r="T158" s="49">
        <v>13.82</v>
      </c>
      <c r="U158" s="49">
        <v>2763.8200000000006</v>
      </c>
      <c r="V158" s="49">
        <v>25304430</v>
      </c>
      <c r="W158" s="49">
        <v>126522</v>
      </c>
      <c r="X158" s="49">
        <v>25177908</v>
      </c>
      <c r="Y158" s="530" t="str">
        <f>IFERROR(IF(FIND("/KM",KB[[#This Row],[SUPPLIER]])&gt;0,"LAUT"),"DARAT")</f>
        <v>LAUT</v>
      </c>
    </row>
    <row r="159" spans="2:25">
      <c r="B159" s="140" t="str">
        <f>IFERROR(LEFT(KB[[#This Row],[SUPPLIER]],FIND("/",KB[[#This Row],[SUPPLIER]])-1),KB[[#This Row],[SUPPLIER]])</f>
        <v>MARTONO</v>
      </c>
      <c r="C159" s="141" t="str">
        <f>TEXT(VLOOKUP(KB[[#This Row],[RELASI]],DBRELASI[[RELASI]:[DOCKB]],10,0)+COUNTIFS($B$2:B159,KB[[#This Row],[RELASI]],$D$2:D159,1),"000")</f>
        <v>014</v>
      </c>
      <c r="D159" s="141">
        <f>IF(COUNTIFS($B$3:B159,KB[[#This Row],[RELASI]],$F$3:F159,KB[[#This Row],[TANGGAL]])&lt;&gt;1,0,1)</f>
        <v>0</v>
      </c>
      <c r="E159" s="141" t="str">
        <f>TEXT(IF(KB[[#This Row],[DOC]]&lt;&gt;"",KB[[#This Row],[DOC]],E158),"000")</f>
        <v>014</v>
      </c>
      <c r="F159" s="40">
        <v>43854</v>
      </c>
      <c r="G159" s="40" t="str">
        <f>TYPE</f>
        <v>A</v>
      </c>
      <c r="H159"/>
      <c r="I159" s="42" t="s">
        <v>519</v>
      </c>
      <c r="J159" s="43" t="s">
        <v>83</v>
      </c>
      <c r="K159" s="44">
        <v>3</v>
      </c>
      <c r="L159" s="49">
        <v>25590</v>
      </c>
      <c r="M159" s="49">
        <v>11710</v>
      </c>
      <c r="N159" s="49">
        <v>13880</v>
      </c>
      <c r="O159" s="49">
        <v>5.9999999999999991</v>
      </c>
      <c r="P159" s="49">
        <v>832.8</v>
      </c>
      <c r="Q159" s="49">
        <v>13047.2</v>
      </c>
      <c r="R159" s="49">
        <v>2750</v>
      </c>
      <c r="S159" s="49">
        <v>35879800</v>
      </c>
      <c r="T159" s="49">
        <v>13.82</v>
      </c>
      <c r="U159" s="49">
        <v>2763.82</v>
      </c>
      <c r="V159" s="49">
        <v>36060112</v>
      </c>
      <c r="W159" s="49">
        <v>180301</v>
      </c>
      <c r="X159" s="49">
        <v>35879811</v>
      </c>
      <c r="Y159" s="530" t="str">
        <f>IFERROR(IF(FIND("/KM",KB[[#This Row],[SUPPLIER]])&gt;0,"LAUT"),"DARAT")</f>
        <v>LAUT</v>
      </c>
    </row>
    <row r="160" spans="2:25">
      <c r="B160" s="140" t="str">
        <f>IFERROR(LEFT(KB[[#This Row],[SUPPLIER]],FIND("/",KB[[#This Row],[SUPPLIER]])-1),KB[[#This Row],[SUPPLIER]])</f>
        <v>PT.SINAR KELAPA TEMBILAHAN</v>
      </c>
      <c r="C160" s="141" t="str">
        <f>TEXT(VLOOKUP(KB[[#This Row],[RELASI]],DBRELASI[[RELASI]:[DOCKB]],10,0)+COUNTIFS($B$2:B160,KB[[#This Row],[RELASI]],$D$2:D160,1),"000")</f>
        <v>002</v>
      </c>
      <c r="D160" s="141">
        <f>IF(COUNTIFS($B$3:B160,KB[[#This Row],[RELASI]],$F$3:F160,KB[[#This Row],[TANGGAL]])&lt;&gt;1,0,1)</f>
        <v>1</v>
      </c>
      <c r="E160" s="141" t="str">
        <f>TEXT(IF(KB[[#This Row],[DOC]]&lt;&gt;"",KB[[#This Row],[DOC]],E159),"000")</f>
        <v>002</v>
      </c>
      <c r="F160" s="40">
        <v>43854</v>
      </c>
      <c r="G160" s="40" t="str">
        <f>TYPE</f>
        <v>A</v>
      </c>
      <c r="H160" s="153" t="s">
        <v>515</v>
      </c>
      <c r="I160" s="42" t="s">
        <v>806</v>
      </c>
      <c r="J160" s="43" t="s">
        <v>81</v>
      </c>
      <c r="K160" s="44">
        <v>6</v>
      </c>
      <c r="L160" s="49">
        <v>49680</v>
      </c>
      <c r="M160" s="49">
        <v>23260</v>
      </c>
      <c r="N160" s="49">
        <v>26420</v>
      </c>
      <c r="O160" s="49">
        <v>6</v>
      </c>
      <c r="P160" s="49">
        <v>1585.2</v>
      </c>
      <c r="Q160" s="49">
        <v>24834.799999999996</v>
      </c>
      <c r="R160" s="49">
        <v>2950.0000000000005</v>
      </c>
      <c r="S160" s="49">
        <v>73262660</v>
      </c>
      <c r="T160" s="49">
        <v>0</v>
      </c>
      <c r="U160" s="49">
        <v>2950.0000000000005</v>
      </c>
      <c r="V160" s="49">
        <v>73262660</v>
      </c>
      <c r="W160" s="49">
        <v>183157</v>
      </c>
      <c r="X160" s="49">
        <v>73079503</v>
      </c>
      <c r="Y160" s="530" t="str">
        <f>IFERROR(IF(FIND("/KM",KB[[#This Row],[SUPPLIER]])&gt;0,"LAUT"),"DARAT")</f>
        <v>LAUT</v>
      </c>
    </row>
    <row r="161" spans="2:25">
      <c r="B161" s="140" t="str">
        <f>IFERROR(LEFT(KB[[#This Row],[SUPPLIER]],FIND("/",KB[[#This Row],[SUPPLIER]])-1),KB[[#This Row],[SUPPLIER]])</f>
        <v>PT.SINAR KELAPA TEMBILAHAN</v>
      </c>
      <c r="C161" s="141" t="str">
        <f>TEXT(VLOOKUP(KB[[#This Row],[RELASI]],DBRELASI[[RELASI]:[DOCKB]],10,0)+COUNTIFS($B$2:B161,KB[[#This Row],[RELASI]],$D$2:D161,1),"000")</f>
        <v>002</v>
      </c>
      <c r="D161" s="141">
        <f>IF(COUNTIFS($B$3:B161,KB[[#This Row],[RELASI]],$F$3:F161,KB[[#This Row],[TANGGAL]])&lt;&gt;1,0,1)</f>
        <v>0</v>
      </c>
      <c r="E161" s="141" t="str">
        <f>TEXT(IF(KB[[#This Row],[DOC]]&lt;&gt;"",KB[[#This Row],[DOC]],E160),"000")</f>
        <v>002</v>
      </c>
      <c r="F161" s="40">
        <v>43854</v>
      </c>
      <c r="G161" s="40" t="str">
        <f>TYPE</f>
        <v>A</v>
      </c>
      <c r="H161"/>
      <c r="I161" s="42" t="s">
        <v>807</v>
      </c>
      <c r="J161" s="43" t="s">
        <v>81</v>
      </c>
      <c r="K161" s="44">
        <v>2</v>
      </c>
      <c r="L161" s="49">
        <v>14070</v>
      </c>
      <c r="M161" s="49">
        <v>7720</v>
      </c>
      <c r="N161" s="49">
        <v>6350</v>
      </c>
      <c r="O161" s="49">
        <v>6</v>
      </c>
      <c r="P161" s="49">
        <v>381</v>
      </c>
      <c r="Q161" s="49">
        <v>5969</v>
      </c>
      <c r="R161" s="49">
        <v>2850</v>
      </c>
      <c r="S161" s="49">
        <v>17011650</v>
      </c>
      <c r="T161" s="49">
        <v>0</v>
      </c>
      <c r="U161" s="49">
        <v>2850</v>
      </c>
      <c r="V161" s="49">
        <v>17011650</v>
      </c>
      <c r="W161" s="49">
        <v>42529</v>
      </c>
      <c r="X161" s="49">
        <v>16969121</v>
      </c>
      <c r="Y161" s="530" t="str">
        <f>IFERROR(IF(FIND("/KM",KB[[#This Row],[SUPPLIER]])&gt;0,"LAUT"),"DARAT")</f>
        <v>LAUT</v>
      </c>
    </row>
    <row r="162" spans="2:25">
      <c r="B162" s="140" t="str">
        <f>IFERROR(LEFT(KB[[#This Row],[SUPPLIER]],FIND("/",KB[[#This Row],[SUPPLIER]])-1),KB[[#This Row],[SUPPLIER]])</f>
        <v>PT.SINAR KELAPA TEMBILAHAN</v>
      </c>
      <c r="C162" s="141" t="str">
        <f>TEXT(VLOOKUP(KB[[#This Row],[RELASI]],DBRELASI[[RELASI]:[DOCKB]],10,0)+COUNTIFS($B$2:B162,KB[[#This Row],[RELASI]],$D$2:D162,1),"000")</f>
        <v>002</v>
      </c>
      <c r="D162" s="141">
        <f>IF(COUNTIFS($B$3:B162,KB[[#This Row],[RELASI]],$F$3:F162,KB[[#This Row],[TANGGAL]])&lt;&gt;1,0,1)</f>
        <v>0</v>
      </c>
      <c r="E162" s="141" t="str">
        <f>TEXT(IF(KB[[#This Row],[DOC]]&lt;&gt;"",KB[[#This Row],[DOC]],E161),"000")</f>
        <v>002</v>
      </c>
      <c r="F162" s="40">
        <v>43854</v>
      </c>
      <c r="G162" s="40" t="str">
        <f>TYPE</f>
        <v>A</v>
      </c>
      <c r="H162"/>
      <c r="I162" s="42" t="s">
        <v>512</v>
      </c>
      <c r="J162" s="43" t="s">
        <v>81</v>
      </c>
      <c r="K162" s="44">
        <v>4</v>
      </c>
      <c r="L162" s="49">
        <v>34180</v>
      </c>
      <c r="M162" s="49">
        <v>15500</v>
      </c>
      <c r="N162" s="49">
        <v>18680</v>
      </c>
      <c r="O162" s="49">
        <v>5.9999999999999991</v>
      </c>
      <c r="P162" s="49">
        <v>1120.8</v>
      </c>
      <c r="Q162" s="49">
        <v>17559.2</v>
      </c>
      <c r="R162" s="49">
        <v>2950</v>
      </c>
      <c r="S162" s="49">
        <v>51799640</v>
      </c>
      <c r="T162" s="49">
        <v>0</v>
      </c>
      <c r="U162" s="49">
        <v>2950</v>
      </c>
      <c r="V162" s="49">
        <v>51799640</v>
      </c>
      <c r="W162" s="49">
        <v>129499</v>
      </c>
      <c r="X162" s="49">
        <v>51670141</v>
      </c>
      <c r="Y162" s="530" t="str">
        <f>IFERROR(IF(FIND("/KM",KB[[#This Row],[SUPPLIER]])&gt;0,"LAUT"),"DARAT")</f>
        <v>LAUT</v>
      </c>
    </row>
    <row r="163" spans="2:25">
      <c r="B163" s="140" t="str">
        <f>IFERROR(LEFT(KB[[#This Row],[SUPPLIER]],FIND("/",KB[[#This Row],[SUPPLIER]])-1),KB[[#This Row],[SUPPLIER]])</f>
        <v>PT.SINAR KELAPA TEMBILAHAN</v>
      </c>
      <c r="C163" s="141" t="str">
        <f>TEXT(VLOOKUP(KB[[#This Row],[RELASI]],DBRELASI[[RELASI]:[DOCKB]],10,0)+COUNTIFS($B$2:B163,KB[[#This Row],[RELASI]],$D$2:D163,1),"000")</f>
        <v>002</v>
      </c>
      <c r="D163" s="141">
        <f>IF(COUNTIFS($B$3:B163,KB[[#This Row],[RELASI]],$F$3:F163,KB[[#This Row],[TANGGAL]])&lt;&gt;1,0,1)</f>
        <v>0</v>
      </c>
      <c r="E163" s="141" t="str">
        <f>TEXT(IF(KB[[#This Row],[DOC]]&lt;&gt;"",KB[[#This Row],[DOC]],E162),"000")</f>
        <v>002</v>
      </c>
      <c r="F163" s="40">
        <v>43854</v>
      </c>
      <c r="G163" s="40" t="str">
        <f>TYPE</f>
        <v>A</v>
      </c>
      <c r="H163"/>
      <c r="I163" s="46" t="s">
        <v>808</v>
      </c>
      <c r="J163" s="47" t="s">
        <v>81</v>
      </c>
      <c r="K163" s="48">
        <v>2</v>
      </c>
      <c r="L163" s="49">
        <v>15620</v>
      </c>
      <c r="M163" s="49">
        <v>7710</v>
      </c>
      <c r="N163" s="49">
        <v>7910</v>
      </c>
      <c r="O163" s="49">
        <v>6</v>
      </c>
      <c r="P163" s="49">
        <v>474.59999999999997</v>
      </c>
      <c r="Q163" s="49">
        <v>7435.4</v>
      </c>
      <c r="R163" s="49">
        <v>2850</v>
      </c>
      <c r="S163" s="49">
        <v>21190890</v>
      </c>
      <c r="T163" s="49">
        <v>0</v>
      </c>
      <c r="U163" s="49">
        <v>2850</v>
      </c>
      <c r="V163" s="49">
        <v>21190890</v>
      </c>
      <c r="W163" s="49">
        <v>52977</v>
      </c>
      <c r="X163" s="49">
        <v>21137913</v>
      </c>
      <c r="Y163" s="574" t="str">
        <f>IFERROR(IF(FIND("/KM",KB[[#This Row],[SUPPLIER]])&gt;0,"LAUT"),"DARAT")</f>
        <v>LAUT</v>
      </c>
    </row>
    <row r="164" spans="2:25">
      <c r="B164" s="140" t="str">
        <f>IFERROR(LEFT(KB[[#This Row],[SUPPLIER]],FIND("/",KB[[#This Row],[SUPPLIER]])-1),KB[[#This Row],[SUPPLIER]])</f>
        <v>ERAWATI</v>
      </c>
      <c r="C164" s="141" t="str">
        <f>TEXT(VLOOKUP(KB[[#This Row],[RELASI]],DBRELASI[[RELASI]:[DOCKB]],10,0)+COUNTIFS($B$2:B164,KB[[#This Row],[RELASI]],$D$2:D164,1),"000")</f>
        <v>019</v>
      </c>
      <c r="D164" s="141">
        <f>IF(COUNTIFS($B$3:B164,KB[[#This Row],[RELASI]],$F$3:F164,KB[[#This Row],[TANGGAL]])&lt;&gt;1,0,1)</f>
        <v>1</v>
      </c>
      <c r="E164" s="141" t="str">
        <f>TEXT(IF(KB[[#This Row],[DOC]]&lt;&gt;"",KB[[#This Row],[DOC]],E163),"000")</f>
        <v>019</v>
      </c>
      <c r="F164" s="40">
        <v>43858</v>
      </c>
      <c r="G164" s="40" t="str">
        <f>TYPE</f>
        <v>A</v>
      </c>
      <c r="H164" s="153" t="s">
        <v>810</v>
      </c>
      <c r="I164" s="42" t="s">
        <v>155</v>
      </c>
      <c r="J164" s="43" t="s">
        <v>77</v>
      </c>
      <c r="K164" s="44">
        <v>16</v>
      </c>
      <c r="L164" s="49">
        <v>137510</v>
      </c>
      <c r="M164" s="49">
        <v>57480</v>
      </c>
      <c r="N164" s="49">
        <v>80030</v>
      </c>
      <c r="O164" s="49">
        <v>5</v>
      </c>
      <c r="P164" s="49">
        <v>4001.5</v>
      </c>
      <c r="Q164" s="49">
        <v>76028.5</v>
      </c>
      <c r="R164" s="49">
        <v>2800</v>
      </c>
      <c r="S164" s="49">
        <v>212879800</v>
      </c>
      <c r="T164" s="49">
        <v>14.07</v>
      </c>
      <c r="U164" s="49">
        <v>2814.07</v>
      </c>
      <c r="V164" s="49">
        <v>213949520</v>
      </c>
      <c r="W164" s="49">
        <v>1069747</v>
      </c>
      <c r="X164" s="49">
        <v>212879773</v>
      </c>
      <c r="Y164" s="530" t="str">
        <f>IFERROR(IF(FIND("/KM",KB[[#This Row],[SUPPLIER]])&gt;0,"LAUT"),"DARAT")</f>
        <v>DARAT</v>
      </c>
    </row>
    <row r="165" spans="2:25">
      <c r="B165" s="140" t="str">
        <f>IFERROR(LEFT(KB[[#This Row],[SUPPLIER]],FIND("/",KB[[#This Row],[SUPPLIER]])-1),KB[[#This Row],[SUPPLIER]])</f>
        <v>INDRAYANI</v>
      </c>
      <c r="C165" s="141" t="str">
        <f>TEXT(VLOOKUP(KB[[#This Row],[RELASI]],DBRELASI[[RELASI]:[DOCKB]],10,0)+COUNTIFS($B$2:B165,KB[[#This Row],[RELASI]],$D$2:D165,1),"000")</f>
        <v>017</v>
      </c>
      <c r="D165" s="141">
        <f>IF(COUNTIFS($B$3:B165,KB[[#This Row],[RELASI]],$F$3:F165,KB[[#This Row],[TANGGAL]])&lt;&gt;1,0,1)</f>
        <v>1</v>
      </c>
      <c r="E165" s="141" t="str">
        <f>TEXT(IF(KB[[#This Row],[DOC]]&lt;&gt;"",KB[[#This Row],[DOC]],E164),"000")</f>
        <v>017</v>
      </c>
      <c r="F165" s="40">
        <v>43858</v>
      </c>
      <c r="G165" s="40" t="str">
        <f>TYPE</f>
        <v>A</v>
      </c>
      <c r="H165" s="153" t="s">
        <v>798</v>
      </c>
      <c r="I165" s="42" t="s">
        <v>79</v>
      </c>
      <c r="J165" s="43" t="s">
        <v>77</v>
      </c>
      <c r="K165" s="44">
        <v>4</v>
      </c>
      <c r="L165" s="49">
        <v>42380</v>
      </c>
      <c r="M165" s="49">
        <v>13460</v>
      </c>
      <c r="N165" s="49">
        <v>28920</v>
      </c>
      <c r="O165" s="49">
        <v>5</v>
      </c>
      <c r="P165" s="49">
        <v>1446</v>
      </c>
      <c r="Q165" s="49">
        <v>27474</v>
      </c>
      <c r="R165" s="49">
        <v>2900</v>
      </c>
      <c r="S165" s="49">
        <v>79674600</v>
      </c>
      <c r="T165" s="49">
        <v>14.57</v>
      </c>
      <c r="U165" s="49">
        <v>2914.57</v>
      </c>
      <c r="V165" s="49">
        <v>80074896</v>
      </c>
      <c r="W165" s="49">
        <v>400375</v>
      </c>
      <c r="X165" s="49">
        <v>79674521</v>
      </c>
      <c r="Y165" s="530" t="str">
        <f>IFERROR(IF(FIND("/KM",KB[[#This Row],[SUPPLIER]])&gt;0,"LAUT"),"DARAT")</f>
        <v>DARAT</v>
      </c>
    </row>
    <row r="166" spans="2:25">
      <c r="B166" s="140" t="str">
        <f>IFERROR(LEFT(KB[[#This Row],[SUPPLIER]],FIND("/",KB[[#This Row],[SUPPLIER]])-1),KB[[#This Row],[SUPPLIER]])</f>
        <v>RUSLAN JAYA, SH</v>
      </c>
      <c r="C166" s="141" t="str">
        <f>TEXT(VLOOKUP(KB[[#This Row],[RELASI]],DBRELASI[[RELASI]:[DOCKB]],10,0)+COUNTIFS($B$2:B166,KB[[#This Row],[RELASI]],$D$2:D166,1),"000")</f>
        <v>006</v>
      </c>
      <c r="D166" s="141">
        <f>IF(COUNTIFS($B$3:B166,KB[[#This Row],[RELASI]],$F$3:F166,KB[[#This Row],[TANGGAL]])&lt;&gt;1,0,1)</f>
        <v>1</v>
      </c>
      <c r="E166" s="141" t="str">
        <f>TEXT(IF(KB[[#This Row],[DOC]]&lt;&gt;"",KB[[#This Row],[DOC]],E165),"000")</f>
        <v>006</v>
      </c>
      <c r="F166" s="40">
        <v>43858</v>
      </c>
      <c r="G166" s="40" t="str">
        <f>TYPE</f>
        <v>A</v>
      </c>
      <c r="H166" s="153" t="s">
        <v>759</v>
      </c>
      <c r="I166" s="42" t="s">
        <v>479</v>
      </c>
      <c r="J166" s="43" t="s">
        <v>475</v>
      </c>
      <c r="K166" s="44">
        <v>4</v>
      </c>
      <c r="L166" s="49">
        <v>46500</v>
      </c>
      <c r="M166" s="49">
        <v>16840</v>
      </c>
      <c r="N166" s="49">
        <v>29660</v>
      </c>
      <c r="O166" s="49">
        <v>5</v>
      </c>
      <c r="P166" s="49">
        <v>1483</v>
      </c>
      <c r="Q166" s="49">
        <v>28177</v>
      </c>
      <c r="R166" s="49">
        <v>2800</v>
      </c>
      <c r="S166" s="49">
        <v>78895600</v>
      </c>
      <c r="T166" s="49">
        <v>14.07</v>
      </c>
      <c r="U166" s="49">
        <v>2814.07</v>
      </c>
      <c r="V166" s="49">
        <v>79292050</v>
      </c>
      <c r="W166" s="49">
        <v>396459</v>
      </c>
      <c r="X166" s="49">
        <v>78895591</v>
      </c>
      <c r="Y166" s="530" t="str">
        <f>IFERROR(IF(FIND("/KM",KB[[#This Row],[SUPPLIER]])&gt;0,"LAUT"),"DARAT")</f>
        <v>DARAT</v>
      </c>
    </row>
    <row r="167" spans="2:25">
      <c r="B167" s="140" t="str">
        <f>IFERROR(LEFT(KB[[#This Row],[SUPPLIER]],FIND("/",KB[[#This Row],[SUPPLIER]])-1),KB[[#This Row],[SUPPLIER]])</f>
        <v>SAIRI</v>
      </c>
      <c r="C167" s="141" t="str">
        <f>TEXT(VLOOKUP(KB[[#This Row],[RELASI]],DBRELASI[[RELASI]:[DOCKB]],10,0)+COUNTIFS($B$2:B167,KB[[#This Row],[RELASI]],$D$2:D167,1),"000")</f>
        <v>013</v>
      </c>
      <c r="D167" s="141">
        <f>IF(COUNTIFS($B$3:B167,KB[[#This Row],[RELASI]],$F$3:F167,KB[[#This Row],[TANGGAL]])&lt;&gt;1,0,1)</f>
        <v>1</v>
      </c>
      <c r="E167" s="141" t="str">
        <f>TEXT(IF(KB[[#This Row],[DOC]]&lt;&gt;"",KB[[#This Row],[DOC]],E166),"000")</f>
        <v>013</v>
      </c>
      <c r="F167" s="40">
        <v>43858</v>
      </c>
      <c r="G167" s="40" t="str">
        <f>TYPE</f>
        <v>A</v>
      </c>
      <c r="H167" s="153" t="s">
        <v>780</v>
      </c>
      <c r="I167" s="42" t="s">
        <v>84</v>
      </c>
      <c r="J167" s="43" t="s">
        <v>85</v>
      </c>
      <c r="K167" s="44">
        <v>2</v>
      </c>
      <c r="L167" s="49">
        <v>8320</v>
      </c>
      <c r="M167" s="49">
        <v>3040</v>
      </c>
      <c r="N167" s="49">
        <v>5280</v>
      </c>
      <c r="O167" s="49">
        <v>5</v>
      </c>
      <c r="P167" s="49">
        <v>264</v>
      </c>
      <c r="Q167" s="49">
        <v>5016</v>
      </c>
      <c r="R167" s="49">
        <v>2850</v>
      </c>
      <c r="S167" s="49">
        <v>14295600</v>
      </c>
      <c r="T167" s="49">
        <v>14.32</v>
      </c>
      <c r="U167" s="49">
        <v>2864.32</v>
      </c>
      <c r="V167" s="49">
        <v>14367429</v>
      </c>
      <c r="W167" s="49">
        <v>71837</v>
      </c>
      <c r="X167" s="49">
        <v>14295592</v>
      </c>
      <c r="Y167" s="530" t="str">
        <f>IFERROR(IF(FIND("/KM",KB[[#This Row],[SUPPLIER]])&gt;0,"LAUT"),"DARAT")</f>
        <v>DARAT</v>
      </c>
    </row>
    <row r="168" spans="2:25">
      <c r="B168" s="140" t="str">
        <f>IFERROR(LEFT(KB[[#This Row],[SUPPLIER]],FIND("/",KB[[#This Row],[SUPPLIER]])-1),KB[[#This Row],[SUPPLIER]])</f>
        <v>YANADI</v>
      </c>
      <c r="C168" s="141" t="str">
        <f>TEXT(VLOOKUP(KB[[#This Row],[RELASI]],DBRELASI[[RELASI]:[DOCKB]],10,0)+COUNTIFS($B$2:B168,KB[[#This Row],[RELASI]],$D$2:D168,1),"000")</f>
        <v>009</v>
      </c>
      <c r="D168" s="141">
        <f>IF(COUNTIFS($B$3:B168,KB[[#This Row],[RELASI]],$F$3:F168,KB[[#This Row],[TANGGAL]])&lt;&gt;1,0,1)</f>
        <v>1</v>
      </c>
      <c r="E168" s="141" t="str">
        <f>TEXT(IF(KB[[#This Row],[DOC]]&lt;&gt;"",KB[[#This Row],[DOC]],E167),"000")</f>
        <v>009</v>
      </c>
      <c r="F168" s="40">
        <v>43858</v>
      </c>
      <c r="G168" s="40" t="str">
        <f>TYPE</f>
        <v>A</v>
      </c>
      <c r="H168" s="153" t="s">
        <v>769</v>
      </c>
      <c r="I168" s="42" t="s">
        <v>137</v>
      </c>
      <c r="J168" s="43" t="s">
        <v>74</v>
      </c>
      <c r="K168" s="44">
        <v>6</v>
      </c>
      <c r="L168" s="49">
        <v>79990</v>
      </c>
      <c r="M168" s="49">
        <v>26820</v>
      </c>
      <c r="N168" s="49">
        <v>53170</v>
      </c>
      <c r="O168" s="49">
        <v>5</v>
      </c>
      <c r="P168" s="49">
        <v>2658.5</v>
      </c>
      <c r="Q168" s="49">
        <v>50511.5</v>
      </c>
      <c r="R168" s="49">
        <v>2800</v>
      </c>
      <c r="S168" s="49">
        <v>141432200</v>
      </c>
      <c r="T168" s="49">
        <v>14.07</v>
      </c>
      <c r="U168" s="49">
        <v>2814.07</v>
      </c>
      <c r="V168" s="49">
        <v>142142898</v>
      </c>
      <c r="W168" s="49">
        <v>710714</v>
      </c>
      <c r="X168" s="49">
        <v>141432184</v>
      </c>
      <c r="Y168" s="530" t="str">
        <f>IFERROR(IF(FIND("/KM",KB[[#This Row],[SUPPLIER]])&gt;0,"LAUT"),"DARAT")</f>
        <v>DARAT</v>
      </c>
    </row>
    <row r="169" spans="2:25">
      <c r="B169" s="140" t="str">
        <f>IFERROR(LEFT(KB[[#This Row],[SUPPLIER]],FIND("/",KB[[#This Row],[SUPPLIER]])-1),KB[[#This Row],[SUPPLIER]])</f>
        <v>YANADI</v>
      </c>
      <c r="C169" s="141" t="str">
        <f>TEXT(VLOOKUP(KB[[#This Row],[RELASI]],DBRELASI[[RELASI]:[DOCKB]],10,0)+COUNTIFS($B$2:B169,KB[[#This Row],[RELASI]],$D$2:D169,1),"000")</f>
        <v>009</v>
      </c>
      <c r="D169" s="141">
        <f>IF(COUNTIFS($B$3:B169,KB[[#This Row],[RELASI]],$F$3:F169,KB[[#This Row],[TANGGAL]])&lt;&gt;1,0,1)</f>
        <v>0</v>
      </c>
      <c r="E169" s="141" t="str">
        <f>TEXT(IF(KB[[#This Row],[DOC]]&lt;&gt;"",KB[[#This Row],[DOC]],E168),"000")</f>
        <v>009</v>
      </c>
      <c r="F169" s="40">
        <v>43858</v>
      </c>
      <c r="G169" s="40" t="str">
        <f>TYPE</f>
        <v>A</v>
      </c>
      <c r="H169"/>
      <c r="I169" s="42" t="s">
        <v>531</v>
      </c>
      <c r="J169" s="43" t="s">
        <v>74</v>
      </c>
      <c r="K169" s="44">
        <v>2</v>
      </c>
      <c r="L169" s="49">
        <v>13650</v>
      </c>
      <c r="M169" s="49">
        <v>7820</v>
      </c>
      <c r="N169" s="49">
        <v>5830</v>
      </c>
      <c r="O169" s="49">
        <v>6.0000000000000009</v>
      </c>
      <c r="P169" s="49">
        <v>349.8</v>
      </c>
      <c r="Q169" s="49">
        <v>5480.2</v>
      </c>
      <c r="R169" s="49">
        <v>2750</v>
      </c>
      <c r="S169" s="49">
        <v>15070550</v>
      </c>
      <c r="T169" s="49">
        <v>13.82</v>
      </c>
      <c r="U169" s="49">
        <v>2763.82</v>
      </c>
      <c r="V169" s="49">
        <v>15146286</v>
      </c>
      <c r="W169" s="49">
        <v>75731</v>
      </c>
      <c r="X169" s="49">
        <v>15070555</v>
      </c>
      <c r="Y169" s="530" t="str">
        <f>IFERROR(IF(FIND("/KM",KB[[#This Row],[SUPPLIER]])&gt;0,"LAUT"),"DARAT")</f>
        <v>LAUT</v>
      </c>
    </row>
    <row r="170" spans="2:25">
      <c r="B170" s="140" t="str">
        <f>IFERROR(LEFT(KB[[#This Row],[SUPPLIER]],FIND("/",KB[[#This Row],[SUPPLIER]])-1),KB[[#This Row],[SUPPLIER]])</f>
        <v>DINI CHAIRANI</v>
      </c>
      <c r="C170" s="141" t="str">
        <f>TEXT(VLOOKUP(KB[[#This Row],[RELASI]],DBRELASI[[RELASI]:[DOCKB]],10,0)+COUNTIFS($B$2:B170,KB[[#This Row],[RELASI]],$D$2:D170,1),"000")</f>
        <v>013</v>
      </c>
      <c r="D170" s="141">
        <f>IF(COUNTIFS($B$3:B170,KB[[#This Row],[RELASI]],$F$3:F170,KB[[#This Row],[TANGGAL]])&lt;&gt;1,0,1)</f>
        <v>1</v>
      </c>
      <c r="E170" s="141" t="str">
        <f>TEXT(IF(KB[[#This Row],[DOC]]&lt;&gt;"",KB[[#This Row],[DOC]],E169),"000")</f>
        <v>013</v>
      </c>
      <c r="F170" s="40">
        <v>43858</v>
      </c>
      <c r="G170" s="40" t="str">
        <f>TYPE</f>
        <v>A</v>
      </c>
      <c r="H170" s="153" t="s">
        <v>780</v>
      </c>
      <c r="I170" s="42" t="s">
        <v>772</v>
      </c>
      <c r="J170" s="43" t="s">
        <v>95</v>
      </c>
      <c r="K170" s="44">
        <v>3</v>
      </c>
      <c r="L170" s="49">
        <v>23350</v>
      </c>
      <c r="M170" s="49">
        <v>11660</v>
      </c>
      <c r="N170" s="49">
        <v>11690</v>
      </c>
      <c r="O170" s="49">
        <v>6.0000000000000009</v>
      </c>
      <c r="P170" s="49">
        <v>701.40000000000009</v>
      </c>
      <c r="Q170" s="49">
        <v>10988.599999999999</v>
      </c>
      <c r="R170" s="49">
        <v>2750.0000000000005</v>
      </c>
      <c r="S170" s="49">
        <v>30218650</v>
      </c>
      <c r="T170" s="49">
        <v>13.82</v>
      </c>
      <c r="U170" s="49">
        <v>2763.8200000000006</v>
      </c>
      <c r="V170" s="49">
        <v>30370513</v>
      </c>
      <c r="W170" s="49">
        <v>151852</v>
      </c>
      <c r="X170" s="49">
        <v>30218661</v>
      </c>
      <c r="Y170" s="530" t="str">
        <f>IFERROR(IF(FIND("/KM",KB[[#This Row],[SUPPLIER]])&gt;0,"LAUT"),"DARAT")</f>
        <v>LAUT</v>
      </c>
    </row>
    <row r="171" spans="2:25">
      <c r="B171" s="140" t="str">
        <f>IFERROR(LEFT(KB[[#This Row],[SUPPLIER]],FIND("/",KB[[#This Row],[SUPPLIER]])-1),KB[[#This Row],[SUPPLIER]])</f>
        <v>DINI CHAIRANI</v>
      </c>
      <c r="C171" s="141" t="str">
        <f>TEXT(VLOOKUP(KB[[#This Row],[RELASI]],DBRELASI[[RELASI]:[DOCKB]],10,0)+COUNTIFS($B$2:B171,KB[[#This Row],[RELASI]],$D$2:D171,1),"000")</f>
        <v>013</v>
      </c>
      <c r="D171" s="141">
        <f>IF(COUNTIFS($B$3:B171,KB[[#This Row],[RELASI]],$F$3:F171,KB[[#This Row],[TANGGAL]])&lt;&gt;1,0,1)</f>
        <v>0</v>
      </c>
      <c r="E171" s="141" t="str">
        <f>TEXT(IF(KB[[#This Row],[DOC]]&lt;&gt;"",KB[[#This Row],[DOC]],E170),"000")</f>
        <v>013</v>
      </c>
      <c r="F171" s="40">
        <v>43858</v>
      </c>
      <c r="G171" s="40" t="str">
        <f>TYPE</f>
        <v>A</v>
      </c>
      <c r="H171"/>
      <c r="I171" s="42" t="s">
        <v>525</v>
      </c>
      <c r="J171" s="43" t="s">
        <v>95</v>
      </c>
      <c r="K171" s="44">
        <v>2</v>
      </c>
      <c r="L171" s="49">
        <v>13570</v>
      </c>
      <c r="M171" s="49">
        <v>7810</v>
      </c>
      <c r="N171" s="49">
        <v>5760</v>
      </c>
      <c r="O171" s="49">
        <v>5.9999999999999991</v>
      </c>
      <c r="P171" s="49">
        <v>345.59999999999997</v>
      </c>
      <c r="Q171" s="49">
        <v>5414.4</v>
      </c>
      <c r="R171" s="49">
        <v>2750</v>
      </c>
      <c r="S171" s="49">
        <v>14889600</v>
      </c>
      <c r="T171" s="49">
        <v>13.82</v>
      </c>
      <c r="U171" s="49">
        <v>2763.82</v>
      </c>
      <c r="V171" s="49">
        <v>14964427</v>
      </c>
      <c r="W171" s="49">
        <v>74822</v>
      </c>
      <c r="X171" s="49">
        <v>14889605</v>
      </c>
      <c r="Y171" s="530" t="str">
        <f>IFERROR(IF(FIND("/KM",KB[[#This Row],[SUPPLIER]])&gt;0,"LAUT"),"DARAT")</f>
        <v>LAUT</v>
      </c>
    </row>
    <row r="172" spans="2:25">
      <c r="B172" s="140" t="str">
        <f>IFERROR(LEFT(KB[[#This Row],[SUPPLIER]],FIND("/",KB[[#This Row],[SUPPLIER]])-1),KB[[#This Row],[SUPPLIER]])</f>
        <v>HENDRI</v>
      </c>
      <c r="C172" s="141" t="str">
        <f>TEXT(VLOOKUP(KB[[#This Row],[RELASI]],DBRELASI[[RELASI]:[DOCKB]],10,0)+COUNTIFS($B$2:B172,KB[[#This Row],[RELASI]],$D$2:D172,1),"000")</f>
        <v>011</v>
      </c>
      <c r="D172" s="141">
        <f>IF(COUNTIFS($B$3:B172,KB[[#This Row],[RELASI]],$F$3:F172,KB[[#This Row],[TANGGAL]])&lt;&gt;1,0,1)</f>
        <v>1</v>
      </c>
      <c r="E172" s="141" t="str">
        <f>TEXT(IF(KB[[#This Row],[DOC]]&lt;&gt;"",KB[[#This Row],[DOC]],E171),"000")</f>
        <v>011</v>
      </c>
      <c r="F172" s="40">
        <v>43858</v>
      </c>
      <c r="G172" s="40" t="str">
        <f>TYPE</f>
        <v>A</v>
      </c>
      <c r="H172" s="153" t="s">
        <v>777</v>
      </c>
      <c r="I172" s="42" t="s">
        <v>774</v>
      </c>
      <c r="J172" s="43" t="s">
        <v>475</v>
      </c>
      <c r="K172" s="44">
        <v>3</v>
      </c>
      <c r="L172" s="49">
        <v>25540</v>
      </c>
      <c r="M172" s="49">
        <v>11690</v>
      </c>
      <c r="N172" s="49">
        <v>13850</v>
      </c>
      <c r="O172" s="49">
        <v>6</v>
      </c>
      <c r="P172" s="49">
        <v>831</v>
      </c>
      <c r="Q172" s="49">
        <v>13019</v>
      </c>
      <c r="R172" s="49">
        <v>2800</v>
      </c>
      <c r="S172" s="49">
        <v>36453200</v>
      </c>
      <c r="T172" s="49">
        <v>14.07</v>
      </c>
      <c r="U172" s="49">
        <v>2814.07</v>
      </c>
      <c r="V172" s="49">
        <v>36636377</v>
      </c>
      <c r="W172" s="49">
        <v>183182</v>
      </c>
      <c r="X172" s="49">
        <v>36453195</v>
      </c>
      <c r="Y172" s="530" t="str">
        <f>IFERROR(IF(FIND("/KM",KB[[#This Row],[SUPPLIER]])&gt;0,"LAUT"),"DARAT")</f>
        <v>LAUT</v>
      </c>
    </row>
    <row r="173" spans="2:25">
      <c r="B173" s="140" t="str">
        <f>IFERROR(LEFT(KB[[#This Row],[SUPPLIER]],FIND("/",KB[[#This Row],[SUPPLIER]])-1),KB[[#This Row],[SUPPLIER]])</f>
        <v>MARTONO</v>
      </c>
      <c r="C173" s="141" t="str">
        <f>TEXT(VLOOKUP(KB[[#This Row],[RELASI]],DBRELASI[[RELASI]:[DOCKB]],10,0)+COUNTIFS($B$2:B173,KB[[#This Row],[RELASI]],$D$2:D173,1),"000")</f>
        <v>015</v>
      </c>
      <c r="D173" s="141">
        <f>IF(COUNTIFS($B$3:B173,KB[[#This Row],[RELASI]],$F$3:F173,KB[[#This Row],[TANGGAL]])&lt;&gt;1,0,1)</f>
        <v>1</v>
      </c>
      <c r="E173" s="141" t="str">
        <f>TEXT(IF(KB[[#This Row],[DOC]]&lt;&gt;"",KB[[#This Row],[DOC]],E172),"000")</f>
        <v>015</v>
      </c>
      <c r="F173" s="40">
        <v>43858</v>
      </c>
      <c r="G173" s="40" t="str">
        <f>TYPE</f>
        <v>A</v>
      </c>
      <c r="H173" s="153" t="s">
        <v>789</v>
      </c>
      <c r="I173" s="42" t="s">
        <v>811</v>
      </c>
      <c r="J173" s="43" t="s">
        <v>83</v>
      </c>
      <c r="K173" s="44">
        <v>1</v>
      </c>
      <c r="L173" s="49">
        <v>9050</v>
      </c>
      <c r="M173" s="49">
        <v>3910</v>
      </c>
      <c r="N173" s="49">
        <v>5140</v>
      </c>
      <c r="O173" s="49">
        <v>6</v>
      </c>
      <c r="P173" s="49">
        <v>308.39999999999998</v>
      </c>
      <c r="Q173" s="49">
        <v>4831.6000000000004</v>
      </c>
      <c r="R173" s="49">
        <v>2750</v>
      </c>
      <c r="S173" s="49">
        <v>13286900</v>
      </c>
      <c r="T173" s="49">
        <v>13.82</v>
      </c>
      <c r="U173" s="49">
        <v>2763.82</v>
      </c>
      <c r="V173" s="49">
        <v>13353673</v>
      </c>
      <c r="W173" s="49">
        <v>66768</v>
      </c>
      <c r="X173" s="49">
        <v>13286905</v>
      </c>
      <c r="Y173" s="530" t="str">
        <f>IFERROR(IF(FIND("/KM",KB[[#This Row],[SUPPLIER]])&gt;0,"LAUT"),"DARAT")</f>
        <v>LAUT</v>
      </c>
    </row>
    <row r="174" spans="2:25">
      <c r="B174" s="140" t="str">
        <f>IFERROR(LEFT(KB[[#This Row],[SUPPLIER]],FIND("/",KB[[#This Row],[SUPPLIER]])-1),KB[[#This Row],[SUPPLIER]])</f>
        <v>MARTONO</v>
      </c>
      <c r="C174" s="141" t="str">
        <f>TEXT(VLOOKUP(KB[[#This Row],[RELASI]],DBRELASI[[RELASI]:[DOCKB]],10,0)+COUNTIFS($B$2:B174,KB[[#This Row],[RELASI]],$D$2:D174,1),"000")</f>
        <v>015</v>
      </c>
      <c r="D174" s="141">
        <f>IF(COUNTIFS($B$3:B174,KB[[#This Row],[RELASI]],$F$3:F174,KB[[#This Row],[TANGGAL]])&lt;&gt;1,0,1)</f>
        <v>0</v>
      </c>
      <c r="E174" s="141" t="str">
        <f>TEXT(IF(KB[[#This Row],[DOC]]&lt;&gt;"",KB[[#This Row],[DOC]],E173),"000")</f>
        <v>015</v>
      </c>
      <c r="F174" s="40">
        <v>43858</v>
      </c>
      <c r="G174" s="40" t="str">
        <f>TYPE</f>
        <v>A</v>
      </c>
      <c r="H174"/>
      <c r="I174" s="42" t="s">
        <v>528</v>
      </c>
      <c r="J174" s="43" t="s">
        <v>83</v>
      </c>
      <c r="K174" s="44">
        <v>1</v>
      </c>
      <c r="L174" s="49">
        <v>7800</v>
      </c>
      <c r="M174" s="49">
        <v>3910</v>
      </c>
      <c r="N174" s="49">
        <v>3890</v>
      </c>
      <c r="O174" s="49">
        <v>6</v>
      </c>
      <c r="P174" s="49">
        <v>233.39999999999998</v>
      </c>
      <c r="Q174" s="49">
        <v>3656.6</v>
      </c>
      <c r="R174" s="49">
        <v>2750</v>
      </c>
      <c r="S174" s="49">
        <v>10055650</v>
      </c>
      <c r="T174" s="49">
        <v>13.82</v>
      </c>
      <c r="U174" s="49">
        <v>2763.82</v>
      </c>
      <c r="V174" s="49">
        <v>10106184</v>
      </c>
      <c r="W174" s="49">
        <v>50531</v>
      </c>
      <c r="X174" s="49">
        <v>10055653</v>
      </c>
      <c r="Y174" s="530" t="str">
        <f>IFERROR(IF(FIND("/KM",KB[[#This Row],[SUPPLIER]])&gt;0,"LAUT"),"DARAT")</f>
        <v>LAUT</v>
      </c>
    </row>
    <row r="175" spans="2:25">
      <c r="B175" s="140" t="str">
        <f>IFERROR(LEFT(KB[[#This Row],[SUPPLIER]],FIND("/",KB[[#This Row],[SUPPLIER]])-1),KB[[#This Row],[SUPPLIER]])</f>
        <v>MARTONO</v>
      </c>
      <c r="C175" s="141" t="str">
        <f>TEXT(VLOOKUP(KB[[#This Row],[RELASI]],DBRELASI[[RELASI]:[DOCKB]],10,0)+COUNTIFS($B$2:B175,KB[[#This Row],[RELASI]],$D$2:D175,1),"000")</f>
        <v>015</v>
      </c>
      <c r="D175" s="141">
        <f>IF(COUNTIFS($B$3:B175,KB[[#This Row],[RELASI]],$F$3:F175,KB[[#This Row],[TANGGAL]])&lt;&gt;1,0,1)</f>
        <v>0</v>
      </c>
      <c r="E175" s="141" t="str">
        <f>TEXT(IF(KB[[#This Row],[DOC]]&lt;&gt;"",KB[[#This Row],[DOC]],E174),"000")</f>
        <v>015</v>
      </c>
      <c r="F175" s="40">
        <v>43858</v>
      </c>
      <c r="G175" s="40" t="str">
        <f>TYPE</f>
        <v>A</v>
      </c>
      <c r="H175"/>
      <c r="I175" s="42" t="s">
        <v>762</v>
      </c>
      <c r="J175" s="43" t="s">
        <v>83</v>
      </c>
      <c r="K175" s="44">
        <v>5</v>
      </c>
      <c r="L175" s="49">
        <v>41760</v>
      </c>
      <c r="M175" s="49">
        <v>19320</v>
      </c>
      <c r="N175" s="49">
        <v>22440</v>
      </c>
      <c r="O175" s="49">
        <v>5.9999999999999982</v>
      </c>
      <c r="P175" s="49">
        <v>1346.3999999999996</v>
      </c>
      <c r="Q175" s="49">
        <v>21093.599999999999</v>
      </c>
      <c r="R175" s="49">
        <v>2850</v>
      </c>
      <c r="S175" s="49">
        <v>60116760</v>
      </c>
      <c r="T175" s="49">
        <v>14.32</v>
      </c>
      <c r="U175" s="49">
        <v>2864.32</v>
      </c>
      <c r="V175" s="49">
        <v>60418821</v>
      </c>
      <c r="W175" s="49">
        <v>302094</v>
      </c>
      <c r="X175" s="49">
        <v>60116727</v>
      </c>
      <c r="Y175" s="530" t="str">
        <f>IFERROR(IF(FIND("/KM",KB[[#This Row],[SUPPLIER]])&gt;0,"LAUT"),"DARAT")</f>
        <v>LAUT</v>
      </c>
    </row>
    <row r="176" spans="2:25">
      <c r="B176" s="140" t="str">
        <f>IFERROR(LEFT(KB[[#This Row],[SUPPLIER]],FIND("/",KB[[#This Row],[SUPPLIER]])-1),KB[[#This Row],[SUPPLIER]])</f>
        <v>MARTONO</v>
      </c>
      <c r="C176" s="141" t="str">
        <f>TEXT(VLOOKUP(KB[[#This Row],[RELASI]],DBRELASI[[RELASI]:[DOCKB]],10,0)+COUNTIFS($B$2:B176,KB[[#This Row],[RELASI]],$D$2:D176,1),"000")</f>
        <v>015</v>
      </c>
      <c r="D176" s="141">
        <f>IF(COUNTIFS($B$3:B176,KB[[#This Row],[RELASI]],$F$3:F176,KB[[#This Row],[TANGGAL]])&lt;&gt;1,0,1)</f>
        <v>0</v>
      </c>
      <c r="E176" s="141" t="str">
        <f>TEXT(IF(KB[[#This Row],[DOC]]&lt;&gt;"",KB[[#This Row],[DOC]],E175),"000")</f>
        <v>015</v>
      </c>
      <c r="F176" s="40">
        <v>43858</v>
      </c>
      <c r="G176" s="40" t="str">
        <f>TYPE</f>
        <v>A</v>
      </c>
      <c r="H176"/>
      <c r="I176" s="42" t="s">
        <v>529</v>
      </c>
      <c r="J176" s="43" t="s">
        <v>83</v>
      </c>
      <c r="K176" s="44">
        <v>3</v>
      </c>
      <c r="L176" s="49">
        <v>26450</v>
      </c>
      <c r="M176" s="49">
        <v>11650</v>
      </c>
      <c r="N176" s="49">
        <v>14800</v>
      </c>
      <c r="O176" s="49">
        <v>6</v>
      </c>
      <c r="P176" s="49">
        <v>888</v>
      </c>
      <c r="Q176" s="49">
        <v>13912</v>
      </c>
      <c r="R176" s="49">
        <v>2750</v>
      </c>
      <c r="S176" s="49">
        <v>38258000</v>
      </c>
      <c r="T176" s="49">
        <v>13.82</v>
      </c>
      <c r="U176" s="49">
        <v>2763.82</v>
      </c>
      <c r="V176" s="49">
        <v>38450264</v>
      </c>
      <c r="W176" s="49">
        <v>192252</v>
      </c>
      <c r="X176" s="49">
        <v>38258012</v>
      </c>
      <c r="Y176" s="530" t="str">
        <f>IFERROR(IF(FIND("/KM",KB[[#This Row],[SUPPLIER]])&gt;0,"LAUT"),"DARAT")</f>
        <v>LAUT</v>
      </c>
    </row>
    <row r="177" spans="2:25">
      <c r="B177" s="140" t="str">
        <f>IFERROR(LEFT(KB[[#This Row],[SUPPLIER]],FIND("/",KB[[#This Row],[SUPPLIER]])-1),KB[[#This Row],[SUPPLIER]])</f>
        <v>MASRI</v>
      </c>
      <c r="C177" s="141" t="str">
        <f>TEXT(VLOOKUP(KB[[#This Row],[RELASI]],DBRELASI[[RELASI]:[DOCKB]],10,0)+COUNTIFS($B$2:B177,KB[[#This Row],[RELASI]],$D$2:D177,1),"000")</f>
        <v>011</v>
      </c>
      <c r="D177" s="141">
        <f>IF(COUNTIFS($B$3:B177,KB[[#This Row],[RELASI]],$F$3:F177,KB[[#This Row],[TANGGAL]])&lt;&gt;1,0,1)</f>
        <v>1</v>
      </c>
      <c r="E177" s="141" t="str">
        <f>TEXT(IF(KB[[#This Row],[DOC]]&lt;&gt;"",KB[[#This Row],[DOC]],E176),"000")</f>
        <v>011</v>
      </c>
      <c r="F177" s="40">
        <v>43858</v>
      </c>
      <c r="G177" s="40" t="str">
        <f>TYPE</f>
        <v>A</v>
      </c>
      <c r="H177" s="153" t="s">
        <v>777</v>
      </c>
      <c r="I177" s="42" t="s">
        <v>812</v>
      </c>
      <c r="J177" s="43" t="s">
        <v>511</v>
      </c>
      <c r="K177" s="44">
        <v>10</v>
      </c>
      <c r="L177" s="49">
        <v>86880</v>
      </c>
      <c r="M177" s="49">
        <v>38820</v>
      </c>
      <c r="N177" s="49">
        <v>48060</v>
      </c>
      <c r="O177" s="49">
        <v>5.9999999999999991</v>
      </c>
      <c r="P177" s="49">
        <v>2883.6</v>
      </c>
      <c r="Q177" s="49">
        <v>45176.4</v>
      </c>
      <c r="R177" s="49">
        <v>2850</v>
      </c>
      <c r="S177" s="49">
        <v>128752740</v>
      </c>
      <c r="T177" s="49">
        <v>14.32</v>
      </c>
      <c r="U177" s="49">
        <v>2864.32</v>
      </c>
      <c r="V177" s="49">
        <v>129399667</v>
      </c>
      <c r="W177" s="49">
        <v>646999</v>
      </c>
      <c r="X177" s="49">
        <v>128752668</v>
      </c>
      <c r="Y177" s="530" t="str">
        <f>IFERROR(IF(FIND("/KM",KB[[#This Row],[SUPPLIER]])&gt;0,"LAUT"),"DARAT")</f>
        <v>LAUT</v>
      </c>
    </row>
    <row r="178" spans="2:25">
      <c r="B178" s="140" t="str">
        <f>IFERROR(LEFT(KB[[#This Row],[SUPPLIER]],FIND("/",KB[[#This Row],[SUPPLIER]])-1),KB[[#This Row],[SUPPLIER]])</f>
        <v>PT.SINAR KELAPA TEMBILAHAN</v>
      </c>
      <c r="C178" s="141" t="str">
        <f>TEXT(VLOOKUP(KB[[#This Row],[RELASI]],DBRELASI[[RELASI]:[DOCKB]],10,0)+COUNTIFS($B$2:B178,KB[[#This Row],[RELASI]],$D$2:D178,1),"000")</f>
        <v>003</v>
      </c>
      <c r="D178" s="141">
        <f>IF(COUNTIFS($B$3:B178,KB[[#This Row],[RELASI]],$F$3:F178,KB[[#This Row],[TANGGAL]])&lt;&gt;1,0,1)</f>
        <v>1</v>
      </c>
      <c r="E178" s="141" t="str">
        <f>TEXT(IF(KB[[#This Row],[DOC]]&lt;&gt;"",KB[[#This Row],[DOC]],E177),"000")</f>
        <v>003</v>
      </c>
      <c r="F178" s="40">
        <v>43858</v>
      </c>
      <c r="G178" s="40" t="str">
        <f>TYPE</f>
        <v>A</v>
      </c>
      <c r="H178" s="153" t="s">
        <v>521</v>
      </c>
      <c r="I178" s="42" t="s">
        <v>813</v>
      </c>
      <c r="J178" s="43" t="s">
        <v>81</v>
      </c>
      <c r="K178" s="44">
        <v>1</v>
      </c>
      <c r="L178" s="49">
        <v>4730</v>
      </c>
      <c r="M178" s="49">
        <v>3890</v>
      </c>
      <c r="N178" s="49">
        <v>840</v>
      </c>
      <c r="O178" s="49">
        <v>6</v>
      </c>
      <c r="P178" s="49">
        <v>50.4</v>
      </c>
      <c r="Q178" s="49">
        <v>789.6</v>
      </c>
      <c r="R178" s="49">
        <v>2950</v>
      </c>
      <c r="S178" s="49">
        <v>2329320</v>
      </c>
      <c r="T178" s="49">
        <v>0</v>
      </c>
      <c r="U178" s="49">
        <v>2950</v>
      </c>
      <c r="V178" s="49">
        <v>2329320</v>
      </c>
      <c r="W178" s="49">
        <v>5823</v>
      </c>
      <c r="X178" s="49">
        <v>2323497</v>
      </c>
      <c r="Y178" s="530" t="str">
        <f>IFERROR(IF(FIND("/KM",KB[[#This Row],[SUPPLIER]])&gt;0,"LAUT"),"DARAT")</f>
        <v>LAUT</v>
      </c>
    </row>
    <row r="179" spans="2:25">
      <c r="B179" s="140" t="str">
        <f>IFERROR(LEFT(KB[[#This Row],[SUPPLIER]],FIND("/",KB[[#This Row],[SUPPLIER]])-1),KB[[#This Row],[SUPPLIER]])</f>
        <v>PT.SINAR KELAPA TEMBILAHAN</v>
      </c>
      <c r="C179" s="141" t="str">
        <f>TEXT(VLOOKUP(KB[[#This Row],[RELASI]],DBRELASI[[RELASI]:[DOCKB]],10,0)+COUNTIFS($B$2:B179,KB[[#This Row],[RELASI]],$D$2:D179,1),"000")</f>
        <v>003</v>
      </c>
      <c r="D179" s="141">
        <f>IF(COUNTIFS($B$3:B179,KB[[#This Row],[RELASI]],$F$3:F179,KB[[#This Row],[TANGGAL]])&lt;&gt;1,0,1)</f>
        <v>0</v>
      </c>
      <c r="E179" s="141" t="str">
        <f>TEXT(IF(KB[[#This Row],[DOC]]&lt;&gt;"",KB[[#This Row],[DOC]],E178),"000")</f>
        <v>003</v>
      </c>
      <c r="F179" s="40">
        <v>43858</v>
      </c>
      <c r="G179" s="40" t="str">
        <f>TYPE</f>
        <v>A</v>
      </c>
      <c r="H179"/>
      <c r="I179" s="42" t="s">
        <v>814</v>
      </c>
      <c r="J179" s="43" t="s">
        <v>81</v>
      </c>
      <c r="K179" s="44">
        <v>1</v>
      </c>
      <c r="L179" s="49">
        <v>8600</v>
      </c>
      <c r="M179" s="49">
        <v>4010</v>
      </c>
      <c r="N179" s="49">
        <v>4590</v>
      </c>
      <c r="O179" s="49">
        <v>6</v>
      </c>
      <c r="P179" s="49">
        <v>275.39999999999998</v>
      </c>
      <c r="Q179" s="49">
        <v>4314.6000000000004</v>
      </c>
      <c r="R179" s="49">
        <v>2949.9999999999995</v>
      </c>
      <c r="S179" s="49">
        <v>12728070</v>
      </c>
      <c r="T179" s="49">
        <v>0</v>
      </c>
      <c r="U179" s="49">
        <v>2949.9999999999995</v>
      </c>
      <c r="V179" s="49">
        <v>12728070</v>
      </c>
      <c r="W179" s="49">
        <v>31820</v>
      </c>
      <c r="X179" s="49">
        <v>12696250</v>
      </c>
      <c r="Y179" s="530" t="str">
        <f>IFERROR(IF(FIND("/KM",KB[[#This Row],[SUPPLIER]])&gt;0,"LAUT"),"DARAT")</f>
        <v>LAUT</v>
      </c>
    </row>
    <row r="180" spans="2:25">
      <c r="B180" s="140" t="str">
        <f>IFERROR(LEFT(KB[[#This Row],[SUPPLIER]],FIND("/",KB[[#This Row],[SUPPLIER]])-1),KB[[#This Row],[SUPPLIER]])</f>
        <v>ROSDIANTO</v>
      </c>
      <c r="C180" s="141" t="str">
        <f>TEXT(VLOOKUP(KB[[#This Row],[RELASI]],DBRELASI[[RELASI]:[DOCKB]],10,0)+COUNTIFS($B$2:B180,KB[[#This Row],[RELASI]],$D$2:D180,1),"000")</f>
        <v>001</v>
      </c>
      <c r="D180" s="141">
        <f>IF(COUNTIFS($B$3:B180,KB[[#This Row],[RELASI]],$F$3:F180,KB[[#This Row],[TANGGAL]])&lt;&gt;1,0,1)</f>
        <v>1</v>
      </c>
      <c r="E180" s="141" t="str">
        <f>TEXT(IF(KB[[#This Row],[DOC]]&lt;&gt;"",KB[[#This Row],[DOC]],E179),"000")</f>
        <v>001</v>
      </c>
      <c r="F180" s="40">
        <v>43858</v>
      </c>
      <c r="G180" s="40" t="str">
        <f>TYPE</f>
        <v>A</v>
      </c>
      <c r="H180" s="153" t="s">
        <v>75</v>
      </c>
      <c r="I180" s="42" t="s">
        <v>815</v>
      </c>
      <c r="J180" s="43" t="s">
        <v>816</v>
      </c>
      <c r="K180" s="44">
        <v>4</v>
      </c>
      <c r="L180" s="49">
        <v>33410</v>
      </c>
      <c r="M180" s="49">
        <v>15540</v>
      </c>
      <c r="N180" s="49">
        <v>17870</v>
      </c>
      <c r="O180" s="49">
        <v>6.0000000000000009</v>
      </c>
      <c r="P180" s="49">
        <v>1072.2</v>
      </c>
      <c r="Q180" s="49">
        <v>16797.8</v>
      </c>
      <c r="R180" s="49">
        <v>2800</v>
      </c>
      <c r="S180" s="49">
        <v>47033840</v>
      </c>
      <c r="T180" s="49">
        <v>14.07</v>
      </c>
      <c r="U180" s="49">
        <v>2814.07</v>
      </c>
      <c r="V180" s="49">
        <v>47270185</v>
      </c>
      <c r="W180" s="49">
        <v>236351</v>
      </c>
      <c r="X180" s="49">
        <v>47033834</v>
      </c>
      <c r="Y180" s="530" t="str">
        <f>IFERROR(IF(FIND("/KM",KB[[#This Row],[SUPPLIER]])&gt;0,"LAUT"),"DARAT")</f>
        <v>LAUT</v>
      </c>
    </row>
    <row r="181" spans="2:25">
      <c r="B181" s="140" t="str">
        <f>IFERROR(LEFT(KB[[#This Row],[SUPPLIER]],FIND("/",KB[[#This Row],[SUPPLIER]])-1),KB[[#This Row],[SUPPLIER]])</f>
        <v>ZAINAL ABIDIN</v>
      </c>
      <c r="C181" s="141" t="str">
        <f>TEXT(VLOOKUP(KB[[#This Row],[RELASI]],DBRELASI[[RELASI]:[DOCKB]],10,0)+COUNTIFS($B$2:B181,KB[[#This Row],[RELASI]],$D$2:D181,1),"000")</f>
        <v>002</v>
      </c>
      <c r="D181" s="141">
        <f>IF(COUNTIFS($B$3:B181,KB[[#This Row],[RELASI]],$F$3:F181,KB[[#This Row],[TANGGAL]])&lt;&gt;1,0,1)</f>
        <v>1</v>
      </c>
      <c r="E181" s="141" t="str">
        <f>TEXT(IF(KB[[#This Row],[DOC]]&lt;&gt;"",KB[[#This Row],[DOC]],E180),"000")</f>
        <v>002</v>
      </c>
      <c r="F181" s="40">
        <v>43858</v>
      </c>
      <c r="G181" s="40" t="str">
        <f>TYPE</f>
        <v>A</v>
      </c>
      <c r="H181" s="154" t="s">
        <v>515</v>
      </c>
      <c r="I181" s="46" t="s">
        <v>817</v>
      </c>
      <c r="J181" s="47" t="s">
        <v>524</v>
      </c>
      <c r="K181" s="48">
        <v>2</v>
      </c>
      <c r="L181" s="49">
        <v>18190</v>
      </c>
      <c r="M181" s="49">
        <v>7760</v>
      </c>
      <c r="N181" s="49">
        <v>10430</v>
      </c>
      <c r="O181" s="49">
        <v>6</v>
      </c>
      <c r="P181" s="49">
        <v>625.79999999999995</v>
      </c>
      <c r="Q181" s="49">
        <v>9804.2000000000007</v>
      </c>
      <c r="R181" s="49">
        <v>2700</v>
      </c>
      <c r="S181" s="49">
        <v>26471340</v>
      </c>
      <c r="T181" s="49">
        <v>13.57</v>
      </c>
      <c r="U181" s="49">
        <v>2713.57</v>
      </c>
      <c r="V181" s="49">
        <v>26604383</v>
      </c>
      <c r="W181" s="49">
        <v>133022</v>
      </c>
      <c r="X181" s="49">
        <v>26471361</v>
      </c>
      <c r="Y181" s="574" t="str">
        <f>IFERROR(IF(FIND("/KM",KB[[#This Row],[SUPPLIER]])&gt;0,"LAUT"),"DARAT")</f>
        <v>LAUT</v>
      </c>
    </row>
    <row r="182" spans="2:25">
      <c r="B182" s="140" t="str">
        <f>IFERROR(LEFT(KB[[#This Row],[SUPPLIER]],FIND("/",KB[[#This Row],[SUPPLIER]])-1),KB[[#This Row],[SUPPLIER]])</f>
        <v>ERAWATI</v>
      </c>
      <c r="C182" s="141" t="str">
        <f>TEXT(VLOOKUP(KB[[#This Row],[RELASI]],DBRELASI[[RELASI]:[DOCKB]],10,0)+COUNTIFS($B$2:B182,KB[[#This Row],[RELASI]],$D$2:D182,1),"000")</f>
        <v>020</v>
      </c>
      <c r="D182" s="141">
        <f>IF(COUNTIFS($B$3:B182,KB[[#This Row],[RELASI]],$F$3:F182,KB[[#This Row],[TANGGAL]])&lt;&gt;1,0,1)</f>
        <v>1</v>
      </c>
      <c r="E182" s="141" t="str">
        <f>TEXT(IF(KB[[#This Row],[DOC]]&lt;&gt;"",KB[[#This Row],[DOC]],E181),"000")</f>
        <v>020</v>
      </c>
      <c r="F182" s="40">
        <v>43859</v>
      </c>
      <c r="G182" s="40" t="str">
        <f>TYPE</f>
        <v>A</v>
      </c>
      <c r="H182" s="153" t="s">
        <v>818</v>
      </c>
      <c r="I182" s="42" t="s">
        <v>155</v>
      </c>
      <c r="J182" s="43" t="s">
        <v>77</v>
      </c>
      <c r="K182" s="44">
        <v>5</v>
      </c>
      <c r="L182" s="49">
        <v>51450</v>
      </c>
      <c r="M182" s="49">
        <v>21120</v>
      </c>
      <c r="N182" s="49">
        <v>30330</v>
      </c>
      <c r="O182" s="49">
        <v>5.0606660072535448</v>
      </c>
      <c r="P182" s="49">
        <v>1534.9</v>
      </c>
      <c r="Q182" s="49">
        <v>28795.1</v>
      </c>
      <c r="R182" s="49">
        <v>2800</v>
      </c>
      <c r="S182" s="49">
        <v>80626280</v>
      </c>
      <c r="T182" s="49">
        <v>14.07</v>
      </c>
      <c r="U182" s="49">
        <v>2814.07</v>
      </c>
      <c r="V182" s="49">
        <v>81031426</v>
      </c>
      <c r="W182" s="49">
        <v>405158</v>
      </c>
      <c r="X182" s="49">
        <v>80626268</v>
      </c>
      <c r="Y182" s="530" t="str">
        <f>IFERROR(IF(FIND("/KM",KB[[#This Row],[SUPPLIER]])&gt;0,"LAUT"),"DARAT")</f>
        <v>DARAT</v>
      </c>
    </row>
    <row r="183" spans="2:25">
      <c r="B183" s="140" t="str">
        <f>IFERROR(LEFT(KB[[#This Row],[SUPPLIER]],FIND("/",KB[[#This Row],[SUPPLIER]])-1),KB[[#This Row],[SUPPLIER]])</f>
        <v>ERAWATI</v>
      </c>
      <c r="C183" s="141" t="str">
        <f>TEXT(VLOOKUP(KB[[#This Row],[RELASI]],DBRELASI[[RELASI]:[DOCKB]],10,0)+COUNTIFS($B$2:B183,KB[[#This Row],[RELASI]],$D$2:D183,1),"000")</f>
        <v>020</v>
      </c>
      <c r="D183" s="141">
        <f>IF(COUNTIFS($B$3:B183,KB[[#This Row],[RELASI]],$F$3:F183,KB[[#This Row],[TANGGAL]])&lt;&gt;1,0,1)</f>
        <v>0</v>
      </c>
      <c r="E183" s="141" t="str">
        <f>TEXT(IF(KB[[#This Row],[DOC]]&lt;&gt;"",KB[[#This Row],[DOC]],E182),"000")</f>
        <v>020</v>
      </c>
      <c r="F183" s="40">
        <v>43859</v>
      </c>
      <c r="G183" s="40" t="str">
        <f>TYPE</f>
        <v>A</v>
      </c>
      <c r="H183"/>
      <c r="I183" s="42" t="s">
        <v>506</v>
      </c>
      <c r="J183" s="43" t="s">
        <v>77</v>
      </c>
      <c r="K183" s="44">
        <v>1</v>
      </c>
      <c r="L183" s="49">
        <v>8750</v>
      </c>
      <c r="M183" s="49">
        <v>3920</v>
      </c>
      <c r="N183" s="49">
        <v>4830</v>
      </c>
      <c r="O183" s="49">
        <v>6.0000000000000009</v>
      </c>
      <c r="P183" s="49">
        <v>289.8</v>
      </c>
      <c r="Q183" s="49">
        <v>4540.2</v>
      </c>
      <c r="R183" s="49">
        <v>2750</v>
      </c>
      <c r="S183" s="49">
        <v>12485550</v>
      </c>
      <c r="T183" s="49">
        <v>13.82</v>
      </c>
      <c r="U183" s="49">
        <v>2763.82</v>
      </c>
      <c r="V183" s="49">
        <v>12548296</v>
      </c>
      <c r="W183" s="49">
        <v>62741</v>
      </c>
      <c r="X183" s="49">
        <v>12485555</v>
      </c>
      <c r="Y183" s="530" t="str">
        <f>IFERROR(IF(FIND("/KM",KB[[#This Row],[SUPPLIER]])&gt;0,"LAUT"),"DARAT")</f>
        <v>LAUT</v>
      </c>
    </row>
    <row r="184" spans="2:25">
      <c r="B184" s="140" t="str">
        <f>IFERROR(LEFT(KB[[#This Row],[SUPPLIER]],FIND("/",KB[[#This Row],[SUPPLIER]])-1),KB[[#This Row],[SUPPLIER]])</f>
        <v>ERAWATI</v>
      </c>
      <c r="C184" s="141" t="str">
        <f>TEXT(VLOOKUP(KB[[#This Row],[RELASI]],DBRELASI[[RELASI]:[DOCKB]],10,0)+COUNTIFS($B$2:B184,KB[[#This Row],[RELASI]],$D$2:D184,1),"000")</f>
        <v>020</v>
      </c>
      <c r="D184" s="141">
        <f>IF(COUNTIFS($B$3:B184,KB[[#This Row],[RELASI]],$F$3:F184,KB[[#This Row],[TANGGAL]])&lt;&gt;1,0,1)</f>
        <v>0</v>
      </c>
      <c r="E184" s="141" t="str">
        <f>TEXT(IF(KB[[#This Row],[DOC]]&lt;&gt;"",KB[[#This Row],[DOC]],E183),"000")</f>
        <v>020</v>
      </c>
      <c r="F184" s="40">
        <v>43859</v>
      </c>
      <c r="G184" s="40" t="str">
        <f>TYPE</f>
        <v>A</v>
      </c>
      <c r="H184"/>
      <c r="I184" s="42" t="s">
        <v>760</v>
      </c>
      <c r="J184" s="43" t="s">
        <v>77</v>
      </c>
      <c r="K184" s="44">
        <v>1</v>
      </c>
      <c r="L184" s="49">
        <v>8880</v>
      </c>
      <c r="M184" s="49">
        <v>3900</v>
      </c>
      <c r="N184" s="49">
        <v>4980</v>
      </c>
      <c r="O184" s="49">
        <v>6.0000000000000009</v>
      </c>
      <c r="P184" s="49">
        <v>298.8</v>
      </c>
      <c r="Q184" s="49">
        <v>4681.2</v>
      </c>
      <c r="R184" s="49">
        <v>2750</v>
      </c>
      <c r="S184" s="49">
        <v>12873300</v>
      </c>
      <c r="T184" s="49">
        <v>13.82</v>
      </c>
      <c r="U184" s="49">
        <v>2763.82</v>
      </c>
      <c r="V184" s="49">
        <v>12937994</v>
      </c>
      <c r="W184" s="49">
        <v>64690</v>
      </c>
      <c r="X184" s="49">
        <v>12873304</v>
      </c>
      <c r="Y184" s="530" t="str">
        <f>IFERROR(IF(FIND("/KM",KB[[#This Row],[SUPPLIER]])&gt;0,"LAUT"),"DARAT")</f>
        <v>LAUT</v>
      </c>
    </row>
    <row r="185" spans="2:25">
      <c r="B185" s="140" t="str">
        <f>IFERROR(LEFT(KB[[#This Row],[SUPPLIER]],FIND("/",KB[[#This Row],[SUPPLIER]])-1),KB[[#This Row],[SUPPLIER]])</f>
        <v>INDRAYANI</v>
      </c>
      <c r="C185" s="141" t="str">
        <f>TEXT(VLOOKUP(KB[[#This Row],[RELASI]],DBRELASI[[RELASI]:[DOCKB]],10,0)+COUNTIFS($B$2:B185,KB[[#This Row],[RELASI]],$D$2:D185,1),"000")</f>
        <v>018</v>
      </c>
      <c r="D185" s="141">
        <f>IF(COUNTIFS($B$3:B185,KB[[#This Row],[RELASI]],$F$3:F185,KB[[#This Row],[TANGGAL]])&lt;&gt;1,0,1)</f>
        <v>1</v>
      </c>
      <c r="E185" s="141" t="str">
        <f>TEXT(IF(KB[[#This Row],[DOC]]&lt;&gt;"",KB[[#This Row],[DOC]],E184),"000")</f>
        <v>018</v>
      </c>
      <c r="F185" s="40">
        <v>43859</v>
      </c>
      <c r="G185" s="40" t="str">
        <f>TYPE</f>
        <v>A</v>
      </c>
      <c r="H185" s="153" t="s">
        <v>803</v>
      </c>
      <c r="I185" s="42" t="s">
        <v>79</v>
      </c>
      <c r="J185" s="43" t="s">
        <v>77</v>
      </c>
      <c r="K185" s="44">
        <v>3</v>
      </c>
      <c r="L185" s="49">
        <v>25920</v>
      </c>
      <c r="M185" s="49">
        <v>12050</v>
      </c>
      <c r="N185" s="49">
        <v>13870</v>
      </c>
      <c r="O185" s="49">
        <v>5</v>
      </c>
      <c r="P185" s="49">
        <v>693.5</v>
      </c>
      <c r="Q185" s="49">
        <v>13176.5</v>
      </c>
      <c r="R185" s="49">
        <v>2900</v>
      </c>
      <c r="S185" s="49">
        <v>38211850</v>
      </c>
      <c r="T185" s="49">
        <v>14.57</v>
      </c>
      <c r="U185" s="49">
        <v>2914.57</v>
      </c>
      <c r="V185" s="49">
        <v>38403832</v>
      </c>
      <c r="W185" s="49">
        <v>192020</v>
      </c>
      <c r="X185" s="49">
        <v>38211812</v>
      </c>
      <c r="Y185" s="530" t="str">
        <f>IFERROR(IF(FIND("/KM",KB[[#This Row],[SUPPLIER]])&gt;0,"LAUT"),"DARAT")</f>
        <v>DARAT</v>
      </c>
    </row>
    <row r="186" spans="2:25">
      <c r="B186" s="140" t="str">
        <f>IFERROR(LEFT(KB[[#This Row],[SUPPLIER]],FIND("/",KB[[#This Row],[SUPPLIER]])-1),KB[[#This Row],[SUPPLIER]])</f>
        <v>RUSLAN JAYA, SH</v>
      </c>
      <c r="C186" s="141" t="str">
        <f>TEXT(VLOOKUP(KB[[#This Row],[RELASI]],DBRELASI[[RELASI]:[DOCKB]],10,0)+COUNTIFS($B$2:B186,KB[[#This Row],[RELASI]],$D$2:D186,1),"000")</f>
        <v>007</v>
      </c>
      <c r="D186" s="141">
        <f>IF(COUNTIFS($B$3:B186,KB[[#This Row],[RELASI]],$F$3:F186,KB[[#This Row],[TANGGAL]])&lt;&gt;1,0,1)</f>
        <v>1</v>
      </c>
      <c r="E186" s="141" t="str">
        <f>TEXT(IF(KB[[#This Row],[DOC]]&lt;&gt;"",KB[[#This Row],[DOC]],E185),"000")</f>
        <v>007</v>
      </c>
      <c r="F186" s="40">
        <v>43859</v>
      </c>
      <c r="G186" s="40" t="str">
        <f>TYPE</f>
        <v>A</v>
      </c>
      <c r="H186" s="153" t="s">
        <v>763</v>
      </c>
      <c r="I186" s="42" t="s">
        <v>479</v>
      </c>
      <c r="J186" s="43" t="s">
        <v>475</v>
      </c>
      <c r="K186" s="44">
        <v>4</v>
      </c>
      <c r="L186" s="49">
        <v>34200</v>
      </c>
      <c r="M186" s="49">
        <v>14290</v>
      </c>
      <c r="N186" s="49">
        <v>19910</v>
      </c>
      <c r="O186" s="49">
        <v>5</v>
      </c>
      <c r="P186" s="49">
        <v>995.5</v>
      </c>
      <c r="Q186" s="49">
        <v>18914.5</v>
      </c>
      <c r="R186" s="49">
        <v>2800</v>
      </c>
      <c r="S186" s="49">
        <v>52960600</v>
      </c>
      <c r="T186" s="49">
        <v>14.07</v>
      </c>
      <c r="U186" s="49">
        <v>2814.07</v>
      </c>
      <c r="V186" s="49">
        <v>53226728</v>
      </c>
      <c r="W186" s="49">
        <v>266133</v>
      </c>
      <c r="X186" s="49">
        <v>52960595</v>
      </c>
      <c r="Y186" s="530" t="str">
        <f>IFERROR(IF(FIND("/KM",KB[[#This Row],[SUPPLIER]])&gt;0,"LAUT"),"DARAT")</f>
        <v>DARAT</v>
      </c>
    </row>
    <row r="187" spans="2:25">
      <c r="B187" s="140" t="str">
        <f>IFERROR(LEFT(KB[[#This Row],[SUPPLIER]],FIND("/",KB[[#This Row],[SUPPLIER]])-1),KB[[#This Row],[SUPPLIER]])</f>
        <v>SAIRI</v>
      </c>
      <c r="C187" s="141" t="str">
        <f>TEXT(VLOOKUP(KB[[#This Row],[RELASI]],DBRELASI[[RELASI]:[DOCKB]],10,0)+COUNTIFS($B$2:B187,KB[[#This Row],[RELASI]],$D$2:D187,1),"000")</f>
        <v>014</v>
      </c>
      <c r="D187" s="141">
        <f>IF(COUNTIFS($B$3:B187,KB[[#This Row],[RELASI]],$F$3:F187,KB[[#This Row],[TANGGAL]])&lt;&gt;1,0,1)</f>
        <v>1</v>
      </c>
      <c r="E187" s="141" t="str">
        <f>TEXT(IF(KB[[#This Row],[DOC]]&lt;&gt;"",KB[[#This Row],[DOC]],E186),"000")</f>
        <v>014</v>
      </c>
      <c r="F187" s="40">
        <v>43859</v>
      </c>
      <c r="G187" s="40" t="str">
        <f>TYPE</f>
        <v>A</v>
      </c>
      <c r="H187" s="153" t="s">
        <v>781</v>
      </c>
      <c r="I187" s="42" t="s">
        <v>84</v>
      </c>
      <c r="J187" s="43" t="s">
        <v>85</v>
      </c>
      <c r="K187" s="44">
        <v>2</v>
      </c>
      <c r="L187" s="49">
        <v>8760</v>
      </c>
      <c r="M187" s="49">
        <v>4290</v>
      </c>
      <c r="N187" s="49">
        <v>4470</v>
      </c>
      <c r="O187" s="49">
        <v>5</v>
      </c>
      <c r="P187" s="49">
        <v>223.5</v>
      </c>
      <c r="Q187" s="49">
        <v>4246.5</v>
      </c>
      <c r="R187" s="49">
        <v>2850</v>
      </c>
      <c r="S187" s="49">
        <v>12102525</v>
      </c>
      <c r="T187" s="49">
        <v>14.32</v>
      </c>
      <c r="U187" s="49">
        <v>2864.32</v>
      </c>
      <c r="V187" s="49">
        <v>12163335</v>
      </c>
      <c r="W187" s="49">
        <v>60817</v>
      </c>
      <c r="X187" s="49">
        <v>12102518</v>
      </c>
      <c r="Y187" s="530" t="str">
        <f>IFERROR(IF(FIND("/KM",KB[[#This Row],[SUPPLIER]])&gt;0,"LAUT"),"DARAT")</f>
        <v>DARAT</v>
      </c>
    </row>
    <row r="188" spans="2:25">
      <c r="B188" s="140" t="str">
        <f>IFERROR(LEFT(KB[[#This Row],[SUPPLIER]],FIND("/",KB[[#This Row],[SUPPLIER]])-1),KB[[#This Row],[SUPPLIER]])</f>
        <v>YANADI</v>
      </c>
      <c r="C188" s="141" t="str">
        <f>TEXT(VLOOKUP(KB[[#This Row],[RELASI]],DBRELASI[[RELASI]:[DOCKB]],10,0)+COUNTIFS($B$2:B188,KB[[#This Row],[RELASI]],$D$2:D188,1),"000")</f>
        <v>010</v>
      </c>
      <c r="D188" s="141">
        <f>IF(COUNTIFS($B$3:B188,KB[[#This Row],[RELASI]],$F$3:F188,KB[[#This Row],[TANGGAL]])&lt;&gt;1,0,1)</f>
        <v>1</v>
      </c>
      <c r="E188" s="141" t="str">
        <f>TEXT(IF(KB[[#This Row],[DOC]]&lt;&gt;"",KB[[#This Row],[DOC]],E187),"000")</f>
        <v>010</v>
      </c>
      <c r="F188" s="40">
        <v>43859</v>
      </c>
      <c r="G188" s="40" t="str">
        <f>TYPE</f>
        <v>A</v>
      </c>
      <c r="H188" s="153" t="s">
        <v>773</v>
      </c>
      <c r="I188" s="42" t="s">
        <v>137</v>
      </c>
      <c r="J188" s="43" t="s">
        <v>74</v>
      </c>
      <c r="K188" s="44">
        <v>3</v>
      </c>
      <c r="L188" s="49">
        <v>29520</v>
      </c>
      <c r="M188" s="49">
        <v>10050</v>
      </c>
      <c r="N188" s="49">
        <v>19470</v>
      </c>
      <c r="O188" s="49">
        <v>5.45351823317925</v>
      </c>
      <c r="P188" s="49">
        <v>1061.8</v>
      </c>
      <c r="Q188" s="49">
        <v>18408.2</v>
      </c>
      <c r="R188" s="49">
        <v>2800</v>
      </c>
      <c r="S188" s="49">
        <v>51542960</v>
      </c>
      <c r="T188" s="49">
        <v>14.07</v>
      </c>
      <c r="U188" s="49">
        <v>2814.07</v>
      </c>
      <c r="V188" s="49">
        <v>51801964</v>
      </c>
      <c r="W188" s="49">
        <v>259010</v>
      </c>
      <c r="X188" s="49">
        <v>51542954</v>
      </c>
      <c r="Y188" s="530" t="str">
        <f>IFERROR(IF(FIND("/KM",KB[[#This Row],[SUPPLIER]])&gt;0,"LAUT"),"DARAT")</f>
        <v>DARAT</v>
      </c>
    </row>
    <row r="189" spans="2:25">
      <c r="B189" s="140" t="str">
        <f>IFERROR(LEFT(KB[[#This Row],[SUPPLIER]],FIND("/",KB[[#This Row],[SUPPLIER]])-1),KB[[#This Row],[SUPPLIER]])</f>
        <v>AMIR</v>
      </c>
      <c r="C189" s="141" t="str">
        <f>TEXT(VLOOKUP(KB[[#This Row],[RELASI]],DBRELASI[[RELASI]:[DOCKB]],10,0)+COUNTIFS($B$2:B189,KB[[#This Row],[RELASI]],$D$2:D189,1),"000")</f>
        <v>002</v>
      </c>
      <c r="D189" s="141">
        <f>IF(COUNTIFS($B$3:B189,KB[[#This Row],[RELASI]],$F$3:F189,KB[[#This Row],[TANGGAL]])&lt;&gt;1,0,1)</f>
        <v>1</v>
      </c>
      <c r="E189" s="141" t="str">
        <f>TEXT(IF(KB[[#This Row],[DOC]]&lt;&gt;"",KB[[#This Row],[DOC]],E188),"000")</f>
        <v>002</v>
      </c>
      <c r="F189" s="40">
        <v>43859</v>
      </c>
      <c r="G189" s="40" t="str">
        <f>TYPE</f>
        <v>A</v>
      </c>
      <c r="H189" s="153" t="s">
        <v>515</v>
      </c>
      <c r="I189" s="42" t="s">
        <v>782</v>
      </c>
      <c r="J189" s="43" t="s">
        <v>783</v>
      </c>
      <c r="K189" s="44">
        <v>2</v>
      </c>
      <c r="L189" s="49">
        <v>17730</v>
      </c>
      <c r="M189" s="49">
        <v>7790</v>
      </c>
      <c r="N189" s="49">
        <v>9940</v>
      </c>
      <c r="O189" s="49">
        <v>5.9999999999999991</v>
      </c>
      <c r="P189" s="49">
        <v>596.4</v>
      </c>
      <c r="Q189" s="49">
        <v>9343.6</v>
      </c>
      <c r="R189" s="49">
        <v>2800</v>
      </c>
      <c r="S189" s="49">
        <v>26162080</v>
      </c>
      <c r="T189" s="49">
        <v>14.07</v>
      </c>
      <c r="U189" s="49">
        <v>2814.07</v>
      </c>
      <c r="V189" s="49">
        <v>26293545</v>
      </c>
      <c r="W189" s="49">
        <v>131468</v>
      </c>
      <c r="X189" s="49">
        <v>26162077</v>
      </c>
      <c r="Y189" s="530" t="str">
        <f>IFERROR(IF(FIND("/KM",KB[[#This Row],[SUPPLIER]])&gt;0,"LAUT"),"DARAT")</f>
        <v>LAUT</v>
      </c>
    </row>
    <row r="190" spans="2:25">
      <c r="B190" s="140" t="str">
        <f>IFERROR(LEFT(KB[[#This Row],[SUPPLIER]],FIND("/",KB[[#This Row],[SUPPLIER]])-1),KB[[#This Row],[SUPPLIER]])</f>
        <v>AMIR</v>
      </c>
      <c r="C190" s="141" t="str">
        <f>TEXT(VLOOKUP(KB[[#This Row],[RELASI]],DBRELASI[[RELASI]:[DOCKB]],10,0)+COUNTIFS($B$2:B190,KB[[#This Row],[RELASI]],$D$2:D190,1),"000")</f>
        <v>002</v>
      </c>
      <c r="D190" s="141">
        <f>IF(COUNTIFS($B$3:B190,KB[[#This Row],[RELASI]],$F$3:F190,KB[[#This Row],[TANGGAL]])&lt;&gt;1,0,1)</f>
        <v>0</v>
      </c>
      <c r="E190" s="141" t="str">
        <f>TEXT(IF(KB[[#This Row],[DOC]]&lt;&gt;"",KB[[#This Row],[DOC]],E189),"000")</f>
        <v>002</v>
      </c>
      <c r="F190" s="40">
        <v>43859</v>
      </c>
      <c r="G190" s="40" t="str">
        <f>TYPE</f>
        <v>A</v>
      </c>
      <c r="H190"/>
      <c r="I190" s="42" t="s">
        <v>819</v>
      </c>
      <c r="J190" s="43" t="s">
        <v>783</v>
      </c>
      <c r="K190" s="44">
        <v>2</v>
      </c>
      <c r="L190" s="49">
        <v>16440</v>
      </c>
      <c r="M190" s="49">
        <v>7820</v>
      </c>
      <c r="N190" s="49">
        <v>8620</v>
      </c>
      <c r="O190" s="49">
        <v>6</v>
      </c>
      <c r="P190" s="49">
        <v>517.20000000000005</v>
      </c>
      <c r="Q190" s="49">
        <v>8102.7999999999993</v>
      </c>
      <c r="R190" s="49">
        <v>2750.0000000000005</v>
      </c>
      <c r="S190" s="49">
        <v>22282700</v>
      </c>
      <c r="T190" s="49">
        <v>13.82</v>
      </c>
      <c r="U190" s="49">
        <v>2763.8200000000006</v>
      </c>
      <c r="V190" s="49">
        <v>22394681</v>
      </c>
      <c r="W190" s="49">
        <v>111973</v>
      </c>
      <c r="X190" s="49">
        <v>22282708</v>
      </c>
      <c r="Y190" s="530" t="str">
        <f>IFERROR(IF(FIND("/KM",KB[[#This Row],[SUPPLIER]])&gt;0,"LAUT"),"DARAT")</f>
        <v>LAUT</v>
      </c>
    </row>
    <row r="191" spans="2:25">
      <c r="B191" s="140" t="str">
        <f>IFERROR(LEFT(KB[[#This Row],[SUPPLIER]],FIND("/",KB[[#This Row],[SUPPLIER]])-1),KB[[#This Row],[SUPPLIER]])</f>
        <v>DINI CHAIRANI</v>
      </c>
      <c r="C191" s="141" t="str">
        <f>TEXT(VLOOKUP(KB[[#This Row],[RELASI]],DBRELASI[[RELASI]:[DOCKB]],10,0)+COUNTIFS($B$2:B191,KB[[#This Row],[RELASI]],$D$2:D191,1),"000")</f>
        <v>014</v>
      </c>
      <c r="D191" s="141">
        <f>IF(COUNTIFS($B$3:B191,KB[[#This Row],[RELASI]],$F$3:F191,KB[[#This Row],[TANGGAL]])&lt;&gt;1,0,1)</f>
        <v>1</v>
      </c>
      <c r="E191" s="141" t="str">
        <f>TEXT(IF(KB[[#This Row],[DOC]]&lt;&gt;"",KB[[#This Row],[DOC]],E190),"000")</f>
        <v>014</v>
      </c>
      <c r="F191" s="40">
        <v>43859</v>
      </c>
      <c r="G191" s="40" t="str">
        <f>TYPE</f>
        <v>A</v>
      </c>
      <c r="H191" s="153" t="s">
        <v>781</v>
      </c>
      <c r="I191" s="42" t="s">
        <v>820</v>
      </c>
      <c r="J191" s="43" t="s">
        <v>95</v>
      </c>
      <c r="K191" s="44">
        <v>2</v>
      </c>
      <c r="L191" s="49">
        <v>14690</v>
      </c>
      <c r="M191" s="49">
        <v>7760</v>
      </c>
      <c r="N191" s="49">
        <v>6930</v>
      </c>
      <c r="O191" s="49">
        <v>6</v>
      </c>
      <c r="P191" s="49">
        <v>415.79999999999995</v>
      </c>
      <c r="Q191" s="49">
        <v>6514.2000000000007</v>
      </c>
      <c r="R191" s="49">
        <v>2749.9999999999995</v>
      </c>
      <c r="S191" s="49">
        <v>17914050</v>
      </c>
      <c r="T191" s="49">
        <v>13.82</v>
      </c>
      <c r="U191" s="49">
        <v>2763.8199999999997</v>
      </c>
      <c r="V191" s="49">
        <v>18004076</v>
      </c>
      <c r="W191" s="49">
        <v>90020</v>
      </c>
      <c r="X191" s="49">
        <v>17914056</v>
      </c>
      <c r="Y191" s="530" t="str">
        <f>IFERROR(IF(FIND("/KM",KB[[#This Row],[SUPPLIER]])&gt;0,"LAUT"),"DARAT")</f>
        <v>LAUT</v>
      </c>
    </row>
    <row r="192" spans="2:25">
      <c r="B192" s="140" t="str">
        <f>IFERROR(LEFT(KB[[#This Row],[SUPPLIER]],FIND("/",KB[[#This Row],[SUPPLIER]])-1),KB[[#This Row],[SUPPLIER]])</f>
        <v>HENDRI</v>
      </c>
      <c r="C192" s="141" t="str">
        <f>TEXT(VLOOKUP(KB[[#This Row],[RELASI]],DBRELASI[[RELASI]:[DOCKB]],10,0)+COUNTIFS($B$2:B192,KB[[#This Row],[RELASI]],$D$2:D192,1),"000")</f>
        <v>012</v>
      </c>
      <c r="D192" s="141">
        <f>IF(COUNTIFS($B$3:B192,KB[[#This Row],[RELASI]],$F$3:F192,KB[[#This Row],[TANGGAL]])&lt;&gt;1,0,1)</f>
        <v>1</v>
      </c>
      <c r="E192" s="141" t="str">
        <f>TEXT(IF(KB[[#This Row],[DOC]]&lt;&gt;"",KB[[#This Row],[DOC]],E191),"000")</f>
        <v>012</v>
      </c>
      <c r="F192" s="40">
        <v>43859</v>
      </c>
      <c r="G192" s="40" t="str">
        <f>TYPE</f>
        <v>A</v>
      </c>
      <c r="H192" s="153" t="s">
        <v>778</v>
      </c>
      <c r="I192" s="42" t="s">
        <v>785</v>
      </c>
      <c r="J192" s="43" t="s">
        <v>475</v>
      </c>
      <c r="K192" s="44">
        <v>5</v>
      </c>
      <c r="L192" s="49">
        <v>40830</v>
      </c>
      <c r="M192" s="49">
        <v>19390</v>
      </c>
      <c r="N192" s="49">
        <v>21440</v>
      </c>
      <c r="O192" s="49">
        <v>5.9999999999999991</v>
      </c>
      <c r="P192" s="49">
        <v>1286.3999999999999</v>
      </c>
      <c r="Q192" s="49">
        <v>20153.600000000002</v>
      </c>
      <c r="R192" s="49">
        <v>2799.9999999999995</v>
      </c>
      <c r="S192" s="49">
        <v>56430080</v>
      </c>
      <c r="T192" s="49">
        <v>14.07</v>
      </c>
      <c r="U192" s="49">
        <v>2814.0699999999997</v>
      </c>
      <c r="V192" s="49">
        <v>56713641</v>
      </c>
      <c r="W192" s="49">
        <v>283567</v>
      </c>
      <c r="X192" s="49">
        <v>56430074</v>
      </c>
      <c r="Y192" s="530" t="str">
        <f>IFERROR(IF(FIND("/KM",KB[[#This Row],[SUPPLIER]])&gt;0,"LAUT"),"DARAT")</f>
        <v>LAUT</v>
      </c>
    </row>
    <row r="193" spans="2:25">
      <c r="B193" s="140" t="str">
        <f>IFERROR(LEFT(KB[[#This Row],[SUPPLIER]],FIND("/",KB[[#This Row],[SUPPLIER]])-1),KB[[#This Row],[SUPPLIER]])</f>
        <v>MARTONO</v>
      </c>
      <c r="C193" s="141" t="str">
        <f>TEXT(VLOOKUP(KB[[#This Row],[RELASI]],DBRELASI[[RELASI]:[DOCKB]],10,0)+COUNTIFS($B$2:B193,KB[[#This Row],[RELASI]],$D$2:D193,1),"000")</f>
        <v>016</v>
      </c>
      <c r="D193" s="141">
        <f>IF(COUNTIFS($B$3:B193,KB[[#This Row],[RELASI]],$F$3:F193,KB[[#This Row],[TANGGAL]])&lt;&gt;1,0,1)</f>
        <v>1</v>
      </c>
      <c r="E193" s="141" t="str">
        <f>TEXT(IF(KB[[#This Row],[DOC]]&lt;&gt;"",KB[[#This Row],[DOC]],E192),"000")</f>
        <v>016</v>
      </c>
      <c r="F193" s="40">
        <v>43859</v>
      </c>
      <c r="G193" s="40" t="str">
        <f>TYPE</f>
        <v>A</v>
      </c>
      <c r="H193" s="153" t="s">
        <v>796</v>
      </c>
      <c r="I193" s="42" t="s">
        <v>522</v>
      </c>
      <c r="J193" s="43" t="s">
        <v>83</v>
      </c>
      <c r="K193" s="44">
        <v>3</v>
      </c>
      <c r="L193" s="49">
        <v>22240</v>
      </c>
      <c r="M193" s="49">
        <v>11730</v>
      </c>
      <c r="N193" s="49">
        <v>10510</v>
      </c>
      <c r="O193" s="49">
        <v>5.9999999999999991</v>
      </c>
      <c r="P193" s="49">
        <v>630.59999999999991</v>
      </c>
      <c r="Q193" s="49">
        <v>9879.4</v>
      </c>
      <c r="R193" s="49">
        <v>2750</v>
      </c>
      <c r="S193" s="49">
        <v>27168350</v>
      </c>
      <c r="T193" s="49">
        <v>13.82</v>
      </c>
      <c r="U193" s="49">
        <v>2763.82</v>
      </c>
      <c r="V193" s="49">
        <v>27304884</v>
      </c>
      <c r="W193" s="49">
        <v>136525</v>
      </c>
      <c r="X193" s="49">
        <v>27168359</v>
      </c>
      <c r="Y193" s="530" t="str">
        <f>IFERROR(IF(FIND("/KM",KB[[#This Row],[SUPPLIER]])&gt;0,"LAUT"),"DARAT")</f>
        <v>LAUT</v>
      </c>
    </row>
    <row r="194" spans="2:25">
      <c r="B194" s="140" t="str">
        <f>IFERROR(LEFT(KB[[#This Row],[SUPPLIER]],FIND("/",KB[[#This Row],[SUPPLIER]])-1),KB[[#This Row],[SUPPLIER]])</f>
        <v>MASRI</v>
      </c>
      <c r="C194" s="141" t="str">
        <f>TEXT(VLOOKUP(KB[[#This Row],[RELASI]],DBRELASI[[RELASI]:[DOCKB]],10,0)+COUNTIFS($B$2:B194,KB[[#This Row],[RELASI]],$D$2:D194,1),"000")</f>
        <v>012</v>
      </c>
      <c r="D194" s="141">
        <f>IF(COUNTIFS($B$3:B194,KB[[#This Row],[RELASI]],$F$3:F194,KB[[#This Row],[TANGGAL]])&lt;&gt;1,0,1)</f>
        <v>1</v>
      </c>
      <c r="E194" s="141" t="str">
        <f>TEXT(IF(KB[[#This Row],[DOC]]&lt;&gt;"",KB[[#This Row],[DOC]],E193),"000")</f>
        <v>012</v>
      </c>
      <c r="F194" s="40">
        <v>43859</v>
      </c>
      <c r="G194" s="40" t="str">
        <f>TYPE</f>
        <v>A</v>
      </c>
      <c r="H194" s="153" t="s">
        <v>778</v>
      </c>
      <c r="I194" s="42" t="s">
        <v>812</v>
      </c>
      <c r="J194" s="43" t="s">
        <v>511</v>
      </c>
      <c r="K194" s="44">
        <v>13</v>
      </c>
      <c r="L194" s="49">
        <v>112020</v>
      </c>
      <c r="M194" s="49">
        <v>50490</v>
      </c>
      <c r="N194" s="49">
        <v>61530</v>
      </c>
      <c r="O194" s="49">
        <v>6</v>
      </c>
      <c r="P194" s="49">
        <v>3691.7999999999997</v>
      </c>
      <c r="Q194" s="49">
        <v>57838.2</v>
      </c>
      <c r="R194" s="49">
        <v>2850</v>
      </c>
      <c r="S194" s="49">
        <v>164838870</v>
      </c>
      <c r="T194" s="49">
        <v>14.32</v>
      </c>
      <c r="U194" s="49">
        <v>2864.32</v>
      </c>
      <c r="V194" s="49">
        <v>165667112</v>
      </c>
      <c r="W194" s="49">
        <v>828337</v>
      </c>
      <c r="X194" s="49">
        <v>164838775</v>
      </c>
      <c r="Y194" s="530" t="str">
        <f>IFERROR(IF(FIND("/KM",KB[[#This Row],[SUPPLIER]])&gt;0,"LAUT"),"DARAT")</f>
        <v>LAUT</v>
      </c>
    </row>
    <row r="195" spans="2:25">
      <c r="B195" s="140" t="str">
        <f>IFERROR(LEFT(KB[[#This Row],[SUPPLIER]],FIND("/",KB[[#This Row],[SUPPLIER]])-1),KB[[#This Row],[SUPPLIER]])</f>
        <v>PT.SINAR KELAPA TEMBILAHAN</v>
      </c>
      <c r="C195" s="141" t="str">
        <f>TEXT(VLOOKUP(KB[[#This Row],[RELASI]],DBRELASI[[RELASI]:[DOCKB]],10,0)+COUNTIFS($B$2:B195,KB[[#This Row],[RELASI]],$D$2:D195,1),"000")</f>
        <v>004</v>
      </c>
      <c r="D195" s="141">
        <f>IF(COUNTIFS($B$3:B195,KB[[#This Row],[RELASI]],$F$3:F195,KB[[#This Row],[TANGGAL]])&lt;&gt;1,0,1)</f>
        <v>1</v>
      </c>
      <c r="E195" s="141" t="str">
        <f>TEXT(IF(KB[[#This Row],[DOC]]&lt;&gt;"",KB[[#This Row],[DOC]],E194),"000")</f>
        <v>004</v>
      </c>
      <c r="F195" s="40">
        <v>43859</v>
      </c>
      <c r="G195" s="40" t="str">
        <f>TYPE</f>
        <v>A</v>
      </c>
      <c r="H195" s="153" t="s">
        <v>526</v>
      </c>
      <c r="I195" s="42" t="s">
        <v>821</v>
      </c>
      <c r="J195" s="43" t="s">
        <v>81</v>
      </c>
      <c r="K195" s="44">
        <v>5</v>
      </c>
      <c r="L195" s="49">
        <v>41620</v>
      </c>
      <c r="M195" s="49">
        <v>19490</v>
      </c>
      <c r="N195" s="49">
        <v>22130</v>
      </c>
      <c r="O195" s="49">
        <v>5.9999999999999991</v>
      </c>
      <c r="P195" s="49">
        <v>1327.8</v>
      </c>
      <c r="Q195" s="49">
        <v>20802.199999999997</v>
      </c>
      <c r="R195" s="49">
        <v>2950.0000000000005</v>
      </c>
      <c r="S195" s="49">
        <v>61366490</v>
      </c>
      <c r="T195" s="49">
        <v>0</v>
      </c>
      <c r="U195" s="49">
        <v>2950.0000000000005</v>
      </c>
      <c r="V195" s="49">
        <v>61366490</v>
      </c>
      <c r="W195" s="49">
        <v>153416</v>
      </c>
      <c r="X195" s="49">
        <v>61213074</v>
      </c>
      <c r="Y195" s="530" t="str">
        <f>IFERROR(IF(FIND("/KM",KB[[#This Row],[SUPPLIER]])&gt;0,"LAUT"),"DARAT")</f>
        <v>LAUT</v>
      </c>
    </row>
    <row r="196" spans="2:25">
      <c r="B196" s="140" t="str">
        <f>IFERROR(LEFT(KB[[#This Row],[SUPPLIER]],FIND("/",KB[[#This Row],[SUPPLIER]])-1),KB[[#This Row],[SUPPLIER]])</f>
        <v>PT.SINAR KELAPA TEMBILAHAN</v>
      </c>
      <c r="C196" s="141" t="str">
        <f>TEXT(VLOOKUP(KB[[#This Row],[RELASI]],DBRELASI[[RELASI]:[DOCKB]],10,0)+COUNTIFS($B$2:B196,KB[[#This Row],[RELASI]],$D$2:D196,1),"000")</f>
        <v>004</v>
      </c>
      <c r="D196" s="141">
        <f>IF(COUNTIFS($B$3:B196,KB[[#This Row],[RELASI]],$F$3:F196,KB[[#This Row],[TANGGAL]])&lt;&gt;1,0,1)</f>
        <v>0</v>
      </c>
      <c r="E196" s="141" t="str">
        <f>TEXT(IF(KB[[#This Row],[DOC]]&lt;&gt;"",KB[[#This Row],[DOC]],E195),"000")</f>
        <v>004</v>
      </c>
      <c r="F196" s="40">
        <v>43859</v>
      </c>
      <c r="G196" s="40" t="str">
        <f>TYPE</f>
        <v>A</v>
      </c>
      <c r="H196"/>
      <c r="I196" s="42" t="s">
        <v>814</v>
      </c>
      <c r="J196" s="43" t="s">
        <v>81</v>
      </c>
      <c r="K196" s="44">
        <v>8</v>
      </c>
      <c r="L196" s="49">
        <v>67570</v>
      </c>
      <c r="M196" s="49">
        <v>31020</v>
      </c>
      <c r="N196" s="49">
        <v>36550</v>
      </c>
      <c r="O196" s="49">
        <v>5.9999999999999991</v>
      </c>
      <c r="P196" s="49">
        <v>2192.9999999999995</v>
      </c>
      <c r="Q196" s="49">
        <v>34357</v>
      </c>
      <c r="R196" s="49">
        <v>2950</v>
      </c>
      <c r="S196" s="49">
        <v>101353150</v>
      </c>
      <c r="T196" s="49">
        <v>0</v>
      </c>
      <c r="U196" s="49">
        <v>2950</v>
      </c>
      <c r="V196" s="49">
        <v>101353150</v>
      </c>
      <c r="W196" s="49">
        <v>253383</v>
      </c>
      <c r="X196" s="49">
        <v>101099767</v>
      </c>
      <c r="Y196" s="530" t="str">
        <f>IFERROR(IF(FIND("/KM",KB[[#This Row],[SUPPLIER]])&gt;0,"LAUT"),"DARAT")</f>
        <v>LAUT</v>
      </c>
    </row>
    <row r="197" spans="2:25">
      <c r="B197" s="140" t="str">
        <f>IFERROR(LEFT(KB[[#This Row],[SUPPLIER]],FIND("/",KB[[#This Row],[SUPPLIER]])-1),KB[[#This Row],[SUPPLIER]])</f>
        <v>PT.SINAR KELAPA TEMBILAHAN</v>
      </c>
      <c r="C197" s="141" t="str">
        <f>TEXT(VLOOKUP(KB[[#This Row],[RELASI]],DBRELASI[[RELASI]:[DOCKB]],10,0)+COUNTIFS($B$2:B197,KB[[#This Row],[RELASI]],$D$2:D197,1),"000")</f>
        <v>004</v>
      </c>
      <c r="D197" s="141">
        <f>IF(COUNTIFS($B$3:B197,KB[[#This Row],[RELASI]],$F$3:F197,KB[[#This Row],[TANGGAL]])&lt;&gt;1,0,1)</f>
        <v>0</v>
      </c>
      <c r="E197" s="141" t="str">
        <f>TEXT(IF(KB[[#This Row],[DOC]]&lt;&gt;"",KB[[#This Row],[DOC]],E196),"000")</f>
        <v>004</v>
      </c>
      <c r="F197" s="40">
        <v>43859</v>
      </c>
      <c r="G197" s="40" t="str">
        <f>TYPE</f>
        <v>A</v>
      </c>
      <c r="H197"/>
      <c r="I197" s="46" t="s">
        <v>822</v>
      </c>
      <c r="J197" s="47" t="s">
        <v>81</v>
      </c>
      <c r="K197" s="48">
        <v>1</v>
      </c>
      <c r="L197" s="49">
        <v>8650</v>
      </c>
      <c r="M197" s="49">
        <v>3950</v>
      </c>
      <c r="N197" s="49">
        <v>4700</v>
      </c>
      <c r="O197" s="49">
        <v>6</v>
      </c>
      <c r="P197" s="49">
        <v>282</v>
      </c>
      <c r="Q197" s="49">
        <v>4418</v>
      </c>
      <c r="R197" s="49">
        <v>2950</v>
      </c>
      <c r="S197" s="49">
        <v>13033100</v>
      </c>
      <c r="T197" s="49">
        <v>0</v>
      </c>
      <c r="U197" s="49">
        <v>2950</v>
      </c>
      <c r="V197" s="49">
        <v>13033100</v>
      </c>
      <c r="W197" s="49">
        <v>32583</v>
      </c>
      <c r="X197" s="49">
        <v>13000517</v>
      </c>
      <c r="Y197" s="574" t="str">
        <f>IFERROR(IF(FIND("/KM",KB[[#This Row],[SUPPLIER]])&gt;0,"LAUT"),"DARAT")</f>
        <v>LAUT</v>
      </c>
    </row>
    <row r="198" spans="2:25">
      <c r="B198" s="140" t="str">
        <f>IFERROR(LEFT(KB[[#This Row],[SUPPLIER]],FIND("/",KB[[#This Row],[SUPPLIER]])-1),KB[[#This Row],[SUPPLIER]])</f>
        <v>ERAWATI</v>
      </c>
      <c r="C198" s="141" t="str">
        <f>TEXT(VLOOKUP(KB[[#This Row],[RELASI]],DBRELASI[[RELASI]:[DOCKB]],10,0)+COUNTIFS($B$2:B198,KB[[#This Row],[RELASI]],$D$2:D198,1),"000")</f>
        <v>021</v>
      </c>
      <c r="D198" s="141">
        <f>IF(COUNTIFS($B$3:B198,KB[[#This Row],[RELASI]],$F$3:F198,KB[[#This Row],[TANGGAL]])&lt;&gt;1,0,1)</f>
        <v>1</v>
      </c>
      <c r="E198" s="141" t="str">
        <f>TEXT(IF(KB[[#This Row],[DOC]]&lt;&gt;"",KB[[#This Row],[DOC]],E197),"000")</f>
        <v>021</v>
      </c>
      <c r="F198" s="40">
        <v>43860</v>
      </c>
      <c r="G198" s="40" t="str">
        <f>TYPE</f>
        <v>A</v>
      </c>
      <c r="H198" s="153" t="s">
        <v>823</v>
      </c>
      <c r="I198" s="42" t="s">
        <v>155</v>
      </c>
      <c r="J198" s="43" t="s">
        <v>77</v>
      </c>
      <c r="K198" s="44">
        <v>5</v>
      </c>
      <c r="L198" s="49">
        <v>38030</v>
      </c>
      <c r="M198" s="49">
        <v>16220</v>
      </c>
      <c r="N198" s="49">
        <v>21810</v>
      </c>
      <c r="O198" s="49">
        <v>5</v>
      </c>
      <c r="P198" s="49">
        <v>1090.5</v>
      </c>
      <c r="Q198" s="49">
        <v>20719.5</v>
      </c>
      <c r="R198" s="49">
        <v>2800</v>
      </c>
      <c r="S198" s="49">
        <v>58014600</v>
      </c>
      <c r="T198" s="49">
        <v>14.07</v>
      </c>
      <c r="U198" s="49">
        <v>2814.07</v>
      </c>
      <c r="V198" s="49">
        <v>58306124</v>
      </c>
      <c r="W198" s="49">
        <v>291531</v>
      </c>
      <c r="X198" s="49">
        <v>58014593</v>
      </c>
      <c r="Y198" s="530" t="str">
        <f>IFERROR(IF(FIND("/KM",KB[[#This Row],[SUPPLIER]])&gt;0,"LAUT"),"DARAT")</f>
        <v>DARAT</v>
      </c>
    </row>
    <row r="199" spans="2:25">
      <c r="B199" s="140" t="str">
        <f>IFERROR(LEFT(KB[[#This Row],[SUPPLIER]],FIND("/",KB[[#This Row],[SUPPLIER]])-1),KB[[#This Row],[SUPPLIER]])</f>
        <v>INDRAYANI</v>
      </c>
      <c r="C199" s="141" t="str">
        <f>TEXT(VLOOKUP(KB[[#This Row],[RELASI]],DBRELASI[[RELASI]:[DOCKB]],10,0)+COUNTIFS($B$2:B199,KB[[#This Row],[RELASI]],$D$2:D199,1),"000")</f>
        <v>019</v>
      </c>
      <c r="D199" s="141">
        <f>IF(COUNTIFS($B$3:B199,KB[[#This Row],[RELASI]],$F$3:F199,KB[[#This Row],[TANGGAL]])&lt;&gt;1,0,1)</f>
        <v>1</v>
      </c>
      <c r="E199" s="141" t="str">
        <f>TEXT(IF(KB[[#This Row],[DOC]]&lt;&gt;"",KB[[#This Row],[DOC]],E198),"000")</f>
        <v>019</v>
      </c>
      <c r="F199" s="40">
        <v>43860</v>
      </c>
      <c r="G199" s="40" t="str">
        <f>TYPE</f>
        <v>A</v>
      </c>
      <c r="H199" s="153" t="s">
        <v>810</v>
      </c>
      <c r="I199" s="42" t="s">
        <v>79</v>
      </c>
      <c r="J199" s="43" t="s">
        <v>77</v>
      </c>
      <c r="K199" s="44">
        <v>3</v>
      </c>
      <c r="L199" s="49">
        <v>30890</v>
      </c>
      <c r="M199" s="49">
        <v>14250</v>
      </c>
      <c r="N199" s="49">
        <v>16640</v>
      </c>
      <c r="O199" s="49">
        <v>5</v>
      </c>
      <c r="P199" s="49">
        <v>832</v>
      </c>
      <c r="Q199" s="49">
        <v>15808</v>
      </c>
      <c r="R199" s="49">
        <v>2900</v>
      </c>
      <c r="S199" s="49">
        <v>45843200</v>
      </c>
      <c r="T199" s="49">
        <v>14.57</v>
      </c>
      <c r="U199" s="49">
        <v>2914.57</v>
      </c>
      <c r="V199" s="49">
        <v>46073523</v>
      </c>
      <c r="W199" s="49">
        <v>230368</v>
      </c>
      <c r="X199" s="49">
        <v>45843155</v>
      </c>
      <c r="Y199" s="530" t="str">
        <f>IFERROR(IF(FIND("/KM",KB[[#This Row],[SUPPLIER]])&gt;0,"LAUT"),"DARAT")</f>
        <v>DARAT</v>
      </c>
    </row>
    <row r="200" spans="2:25">
      <c r="B200" s="140" t="str">
        <f>IFERROR(LEFT(KB[[#This Row],[SUPPLIER]],FIND("/",KB[[#This Row],[SUPPLIER]])-1),KB[[#This Row],[SUPPLIER]])</f>
        <v>RUSLAN JAYA, SH</v>
      </c>
      <c r="C200" s="141" t="str">
        <f>TEXT(VLOOKUP(KB[[#This Row],[RELASI]],DBRELASI[[RELASI]:[DOCKB]],10,0)+COUNTIFS($B$2:B200,KB[[#This Row],[RELASI]],$D$2:D200,1),"000")</f>
        <v>008</v>
      </c>
      <c r="D200" s="141">
        <f>IF(COUNTIFS($B$3:B200,KB[[#This Row],[RELASI]],$F$3:F200,KB[[#This Row],[TANGGAL]])&lt;&gt;1,0,1)</f>
        <v>1</v>
      </c>
      <c r="E200" s="141" t="str">
        <f>TEXT(IF(KB[[#This Row],[DOC]]&lt;&gt;"",KB[[#This Row],[DOC]],E199),"000")</f>
        <v>008</v>
      </c>
      <c r="F200" s="40">
        <v>43860</v>
      </c>
      <c r="G200" s="40" t="str">
        <f>TYPE</f>
        <v>A</v>
      </c>
      <c r="H200" s="153" t="s">
        <v>767</v>
      </c>
      <c r="I200" s="42" t="s">
        <v>479</v>
      </c>
      <c r="J200" s="43" t="s">
        <v>475</v>
      </c>
      <c r="K200" s="44">
        <v>2</v>
      </c>
      <c r="L200" s="49">
        <v>23590</v>
      </c>
      <c r="M200" s="49">
        <v>8720</v>
      </c>
      <c r="N200" s="49">
        <v>14870</v>
      </c>
      <c r="O200" s="49">
        <v>5</v>
      </c>
      <c r="P200" s="49">
        <v>743.5</v>
      </c>
      <c r="Q200" s="49">
        <v>14126.5</v>
      </c>
      <c r="R200" s="49">
        <v>2800</v>
      </c>
      <c r="S200" s="49">
        <v>39554200</v>
      </c>
      <c r="T200" s="49">
        <v>14.07</v>
      </c>
      <c r="U200" s="49">
        <v>2814.07</v>
      </c>
      <c r="V200" s="49">
        <v>39752959</v>
      </c>
      <c r="W200" s="49">
        <v>198765</v>
      </c>
      <c r="X200" s="49">
        <v>39554194</v>
      </c>
      <c r="Y200" s="530" t="str">
        <f>IFERROR(IF(FIND("/KM",KB[[#This Row],[SUPPLIER]])&gt;0,"LAUT"),"DARAT")</f>
        <v>DARAT</v>
      </c>
    </row>
    <row r="201" spans="2:25">
      <c r="B201" s="140" t="str">
        <f>IFERROR(LEFT(KB[[#This Row],[SUPPLIER]],FIND("/",KB[[#This Row],[SUPPLIER]])-1),KB[[#This Row],[SUPPLIER]])</f>
        <v>SAIRI</v>
      </c>
      <c r="C201" s="141" t="str">
        <f>TEXT(VLOOKUP(KB[[#This Row],[RELASI]],DBRELASI[[RELASI]:[DOCKB]],10,0)+COUNTIFS($B$2:B201,KB[[#This Row],[RELASI]],$D$2:D201,1),"000")</f>
        <v>015</v>
      </c>
      <c r="D201" s="141">
        <f>IF(COUNTIFS($B$3:B201,KB[[#This Row],[RELASI]],$F$3:F201,KB[[#This Row],[TANGGAL]])&lt;&gt;1,0,1)</f>
        <v>1</v>
      </c>
      <c r="E201" s="141" t="str">
        <f>TEXT(IF(KB[[#This Row],[DOC]]&lt;&gt;"",KB[[#This Row],[DOC]],E200),"000")</f>
        <v>015</v>
      </c>
      <c r="F201" s="40">
        <v>43860</v>
      </c>
      <c r="G201" s="40" t="str">
        <f>TYPE</f>
        <v>A</v>
      </c>
      <c r="H201" s="153" t="s">
        <v>789</v>
      </c>
      <c r="I201" s="42" t="s">
        <v>84</v>
      </c>
      <c r="J201" s="43" t="s">
        <v>85</v>
      </c>
      <c r="K201" s="44">
        <v>4</v>
      </c>
      <c r="L201" s="49">
        <v>22920</v>
      </c>
      <c r="M201" s="49">
        <v>10550</v>
      </c>
      <c r="N201" s="49">
        <v>12370</v>
      </c>
      <c r="O201" s="49">
        <v>5.1002425222312047</v>
      </c>
      <c r="P201" s="49">
        <v>630.9</v>
      </c>
      <c r="Q201" s="49">
        <v>11739.1</v>
      </c>
      <c r="R201" s="49">
        <v>2850</v>
      </c>
      <c r="S201" s="49">
        <v>33456435</v>
      </c>
      <c r="T201" s="49">
        <v>14.32</v>
      </c>
      <c r="U201" s="49">
        <v>2864.32</v>
      </c>
      <c r="V201" s="49">
        <v>33624538</v>
      </c>
      <c r="W201" s="49">
        <v>168123</v>
      </c>
      <c r="X201" s="49">
        <v>33456415</v>
      </c>
      <c r="Y201" s="530" t="str">
        <f>IFERROR(IF(FIND("/KM",KB[[#This Row],[SUPPLIER]])&gt;0,"LAUT"),"DARAT")</f>
        <v>DARAT</v>
      </c>
    </row>
    <row r="202" spans="2:25">
      <c r="B202" s="140" t="str">
        <f>IFERROR(LEFT(KB[[#This Row],[SUPPLIER]],FIND("/",KB[[#This Row],[SUPPLIER]])-1),KB[[#This Row],[SUPPLIER]])</f>
        <v>YANADI</v>
      </c>
      <c r="C202" s="141" t="str">
        <f>TEXT(VLOOKUP(KB[[#This Row],[RELASI]],DBRELASI[[RELASI]:[DOCKB]],10,0)+COUNTIFS($B$2:B202,KB[[#This Row],[RELASI]],$D$2:D202,1),"000")</f>
        <v>011</v>
      </c>
      <c r="D202" s="141">
        <f>IF(COUNTIFS($B$3:B202,KB[[#This Row],[RELASI]],$F$3:F202,KB[[#This Row],[TANGGAL]])&lt;&gt;1,0,1)</f>
        <v>1</v>
      </c>
      <c r="E202" s="141" t="str">
        <f>TEXT(IF(KB[[#This Row],[DOC]]&lt;&gt;"",KB[[#This Row],[DOC]],E201),"000")</f>
        <v>011</v>
      </c>
      <c r="F202" s="40">
        <v>43860</v>
      </c>
      <c r="G202" s="40" t="str">
        <f>TYPE</f>
        <v>A</v>
      </c>
      <c r="H202" s="153" t="s">
        <v>777</v>
      </c>
      <c r="I202" s="42" t="s">
        <v>137</v>
      </c>
      <c r="J202" s="43" t="s">
        <v>74</v>
      </c>
      <c r="K202" s="44">
        <v>1</v>
      </c>
      <c r="L202" s="49">
        <v>8980</v>
      </c>
      <c r="M202" s="49">
        <v>3770</v>
      </c>
      <c r="N202" s="49">
        <v>5210</v>
      </c>
      <c r="O202" s="49">
        <v>5</v>
      </c>
      <c r="P202" s="49">
        <v>260.5</v>
      </c>
      <c r="Q202" s="49">
        <v>4949.5</v>
      </c>
      <c r="R202" s="49">
        <v>2800</v>
      </c>
      <c r="S202" s="49">
        <v>13858600</v>
      </c>
      <c r="T202" s="49">
        <v>14.07</v>
      </c>
      <c r="U202" s="49">
        <v>2814.07</v>
      </c>
      <c r="V202" s="49">
        <v>13928239</v>
      </c>
      <c r="W202" s="49">
        <v>69641</v>
      </c>
      <c r="X202" s="49">
        <v>13858598</v>
      </c>
      <c r="Y202" s="530" t="str">
        <f>IFERROR(IF(FIND("/KM",KB[[#This Row],[SUPPLIER]])&gt;0,"LAUT"),"DARAT")</f>
        <v>DARAT</v>
      </c>
    </row>
    <row r="203" spans="2:25">
      <c r="B203" s="140" t="str">
        <f>IFERROR(LEFT(KB[[#This Row],[SUPPLIER]],FIND("/",KB[[#This Row],[SUPPLIER]])-1),KB[[#This Row],[SUPPLIER]])</f>
        <v>YANADI</v>
      </c>
      <c r="C203" s="141" t="str">
        <f>TEXT(VLOOKUP(KB[[#This Row],[RELASI]],DBRELASI[[RELASI]:[DOCKB]],10,0)+COUNTIFS($B$2:B203,KB[[#This Row],[RELASI]],$D$2:D203,1),"000")</f>
        <v>011</v>
      </c>
      <c r="D203" s="141">
        <f>IF(COUNTIFS($B$3:B203,KB[[#This Row],[RELASI]],$F$3:F203,KB[[#This Row],[TANGGAL]])&lt;&gt;1,0,1)</f>
        <v>0</v>
      </c>
      <c r="E203" s="141" t="str">
        <f>TEXT(IF(KB[[#This Row],[DOC]]&lt;&gt;"",KB[[#This Row],[DOC]],E202),"000")</f>
        <v>011</v>
      </c>
      <c r="F203" s="40">
        <v>43860</v>
      </c>
      <c r="G203" s="40" t="str">
        <f>TYPE</f>
        <v>A</v>
      </c>
      <c r="H203"/>
      <c r="I203" s="42" t="s">
        <v>824</v>
      </c>
      <c r="J203" s="43" t="s">
        <v>74</v>
      </c>
      <c r="K203" s="44">
        <v>3</v>
      </c>
      <c r="L203" s="49">
        <v>26140</v>
      </c>
      <c r="M203" s="49">
        <v>11660</v>
      </c>
      <c r="N203" s="49">
        <v>14480</v>
      </c>
      <c r="O203" s="49">
        <v>5.9999999999999991</v>
      </c>
      <c r="P203" s="49">
        <v>868.8</v>
      </c>
      <c r="Q203" s="49">
        <v>13611.2</v>
      </c>
      <c r="R203" s="49">
        <v>2750</v>
      </c>
      <c r="S203" s="49">
        <v>37430800</v>
      </c>
      <c r="T203" s="49">
        <v>13.82</v>
      </c>
      <c r="U203" s="49">
        <v>2763.82</v>
      </c>
      <c r="V203" s="49">
        <v>37618906</v>
      </c>
      <c r="W203" s="49">
        <v>188095</v>
      </c>
      <c r="X203" s="49">
        <v>37430811</v>
      </c>
      <c r="Y203" s="530" t="str">
        <f>IFERROR(IF(FIND("/KM",KB[[#This Row],[SUPPLIER]])&gt;0,"LAUT"),"DARAT")</f>
        <v>LAUT</v>
      </c>
    </row>
    <row r="204" spans="2:25">
      <c r="B204" s="140" t="str">
        <f>IFERROR(LEFT(KB[[#This Row],[SUPPLIER]],FIND("/",KB[[#This Row],[SUPPLIER]])-1),KB[[#This Row],[SUPPLIER]])</f>
        <v>AMIR</v>
      </c>
      <c r="C204" s="141" t="str">
        <f>TEXT(VLOOKUP(KB[[#This Row],[RELASI]],DBRELASI[[RELASI]:[DOCKB]],10,0)+COUNTIFS($B$2:B204,KB[[#This Row],[RELASI]],$D$2:D204,1),"000")</f>
        <v>003</v>
      </c>
      <c r="D204" s="141">
        <f>IF(COUNTIFS($B$3:B204,KB[[#This Row],[RELASI]],$F$3:F204,KB[[#This Row],[TANGGAL]])&lt;&gt;1,0,1)</f>
        <v>1</v>
      </c>
      <c r="E204" s="141" t="str">
        <f>TEXT(IF(KB[[#This Row],[DOC]]&lt;&gt;"",KB[[#This Row],[DOC]],E203),"000")</f>
        <v>003</v>
      </c>
      <c r="F204" s="40">
        <v>43860</v>
      </c>
      <c r="G204" s="40" t="str">
        <f>TYPE</f>
        <v>A</v>
      </c>
      <c r="H204" s="153" t="s">
        <v>521</v>
      </c>
      <c r="I204" s="42" t="s">
        <v>782</v>
      </c>
      <c r="J204" s="43" t="s">
        <v>783</v>
      </c>
      <c r="K204" s="44">
        <v>3</v>
      </c>
      <c r="L204" s="49">
        <v>25400</v>
      </c>
      <c r="M204" s="49">
        <v>11650</v>
      </c>
      <c r="N204" s="49">
        <v>13750</v>
      </c>
      <c r="O204" s="49">
        <v>6</v>
      </c>
      <c r="P204" s="49">
        <v>825</v>
      </c>
      <c r="Q204" s="49">
        <v>12925</v>
      </c>
      <c r="R204" s="49">
        <v>2800</v>
      </c>
      <c r="S204" s="49">
        <v>36190000</v>
      </c>
      <c r="T204" s="49">
        <v>14.07</v>
      </c>
      <c r="U204" s="49">
        <v>2814.07</v>
      </c>
      <c r="V204" s="49">
        <v>36371855</v>
      </c>
      <c r="W204" s="49">
        <v>181859</v>
      </c>
      <c r="X204" s="49">
        <v>36189996</v>
      </c>
      <c r="Y204" s="530" t="str">
        <f>IFERROR(IF(FIND("/KM",KB[[#This Row],[SUPPLIER]])&gt;0,"LAUT"),"DARAT")</f>
        <v>LAUT</v>
      </c>
    </row>
    <row r="205" spans="2:25">
      <c r="B205" s="140" t="str">
        <f>IFERROR(LEFT(KB[[#This Row],[SUPPLIER]],FIND("/",KB[[#This Row],[SUPPLIER]])-1),KB[[#This Row],[SUPPLIER]])</f>
        <v>DINI CHAIRANI</v>
      </c>
      <c r="C205" s="141" t="str">
        <f>TEXT(VLOOKUP(KB[[#This Row],[RELASI]],DBRELASI[[RELASI]:[DOCKB]],10,0)+COUNTIFS($B$2:B205,KB[[#This Row],[RELASI]],$D$2:D205,1),"000")</f>
        <v>015</v>
      </c>
      <c r="D205" s="141">
        <f>IF(COUNTIFS($B$3:B205,KB[[#This Row],[RELASI]],$F$3:F205,KB[[#This Row],[TANGGAL]])&lt;&gt;1,0,1)</f>
        <v>1</v>
      </c>
      <c r="E205" s="141" t="str">
        <f>TEXT(IF(KB[[#This Row],[DOC]]&lt;&gt;"",KB[[#This Row],[DOC]],E204),"000")</f>
        <v>015</v>
      </c>
      <c r="F205" s="40">
        <v>43860</v>
      </c>
      <c r="G205" s="40" t="str">
        <f>TYPE</f>
        <v>A</v>
      </c>
      <c r="H205" s="153" t="s">
        <v>789</v>
      </c>
      <c r="I205" s="42" t="s">
        <v>516</v>
      </c>
      <c r="J205" s="43" t="s">
        <v>95</v>
      </c>
      <c r="K205" s="44">
        <v>2</v>
      </c>
      <c r="L205" s="49">
        <v>14370</v>
      </c>
      <c r="M205" s="49">
        <v>7770</v>
      </c>
      <c r="N205" s="49">
        <v>6600</v>
      </c>
      <c r="O205" s="49">
        <v>6</v>
      </c>
      <c r="P205" s="49">
        <v>396</v>
      </c>
      <c r="Q205" s="49">
        <v>6204</v>
      </c>
      <c r="R205" s="49">
        <v>2750</v>
      </c>
      <c r="S205" s="49">
        <v>17061000</v>
      </c>
      <c r="T205" s="49">
        <v>13.82</v>
      </c>
      <c r="U205" s="49">
        <v>2763.82</v>
      </c>
      <c r="V205" s="49">
        <v>17146739</v>
      </c>
      <c r="W205" s="49">
        <v>85734</v>
      </c>
      <c r="X205" s="49">
        <v>17061005</v>
      </c>
      <c r="Y205" s="530" t="str">
        <f>IFERROR(IF(FIND("/KM",KB[[#This Row],[SUPPLIER]])&gt;0,"LAUT"),"DARAT")</f>
        <v>LAUT</v>
      </c>
    </row>
    <row r="206" spans="2:25">
      <c r="B206" s="140" t="str">
        <f>IFERROR(LEFT(KB[[#This Row],[SUPPLIER]],FIND("/",KB[[#This Row],[SUPPLIER]])-1),KB[[#This Row],[SUPPLIER]])</f>
        <v>DINI CHAIRANI</v>
      </c>
      <c r="C206" s="141" t="str">
        <f>TEXT(VLOOKUP(KB[[#This Row],[RELASI]],DBRELASI[[RELASI]:[DOCKB]],10,0)+COUNTIFS($B$2:B206,KB[[#This Row],[RELASI]],$D$2:D206,1),"000")</f>
        <v>015</v>
      </c>
      <c r="D206" s="141">
        <f>IF(COUNTIFS($B$3:B206,KB[[#This Row],[RELASI]],$F$3:F206,KB[[#This Row],[TANGGAL]])&lt;&gt;1,0,1)</f>
        <v>0</v>
      </c>
      <c r="E206" s="141" t="str">
        <f>TEXT(IF(KB[[#This Row],[DOC]]&lt;&gt;"",KB[[#This Row],[DOC]],E205),"000")</f>
        <v>015</v>
      </c>
      <c r="F206" s="40">
        <v>43860</v>
      </c>
      <c r="G206" s="40" t="str">
        <f>TYPE</f>
        <v>A</v>
      </c>
      <c r="H206"/>
      <c r="I206" s="42" t="s">
        <v>825</v>
      </c>
      <c r="J206" s="43" t="s">
        <v>95</v>
      </c>
      <c r="K206" s="44">
        <v>2</v>
      </c>
      <c r="L206" s="49">
        <v>16500</v>
      </c>
      <c r="M206" s="49">
        <v>7760</v>
      </c>
      <c r="N206" s="49">
        <v>8740</v>
      </c>
      <c r="O206" s="49">
        <v>5.9999999999999991</v>
      </c>
      <c r="P206" s="49">
        <v>524.4</v>
      </c>
      <c r="Q206" s="49">
        <v>8215.6</v>
      </c>
      <c r="R206" s="49">
        <v>2750</v>
      </c>
      <c r="S206" s="49">
        <v>22592900</v>
      </c>
      <c r="T206" s="49">
        <v>13.82</v>
      </c>
      <c r="U206" s="49">
        <v>2763.82</v>
      </c>
      <c r="V206" s="49">
        <v>22706440</v>
      </c>
      <c r="W206" s="49">
        <v>113532</v>
      </c>
      <c r="X206" s="49">
        <v>22592908</v>
      </c>
      <c r="Y206" s="530" t="str">
        <f>IFERROR(IF(FIND("/KM",KB[[#This Row],[SUPPLIER]])&gt;0,"LAUT"),"DARAT")</f>
        <v>LAUT</v>
      </c>
    </row>
    <row r="207" spans="2:25">
      <c r="B207" s="140" t="str">
        <f>IFERROR(LEFT(KB[[#This Row],[SUPPLIER]],FIND("/",KB[[#This Row],[SUPPLIER]])-1),KB[[#This Row],[SUPPLIER]])</f>
        <v>DINI CHAIRANI</v>
      </c>
      <c r="C207" s="141" t="str">
        <f>TEXT(VLOOKUP(KB[[#This Row],[RELASI]],DBRELASI[[RELASI]:[DOCKB]],10,0)+COUNTIFS($B$2:B207,KB[[#This Row],[RELASI]],$D$2:D207,1),"000")</f>
        <v>015</v>
      </c>
      <c r="D207" s="141">
        <f>IF(COUNTIFS($B$3:B207,KB[[#This Row],[RELASI]],$F$3:F207,KB[[#This Row],[TANGGAL]])&lt;&gt;1,0,1)</f>
        <v>0</v>
      </c>
      <c r="E207" s="141" t="str">
        <f>TEXT(IF(KB[[#This Row],[DOC]]&lt;&gt;"",KB[[#This Row],[DOC]],E206),"000")</f>
        <v>015</v>
      </c>
      <c r="F207" s="40">
        <v>43860</v>
      </c>
      <c r="G207" s="40" t="str">
        <f>TYPE</f>
        <v>A</v>
      </c>
      <c r="H207"/>
      <c r="I207" s="42" t="s">
        <v>826</v>
      </c>
      <c r="J207" s="43" t="s">
        <v>95</v>
      </c>
      <c r="K207" s="44">
        <v>1</v>
      </c>
      <c r="L207" s="49">
        <v>6930</v>
      </c>
      <c r="M207" s="49">
        <v>3910</v>
      </c>
      <c r="N207" s="49">
        <v>3020</v>
      </c>
      <c r="O207" s="49">
        <v>6</v>
      </c>
      <c r="P207" s="49">
        <v>181.2</v>
      </c>
      <c r="Q207" s="49">
        <v>2838.8</v>
      </c>
      <c r="R207" s="49">
        <v>2750</v>
      </c>
      <c r="S207" s="49">
        <v>7806700</v>
      </c>
      <c r="T207" s="49">
        <v>13.82</v>
      </c>
      <c r="U207" s="49">
        <v>2763.82</v>
      </c>
      <c r="V207" s="49">
        <v>7845932</v>
      </c>
      <c r="W207" s="49">
        <v>39230</v>
      </c>
      <c r="X207" s="49">
        <v>7806702</v>
      </c>
      <c r="Y207" s="530" t="str">
        <f>IFERROR(IF(FIND("/KM",KB[[#This Row],[SUPPLIER]])&gt;0,"LAUT"),"DARAT")</f>
        <v>LAUT</v>
      </c>
    </row>
    <row r="208" spans="2:25">
      <c r="B208" s="140" t="str">
        <f>IFERROR(LEFT(KB[[#This Row],[SUPPLIER]],FIND("/",KB[[#This Row],[SUPPLIER]])-1),KB[[#This Row],[SUPPLIER]])</f>
        <v>MARTONO</v>
      </c>
      <c r="C208" s="141" t="str">
        <f>TEXT(VLOOKUP(KB[[#This Row],[RELASI]],DBRELASI[[RELASI]:[DOCKB]],10,0)+COUNTIFS($B$2:B208,KB[[#This Row],[RELASI]],$D$2:D208,1),"000")</f>
        <v>017</v>
      </c>
      <c r="D208" s="141">
        <f>IF(COUNTIFS($B$3:B208,KB[[#This Row],[RELASI]],$F$3:F208,KB[[#This Row],[TANGGAL]])&lt;&gt;1,0,1)</f>
        <v>1</v>
      </c>
      <c r="E208" s="141" t="str">
        <f>TEXT(IF(KB[[#This Row],[DOC]]&lt;&gt;"",KB[[#This Row],[DOC]],E207),"000")</f>
        <v>017</v>
      </c>
      <c r="F208" s="40">
        <v>43860</v>
      </c>
      <c r="G208" s="40" t="str">
        <f>TYPE</f>
        <v>A</v>
      </c>
      <c r="H208" s="153" t="s">
        <v>798</v>
      </c>
      <c r="I208" s="42" t="s">
        <v>508</v>
      </c>
      <c r="J208" s="43" t="s">
        <v>83</v>
      </c>
      <c r="K208" s="44">
        <v>3</v>
      </c>
      <c r="L208" s="49">
        <v>21830</v>
      </c>
      <c r="M208" s="49">
        <v>11660</v>
      </c>
      <c r="N208" s="49">
        <v>10170</v>
      </c>
      <c r="O208" s="49">
        <v>6</v>
      </c>
      <c r="P208" s="49">
        <v>610.20000000000005</v>
      </c>
      <c r="Q208" s="49">
        <v>9559.7999999999993</v>
      </c>
      <c r="R208" s="49">
        <v>2750</v>
      </c>
      <c r="S208" s="49">
        <v>26289450</v>
      </c>
      <c r="T208" s="49">
        <v>13.82</v>
      </c>
      <c r="U208" s="49">
        <v>2763.82</v>
      </c>
      <c r="V208" s="49">
        <v>26421566</v>
      </c>
      <c r="W208" s="49">
        <v>132108</v>
      </c>
      <c r="X208" s="49">
        <v>26289458</v>
      </c>
      <c r="Y208" s="530" t="str">
        <f>IFERROR(IF(FIND("/KM",KB[[#This Row],[SUPPLIER]])&gt;0,"LAUT"),"DARAT")</f>
        <v>LAUT</v>
      </c>
    </row>
    <row r="209" spans="2:25">
      <c r="B209" s="140" t="str">
        <f>IFERROR(LEFT(KB[[#This Row],[SUPPLIER]],FIND("/",KB[[#This Row],[SUPPLIER]])-1),KB[[#This Row],[SUPPLIER]])</f>
        <v>MARTONO</v>
      </c>
      <c r="C209" s="141" t="str">
        <f>TEXT(VLOOKUP(KB[[#This Row],[RELASI]],DBRELASI[[RELASI]:[DOCKB]],10,0)+COUNTIFS($B$2:B209,KB[[#This Row],[RELASI]],$D$2:D209,1),"000")</f>
        <v>017</v>
      </c>
      <c r="D209" s="141">
        <f>IF(COUNTIFS($B$3:B209,KB[[#This Row],[RELASI]],$F$3:F209,KB[[#This Row],[TANGGAL]])&lt;&gt;1,0,1)</f>
        <v>0</v>
      </c>
      <c r="E209" s="141" t="str">
        <f>TEXT(IF(KB[[#This Row],[DOC]]&lt;&gt;"",KB[[#This Row],[DOC]],E208),"000")</f>
        <v>017</v>
      </c>
      <c r="F209" s="40">
        <v>43860</v>
      </c>
      <c r="G209" s="40" t="str">
        <f>TYPE</f>
        <v>A</v>
      </c>
      <c r="H209"/>
      <c r="I209" s="42" t="s">
        <v>528</v>
      </c>
      <c r="J209" s="43" t="s">
        <v>83</v>
      </c>
      <c r="K209" s="44">
        <v>1</v>
      </c>
      <c r="L209" s="49">
        <v>7260</v>
      </c>
      <c r="M209" s="49">
        <v>3880</v>
      </c>
      <c r="N209" s="49">
        <v>3380</v>
      </c>
      <c r="O209" s="49">
        <v>6</v>
      </c>
      <c r="P209" s="49">
        <v>202.79999999999998</v>
      </c>
      <c r="Q209" s="49">
        <v>3177.2</v>
      </c>
      <c r="R209" s="49">
        <v>2750</v>
      </c>
      <c r="S209" s="49">
        <v>8737300</v>
      </c>
      <c r="T209" s="49">
        <v>13.82</v>
      </c>
      <c r="U209" s="49">
        <v>2763.82</v>
      </c>
      <c r="V209" s="49">
        <v>8781209</v>
      </c>
      <c r="W209" s="49">
        <v>43906</v>
      </c>
      <c r="X209" s="49">
        <v>8737303</v>
      </c>
      <c r="Y209" s="530" t="str">
        <f>IFERROR(IF(FIND("/KM",KB[[#This Row],[SUPPLIER]])&gt;0,"LAUT"),"DARAT")</f>
        <v>LAUT</v>
      </c>
    </row>
    <row r="210" spans="2:25">
      <c r="B210" s="140" t="str">
        <f>IFERROR(LEFT(KB[[#This Row],[SUPPLIER]],FIND("/",KB[[#This Row],[SUPPLIER]])-1),KB[[#This Row],[SUPPLIER]])</f>
        <v>MARTONO</v>
      </c>
      <c r="C210" s="141" t="str">
        <f>TEXT(VLOOKUP(KB[[#This Row],[RELASI]],DBRELASI[[RELASI]:[DOCKB]],10,0)+COUNTIFS($B$2:B210,KB[[#This Row],[RELASI]],$D$2:D210,1),"000")</f>
        <v>017</v>
      </c>
      <c r="D210" s="141">
        <f>IF(COUNTIFS($B$3:B210,KB[[#This Row],[RELASI]],$F$3:F210,KB[[#This Row],[TANGGAL]])&lt;&gt;1,0,1)</f>
        <v>0</v>
      </c>
      <c r="E210" s="141" t="str">
        <f>TEXT(IF(KB[[#This Row],[DOC]]&lt;&gt;"",KB[[#This Row],[DOC]],E209),"000")</f>
        <v>017</v>
      </c>
      <c r="F210" s="40">
        <v>43860</v>
      </c>
      <c r="G210" s="40" t="str">
        <f>TYPE</f>
        <v>A</v>
      </c>
      <c r="H210"/>
      <c r="I210" s="42" t="s">
        <v>529</v>
      </c>
      <c r="J210" s="43" t="s">
        <v>83</v>
      </c>
      <c r="K210" s="44">
        <v>2</v>
      </c>
      <c r="L210" s="49">
        <v>16910</v>
      </c>
      <c r="M210" s="49">
        <v>7750</v>
      </c>
      <c r="N210" s="49">
        <v>9160</v>
      </c>
      <c r="O210" s="49">
        <v>5.9999999999999991</v>
      </c>
      <c r="P210" s="49">
        <v>549.59999999999991</v>
      </c>
      <c r="Q210" s="49">
        <v>8610.4000000000015</v>
      </c>
      <c r="R210" s="49">
        <v>2749.9999999999995</v>
      </c>
      <c r="S210" s="49">
        <v>23678600</v>
      </c>
      <c r="T210" s="49">
        <v>13.82</v>
      </c>
      <c r="U210" s="49">
        <v>2763.8199999999997</v>
      </c>
      <c r="V210" s="49">
        <v>23797596</v>
      </c>
      <c r="W210" s="49">
        <v>118988</v>
      </c>
      <c r="X210" s="49">
        <v>23678608</v>
      </c>
      <c r="Y210" s="530" t="str">
        <f>IFERROR(IF(FIND("/KM",KB[[#This Row],[SUPPLIER]])&gt;0,"LAUT"),"DARAT")</f>
        <v>LAUT</v>
      </c>
    </row>
    <row r="211" spans="2:25">
      <c r="B211" s="140" t="str">
        <f>IFERROR(LEFT(KB[[#This Row],[SUPPLIER]],FIND("/",KB[[#This Row],[SUPPLIER]])-1),KB[[#This Row],[SUPPLIER]])</f>
        <v>MARTONO</v>
      </c>
      <c r="C211" s="141" t="str">
        <f>TEXT(VLOOKUP(KB[[#This Row],[RELASI]],DBRELASI[[RELASI]:[DOCKB]],10,0)+COUNTIFS($B$2:B211,KB[[#This Row],[RELASI]],$D$2:D211,1),"000")</f>
        <v>017</v>
      </c>
      <c r="D211" s="141">
        <f>IF(COUNTIFS($B$3:B211,KB[[#This Row],[RELASI]],$F$3:F211,KB[[#This Row],[TANGGAL]])&lt;&gt;1,0,1)</f>
        <v>0</v>
      </c>
      <c r="E211" s="141" t="str">
        <f>TEXT(IF(KB[[#This Row],[DOC]]&lt;&gt;"",KB[[#This Row],[DOC]],E210),"000")</f>
        <v>017</v>
      </c>
      <c r="F211" s="40">
        <v>43860</v>
      </c>
      <c r="G211" s="40" t="str">
        <f>TYPE</f>
        <v>A</v>
      </c>
      <c r="H211"/>
      <c r="I211" s="42" t="s">
        <v>509</v>
      </c>
      <c r="J211" s="43" t="s">
        <v>83</v>
      </c>
      <c r="K211" s="44">
        <v>1</v>
      </c>
      <c r="L211" s="49">
        <v>6530</v>
      </c>
      <c r="M211" s="49">
        <v>3880</v>
      </c>
      <c r="N211" s="49">
        <v>2650</v>
      </c>
      <c r="O211" s="49">
        <v>6</v>
      </c>
      <c r="P211" s="49">
        <v>159</v>
      </c>
      <c r="Q211" s="49">
        <v>2491</v>
      </c>
      <c r="R211" s="49">
        <v>2750</v>
      </c>
      <c r="S211" s="49">
        <v>6850250</v>
      </c>
      <c r="T211" s="49">
        <v>13.82</v>
      </c>
      <c r="U211" s="49">
        <v>2763.82</v>
      </c>
      <c r="V211" s="49">
        <v>6884676</v>
      </c>
      <c r="W211" s="49">
        <v>34423</v>
      </c>
      <c r="X211" s="49">
        <v>6850253</v>
      </c>
      <c r="Y211" s="530" t="str">
        <f>IFERROR(IF(FIND("/KM",KB[[#This Row],[SUPPLIER]])&gt;0,"LAUT"),"DARAT")</f>
        <v>LAUT</v>
      </c>
    </row>
    <row r="212" spans="2:25">
      <c r="B212" s="140" t="str">
        <f>IFERROR(LEFT(KB[[#This Row],[SUPPLIER]],FIND("/",KB[[#This Row],[SUPPLIER]])-1),KB[[#This Row],[SUPPLIER]])</f>
        <v>MASRI</v>
      </c>
      <c r="C212" s="141" t="str">
        <f>TEXT(VLOOKUP(KB[[#This Row],[RELASI]],DBRELASI[[RELASI]:[DOCKB]],10,0)+COUNTIFS($B$2:B212,KB[[#This Row],[RELASI]],$D$2:D212,1),"000")</f>
        <v>013</v>
      </c>
      <c r="D212" s="141">
        <f>IF(COUNTIFS($B$3:B212,KB[[#This Row],[RELASI]],$F$3:F212,KB[[#This Row],[TANGGAL]])&lt;&gt;1,0,1)</f>
        <v>1</v>
      </c>
      <c r="E212" s="141" t="str">
        <f>TEXT(IF(KB[[#This Row],[DOC]]&lt;&gt;"",KB[[#This Row],[DOC]],E211),"000")</f>
        <v>013</v>
      </c>
      <c r="F212" s="40">
        <v>43860</v>
      </c>
      <c r="G212" s="40" t="str">
        <f>TYPE</f>
        <v>A</v>
      </c>
      <c r="H212" s="153" t="s">
        <v>780</v>
      </c>
      <c r="I212" s="42" t="s">
        <v>771</v>
      </c>
      <c r="J212" s="43" t="s">
        <v>511</v>
      </c>
      <c r="K212" s="44">
        <v>15</v>
      </c>
      <c r="L212" s="49">
        <v>129890</v>
      </c>
      <c r="M212" s="49">
        <v>58580</v>
      </c>
      <c r="N212" s="49">
        <v>71310</v>
      </c>
      <c r="O212" s="49">
        <v>6</v>
      </c>
      <c r="P212" s="49">
        <v>4278.6000000000004</v>
      </c>
      <c r="Q212" s="49">
        <v>67031.399999999994</v>
      </c>
      <c r="R212" s="49">
        <v>2950.0000000000005</v>
      </c>
      <c r="S212" s="49">
        <v>197742630</v>
      </c>
      <c r="T212" s="49">
        <v>14.82</v>
      </c>
      <c r="U212" s="49">
        <v>2964.8200000000006</v>
      </c>
      <c r="V212" s="49">
        <v>198736034</v>
      </c>
      <c r="W212" s="49">
        <v>993681</v>
      </c>
      <c r="X212" s="49">
        <v>197742353</v>
      </c>
      <c r="Y212" s="530" t="str">
        <f>IFERROR(IF(FIND("/KM",KB[[#This Row],[SUPPLIER]])&gt;0,"LAUT"),"DARAT")</f>
        <v>LAUT</v>
      </c>
    </row>
    <row r="213" spans="2:25">
      <c r="B213" s="140" t="str">
        <f>IFERROR(LEFT(KB[[#This Row],[SUPPLIER]],FIND("/",KB[[#This Row],[SUPPLIER]])-1),KB[[#This Row],[SUPPLIER]])</f>
        <v>PT.SINAR KELAPA TEMBILAHAN</v>
      </c>
      <c r="C213" s="141" t="str">
        <f>TEXT(VLOOKUP(KB[[#This Row],[RELASI]],DBRELASI[[RELASI]:[DOCKB]],10,0)+COUNTIFS($B$2:B213,KB[[#This Row],[RELASI]],$D$2:D213,1),"000")</f>
        <v>005</v>
      </c>
      <c r="D213" s="141">
        <f>IF(COUNTIFS($B$3:B213,KB[[#This Row],[RELASI]],$F$3:F213,KB[[#This Row],[TANGGAL]])&lt;&gt;1,0,1)</f>
        <v>1</v>
      </c>
      <c r="E213" s="141" t="str">
        <f>TEXT(IF(KB[[#This Row],[DOC]]&lt;&gt;"",KB[[#This Row],[DOC]],E212),"000")</f>
        <v>005</v>
      </c>
      <c r="F213" s="40">
        <v>43860</v>
      </c>
      <c r="G213" s="40" t="str">
        <f>TYPE</f>
        <v>A</v>
      </c>
      <c r="H213" s="153" t="s">
        <v>532</v>
      </c>
      <c r="I213" s="42" t="s">
        <v>821</v>
      </c>
      <c r="J213" s="43" t="s">
        <v>81</v>
      </c>
      <c r="K213" s="44">
        <v>5</v>
      </c>
      <c r="L213" s="49">
        <v>40560</v>
      </c>
      <c r="M213" s="49">
        <v>19510</v>
      </c>
      <c r="N213" s="49">
        <v>21050</v>
      </c>
      <c r="O213" s="49">
        <v>6</v>
      </c>
      <c r="P213" s="49">
        <v>1263</v>
      </c>
      <c r="Q213" s="49">
        <v>19787</v>
      </c>
      <c r="R213" s="49">
        <v>2950</v>
      </c>
      <c r="S213" s="49">
        <v>58371650</v>
      </c>
      <c r="T213" s="49">
        <v>0</v>
      </c>
      <c r="U213" s="49">
        <v>2950</v>
      </c>
      <c r="V213" s="49">
        <v>58371650</v>
      </c>
      <c r="W213" s="49">
        <v>145929</v>
      </c>
      <c r="X213" s="49">
        <v>58225721</v>
      </c>
      <c r="Y213" s="530" t="str">
        <f>IFERROR(IF(FIND("/KM",KB[[#This Row],[SUPPLIER]])&gt;0,"LAUT"),"DARAT")</f>
        <v>LAUT</v>
      </c>
    </row>
    <row r="214" spans="2:25">
      <c r="B214" s="140" t="str">
        <f>IFERROR(LEFT(KB[[#This Row],[SUPPLIER]],FIND("/",KB[[#This Row],[SUPPLIER]])-1),KB[[#This Row],[SUPPLIER]])</f>
        <v>PT.SINAR KELAPA TEMBILAHAN</v>
      </c>
      <c r="C214" s="141" t="str">
        <f>TEXT(VLOOKUP(KB[[#This Row],[RELASI]],DBRELASI[[RELASI]:[DOCKB]],10,0)+COUNTIFS($B$2:B214,KB[[#This Row],[RELASI]],$D$2:D214,1),"000")</f>
        <v>005</v>
      </c>
      <c r="D214" s="141">
        <f>IF(COUNTIFS($B$3:B214,KB[[#This Row],[RELASI]],$F$3:F214,KB[[#This Row],[TANGGAL]])&lt;&gt;1,0,1)</f>
        <v>0</v>
      </c>
      <c r="E214" s="141" t="str">
        <f>TEXT(IF(KB[[#This Row],[DOC]]&lt;&gt;"",KB[[#This Row],[DOC]],E213),"000")</f>
        <v>005</v>
      </c>
      <c r="F214" s="40">
        <v>43860</v>
      </c>
      <c r="G214" s="40" t="str">
        <f>TYPE</f>
        <v>A</v>
      </c>
      <c r="H214"/>
      <c r="I214" s="42" t="s">
        <v>827</v>
      </c>
      <c r="J214" s="43" t="s">
        <v>81</v>
      </c>
      <c r="K214" s="44">
        <v>2</v>
      </c>
      <c r="L214" s="49">
        <v>14980</v>
      </c>
      <c r="M214" s="49">
        <v>7780</v>
      </c>
      <c r="N214" s="49">
        <v>7200</v>
      </c>
      <c r="O214" s="49">
        <v>6</v>
      </c>
      <c r="P214" s="49">
        <v>432</v>
      </c>
      <c r="Q214" s="49">
        <v>6768</v>
      </c>
      <c r="R214" s="49">
        <v>2850</v>
      </c>
      <c r="S214" s="49">
        <v>19288800</v>
      </c>
      <c r="T214" s="49">
        <v>0</v>
      </c>
      <c r="U214" s="49">
        <v>2850</v>
      </c>
      <c r="V214" s="49">
        <v>19288800</v>
      </c>
      <c r="W214" s="49">
        <v>48222</v>
      </c>
      <c r="X214" s="49">
        <v>19240578</v>
      </c>
      <c r="Y214" s="530" t="str">
        <f>IFERROR(IF(FIND("/KM",KB[[#This Row],[SUPPLIER]])&gt;0,"LAUT"),"DARAT")</f>
        <v>LAUT</v>
      </c>
    </row>
    <row r="215" spans="2:25">
      <c r="B215" s="140" t="str">
        <f>IFERROR(LEFT(KB[[#This Row],[SUPPLIER]],FIND("/",KB[[#This Row],[SUPPLIER]])-1),KB[[#This Row],[SUPPLIER]])</f>
        <v>PT.SINAR KELAPA TEMBILAHAN</v>
      </c>
      <c r="C215" s="141" t="str">
        <f>TEXT(VLOOKUP(KB[[#This Row],[RELASI]],DBRELASI[[RELASI]:[DOCKB]],10,0)+COUNTIFS($B$2:B215,KB[[#This Row],[RELASI]],$D$2:D215,1),"000")</f>
        <v>005</v>
      </c>
      <c r="D215" s="141">
        <f>IF(COUNTIFS($B$3:B215,KB[[#This Row],[RELASI]],$F$3:F215,KB[[#This Row],[TANGGAL]])&lt;&gt;1,0,1)</f>
        <v>0</v>
      </c>
      <c r="E215" s="141" t="str">
        <f>TEXT(IF(KB[[#This Row],[DOC]]&lt;&gt;"",KB[[#This Row],[DOC]],E214),"000")</f>
        <v>005</v>
      </c>
      <c r="F215" s="40">
        <v>43860</v>
      </c>
      <c r="G215" s="40" t="str">
        <f>TYPE</f>
        <v>A</v>
      </c>
      <c r="H215"/>
      <c r="I215" s="42" t="s">
        <v>828</v>
      </c>
      <c r="J215" s="43" t="s">
        <v>81</v>
      </c>
      <c r="K215" s="44">
        <v>4</v>
      </c>
      <c r="L215" s="49">
        <v>34630</v>
      </c>
      <c r="M215" s="49">
        <v>15570</v>
      </c>
      <c r="N215" s="49">
        <v>19060</v>
      </c>
      <c r="O215" s="49">
        <v>6</v>
      </c>
      <c r="P215" s="49">
        <v>1143.5999999999999</v>
      </c>
      <c r="Q215" s="49">
        <v>17916.400000000001</v>
      </c>
      <c r="R215" s="49">
        <v>2949.9999999999995</v>
      </c>
      <c r="S215" s="49">
        <v>52853380</v>
      </c>
      <c r="T215" s="49">
        <v>0</v>
      </c>
      <c r="U215" s="49">
        <v>2949.9999999999995</v>
      </c>
      <c r="V215" s="49">
        <v>52853380</v>
      </c>
      <c r="W215" s="49">
        <v>132134</v>
      </c>
      <c r="X215" s="49">
        <v>52721246</v>
      </c>
      <c r="Y215" s="530" t="str">
        <f>IFERROR(IF(FIND("/KM",KB[[#This Row],[SUPPLIER]])&gt;0,"LAUT"),"DARAT")</f>
        <v>LAUT</v>
      </c>
    </row>
    <row r="216" spans="2:25">
      <c r="B216" s="140" t="str">
        <f>IFERROR(LEFT(KB[[#This Row],[SUPPLIER]],FIND("/",KB[[#This Row],[SUPPLIER]])-1),KB[[#This Row],[SUPPLIER]])</f>
        <v>PT.SINAR KELAPA TEMBILAHAN</v>
      </c>
      <c r="C216" s="141" t="str">
        <f>TEXT(VLOOKUP(KB[[#This Row],[RELASI]],DBRELASI[[RELASI]:[DOCKB]],10,0)+COUNTIFS($B$2:B216,KB[[#This Row],[RELASI]],$D$2:D216,1),"000")</f>
        <v>005</v>
      </c>
      <c r="D216" s="141">
        <f>IF(COUNTIFS($B$3:B216,KB[[#This Row],[RELASI]],$F$3:F216,KB[[#This Row],[TANGGAL]])&lt;&gt;1,0,1)</f>
        <v>0</v>
      </c>
      <c r="E216" s="141" t="str">
        <f>TEXT(IF(KB[[#This Row],[DOC]]&lt;&gt;"",KB[[#This Row],[DOC]],E215),"000")</f>
        <v>005</v>
      </c>
      <c r="F216" s="40">
        <v>43860</v>
      </c>
      <c r="G216" s="40" t="str">
        <f>TYPE</f>
        <v>A</v>
      </c>
      <c r="H216"/>
      <c r="I216" s="42" t="s">
        <v>829</v>
      </c>
      <c r="J216" s="43" t="s">
        <v>81</v>
      </c>
      <c r="K216" s="44">
        <v>5</v>
      </c>
      <c r="L216" s="49">
        <v>39410</v>
      </c>
      <c r="M216" s="49">
        <v>19420</v>
      </c>
      <c r="N216" s="49">
        <v>19990</v>
      </c>
      <c r="O216" s="49">
        <v>6</v>
      </c>
      <c r="P216" s="49">
        <v>1199.4000000000001</v>
      </c>
      <c r="Q216" s="49">
        <v>18790.599999999999</v>
      </c>
      <c r="R216" s="49">
        <v>2950.0000000000005</v>
      </c>
      <c r="S216" s="49">
        <v>55432270</v>
      </c>
      <c r="T216" s="49">
        <v>0</v>
      </c>
      <c r="U216" s="49">
        <v>2950.0000000000005</v>
      </c>
      <c r="V216" s="49">
        <v>55432270</v>
      </c>
      <c r="W216" s="49">
        <v>138580</v>
      </c>
      <c r="X216" s="49">
        <v>55293690</v>
      </c>
      <c r="Y216" s="530" t="str">
        <f>IFERROR(IF(FIND("/KM",KB[[#This Row],[SUPPLIER]])&gt;0,"LAUT"),"DARAT")</f>
        <v>LAUT</v>
      </c>
    </row>
    <row r="217" spans="2:25">
      <c r="B217" s="140" t="str">
        <f>IFERROR(LEFT(KB[[#This Row],[SUPPLIER]],FIND("/",KB[[#This Row],[SUPPLIER]])-1),KB[[#This Row],[SUPPLIER]])</f>
        <v>PT.SINAR KELAPA TEMBILAHAN</v>
      </c>
      <c r="C217" s="141" t="str">
        <f>TEXT(VLOOKUP(KB[[#This Row],[RELASI]],DBRELASI[[RELASI]:[DOCKB]],10,0)+COUNTIFS($B$2:B217,KB[[#This Row],[RELASI]],$D$2:D217,1),"000")</f>
        <v>005</v>
      </c>
      <c r="D217" s="141">
        <f>IF(COUNTIFS($B$3:B217,KB[[#This Row],[RELASI]],$F$3:F217,KB[[#This Row],[TANGGAL]])&lt;&gt;1,0,1)</f>
        <v>0</v>
      </c>
      <c r="E217" s="141" t="str">
        <f>TEXT(IF(KB[[#This Row],[DOC]]&lt;&gt;"",KB[[#This Row],[DOC]],E216),"000")</f>
        <v>005</v>
      </c>
      <c r="F217" s="40">
        <v>43860</v>
      </c>
      <c r="G217" s="40" t="str">
        <f>TYPE</f>
        <v>A</v>
      </c>
      <c r="H217"/>
      <c r="I217" s="42" t="s">
        <v>830</v>
      </c>
      <c r="J217" s="43" t="s">
        <v>81</v>
      </c>
      <c r="K217" s="44">
        <v>2</v>
      </c>
      <c r="L217" s="49">
        <v>14690</v>
      </c>
      <c r="M217" s="49">
        <v>7780</v>
      </c>
      <c r="N217" s="49">
        <v>6910</v>
      </c>
      <c r="O217" s="49">
        <v>6</v>
      </c>
      <c r="P217" s="49">
        <v>414.59999999999997</v>
      </c>
      <c r="Q217" s="49">
        <v>6495.4000000000005</v>
      </c>
      <c r="R217" s="49">
        <v>2849.9999999999995</v>
      </c>
      <c r="S217" s="49">
        <v>18511890</v>
      </c>
      <c r="T217" s="49">
        <v>0</v>
      </c>
      <c r="U217" s="49">
        <v>2849.9999999999995</v>
      </c>
      <c r="V217" s="49">
        <v>18511890</v>
      </c>
      <c r="W217" s="49">
        <v>46280</v>
      </c>
      <c r="X217" s="49">
        <v>18465610</v>
      </c>
      <c r="Y217" s="530" t="str">
        <f>IFERROR(IF(FIND("/KM",KB[[#This Row],[SUPPLIER]])&gt;0,"LAUT"),"DARAT")</f>
        <v>LAUT</v>
      </c>
    </row>
    <row r="218" spans="2:25">
      <c r="B218" s="140" t="str">
        <f>IFERROR(LEFT(KB[[#This Row],[SUPPLIER]],FIND("/",KB[[#This Row],[SUPPLIER]])-1),KB[[#This Row],[SUPPLIER]])</f>
        <v>PT.SINAR KELAPA TEMBILAHAN</v>
      </c>
      <c r="C218" s="141" t="str">
        <f>TEXT(VLOOKUP(KB[[#This Row],[RELASI]],DBRELASI[[RELASI]:[DOCKB]],10,0)+COUNTIFS($B$2:B218,KB[[#This Row],[RELASI]],$D$2:D218,1),"000")</f>
        <v>005</v>
      </c>
      <c r="D218" s="141">
        <f>IF(COUNTIFS($B$3:B218,KB[[#This Row],[RELASI]],$F$3:F218,KB[[#This Row],[TANGGAL]])&lt;&gt;1,0,1)</f>
        <v>0</v>
      </c>
      <c r="E218" s="141" t="str">
        <f>TEXT(IF(KB[[#This Row],[DOC]]&lt;&gt;"",KB[[#This Row],[DOC]],E217),"000")</f>
        <v>005</v>
      </c>
      <c r="F218" s="40">
        <v>43860</v>
      </c>
      <c r="G218" s="40" t="str">
        <f>TYPE</f>
        <v>A</v>
      </c>
      <c r="H218"/>
      <c r="I218" s="42" t="s">
        <v>831</v>
      </c>
      <c r="J218" s="43" t="s">
        <v>81</v>
      </c>
      <c r="K218" s="44">
        <v>2</v>
      </c>
      <c r="L218" s="49">
        <v>15960</v>
      </c>
      <c r="M218" s="49">
        <v>7780</v>
      </c>
      <c r="N218" s="49">
        <v>8180</v>
      </c>
      <c r="O218" s="49">
        <v>6</v>
      </c>
      <c r="P218" s="49">
        <v>490.79999999999995</v>
      </c>
      <c r="Q218" s="49">
        <v>7689.2</v>
      </c>
      <c r="R218" s="49">
        <v>2850</v>
      </c>
      <c r="S218" s="49">
        <v>21914220</v>
      </c>
      <c r="T218" s="49">
        <v>0</v>
      </c>
      <c r="U218" s="49">
        <v>2850</v>
      </c>
      <c r="V218" s="49">
        <v>21914220</v>
      </c>
      <c r="W218" s="49">
        <v>54785</v>
      </c>
      <c r="X218" s="49">
        <v>21859435</v>
      </c>
      <c r="Y218" s="530" t="str">
        <f>IFERROR(IF(FIND("/KM",KB[[#This Row],[SUPPLIER]])&gt;0,"LAUT"),"DARAT")</f>
        <v>LAUT</v>
      </c>
    </row>
    <row r="219" spans="2:25">
      <c r="B219" s="140" t="str">
        <f>IFERROR(LEFT(KB[[#This Row],[SUPPLIER]],FIND("/",KB[[#This Row],[SUPPLIER]])-1),KB[[#This Row],[SUPPLIER]])</f>
        <v>PT.SINAR KELAPA TEMBILAHAN</v>
      </c>
      <c r="C219" s="141" t="str">
        <f>TEXT(VLOOKUP(KB[[#This Row],[RELASI]],DBRELASI[[RELASI]:[DOCKB]],10,0)+COUNTIFS($B$2:B219,KB[[#This Row],[RELASI]],$D$2:D219,1),"000")</f>
        <v>005</v>
      </c>
      <c r="D219" s="141">
        <f>IF(COUNTIFS($B$3:B219,KB[[#This Row],[RELASI]],$F$3:F219,KB[[#This Row],[TANGGAL]])&lt;&gt;1,0,1)</f>
        <v>0</v>
      </c>
      <c r="E219" s="141" t="str">
        <f>TEXT(IF(KB[[#This Row],[DOC]]&lt;&gt;"",KB[[#This Row],[DOC]],E218),"000")</f>
        <v>005</v>
      </c>
      <c r="F219" s="40">
        <v>43860</v>
      </c>
      <c r="G219" s="40" t="str">
        <f>TYPE</f>
        <v>A</v>
      </c>
      <c r="H219"/>
      <c r="I219" s="42" t="s">
        <v>832</v>
      </c>
      <c r="J219" s="43" t="s">
        <v>81</v>
      </c>
      <c r="K219" s="44">
        <v>2</v>
      </c>
      <c r="L219" s="49">
        <v>15570</v>
      </c>
      <c r="M219" s="49">
        <v>7760</v>
      </c>
      <c r="N219" s="49">
        <v>7810</v>
      </c>
      <c r="O219" s="49">
        <v>6.0000000000000009</v>
      </c>
      <c r="P219" s="49">
        <v>468.6</v>
      </c>
      <c r="Q219" s="49">
        <v>7341.4</v>
      </c>
      <c r="R219" s="49">
        <v>2850</v>
      </c>
      <c r="S219" s="49">
        <v>20922990</v>
      </c>
      <c r="T219" s="49">
        <v>0</v>
      </c>
      <c r="U219" s="49">
        <v>2850</v>
      </c>
      <c r="V219" s="49">
        <v>20922990</v>
      </c>
      <c r="W219" s="49">
        <v>52308</v>
      </c>
      <c r="X219" s="49">
        <v>20870682</v>
      </c>
      <c r="Y219" s="530" t="str">
        <f>IFERROR(IF(FIND("/KM",KB[[#This Row],[SUPPLIER]])&gt;0,"LAUT"),"DARAT")</f>
        <v>LAUT</v>
      </c>
    </row>
    <row r="220" spans="2:25">
      <c r="B220" s="140" t="str">
        <f>IFERROR(LEFT(KB[[#This Row],[SUPPLIER]],FIND("/",KB[[#This Row],[SUPPLIER]])-1),KB[[#This Row],[SUPPLIER]])</f>
        <v>PT.SINAR KELAPA TEMBILAHAN</v>
      </c>
      <c r="C220" s="141" t="str">
        <f>TEXT(VLOOKUP(KB[[#This Row],[RELASI]],DBRELASI[[RELASI]:[DOCKB]],10,0)+COUNTIFS($B$2:B220,KB[[#This Row],[RELASI]],$D$2:D220,1),"000")</f>
        <v>005</v>
      </c>
      <c r="D220" s="141">
        <f>IF(COUNTIFS($B$3:B220,KB[[#This Row],[RELASI]],$F$3:F220,KB[[#This Row],[TANGGAL]])&lt;&gt;1,0,1)</f>
        <v>0</v>
      </c>
      <c r="E220" s="141" t="str">
        <f>TEXT(IF(KB[[#This Row],[DOC]]&lt;&gt;"",KB[[#This Row],[DOC]],E219),"000")</f>
        <v>005</v>
      </c>
      <c r="F220" s="40">
        <v>43860</v>
      </c>
      <c r="G220" s="40" t="str">
        <f>TYPE</f>
        <v>A</v>
      </c>
      <c r="H220"/>
      <c r="I220" s="42" t="s">
        <v>822</v>
      </c>
      <c r="J220" s="43" t="s">
        <v>81</v>
      </c>
      <c r="K220" s="44">
        <v>11</v>
      </c>
      <c r="L220" s="49">
        <v>91910</v>
      </c>
      <c r="M220" s="49">
        <v>42420</v>
      </c>
      <c r="N220" s="49">
        <v>49490</v>
      </c>
      <c r="O220" s="49">
        <v>6.0000000000000009</v>
      </c>
      <c r="P220" s="49">
        <v>2969.4</v>
      </c>
      <c r="Q220" s="49">
        <v>46520.6</v>
      </c>
      <c r="R220" s="49">
        <v>2950</v>
      </c>
      <c r="S220" s="49">
        <v>137235770</v>
      </c>
      <c r="T220" s="49">
        <v>0</v>
      </c>
      <c r="U220" s="49">
        <v>2950</v>
      </c>
      <c r="V220" s="49">
        <v>137235770</v>
      </c>
      <c r="W220" s="49">
        <v>343090</v>
      </c>
      <c r="X220" s="49">
        <v>136892680</v>
      </c>
      <c r="Y220" s="530" t="str">
        <f>IFERROR(IF(FIND("/KM",KB[[#This Row],[SUPPLIER]])&gt;0,"LAUT"),"DARAT")</f>
        <v>LAUT</v>
      </c>
    </row>
    <row r="221" spans="2:25">
      <c r="B221" s="140" t="str">
        <f>IFERROR(LEFT(KB[[#This Row],[SUPPLIER]],FIND("/",KB[[#This Row],[SUPPLIER]])-1),KB[[#This Row],[SUPPLIER]])</f>
        <v>PT.SINAR KELAPA TEMBILAHAN</v>
      </c>
      <c r="C221" s="141" t="str">
        <f>TEXT(VLOOKUP(KB[[#This Row],[RELASI]],DBRELASI[[RELASI]:[DOCKB]],10,0)+COUNTIFS($B$2:B221,KB[[#This Row],[RELASI]],$D$2:D221,1),"000")</f>
        <v>005</v>
      </c>
      <c r="D221" s="141">
        <f>IF(COUNTIFS($B$3:B221,KB[[#This Row],[RELASI]],$F$3:F221,KB[[#This Row],[TANGGAL]])&lt;&gt;1,0,1)</f>
        <v>0</v>
      </c>
      <c r="E221" s="141" t="str">
        <f>TEXT(IF(KB[[#This Row],[DOC]]&lt;&gt;"",KB[[#This Row],[DOC]],E220),"000")</f>
        <v>005</v>
      </c>
      <c r="F221" s="40">
        <v>43860</v>
      </c>
      <c r="G221" s="40" t="str">
        <f>TYPE</f>
        <v>A</v>
      </c>
      <c r="H221"/>
      <c r="I221" s="42" t="s">
        <v>833</v>
      </c>
      <c r="J221" s="43" t="s">
        <v>81</v>
      </c>
      <c r="K221" s="44">
        <v>1</v>
      </c>
      <c r="L221" s="49">
        <v>8170</v>
      </c>
      <c r="M221" s="49">
        <v>3870</v>
      </c>
      <c r="N221" s="49">
        <v>4300</v>
      </c>
      <c r="O221" s="49">
        <v>6</v>
      </c>
      <c r="P221" s="49">
        <v>258</v>
      </c>
      <c r="Q221" s="49">
        <v>4042</v>
      </c>
      <c r="R221" s="49">
        <v>2850</v>
      </c>
      <c r="S221" s="49">
        <v>11519700</v>
      </c>
      <c r="T221" s="49">
        <v>0</v>
      </c>
      <c r="U221" s="49">
        <v>2850</v>
      </c>
      <c r="V221" s="49">
        <v>11519700</v>
      </c>
      <c r="W221" s="49">
        <v>28799</v>
      </c>
      <c r="X221" s="49">
        <v>11490901</v>
      </c>
      <c r="Y221" s="530" t="str">
        <f>IFERROR(IF(FIND("/KM",KB[[#This Row],[SUPPLIER]])&gt;0,"LAUT"),"DARAT")</f>
        <v>LAUT</v>
      </c>
    </row>
    <row r="222" spans="2:25">
      <c r="B222" s="140" t="str">
        <f>IFERROR(LEFT(KB[[#This Row],[SUPPLIER]],FIND("/",KB[[#This Row],[SUPPLIER]])-1),KB[[#This Row],[SUPPLIER]])</f>
        <v>SUKAMTO</v>
      </c>
      <c r="C222" s="141" t="str">
        <f>TEXT(VLOOKUP(KB[[#This Row],[RELASI]],DBRELASI[[RELASI]:[DOCKB]],10,0)+COUNTIFS($B$2:B222,KB[[#This Row],[RELASI]],$D$2:D222,1),"000")</f>
        <v>007</v>
      </c>
      <c r="D222" s="141">
        <f>IF(COUNTIFS($B$3:B222,KB[[#This Row],[RELASI]],$F$3:F222,KB[[#This Row],[TANGGAL]])&lt;&gt;1,0,1)</f>
        <v>1</v>
      </c>
      <c r="E222" s="141" t="str">
        <f>TEXT(IF(KB[[#This Row],[DOC]]&lt;&gt;"",KB[[#This Row],[DOC]],E221),"000")</f>
        <v>007</v>
      </c>
      <c r="F222" s="40">
        <v>43860</v>
      </c>
      <c r="G222" s="40" t="str">
        <f>TYPE</f>
        <v>A</v>
      </c>
      <c r="H222" s="153" t="s">
        <v>763</v>
      </c>
      <c r="I222" s="42" t="s">
        <v>834</v>
      </c>
      <c r="J222" s="43" t="s">
        <v>524</v>
      </c>
      <c r="K222" s="44">
        <v>4</v>
      </c>
      <c r="L222" s="49">
        <v>35040</v>
      </c>
      <c r="M222" s="49">
        <v>15570</v>
      </c>
      <c r="N222" s="49">
        <v>19470</v>
      </c>
      <c r="O222" s="49">
        <v>5.9999999999999991</v>
      </c>
      <c r="P222" s="49">
        <v>1168.1999999999998</v>
      </c>
      <c r="Q222" s="49">
        <v>18301.8</v>
      </c>
      <c r="R222" s="49">
        <v>2750</v>
      </c>
      <c r="S222" s="49">
        <v>50329950</v>
      </c>
      <c r="T222" s="49">
        <v>13.82</v>
      </c>
      <c r="U222" s="49">
        <v>2763.82</v>
      </c>
      <c r="V222" s="49">
        <v>50582880</v>
      </c>
      <c r="W222" s="49">
        <v>252914</v>
      </c>
      <c r="X222" s="49">
        <v>50329966</v>
      </c>
      <c r="Y222" s="530" t="str">
        <f>IFERROR(IF(FIND("/KM",KB[[#This Row],[SUPPLIER]])&gt;0,"LAUT"),"DARAT")</f>
        <v>LAUT</v>
      </c>
    </row>
    <row r="223" spans="2:25">
      <c r="B223" s="140" t="str">
        <f>IFERROR(LEFT(KB[[#This Row],[SUPPLIER]],FIND("/",KB[[#This Row],[SUPPLIER]])-1),KB[[#This Row],[SUPPLIER]])</f>
        <v>SUKAMTO</v>
      </c>
      <c r="C223" s="141" t="str">
        <f>TEXT(VLOOKUP(KB[[#This Row],[RELASI]],DBRELASI[[RELASI]:[DOCKB]],10,0)+COUNTIFS($B$2:B223,KB[[#This Row],[RELASI]],$D$2:D223,1),"000")</f>
        <v>007</v>
      </c>
      <c r="D223" s="141">
        <f>IF(COUNTIFS($B$3:B223,KB[[#This Row],[RELASI]],$F$3:F223,KB[[#This Row],[TANGGAL]])&lt;&gt;1,0,1)</f>
        <v>0</v>
      </c>
      <c r="E223" s="141" t="str">
        <f>TEXT(IF(KB[[#This Row],[DOC]]&lt;&gt;"",KB[[#This Row],[DOC]],E222),"000")</f>
        <v>007</v>
      </c>
      <c r="F223" s="40">
        <v>43860</v>
      </c>
      <c r="G223" s="40" t="str">
        <f>TYPE</f>
        <v>A</v>
      </c>
      <c r="H223"/>
      <c r="I223" s="42" t="s">
        <v>835</v>
      </c>
      <c r="J223" s="43" t="s">
        <v>524</v>
      </c>
      <c r="K223" s="44">
        <v>2</v>
      </c>
      <c r="L223" s="49">
        <v>11480</v>
      </c>
      <c r="M223" s="49">
        <v>7770</v>
      </c>
      <c r="N223" s="49">
        <v>3710</v>
      </c>
      <c r="O223" s="49">
        <v>6</v>
      </c>
      <c r="P223" s="49">
        <v>222.60000000000002</v>
      </c>
      <c r="Q223" s="49">
        <v>3487.3999999999996</v>
      </c>
      <c r="R223" s="49">
        <v>2750.0000000000005</v>
      </c>
      <c r="S223" s="49">
        <v>9590350</v>
      </c>
      <c r="T223" s="49">
        <v>13.82</v>
      </c>
      <c r="U223" s="49">
        <v>2763.8200000000006</v>
      </c>
      <c r="V223" s="49">
        <v>9638546</v>
      </c>
      <c r="W223" s="49">
        <v>48193</v>
      </c>
      <c r="X223" s="49">
        <v>9590353</v>
      </c>
      <c r="Y223" s="530" t="str">
        <f>IFERROR(IF(FIND("/KM",KB[[#This Row],[SUPPLIER]])&gt;0,"LAUT"),"DARAT")</f>
        <v>LAUT</v>
      </c>
    </row>
    <row r="224" spans="2:25">
      <c r="B224" s="140" t="str">
        <f>IFERROR(LEFT(KB[[#This Row],[SUPPLIER]],FIND("/",KB[[#This Row],[SUPPLIER]])-1),KB[[#This Row],[SUPPLIER]])</f>
        <v>SUKAMTO</v>
      </c>
      <c r="C224" s="141" t="str">
        <f>TEXT(VLOOKUP(KB[[#This Row],[RELASI]],DBRELASI[[RELASI]:[DOCKB]],10,0)+COUNTIFS($B$2:B224,KB[[#This Row],[RELASI]],$D$2:D224,1),"000")</f>
        <v>007</v>
      </c>
      <c r="D224" s="141">
        <f>IF(COUNTIFS($B$3:B224,KB[[#This Row],[RELASI]],$F$3:F224,KB[[#This Row],[TANGGAL]])&lt;&gt;1,0,1)</f>
        <v>0</v>
      </c>
      <c r="E224" s="141" t="str">
        <f>TEXT(IF(KB[[#This Row],[DOC]]&lt;&gt;"",KB[[#This Row],[DOC]],E223),"000")</f>
        <v>007</v>
      </c>
      <c r="F224" s="40">
        <v>43860</v>
      </c>
      <c r="G224" s="40" t="str">
        <f>TYPE</f>
        <v>A</v>
      </c>
      <c r="H224"/>
      <c r="I224" s="42" t="s">
        <v>523</v>
      </c>
      <c r="J224" s="43" t="s">
        <v>524</v>
      </c>
      <c r="K224" s="44">
        <v>1</v>
      </c>
      <c r="L224" s="49">
        <v>8530</v>
      </c>
      <c r="M224" s="49">
        <v>3870</v>
      </c>
      <c r="N224" s="49">
        <v>4660</v>
      </c>
      <c r="O224" s="49">
        <v>5.9999999999999991</v>
      </c>
      <c r="P224" s="49">
        <v>279.59999999999997</v>
      </c>
      <c r="Q224" s="49">
        <v>4380.3999999999996</v>
      </c>
      <c r="R224" s="49">
        <v>2750.0000000000005</v>
      </c>
      <c r="S224" s="49">
        <v>12046100</v>
      </c>
      <c r="T224" s="49">
        <v>13.82</v>
      </c>
      <c r="U224" s="49">
        <v>2763.8200000000006</v>
      </c>
      <c r="V224" s="49">
        <v>12106637</v>
      </c>
      <c r="W224" s="49">
        <v>60533</v>
      </c>
      <c r="X224" s="49">
        <v>12046104</v>
      </c>
      <c r="Y224" s="530" t="str">
        <f>IFERROR(IF(FIND("/KM",KB[[#This Row],[SUPPLIER]])&gt;0,"LAUT"),"DARAT")</f>
        <v>LAUT</v>
      </c>
    </row>
    <row r="225" spans="2:25">
      <c r="B225" s="140" t="str">
        <f>IFERROR(LEFT(KB[[#This Row],[SUPPLIER]],FIND("/",KB[[#This Row],[SUPPLIER]])-1),KB[[#This Row],[SUPPLIER]])</f>
        <v>WARTINI</v>
      </c>
      <c r="C225" s="141" t="str">
        <f>TEXT(VLOOKUP(KB[[#This Row],[RELASI]],DBRELASI[[RELASI]:[DOCKB]],10,0)+COUNTIFS($B$2:B225,KB[[#This Row],[RELASI]],$D$2:D225,1),"000")</f>
        <v>003</v>
      </c>
      <c r="D225" s="141">
        <f>IF(COUNTIFS($B$3:B225,KB[[#This Row],[RELASI]],$F$3:F225,KB[[#This Row],[TANGGAL]])&lt;&gt;1,0,1)</f>
        <v>1</v>
      </c>
      <c r="E225" s="141" t="str">
        <f>TEXT(IF(KB[[#This Row],[DOC]]&lt;&gt;"",KB[[#This Row],[DOC]],E224),"000")</f>
        <v>003</v>
      </c>
      <c r="F225" s="40">
        <v>43860</v>
      </c>
      <c r="G225" s="40" t="str">
        <f>TYPE</f>
        <v>A</v>
      </c>
      <c r="H225" s="154" t="s">
        <v>521</v>
      </c>
      <c r="I225" s="46" t="s">
        <v>836</v>
      </c>
      <c r="J225" s="47" t="s">
        <v>97</v>
      </c>
      <c r="K225" s="48">
        <v>5</v>
      </c>
      <c r="L225" s="49">
        <v>41720</v>
      </c>
      <c r="M225" s="49">
        <v>19540</v>
      </c>
      <c r="N225" s="49">
        <v>22180</v>
      </c>
      <c r="O225" s="49">
        <v>5.9999999999999991</v>
      </c>
      <c r="P225" s="49">
        <v>1330.8</v>
      </c>
      <c r="Q225" s="49">
        <v>20849.2</v>
      </c>
      <c r="R225" s="49">
        <v>2850</v>
      </c>
      <c r="S225" s="49">
        <v>59420220</v>
      </c>
      <c r="T225" s="49">
        <v>14.32</v>
      </c>
      <c r="U225" s="49">
        <v>2864.32</v>
      </c>
      <c r="V225" s="49">
        <v>59718781</v>
      </c>
      <c r="W225" s="49">
        <v>298593</v>
      </c>
      <c r="X225" s="49">
        <v>59420188</v>
      </c>
      <c r="Y225" s="574" t="str">
        <f>IFERROR(IF(FIND("/KM",KB[[#This Row],[SUPPLIER]])&gt;0,"LAUT"),"DARAT")</f>
        <v>LAUT</v>
      </c>
    </row>
    <row r="226" spans="2:25">
      <c r="B226" s="140" t="str">
        <f>IFERROR(LEFT(KB[[#This Row],[SUPPLIER]],FIND("/",KB[[#This Row],[SUPPLIER]])-1),KB[[#This Row],[SUPPLIER]])</f>
        <v>ERAWATI</v>
      </c>
      <c r="C226" s="141" t="str">
        <f>TEXT(VLOOKUP(KB[[#This Row],[RELASI]],DBRELASI[[RELASI]:[DOCKB]],10,0)+COUNTIFS($B$2:B226,KB[[#This Row],[RELASI]],$D$2:D226,1),"000")</f>
        <v>022</v>
      </c>
      <c r="D226" s="141">
        <f>IF(COUNTIFS($B$3:B226,KB[[#This Row],[RELASI]],$F$3:F226,KB[[#This Row],[TANGGAL]])&lt;&gt;1,0,1)</f>
        <v>1</v>
      </c>
      <c r="E226" s="141" t="str">
        <f>TEXT(IF(KB[[#This Row],[DOC]]&lt;&gt;"",KB[[#This Row],[DOC]],E225),"000")</f>
        <v>022</v>
      </c>
      <c r="F226" s="40">
        <v>43861</v>
      </c>
      <c r="G226" s="40" t="str">
        <f>TYPE</f>
        <v>A</v>
      </c>
      <c r="H226" s="153" t="s">
        <v>837</v>
      </c>
      <c r="I226" s="42" t="s">
        <v>155</v>
      </c>
      <c r="J226" s="43" t="s">
        <v>77</v>
      </c>
      <c r="K226" s="44">
        <v>7</v>
      </c>
      <c r="L226" s="49">
        <v>51270</v>
      </c>
      <c r="M226" s="49">
        <v>20420</v>
      </c>
      <c r="N226" s="49">
        <v>30850</v>
      </c>
      <c r="O226" s="49">
        <v>5.0917341977309558</v>
      </c>
      <c r="P226" s="49">
        <v>1570.8</v>
      </c>
      <c r="Q226" s="49">
        <v>29279.200000000001</v>
      </c>
      <c r="R226" s="49">
        <v>2800</v>
      </c>
      <c r="S226" s="49">
        <v>81981760</v>
      </c>
      <c r="T226" s="49">
        <v>14.07</v>
      </c>
      <c r="U226" s="49">
        <v>2814.07</v>
      </c>
      <c r="V226" s="49">
        <v>82393719</v>
      </c>
      <c r="W226" s="49">
        <v>411969</v>
      </c>
      <c r="X226" s="49">
        <v>81981750</v>
      </c>
      <c r="Y226" s="530" t="str">
        <f>IFERROR(IF(FIND("/KM",KB[[#This Row],[SUPPLIER]])&gt;0,"LAUT"),"DARAT")</f>
        <v>DARAT</v>
      </c>
    </row>
    <row r="227" spans="2:25">
      <c r="B227" s="140" t="str">
        <f>IFERROR(LEFT(KB[[#This Row],[SUPPLIER]],FIND("/",KB[[#This Row],[SUPPLIER]])-1),KB[[#This Row],[SUPPLIER]])</f>
        <v>INDRAYANI</v>
      </c>
      <c r="C227" s="141" t="str">
        <f>TEXT(VLOOKUP(KB[[#This Row],[RELASI]],DBRELASI[[RELASI]:[DOCKB]],10,0)+COUNTIFS($B$2:B227,KB[[#This Row],[RELASI]],$D$2:D227,1),"000")</f>
        <v>020</v>
      </c>
      <c r="D227" s="141">
        <f>IF(COUNTIFS($B$3:B227,KB[[#This Row],[RELASI]],$F$3:F227,KB[[#This Row],[TANGGAL]])&lt;&gt;1,0,1)</f>
        <v>1</v>
      </c>
      <c r="E227" s="141" t="str">
        <f>TEXT(IF(KB[[#This Row],[DOC]]&lt;&gt;"",KB[[#This Row],[DOC]],E226),"000")</f>
        <v>020</v>
      </c>
      <c r="F227" s="40">
        <v>43861</v>
      </c>
      <c r="G227" s="40" t="str">
        <f>TYPE</f>
        <v>A</v>
      </c>
      <c r="H227" s="153" t="s">
        <v>818</v>
      </c>
      <c r="I227" s="42" t="s">
        <v>79</v>
      </c>
      <c r="J227" s="43" t="s">
        <v>77</v>
      </c>
      <c r="K227" s="44">
        <v>1</v>
      </c>
      <c r="L227" s="49">
        <v>12270</v>
      </c>
      <c r="M227" s="49">
        <v>4250</v>
      </c>
      <c r="N227" s="49">
        <v>8020</v>
      </c>
      <c r="O227" s="49">
        <v>5</v>
      </c>
      <c r="P227" s="49">
        <v>401</v>
      </c>
      <c r="Q227" s="49">
        <v>7619</v>
      </c>
      <c r="R227" s="49">
        <v>2900</v>
      </c>
      <c r="S227" s="49">
        <v>22095100</v>
      </c>
      <c r="T227" s="49">
        <v>14.57</v>
      </c>
      <c r="U227" s="49">
        <v>2914.57</v>
      </c>
      <c r="V227" s="49">
        <v>22206109</v>
      </c>
      <c r="W227" s="49">
        <v>111031</v>
      </c>
      <c r="X227" s="49">
        <v>22095078</v>
      </c>
      <c r="Y227" s="530" t="str">
        <f>IFERROR(IF(FIND("/KM",KB[[#This Row],[SUPPLIER]])&gt;0,"LAUT"),"DARAT")</f>
        <v>DARAT</v>
      </c>
    </row>
    <row r="228" spans="2:25">
      <c r="B228" s="140" t="str">
        <f>IFERROR(LEFT(KB[[#This Row],[SUPPLIER]],FIND("/",KB[[#This Row],[SUPPLIER]])-1),KB[[#This Row],[SUPPLIER]])</f>
        <v>RUSLAN JAYA, SH</v>
      </c>
      <c r="C228" s="141" t="str">
        <f>TEXT(VLOOKUP(KB[[#This Row],[RELASI]],DBRELASI[[RELASI]:[DOCKB]],10,0)+COUNTIFS($B$2:B228,KB[[#This Row],[RELASI]],$D$2:D228,1),"000")</f>
        <v>009</v>
      </c>
      <c r="D228" s="141">
        <f>IF(COUNTIFS($B$3:B228,KB[[#This Row],[RELASI]],$F$3:F228,KB[[#This Row],[TANGGAL]])&lt;&gt;1,0,1)</f>
        <v>1</v>
      </c>
      <c r="E228" s="141" t="str">
        <f>TEXT(IF(KB[[#This Row],[DOC]]&lt;&gt;"",KB[[#This Row],[DOC]],E227),"000")</f>
        <v>009</v>
      </c>
      <c r="F228" s="40">
        <v>43861</v>
      </c>
      <c r="G228" s="40" t="str">
        <f>TYPE</f>
        <v>A</v>
      </c>
      <c r="H228" s="153" t="s">
        <v>769</v>
      </c>
      <c r="I228" s="42" t="s">
        <v>479</v>
      </c>
      <c r="J228" s="43" t="s">
        <v>475</v>
      </c>
      <c r="K228" s="44">
        <v>2</v>
      </c>
      <c r="L228" s="49">
        <v>17970</v>
      </c>
      <c r="M228" s="49">
        <v>8790</v>
      </c>
      <c r="N228" s="49">
        <v>9180</v>
      </c>
      <c r="O228" s="49">
        <v>5.5054466230936816</v>
      </c>
      <c r="P228" s="49">
        <v>505.4</v>
      </c>
      <c r="Q228" s="49">
        <v>8674.6</v>
      </c>
      <c r="R228" s="49">
        <v>2800</v>
      </c>
      <c r="S228" s="49">
        <v>24288880</v>
      </c>
      <c r="T228" s="49">
        <v>14.07</v>
      </c>
      <c r="U228" s="49">
        <v>2814.07</v>
      </c>
      <c r="V228" s="49">
        <v>24410932</v>
      </c>
      <c r="W228" s="49">
        <v>122054</v>
      </c>
      <c r="X228" s="49">
        <v>24288878</v>
      </c>
      <c r="Y228" s="530" t="str">
        <f>IFERROR(IF(FIND("/KM",KB[[#This Row],[SUPPLIER]])&gt;0,"LAUT"),"DARAT")</f>
        <v>DARAT</v>
      </c>
    </row>
    <row r="229" spans="2:25">
      <c r="B229" s="140" t="str">
        <f>IFERROR(LEFT(KB[[#This Row],[SUPPLIER]],FIND("/",KB[[#This Row],[SUPPLIER]])-1),KB[[#This Row],[SUPPLIER]])</f>
        <v>SAIRI</v>
      </c>
      <c r="C229" s="141" t="str">
        <f>TEXT(VLOOKUP(KB[[#This Row],[RELASI]],DBRELASI[[RELASI]:[DOCKB]],10,0)+COUNTIFS($B$2:B229,KB[[#This Row],[RELASI]],$D$2:D229,1),"000")</f>
        <v>016</v>
      </c>
      <c r="D229" s="141">
        <f>IF(COUNTIFS($B$3:B229,KB[[#This Row],[RELASI]],$F$3:F229,KB[[#This Row],[TANGGAL]])&lt;&gt;1,0,1)</f>
        <v>1</v>
      </c>
      <c r="E229" s="141" t="str">
        <f>TEXT(IF(KB[[#This Row],[DOC]]&lt;&gt;"",KB[[#This Row],[DOC]],E228),"000")</f>
        <v>016</v>
      </c>
      <c r="F229" s="40">
        <v>43861</v>
      </c>
      <c r="G229" s="40" t="str">
        <f>TYPE</f>
        <v>A</v>
      </c>
      <c r="H229" s="153" t="s">
        <v>796</v>
      </c>
      <c r="I229" s="42" t="s">
        <v>84</v>
      </c>
      <c r="J229" s="43" t="s">
        <v>85</v>
      </c>
      <c r="K229" s="44">
        <v>1</v>
      </c>
      <c r="L229" s="49">
        <v>4470</v>
      </c>
      <c r="M229" s="49">
        <v>1510</v>
      </c>
      <c r="N229" s="49">
        <v>2960</v>
      </c>
      <c r="O229" s="49">
        <v>5</v>
      </c>
      <c r="P229" s="49">
        <v>148</v>
      </c>
      <c r="Q229" s="49">
        <v>2812</v>
      </c>
      <c r="R229" s="49">
        <v>2850</v>
      </c>
      <c r="S229" s="49">
        <v>8014200</v>
      </c>
      <c r="T229" s="49">
        <v>14.32</v>
      </c>
      <c r="U229" s="49">
        <v>2864.32</v>
      </c>
      <c r="V229" s="49">
        <v>8054468</v>
      </c>
      <c r="W229" s="49">
        <v>40272</v>
      </c>
      <c r="X229" s="49">
        <v>8014196</v>
      </c>
      <c r="Y229" s="530" t="str">
        <f>IFERROR(IF(FIND("/KM",KB[[#This Row],[SUPPLIER]])&gt;0,"LAUT"),"DARAT")</f>
        <v>DARAT</v>
      </c>
    </row>
    <row r="230" spans="2:25">
      <c r="B230" s="140" t="str">
        <f>IFERROR(LEFT(KB[[#This Row],[SUPPLIER]],FIND("/",KB[[#This Row],[SUPPLIER]])-1),KB[[#This Row],[SUPPLIER]])</f>
        <v>YANADI</v>
      </c>
      <c r="C230" s="141" t="str">
        <f>TEXT(VLOOKUP(KB[[#This Row],[RELASI]],DBRELASI[[RELASI]:[DOCKB]],10,0)+COUNTIFS($B$2:B230,KB[[#This Row],[RELASI]],$D$2:D230,1),"000")</f>
        <v>012</v>
      </c>
      <c r="D230" s="141">
        <f>IF(COUNTIFS($B$3:B230,KB[[#This Row],[RELASI]],$F$3:F230,KB[[#This Row],[TANGGAL]])&lt;&gt;1,0,1)</f>
        <v>1</v>
      </c>
      <c r="E230" s="141" t="str">
        <f>TEXT(IF(KB[[#This Row],[DOC]]&lt;&gt;"",KB[[#This Row],[DOC]],E229),"000")</f>
        <v>012</v>
      </c>
      <c r="F230" s="40">
        <v>43861</v>
      </c>
      <c r="G230" s="40" t="str">
        <f>TYPE</f>
        <v>A</v>
      </c>
      <c r="H230" s="153" t="s">
        <v>778</v>
      </c>
      <c r="I230" s="42" t="s">
        <v>137</v>
      </c>
      <c r="J230" s="43" t="s">
        <v>74</v>
      </c>
      <c r="K230" s="44">
        <v>1</v>
      </c>
      <c r="L230" s="49">
        <v>13530</v>
      </c>
      <c r="M230" s="49">
        <v>4470</v>
      </c>
      <c r="N230" s="49">
        <v>9060</v>
      </c>
      <c r="O230" s="49">
        <v>5</v>
      </c>
      <c r="P230" s="49">
        <v>453</v>
      </c>
      <c r="Q230" s="49">
        <v>8607</v>
      </c>
      <c r="R230" s="49">
        <v>2800</v>
      </c>
      <c r="S230" s="49">
        <v>24099600</v>
      </c>
      <c r="T230" s="49">
        <v>14.07</v>
      </c>
      <c r="U230" s="49">
        <v>2814.07</v>
      </c>
      <c r="V230" s="49">
        <v>24220700</v>
      </c>
      <c r="W230" s="49">
        <v>121104</v>
      </c>
      <c r="X230" s="49">
        <v>24099596</v>
      </c>
      <c r="Y230" s="530" t="str">
        <f>IFERROR(IF(FIND("/KM",KB[[#This Row],[SUPPLIER]])&gt;0,"LAUT"),"DARAT")</f>
        <v>DARAT</v>
      </c>
    </row>
    <row r="231" spans="2:25">
      <c r="B231" s="140" t="str">
        <f>IFERROR(LEFT(KB[[#This Row],[SUPPLIER]],FIND("/",KB[[#This Row],[SUPPLIER]])-1),KB[[#This Row],[SUPPLIER]])</f>
        <v>YANADI</v>
      </c>
      <c r="C231" s="141" t="str">
        <f>TEXT(VLOOKUP(KB[[#This Row],[RELASI]],DBRELASI[[RELASI]:[DOCKB]],10,0)+COUNTIFS($B$2:B231,KB[[#This Row],[RELASI]],$D$2:D231,1),"000")</f>
        <v>012</v>
      </c>
      <c r="D231" s="141">
        <f>IF(COUNTIFS($B$3:B231,KB[[#This Row],[RELASI]],$F$3:F231,KB[[#This Row],[TANGGAL]])&lt;&gt;1,0,1)</f>
        <v>0</v>
      </c>
      <c r="E231" s="141" t="str">
        <f>TEXT(IF(KB[[#This Row],[DOC]]&lt;&gt;"",KB[[#This Row],[DOC]],E230),"000")</f>
        <v>012</v>
      </c>
      <c r="F231" s="40">
        <v>43861</v>
      </c>
      <c r="G231" s="40" t="str">
        <f>TYPE</f>
        <v>A</v>
      </c>
      <c r="H231"/>
      <c r="I231" s="42" t="s">
        <v>531</v>
      </c>
      <c r="J231" s="43" t="s">
        <v>74</v>
      </c>
      <c r="K231" s="44">
        <v>2</v>
      </c>
      <c r="L231" s="49">
        <v>16310</v>
      </c>
      <c r="M231" s="49">
        <v>7750</v>
      </c>
      <c r="N231" s="49">
        <v>8560</v>
      </c>
      <c r="O231" s="49">
        <v>6.0000000000000009</v>
      </c>
      <c r="P231" s="49">
        <v>513.6</v>
      </c>
      <c r="Q231" s="49">
        <v>8046.4</v>
      </c>
      <c r="R231" s="49">
        <v>2750</v>
      </c>
      <c r="S231" s="49">
        <v>22127600</v>
      </c>
      <c r="T231" s="49">
        <v>13.82</v>
      </c>
      <c r="U231" s="49">
        <v>2763.82</v>
      </c>
      <c r="V231" s="49">
        <v>22238801</v>
      </c>
      <c r="W231" s="49">
        <v>111194</v>
      </c>
      <c r="X231" s="49">
        <v>22127607</v>
      </c>
      <c r="Y231" s="530" t="str">
        <f>IFERROR(IF(FIND("/KM",KB[[#This Row],[SUPPLIER]])&gt;0,"LAUT"),"DARAT")</f>
        <v>LAUT</v>
      </c>
    </row>
    <row r="232" spans="2:25">
      <c r="B232" s="140" t="str">
        <f>IFERROR(LEFT(KB[[#This Row],[SUPPLIER]],FIND("/",KB[[#This Row],[SUPPLIER]])-1),KB[[#This Row],[SUPPLIER]])</f>
        <v>DINI CHAIRANI</v>
      </c>
      <c r="C232" s="141" t="str">
        <f>TEXT(VLOOKUP(KB[[#This Row],[RELASI]],DBRELASI[[RELASI]:[DOCKB]],10,0)+COUNTIFS($B$2:B232,KB[[#This Row],[RELASI]],$D$2:D232,1),"000")</f>
        <v>016</v>
      </c>
      <c r="D232" s="141">
        <f>IF(COUNTIFS($B$3:B232,KB[[#This Row],[RELASI]],$F$3:F232,KB[[#This Row],[TANGGAL]])&lt;&gt;1,0,1)</f>
        <v>1</v>
      </c>
      <c r="E232" s="141" t="str">
        <f>TEXT(IF(KB[[#This Row],[DOC]]&lt;&gt;"",KB[[#This Row],[DOC]],E231),"000")</f>
        <v>016</v>
      </c>
      <c r="F232" s="40">
        <v>43861</v>
      </c>
      <c r="G232" s="40" t="str">
        <f>TYPE</f>
        <v>A</v>
      </c>
      <c r="H232" s="153" t="s">
        <v>796</v>
      </c>
      <c r="I232" s="42" t="s">
        <v>517</v>
      </c>
      <c r="J232" s="43" t="s">
        <v>95</v>
      </c>
      <c r="K232" s="44">
        <v>5</v>
      </c>
      <c r="L232" s="49">
        <v>40560</v>
      </c>
      <c r="M232" s="49">
        <v>19320</v>
      </c>
      <c r="N232" s="49">
        <v>21240</v>
      </c>
      <c r="O232" s="49">
        <v>6</v>
      </c>
      <c r="P232" s="49">
        <v>1274.4000000000001</v>
      </c>
      <c r="Q232" s="49">
        <v>19965.599999999999</v>
      </c>
      <c r="R232" s="49">
        <v>2800</v>
      </c>
      <c r="S232" s="49">
        <v>55903680</v>
      </c>
      <c r="T232" s="49">
        <v>14.07</v>
      </c>
      <c r="U232" s="49">
        <v>2814.07</v>
      </c>
      <c r="V232" s="49">
        <v>56184595</v>
      </c>
      <c r="W232" s="49">
        <v>280923</v>
      </c>
      <c r="X232" s="49">
        <v>55903672</v>
      </c>
      <c r="Y232" s="530" t="str">
        <f>IFERROR(IF(FIND("/KM",KB[[#This Row],[SUPPLIER]])&gt;0,"LAUT"),"DARAT")</f>
        <v>LAUT</v>
      </c>
    </row>
    <row r="233" spans="2:25">
      <c r="B233" s="140" t="str">
        <f>IFERROR(LEFT(KB[[#This Row],[SUPPLIER]],FIND("/",KB[[#This Row],[SUPPLIER]])-1),KB[[#This Row],[SUPPLIER]])</f>
        <v>DINI CHAIRANI</v>
      </c>
      <c r="C233" s="141" t="str">
        <f>TEXT(VLOOKUP(KB[[#This Row],[RELASI]],DBRELASI[[RELASI]:[DOCKB]],10,0)+COUNTIFS($B$2:B233,KB[[#This Row],[RELASI]],$D$2:D233,1),"000")</f>
        <v>016</v>
      </c>
      <c r="D233" s="141">
        <f>IF(COUNTIFS($B$3:B233,KB[[#This Row],[RELASI]],$F$3:F233,KB[[#This Row],[TANGGAL]])&lt;&gt;1,0,1)</f>
        <v>0</v>
      </c>
      <c r="E233" s="141" t="str">
        <f>TEXT(IF(KB[[#This Row],[DOC]]&lt;&gt;"",KB[[#This Row],[DOC]],E232),"000")</f>
        <v>016</v>
      </c>
      <c r="F233" s="40">
        <v>43861</v>
      </c>
      <c r="G233" s="40" t="str">
        <f>TYPE</f>
        <v>A</v>
      </c>
      <c r="H233"/>
      <c r="I233" s="42" t="s">
        <v>772</v>
      </c>
      <c r="J233" s="43" t="s">
        <v>95</v>
      </c>
      <c r="K233" s="44">
        <v>2</v>
      </c>
      <c r="L233" s="49">
        <v>18220</v>
      </c>
      <c r="M233" s="49">
        <v>7780</v>
      </c>
      <c r="N233" s="49">
        <v>10440</v>
      </c>
      <c r="O233" s="49">
        <v>5.9999999999999991</v>
      </c>
      <c r="P233" s="49">
        <v>626.4</v>
      </c>
      <c r="Q233" s="49">
        <v>9813.5999999999985</v>
      </c>
      <c r="R233" s="49">
        <v>2750.0000000000005</v>
      </c>
      <c r="S233" s="49">
        <v>26987400</v>
      </c>
      <c r="T233" s="49">
        <v>13.82</v>
      </c>
      <c r="U233" s="49">
        <v>2763.8200000000006</v>
      </c>
      <c r="V233" s="49">
        <v>27123024</v>
      </c>
      <c r="W233" s="49">
        <v>135615</v>
      </c>
      <c r="X233" s="49">
        <v>26987409</v>
      </c>
      <c r="Y233" s="530" t="str">
        <f>IFERROR(IF(FIND("/KM",KB[[#This Row],[SUPPLIER]])&gt;0,"LAUT"),"DARAT")</f>
        <v>LAUT</v>
      </c>
    </row>
    <row r="234" spans="2:25">
      <c r="B234" s="140" t="str">
        <f>IFERROR(LEFT(KB[[#This Row],[SUPPLIER]],FIND("/",KB[[#This Row],[SUPPLIER]])-1),KB[[#This Row],[SUPPLIER]])</f>
        <v>HENDRI</v>
      </c>
      <c r="C234" s="141" t="str">
        <f>TEXT(VLOOKUP(KB[[#This Row],[RELASI]],DBRELASI[[RELASI]:[DOCKB]],10,0)+COUNTIFS($B$2:B234,KB[[#This Row],[RELASI]],$D$2:D234,1),"000")</f>
        <v>013</v>
      </c>
      <c r="D234" s="141">
        <f>IF(COUNTIFS($B$3:B234,KB[[#This Row],[RELASI]],$F$3:F234,KB[[#This Row],[TANGGAL]])&lt;&gt;1,0,1)</f>
        <v>1</v>
      </c>
      <c r="E234" s="141" t="str">
        <f>TEXT(IF(KB[[#This Row],[DOC]]&lt;&gt;"",KB[[#This Row],[DOC]],E233),"000")</f>
        <v>013</v>
      </c>
      <c r="F234" s="40">
        <v>43861</v>
      </c>
      <c r="G234" s="40" t="str">
        <f>TYPE</f>
        <v>A</v>
      </c>
      <c r="H234" s="153" t="s">
        <v>780</v>
      </c>
      <c r="I234" s="42" t="s">
        <v>770</v>
      </c>
      <c r="J234" s="43" t="s">
        <v>475</v>
      </c>
      <c r="K234" s="44">
        <v>1</v>
      </c>
      <c r="L234" s="49">
        <v>8800</v>
      </c>
      <c r="M234" s="49">
        <v>3890</v>
      </c>
      <c r="N234" s="49">
        <v>4910</v>
      </c>
      <c r="O234" s="49">
        <v>5.9999999999999991</v>
      </c>
      <c r="P234" s="49">
        <v>294.59999999999997</v>
      </c>
      <c r="Q234" s="49">
        <v>4615.3999999999996</v>
      </c>
      <c r="R234" s="49">
        <v>2750</v>
      </c>
      <c r="S234" s="49">
        <v>12692350</v>
      </c>
      <c r="T234" s="49">
        <v>13.82</v>
      </c>
      <c r="U234" s="49">
        <v>2763.82</v>
      </c>
      <c r="V234" s="49">
        <v>12756135</v>
      </c>
      <c r="W234" s="49">
        <v>63781</v>
      </c>
      <c r="X234" s="49">
        <v>12692354</v>
      </c>
      <c r="Y234" s="530" t="str">
        <f>IFERROR(IF(FIND("/KM",KB[[#This Row],[SUPPLIER]])&gt;0,"LAUT"),"DARAT")</f>
        <v>LAUT</v>
      </c>
    </row>
    <row r="235" spans="2:25">
      <c r="B235" s="140" t="str">
        <f>IFERROR(LEFT(KB[[#This Row],[SUPPLIER]],FIND("/",KB[[#This Row],[SUPPLIER]])-1),KB[[#This Row],[SUPPLIER]])</f>
        <v>HENDRI</v>
      </c>
      <c r="C235" s="141" t="str">
        <f>TEXT(VLOOKUP(KB[[#This Row],[RELASI]],DBRELASI[[RELASI]:[DOCKB]],10,0)+COUNTIFS($B$2:B235,KB[[#This Row],[RELASI]],$D$2:D235,1),"000")</f>
        <v>013</v>
      </c>
      <c r="D235" s="141">
        <f>IF(COUNTIFS($B$3:B235,KB[[#This Row],[RELASI]],$F$3:F235,KB[[#This Row],[TANGGAL]])&lt;&gt;1,0,1)</f>
        <v>0</v>
      </c>
      <c r="E235" s="141" t="str">
        <f>TEXT(IF(KB[[#This Row],[DOC]]&lt;&gt;"",KB[[#This Row],[DOC]],E234),"000")</f>
        <v>013</v>
      </c>
      <c r="F235" s="40">
        <v>43861</v>
      </c>
      <c r="G235" s="40" t="str">
        <f>TYPE</f>
        <v>A</v>
      </c>
      <c r="H235"/>
      <c r="I235" s="42" t="s">
        <v>774</v>
      </c>
      <c r="J235" s="43" t="s">
        <v>475</v>
      </c>
      <c r="K235" s="44">
        <v>3</v>
      </c>
      <c r="L235" s="49">
        <v>25060</v>
      </c>
      <c r="M235" s="49">
        <v>11510</v>
      </c>
      <c r="N235" s="49">
        <v>13550</v>
      </c>
      <c r="O235" s="49">
        <v>6</v>
      </c>
      <c r="P235" s="49">
        <v>813</v>
      </c>
      <c r="Q235" s="49">
        <v>12737</v>
      </c>
      <c r="R235" s="49">
        <v>2800</v>
      </c>
      <c r="S235" s="49">
        <v>35663600</v>
      </c>
      <c r="T235" s="49">
        <v>14.07</v>
      </c>
      <c r="U235" s="49">
        <v>2814.07</v>
      </c>
      <c r="V235" s="49">
        <v>35842810</v>
      </c>
      <c r="W235" s="49">
        <v>179214</v>
      </c>
      <c r="X235" s="49">
        <v>35663596</v>
      </c>
      <c r="Y235" s="530" t="str">
        <f>IFERROR(IF(FIND("/KM",KB[[#This Row],[SUPPLIER]])&gt;0,"LAUT"),"DARAT")</f>
        <v>LAUT</v>
      </c>
    </row>
    <row r="236" spans="2:25">
      <c r="B236" s="140" t="str">
        <f>IFERROR(LEFT(KB[[#This Row],[SUPPLIER]],FIND("/",KB[[#This Row],[SUPPLIER]])-1),KB[[#This Row],[SUPPLIER]])</f>
        <v>HENDRY JOHANES</v>
      </c>
      <c r="C236" s="141" t="str">
        <f>TEXT(VLOOKUP(KB[[#This Row],[RELASI]],DBRELASI[[RELASI]:[DOCKB]],10,0)+COUNTIFS($B$2:B236,KB[[#This Row],[RELASI]],$D$2:D236,1),"000")</f>
        <v>001</v>
      </c>
      <c r="D236" s="141">
        <f>IF(COUNTIFS($B$3:B236,KB[[#This Row],[RELASI]],$F$3:F236,KB[[#This Row],[TANGGAL]])&lt;&gt;1,0,1)</f>
        <v>1</v>
      </c>
      <c r="E236" s="141" t="str">
        <f>TEXT(IF(KB[[#This Row],[DOC]]&lt;&gt;"",KB[[#This Row],[DOC]],E235),"000")</f>
        <v>001</v>
      </c>
      <c r="F236" s="40">
        <v>43861</v>
      </c>
      <c r="G236" s="40" t="str">
        <f>TYPE</f>
        <v>A</v>
      </c>
      <c r="H236" s="153" t="s">
        <v>75</v>
      </c>
      <c r="I236" s="42" t="s">
        <v>838</v>
      </c>
      <c r="J236" s="43" t="s">
        <v>783</v>
      </c>
      <c r="K236" s="44">
        <v>3</v>
      </c>
      <c r="L236" s="49">
        <v>24920</v>
      </c>
      <c r="M236" s="49">
        <v>11660</v>
      </c>
      <c r="N236" s="49">
        <v>13260</v>
      </c>
      <c r="O236" s="49">
        <v>6</v>
      </c>
      <c r="P236" s="49">
        <v>795.6</v>
      </c>
      <c r="Q236" s="49">
        <v>12464.4</v>
      </c>
      <c r="R236" s="49">
        <v>2750</v>
      </c>
      <c r="S236" s="49">
        <v>34277100</v>
      </c>
      <c r="T236" s="49">
        <v>13.82</v>
      </c>
      <c r="U236" s="49">
        <v>2763.82</v>
      </c>
      <c r="V236" s="49">
        <v>34449358</v>
      </c>
      <c r="W236" s="49">
        <v>172247</v>
      </c>
      <c r="X236" s="49">
        <v>34277111</v>
      </c>
      <c r="Y236" s="530" t="str">
        <f>IFERROR(IF(FIND("/KM",KB[[#This Row],[SUPPLIER]])&gt;0,"LAUT"),"DARAT")</f>
        <v>LAUT</v>
      </c>
    </row>
    <row r="237" spans="2:25">
      <c r="B237" s="140" t="str">
        <f>IFERROR(LEFT(KB[[#This Row],[SUPPLIER]],FIND("/",KB[[#This Row],[SUPPLIER]])-1),KB[[#This Row],[SUPPLIER]])</f>
        <v>HENDRY JOHANES</v>
      </c>
      <c r="C237" s="141" t="str">
        <f>TEXT(VLOOKUP(KB[[#This Row],[RELASI]],DBRELASI[[RELASI]:[DOCKB]],10,0)+COUNTIFS($B$2:B237,KB[[#This Row],[RELASI]],$D$2:D237,1),"000")</f>
        <v>001</v>
      </c>
      <c r="D237" s="141">
        <f>IF(COUNTIFS($B$3:B237,KB[[#This Row],[RELASI]],$F$3:F237,KB[[#This Row],[TANGGAL]])&lt;&gt;1,0,1)</f>
        <v>0</v>
      </c>
      <c r="E237" s="141" t="str">
        <f>TEXT(IF(KB[[#This Row],[DOC]]&lt;&gt;"",KB[[#This Row],[DOC]],E236),"000")</f>
        <v>001</v>
      </c>
      <c r="F237" s="40">
        <v>43861</v>
      </c>
      <c r="G237" s="40" t="str">
        <f>TYPE</f>
        <v>A</v>
      </c>
      <c r="H237"/>
      <c r="I237" s="42" t="s">
        <v>839</v>
      </c>
      <c r="J237" s="43" t="s">
        <v>783</v>
      </c>
      <c r="K237" s="44">
        <v>6</v>
      </c>
      <c r="L237" s="49">
        <v>52100</v>
      </c>
      <c r="M237" s="49">
        <v>23120</v>
      </c>
      <c r="N237" s="49">
        <v>28980</v>
      </c>
      <c r="O237" s="49">
        <v>6.0886818495514143</v>
      </c>
      <c r="P237" s="49">
        <v>1764.5</v>
      </c>
      <c r="Q237" s="49">
        <v>27215.5</v>
      </c>
      <c r="R237" s="49">
        <v>2800</v>
      </c>
      <c r="S237" s="49">
        <v>76203400</v>
      </c>
      <c r="T237" s="49">
        <v>14.07</v>
      </c>
      <c r="U237" s="49">
        <v>2814.07</v>
      </c>
      <c r="V237" s="49">
        <v>76586323</v>
      </c>
      <c r="W237" s="49">
        <v>382932</v>
      </c>
      <c r="X237" s="49">
        <v>76203391</v>
      </c>
      <c r="Y237" s="530" t="str">
        <f>IFERROR(IF(FIND("/KM",KB[[#This Row],[SUPPLIER]])&gt;0,"LAUT"),"DARAT")</f>
        <v>LAUT</v>
      </c>
    </row>
    <row r="238" spans="2:25">
      <c r="B238" s="140" t="str">
        <f>IFERROR(LEFT(KB[[#This Row],[SUPPLIER]],FIND("/",KB[[#This Row],[SUPPLIER]])-1),KB[[#This Row],[SUPPLIER]])</f>
        <v>MARTONO</v>
      </c>
      <c r="C238" s="141" t="str">
        <f>TEXT(VLOOKUP(KB[[#This Row],[RELASI]],DBRELASI[[RELASI]:[DOCKB]],10,0)+COUNTIFS($B$2:B238,KB[[#This Row],[RELASI]],$D$2:D238,1),"000")</f>
        <v>018</v>
      </c>
      <c r="D238" s="141">
        <f>IF(COUNTIFS($B$3:B238,KB[[#This Row],[RELASI]],$F$3:F238,KB[[#This Row],[TANGGAL]])&lt;&gt;1,0,1)</f>
        <v>1</v>
      </c>
      <c r="E238" s="141" t="str">
        <f>TEXT(IF(KB[[#This Row],[DOC]]&lt;&gt;"",KB[[#This Row],[DOC]],E237),"000")</f>
        <v>018</v>
      </c>
      <c r="F238" s="40">
        <v>43861</v>
      </c>
      <c r="G238" s="40" t="str">
        <f>TYPE</f>
        <v>A</v>
      </c>
      <c r="H238" s="153" t="s">
        <v>803</v>
      </c>
      <c r="I238" s="42" t="s">
        <v>761</v>
      </c>
      <c r="J238" s="43" t="s">
        <v>83</v>
      </c>
      <c r="K238" s="44">
        <v>4</v>
      </c>
      <c r="L238" s="49">
        <v>33630</v>
      </c>
      <c r="M238" s="49">
        <v>15490</v>
      </c>
      <c r="N238" s="49">
        <v>18140</v>
      </c>
      <c r="O238" s="49">
        <v>6</v>
      </c>
      <c r="P238" s="49">
        <v>1088.4000000000001</v>
      </c>
      <c r="Q238" s="49">
        <v>17051.599999999999</v>
      </c>
      <c r="R238" s="49">
        <v>2800.0000000000005</v>
      </c>
      <c r="S238" s="49">
        <v>47744480</v>
      </c>
      <c r="T238" s="49">
        <v>14.07</v>
      </c>
      <c r="U238" s="49">
        <v>2814.0700000000006</v>
      </c>
      <c r="V238" s="49">
        <v>47984397</v>
      </c>
      <c r="W238" s="49">
        <v>239921</v>
      </c>
      <c r="X238" s="49">
        <v>47744476</v>
      </c>
      <c r="Y238" s="530" t="str">
        <f>IFERROR(IF(FIND("/KM",KB[[#This Row],[SUPPLIER]])&gt;0,"LAUT"),"DARAT")</f>
        <v>LAUT</v>
      </c>
    </row>
    <row r="239" spans="2:25">
      <c r="B239" s="140" t="str">
        <f>IFERROR(LEFT(KB[[#This Row],[SUPPLIER]],FIND("/",KB[[#This Row],[SUPPLIER]])-1),KB[[#This Row],[SUPPLIER]])</f>
        <v>MASRI</v>
      </c>
      <c r="C239" s="141" t="str">
        <f>TEXT(VLOOKUP(KB[[#This Row],[RELASI]],DBRELASI[[RELASI]:[DOCKB]],10,0)+COUNTIFS($B$2:B239,KB[[#This Row],[RELASI]],$D$2:D239,1),"000")</f>
        <v>014</v>
      </c>
      <c r="D239" s="141">
        <f>IF(COUNTIFS($B$3:B239,KB[[#This Row],[RELASI]],$F$3:F239,KB[[#This Row],[TANGGAL]])&lt;&gt;1,0,1)</f>
        <v>1</v>
      </c>
      <c r="E239" s="141" t="str">
        <f>TEXT(IF(KB[[#This Row],[DOC]]&lt;&gt;"",KB[[#This Row],[DOC]],E238),"000")</f>
        <v>014</v>
      </c>
      <c r="F239" s="40">
        <v>43861</v>
      </c>
      <c r="G239" s="40" t="str">
        <f>TYPE</f>
        <v>A</v>
      </c>
      <c r="H239" s="153" t="s">
        <v>781</v>
      </c>
      <c r="I239" s="42" t="s">
        <v>771</v>
      </c>
      <c r="J239" s="43" t="s">
        <v>511</v>
      </c>
      <c r="K239" s="44">
        <v>10</v>
      </c>
      <c r="L239" s="49">
        <v>87140</v>
      </c>
      <c r="M239" s="49">
        <v>38850</v>
      </c>
      <c r="N239" s="49">
        <v>48290</v>
      </c>
      <c r="O239" s="49">
        <v>5.9999999999999991</v>
      </c>
      <c r="P239" s="49">
        <v>2897.3999999999996</v>
      </c>
      <c r="Q239" s="49">
        <v>45392.6</v>
      </c>
      <c r="R239" s="49">
        <v>2950</v>
      </c>
      <c r="S239" s="49">
        <v>133908170</v>
      </c>
      <c r="T239" s="49">
        <v>14.82</v>
      </c>
      <c r="U239" s="49">
        <v>2964.82</v>
      </c>
      <c r="V239" s="49">
        <v>134580889</v>
      </c>
      <c r="W239" s="49">
        <v>672905</v>
      </c>
      <c r="X239" s="49">
        <v>133907984</v>
      </c>
      <c r="Y239" s="530" t="str">
        <f>IFERROR(IF(FIND("/KM",KB[[#This Row],[SUPPLIER]])&gt;0,"LAUT"),"DARAT")</f>
        <v>LAUT</v>
      </c>
    </row>
    <row r="240" spans="2:25">
      <c r="B240" s="140" t="str">
        <f>IFERROR(LEFT(KB[[#This Row],[SUPPLIER]],FIND("/",KB[[#This Row],[SUPPLIER]])-1),KB[[#This Row],[SUPPLIER]])</f>
        <v>PT.SINAR KELAPA TEMBILAHAN</v>
      </c>
      <c r="C240" s="141" t="str">
        <f>TEXT(VLOOKUP(KB[[#This Row],[RELASI]],DBRELASI[[RELASI]:[DOCKB]],10,0)+COUNTIFS($B$2:B240,KB[[#This Row],[RELASI]],$D$2:D240,1),"000")</f>
        <v>006</v>
      </c>
      <c r="D240" s="141">
        <f>IF(COUNTIFS($B$3:B240,KB[[#This Row],[RELASI]],$F$3:F240,KB[[#This Row],[TANGGAL]])&lt;&gt;1,0,1)</f>
        <v>1</v>
      </c>
      <c r="E240" s="141" t="str">
        <f>TEXT(IF(KB[[#This Row],[DOC]]&lt;&gt;"",KB[[#This Row],[DOC]],E239),"000")</f>
        <v>006</v>
      </c>
      <c r="F240" s="40">
        <v>43861</v>
      </c>
      <c r="G240" s="40" t="str">
        <f>TYPE</f>
        <v>A</v>
      </c>
      <c r="H240" s="153" t="s">
        <v>759</v>
      </c>
      <c r="I240" s="42" t="s">
        <v>827</v>
      </c>
      <c r="J240" s="43" t="s">
        <v>81</v>
      </c>
      <c r="K240" s="44">
        <v>2</v>
      </c>
      <c r="L240" s="49">
        <v>16210</v>
      </c>
      <c r="M240" s="49">
        <v>7770</v>
      </c>
      <c r="N240" s="49">
        <v>8440</v>
      </c>
      <c r="O240" s="49">
        <v>5.9999999999999991</v>
      </c>
      <c r="P240" s="49">
        <v>506.4</v>
      </c>
      <c r="Q240" s="49">
        <v>7933.6</v>
      </c>
      <c r="R240" s="49">
        <v>2850</v>
      </c>
      <c r="S240" s="49">
        <v>22610760</v>
      </c>
      <c r="T240" s="49">
        <v>0</v>
      </c>
      <c r="U240" s="49">
        <v>2850</v>
      </c>
      <c r="V240" s="49">
        <v>22610760</v>
      </c>
      <c r="W240" s="49">
        <v>56527</v>
      </c>
      <c r="X240" s="49">
        <v>22554233</v>
      </c>
      <c r="Y240" s="530" t="str">
        <f>IFERROR(IF(FIND("/KM",KB[[#This Row],[SUPPLIER]])&gt;0,"LAUT"),"DARAT")</f>
        <v>LAUT</v>
      </c>
    </row>
    <row r="241" spans="2:25">
      <c r="B241" s="140" t="str">
        <f>IFERROR(LEFT(KB[[#This Row],[SUPPLIER]],FIND("/",KB[[#This Row],[SUPPLIER]])-1),KB[[#This Row],[SUPPLIER]])</f>
        <v>PT.SINAR KELAPA TEMBILAHAN</v>
      </c>
      <c r="C241" s="141" t="str">
        <f>TEXT(VLOOKUP(KB[[#This Row],[RELASI]],DBRELASI[[RELASI]:[DOCKB]],10,0)+COUNTIFS($B$2:B241,KB[[#This Row],[RELASI]],$D$2:D241,1),"000")</f>
        <v>006</v>
      </c>
      <c r="D241" s="141">
        <f>IF(COUNTIFS($B$3:B241,KB[[#This Row],[RELASI]],$F$3:F241,KB[[#This Row],[TANGGAL]])&lt;&gt;1,0,1)</f>
        <v>0</v>
      </c>
      <c r="E241" s="141" t="str">
        <f>TEXT(IF(KB[[#This Row],[DOC]]&lt;&gt;"",KB[[#This Row],[DOC]],E240),"000")</f>
        <v>006</v>
      </c>
      <c r="F241" s="40">
        <v>43861</v>
      </c>
      <c r="G241" s="40" t="str">
        <f>TYPE</f>
        <v>A</v>
      </c>
      <c r="H241"/>
      <c r="I241" s="42" t="s">
        <v>828</v>
      </c>
      <c r="J241" s="43" t="s">
        <v>81</v>
      </c>
      <c r="K241" s="44">
        <v>8</v>
      </c>
      <c r="L241" s="49">
        <v>71560</v>
      </c>
      <c r="M241" s="49">
        <v>31090</v>
      </c>
      <c r="N241" s="49">
        <v>40470</v>
      </c>
      <c r="O241" s="49">
        <v>6</v>
      </c>
      <c r="P241" s="49">
        <v>2428.1999999999998</v>
      </c>
      <c r="Q241" s="49">
        <v>38041.799999999996</v>
      </c>
      <c r="R241" s="49">
        <v>2950.0000000000005</v>
      </c>
      <c r="S241" s="49">
        <v>112223310</v>
      </c>
      <c r="T241" s="49">
        <v>0</v>
      </c>
      <c r="U241" s="49">
        <v>2950.0000000000005</v>
      </c>
      <c r="V241" s="49">
        <v>112223310</v>
      </c>
      <c r="W241" s="49">
        <v>280559</v>
      </c>
      <c r="X241" s="49">
        <v>111942751</v>
      </c>
      <c r="Y241" s="530" t="str">
        <f>IFERROR(IF(FIND("/KM",KB[[#This Row],[SUPPLIER]])&gt;0,"LAUT"),"DARAT")</f>
        <v>LAUT</v>
      </c>
    </row>
    <row r="242" spans="2:25">
      <c r="B242" s="140" t="str">
        <f>IFERROR(LEFT(KB[[#This Row],[SUPPLIER]],FIND("/",KB[[#This Row],[SUPPLIER]])-1),KB[[#This Row],[SUPPLIER]])</f>
        <v>PT.SINAR KELAPA TEMBILAHAN</v>
      </c>
      <c r="C242" s="141" t="str">
        <f>TEXT(VLOOKUP(KB[[#This Row],[RELASI]],DBRELASI[[RELASI]:[DOCKB]],10,0)+COUNTIFS($B$2:B242,KB[[#This Row],[RELASI]],$D$2:D242,1),"000")</f>
        <v>006</v>
      </c>
      <c r="D242" s="141">
        <f>IF(COUNTIFS($B$3:B242,KB[[#This Row],[RELASI]],$F$3:F242,KB[[#This Row],[TANGGAL]])&lt;&gt;1,0,1)</f>
        <v>0</v>
      </c>
      <c r="E242" s="141" t="str">
        <f>TEXT(IF(KB[[#This Row],[DOC]]&lt;&gt;"",KB[[#This Row],[DOC]],E241),"000")</f>
        <v>006</v>
      </c>
      <c r="F242" s="40">
        <v>43861</v>
      </c>
      <c r="G242" s="40" t="str">
        <f>TYPE</f>
        <v>A</v>
      </c>
      <c r="H242"/>
      <c r="I242" s="42" t="s">
        <v>830</v>
      </c>
      <c r="J242" s="43" t="s">
        <v>81</v>
      </c>
      <c r="K242" s="44">
        <v>2</v>
      </c>
      <c r="L242" s="49">
        <v>14990</v>
      </c>
      <c r="M242" s="49">
        <v>7770</v>
      </c>
      <c r="N242" s="49">
        <v>7220</v>
      </c>
      <c r="O242" s="49">
        <v>5.9999999999999991</v>
      </c>
      <c r="P242" s="49">
        <v>433.19999999999993</v>
      </c>
      <c r="Q242" s="49">
        <v>6786.7999999999993</v>
      </c>
      <c r="R242" s="49">
        <v>2850.0000000000005</v>
      </c>
      <c r="S242" s="49">
        <v>19342380</v>
      </c>
      <c r="T242" s="49">
        <v>0</v>
      </c>
      <c r="U242" s="49">
        <v>2850.0000000000005</v>
      </c>
      <c r="V242" s="49">
        <v>19342380</v>
      </c>
      <c r="W242" s="49">
        <v>48356</v>
      </c>
      <c r="X242" s="49">
        <v>19294024</v>
      </c>
      <c r="Y242" s="530" t="str">
        <f>IFERROR(IF(FIND("/KM",KB[[#This Row],[SUPPLIER]])&gt;0,"LAUT"),"DARAT")</f>
        <v>LAUT</v>
      </c>
    </row>
    <row r="243" spans="2:25">
      <c r="B243" s="140" t="str">
        <f>IFERROR(LEFT(KB[[#This Row],[SUPPLIER]],FIND("/",KB[[#This Row],[SUPPLIER]])-1),KB[[#This Row],[SUPPLIER]])</f>
        <v>PT.SINAR KELAPA TEMBILAHAN</v>
      </c>
      <c r="C243" s="141" t="str">
        <f>TEXT(VLOOKUP(KB[[#This Row],[RELASI]],DBRELASI[[RELASI]:[DOCKB]],10,0)+COUNTIFS($B$2:B243,KB[[#This Row],[RELASI]],$D$2:D243,1),"000")</f>
        <v>006</v>
      </c>
      <c r="D243" s="141">
        <f>IF(COUNTIFS($B$3:B243,KB[[#This Row],[RELASI]],$F$3:F243,KB[[#This Row],[TANGGAL]])&lt;&gt;1,0,1)</f>
        <v>0</v>
      </c>
      <c r="E243" s="141" t="str">
        <f>TEXT(IF(KB[[#This Row],[DOC]]&lt;&gt;"",KB[[#This Row],[DOC]],E242),"000")</f>
        <v>006</v>
      </c>
      <c r="F243" s="40">
        <v>43861</v>
      </c>
      <c r="G243" s="40" t="str">
        <f>TYPE</f>
        <v>A</v>
      </c>
      <c r="H243"/>
      <c r="I243" s="42" t="s">
        <v>831</v>
      </c>
      <c r="J243" s="43" t="s">
        <v>81</v>
      </c>
      <c r="K243" s="44">
        <v>2</v>
      </c>
      <c r="L243" s="49">
        <v>14450</v>
      </c>
      <c r="M243" s="49">
        <v>7770</v>
      </c>
      <c r="N243" s="49">
        <v>6680</v>
      </c>
      <c r="O243" s="49">
        <v>6</v>
      </c>
      <c r="P243" s="49">
        <v>400.79999999999995</v>
      </c>
      <c r="Q243" s="49">
        <v>6279.2</v>
      </c>
      <c r="R243" s="49">
        <v>2850</v>
      </c>
      <c r="S243" s="49">
        <v>17895720</v>
      </c>
      <c r="T243" s="49">
        <v>0</v>
      </c>
      <c r="U243" s="49">
        <v>2850</v>
      </c>
      <c r="V243" s="49">
        <v>17895720</v>
      </c>
      <c r="W243" s="49">
        <v>44740</v>
      </c>
      <c r="X243" s="49">
        <v>17850980</v>
      </c>
      <c r="Y243" s="530" t="str">
        <f>IFERROR(IF(FIND("/KM",KB[[#This Row],[SUPPLIER]])&gt;0,"LAUT"),"DARAT")</f>
        <v>LAUT</v>
      </c>
    </row>
    <row r="244" spans="2:25">
      <c r="B244" s="140" t="str">
        <f>IFERROR(LEFT(KB[[#This Row],[SUPPLIER]],FIND("/",KB[[#This Row],[SUPPLIER]])-1),KB[[#This Row],[SUPPLIER]])</f>
        <v>PT.SINAR KELAPA TEMBILAHAN</v>
      </c>
      <c r="C244" s="141" t="str">
        <f>TEXT(VLOOKUP(KB[[#This Row],[RELASI]],DBRELASI[[RELASI]:[DOCKB]],10,0)+COUNTIFS($B$2:B244,KB[[#This Row],[RELASI]],$D$2:D244,1),"000")</f>
        <v>006</v>
      </c>
      <c r="D244" s="141">
        <f>IF(COUNTIFS($B$3:B244,KB[[#This Row],[RELASI]],$F$3:F244,KB[[#This Row],[TANGGAL]])&lt;&gt;1,0,1)</f>
        <v>0</v>
      </c>
      <c r="E244" s="141" t="str">
        <f>TEXT(IF(KB[[#This Row],[DOC]]&lt;&gt;"",KB[[#This Row],[DOC]],E243),"000")</f>
        <v>006</v>
      </c>
      <c r="F244" s="40">
        <v>43861</v>
      </c>
      <c r="G244" s="40" t="str">
        <f>TYPE</f>
        <v>A</v>
      </c>
      <c r="H244"/>
      <c r="I244" s="42" t="s">
        <v>840</v>
      </c>
      <c r="J244" s="43" t="s">
        <v>81</v>
      </c>
      <c r="K244" s="44">
        <v>5</v>
      </c>
      <c r="L244" s="49">
        <v>42070</v>
      </c>
      <c r="M244" s="49">
        <v>19360</v>
      </c>
      <c r="N244" s="49">
        <v>22710</v>
      </c>
      <c r="O244" s="49">
        <v>6</v>
      </c>
      <c r="P244" s="49">
        <v>1362.6</v>
      </c>
      <c r="Q244" s="49">
        <v>21347.4</v>
      </c>
      <c r="R244" s="49">
        <v>2950</v>
      </c>
      <c r="S244" s="49">
        <v>62974830</v>
      </c>
      <c r="T244" s="49">
        <v>0</v>
      </c>
      <c r="U244" s="49">
        <v>2950</v>
      </c>
      <c r="V244" s="49">
        <v>62974830</v>
      </c>
      <c r="W244" s="49">
        <v>157437</v>
      </c>
      <c r="X244" s="49">
        <v>62817393</v>
      </c>
      <c r="Y244" s="530" t="str">
        <f>IFERROR(IF(FIND("/KM",KB[[#This Row],[SUPPLIER]])&gt;0,"LAUT"),"DARAT")</f>
        <v>LAUT</v>
      </c>
    </row>
    <row r="245" spans="2:25">
      <c r="B245" s="140" t="str">
        <f>IFERROR(LEFT(KB[[#This Row],[SUPPLIER]],FIND("/",KB[[#This Row],[SUPPLIER]])-1),KB[[#This Row],[SUPPLIER]])</f>
        <v>PT.SINAR KELAPA TEMBILAHAN</v>
      </c>
      <c r="C245" s="141" t="str">
        <f>TEXT(VLOOKUP(KB[[#This Row],[RELASI]],DBRELASI[[RELASI]:[DOCKB]],10,0)+COUNTIFS($B$2:B245,KB[[#This Row],[RELASI]],$D$2:D245,1),"000")</f>
        <v>006</v>
      </c>
      <c r="D245" s="141">
        <f>IF(COUNTIFS($B$3:B245,KB[[#This Row],[RELASI]],$F$3:F245,KB[[#This Row],[TANGGAL]])&lt;&gt;1,0,1)</f>
        <v>0</v>
      </c>
      <c r="E245" s="141" t="str">
        <f>TEXT(IF(KB[[#This Row],[DOC]]&lt;&gt;"",KB[[#This Row],[DOC]],E244),"000")</f>
        <v>006</v>
      </c>
      <c r="F245" s="40">
        <v>43861</v>
      </c>
      <c r="G245" s="40" t="str">
        <f>TYPE</f>
        <v>A</v>
      </c>
      <c r="H245"/>
      <c r="I245" s="42" t="s">
        <v>808</v>
      </c>
      <c r="J245" s="43" t="s">
        <v>81</v>
      </c>
      <c r="K245" s="44">
        <v>3</v>
      </c>
      <c r="L245" s="49">
        <v>25860</v>
      </c>
      <c r="M245" s="49">
        <v>11690</v>
      </c>
      <c r="N245" s="49">
        <v>14170</v>
      </c>
      <c r="O245" s="49">
        <v>6</v>
      </c>
      <c r="P245" s="49">
        <v>850.19999999999993</v>
      </c>
      <c r="Q245" s="49">
        <v>13319.8</v>
      </c>
      <c r="R245" s="49">
        <v>2850</v>
      </c>
      <c r="S245" s="49">
        <v>37961430</v>
      </c>
      <c r="T245" s="49">
        <v>0</v>
      </c>
      <c r="U245" s="49">
        <v>2850</v>
      </c>
      <c r="V245" s="49">
        <v>37961430</v>
      </c>
      <c r="W245" s="49">
        <v>94904</v>
      </c>
      <c r="X245" s="49">
        <v>37866526</v>
      </c>
      <c r="Y245" s="530" t="str">
        <f>IFERROR(IF(FIND("/KM",KB[[#This Row],[SUPPLIER]])&gt;0,"LAUT"),"DARAT")</f>
        <v>LAUT</v>
      </c>
    </row>
    <row r="246" spans="2:25">
      <c r="B246" s="140" t="str">
        <f>IFERROR(LEFT(KB[[#This Row],[SUPPLIER]],FIND("/",KB[[#This Row],[SUPPLIER]])-1),KB[[#This Row],[SUPPLIER]])</f>
        <v>PT.SINAR KELAPA TEMBILAHAN</v>
      </c>
      <c r="C246" s="141" t="str">
        <f>TEXT(VLOOKUP(KB[[#This Row],[RELASI]],DBRELASI[[RELASI]:[DOCKB]],10,0)+COUNTIFS($B$2:B246,KB[[#This Row],[RELASI]],$D$2:D246,1),"000")</f>
        <v>006</v>
      </c>
      <c r="D246" s="141">
        <f>IF(COUNTIFS($B$3:B246,KB[[#This Row],[RELASI]],$F$3:F246,KB[[#This Row],[TANGGAL]])&lt;&gt;1,0,1)</f>
        <v>0</v>
      </c>
      <c r="E246" s="141" t="str">
        <f>TEXT(IF(KB[[#This Row],[DOC]]&lt;&gt;"",KB[[#This Row],[DOC]],E245),"000")</f>
        <v>006</v>
      </c>
      <c r="F246" s="40">
        <v>43861</v>
      </c>
      <c r="G246" s="40" t="str">
        <f>TYPE</f>
        <v>A</v>
      </c>
      <c r="H246"/>
      <c r="I246" s="42" t="s">
        <v>841</v>
      </c>
      <c r="J246" s="43" t="s">
        <v>81</v>
      </c>
      <c r="K246" s="44">
        <v>2</v>
      </c>
      <c r="L246" s="49">
        <v>17270</v>
      </c>
      <c r="M246" s="49">
        <v>7710</v>
      </c>
      <c r="N246" s="49">
        <v>9560</v>
      </c>
      <c r="O246" s="49">
        <v>5.9999999999999991</v>
      </c>
      <c r="P246" s="49">
        <v>573.59999999999991</v>
      </c>
      <c r="Q246" s="49">
        <v>8986.4000000000015</v>
      </c>
      <c r="R246" s="49">
        <v>2849.9999999999995</v>
      </c>
      <c r="S246" s="49">
        <v>25611240</v>
      </c>
      <c r="T246" s="49">
        <v>0</v>
      </c>
      <c r="U246" s="49">
        <v>2849.9999999999995</v>
      </c>
      <c r="V246" s="49">
        <v>25611240</v>
      </c>
      <c r="W246" s="49">
        <v>64029</v>
      </c>
      <c r="X246" s="49">
        <v>25547211</v>
      </c>
      <c r="Y246" s="530" t="str">
        <f>IFERROR(IF(FIND("/KM",KB[[#This Row],[SUPPLIER]])&gt;0,"LAUT"),"DARAT")</f>
        <v>LAUT</v>
      </c>
    </row>
    <row r="247" spans="2:25">
      <c r="B247" s="140" t="str">
        <f>IFERROR(LEFT(KB[[#This Row],[SUPPLIER]],FIND("/",KB[[#This Row],[SUPPLIER]])-1),KB[[#This Row],[SUPPLIER]])</f>
        <v>RITA ERNITA</v>
      </c>
      <c r="C247" s="141" t="str">
        <f>TEXT(VLOOKUP(KB[[#This Row],[RELASI]],DBRELASI[[RELASI]:[DOCKB]],10,0)+COUNTIFS($B$2:B247,KB[[#This Row],[RELASI]],$D$2:D247,1),"000")</f>
        <v>004</v>
      </c>
      <c r="D247" s="141">
        <f>IF(COUNTIFS($B$3:B247,KB[[#This Row],[RELASI]],$F$3:F247,KB[[#This Row],[TANGGAL]])&lt;&gt;1,0,1)</f>
        <v>1</v>
      </c>
      <c r="E247" s="141" t="str">
        <f>TEXT(IF(KB[[#This Row],[DOC]]&lt;&gt;"",KB[[#This Row],[DOC]],E246),"000")</f>
        <v>004</v>
      </c>
      <c r="F247" s="40">
        <v>43861</v>
      </c>
      <c r="G247" s="40" t="str">
        <f>TYPE</f>
        <v>A</v>
      </c>
      <c r="H247" s="153" t="s">
        <v>526</v>
      </c>
      <c r="I247" s="42" t="s">
        <v>513</v>
      </c>
      <c r="J247" s="43" t="s">
        <v>96</v>
      </c>
      <c r="K247" s="44">
        <v>10</v>
      </c>
      <c r="L247" s="49">
        <v>85540</v>
      </c>
      <c r="M247" s="49">
        <v>38950</v>
      </c>
      <c r="N247" s="49">
        <v>46590</v>
      </c>
      <c r="O247" s="49">
        <v>6.0000000000000009</v>
      </c>
      <c r="P247" s="49">
        <v>2795.4</v>
      </c>
      <c r="Q247" s="49">
        <v>43794.6</v>
      </c>
      <c r="R247" s="49">
        <v>2850</v>
      </c>
      <c r="S247" s="49">
        <v>124814610</v>
      </c>
      <c r="T247" s="49">
        <v>14.32</v>
      </c>
      <c r="U247" s="49">
        <v>2864.32</v>
      </c>
      <c r="V247" s="49">
        <v>125441747</v>
      </c>
      <c r="W247" s="49">
        <v>627208</v>
      </c>
      <c r="X247" s="49">
        <v>124814539</v>
      </c>
      <c r="Y247" s="530" t="str">
        <f>IFERROR(IF(FIND("/KM",KB[[#This Row],[SUPPLIER]])&gt;0,"LAUT"),"DARAT")</f>
        <v>LAUT</v>
      </c>
    </row>
    <row r="248" spans="2:25">
      <c r="B248" s="140" t="str">
        <f>IFERROR(LEFT(KB[[#This Row],[SUPPLIER]],FIND("/",KB[[#This Row],[SUPPLIER]])-1),KB[[#This Row],[SUPPLIER]])</f>
        <v>ROSDIANTO</v>
      </c>
      <c r="C248" s="141" t="str">
        <f>TEXT(VLOOKUP(KB[[#This Row],[RELASI]],DBRELASI[[RELASI]:[DOCKB]],10,0)+COUNTIFS($B$2:B248,KB[[#This Row],[RELASI]],$D$2:D248,1),"000")</f>
        <v>002</v>
      </c>
      <c r="D248" s="141">
        <f>IF(COUNTIFS($B$3:B248,KB[[#This Row],[RELASI]],$F$3:F248,KB[[#This Row],[TANGGAL]])&lt;&gt;1,0,1)</f>
        <v>1</v>
      </c>
      <c r="E248" s="141" t="str">
        <f>TEXT(IF(KB[[#This Row],[DOC]]&lt;&gt;"",KB[[#This Row],[DOC]],E247),"000")</f>
        <v>002</v>
      </c>
      <c r="F248" s="40">
        <v>43861</v>
      </c>
      <c r="G248" s="40" t="str">
        <f>TYPE</f>
        <v>A</v>
      </c>
      <c r="H248" s="154" t="s">
        <v>515</v>
      </c>
      <c r="I248" s="46" t="s">
        <v>842</v>
      </c>
      <c r="J248" s="47" t="s">
        <v>816</v>
      </c>
      <c r="K248" s="48">
        <v>6</v>
      </c>
      <c r="L248" s="49">
        <v>52690</v>
      </c>
      <c r="M248" s="49">
        <v>23410</v>
      </c>
      <c r="N248" s="49">
        <v>29280</v>
      </c>
      <c r="O248" s="49">
        <v>5.9999999999999991</v>
      </c>
      <c r="P248" s="49">
        <v>1756.7999999999997</v>
      </c>
      <c r="Q248" s="49">
        <v>27523.200000000004</v>
      </c>
      <c r="R248" s="49">
        <v>2799.9999999999995</v>
      </c>
      <c r="S248" s="49">
        <v>77064960</v>
      </c>
      <c r="T248" s="49">
        <v>14.07</v>
      </c>
      <c r="U248" s="49">
        <v>2814.0699999999997</v>
      </c>
      <c r="V248" s="49">
        <v>77452211</v>
      </c>
      <c r="W248" s="49">
        <v>387262</v>
      </c>
      <c r="X248" s="49">
        <v>77064949</v>
      </c>
      <c r="Y248" s="574" t="str">
        <f>IFERROR(IF(FIND("/KM",KB[[#This Row],[SUPPLIER]])&gt;0,"LAUT"),"DARAT")</f>
        <v>LAUT</v>
      </c>
    </row>
    <row r="249" spans="2:25">
      <c r="B249" s="140" t="str">
        <f>IFERROR(LEFT(KB[[#This Row],[SUPPLIER]],FIND("/",KB[[#This Row],[SUPPLIER]])-1),KB[[#This Row],[SUPPLIER]])</f>
        <v>ERAWATI</v>
      </c>
      <c r="C249" s="141" t="str">
        <f>TEXT(VLOOKUP(KB[[#This Row],[RELASI]],DBRELASI[[RELASI]:[DOCKB]],10,0)+COUNTIFS($B$2:B249,KB[[#This Row],[RELASI]],$D$2:D249,1),"000")</f>
        <v>023</v>
      </c>
      <c r="D249" s="141">
        <f>IF(COUNTIFS($B$3:B249,KB[[#This Row],[RELASI]],$F$3:F249,KB[[#This Row],[TANGGAL]])&lt;&gt;1,0,1)</f>
        <v>1</v>
      </c>
      <c r="E249" s="141" t="str">
        <f>TEXT(IF(KB[[#This Row],[DOC]]&lt;&gt;"",KB[[#This Row],[DOC]],E248),"000")</f>
        <v>023</v>
      </c>
      <c r="F249" s="40">
        <v>43862</v>
      </c>
      <c r="G249" s="40" t="str">
        <f>TYPE</f>
        <v>A</v>
      </c>
      <c r="H249" s="153" t="s">
        <v>843</v>
      </c>
      <c r="I249" s="42" t="s">
        <v>155</v>
      </c>
      <c r="J249" s="43" t="s">
        <v>77</v>
      </c>
      <c r="K249" s="44">
        <v>8</v>
      </c>
      <c r="L249" s="49">
        <v>48630</v>
      </c>
      <c r="M249" s="49">
        <v>21860</v>
      </c>
      <c r="N249" s="49">
        <v>26770</v>
      </c>
      <c r="O249" s="49">
        <v>5.2846469929025028</v>
      </c>
      <c r="P249" s="49">
        <v>1414.7</v>
      </c>
      <c r="Q249" s="49">
        <v>25355.3</v>
      </c>
      <c r="R249" s="49">
        <v>2800</v>
      </c>
      <c r="S249" s="49">
        <v>70994840</v>
      </c>
      <c r="T249" s="49">
        <v>14.07</v>
      </c>
      <c r="U249" s="49">
        <v>2814.07</v>
      </c>
      <c r="V249" s="49">
        <v>71351588</v>
      </c>
      <c r="W249" s="49">
        <v>356757</v>
      </c>
      <c r="X249" s="49">
        <v>70994831</v>
      </c>
      <c r="Y249" s="530" t="str">
        <f>IFERROR(IF(FIND("/KM",KB[[#This Row],[SUPPLIER]])&gt;0,"LAUT"),"DARAT")</f>
        <v>DARAT</v>
      </c>
    </row>
    <row r="250" spans="2:25">
      <c r="B250" s="140" t="str">
        <f>IFERROR(LEFT(KB[[#This Row],[SUPPLIER]],FIND("/",KB[[#This Row],[SUPPLIER]])-1),KB[[#This Row],[SUPPLIER]])</f>
        <v>INDRAYANI</v>
      </c>
      <c r="C250" s="141" t="str">
        <f>TEXT(VLOOKUP(KB[[#This Row],[RELASI]],DBRELASI[[RELASI]:[DOCKB]],10,0)+COUNTIFS($B$2:B250,KB[[#This Row],[RELASI]],$D$2:D250,1),"000")</f>
        <v>021</v>
      </c>
      <c r="D250" s="141">
        <f>IF(COUNTIFS($B$3:B250,KB[[#This Row],[RELASI]],$F$3:F250,KB[[#This Row],[TANGGAL]])&lt;&gt;1,0,1)</f>
        <v>1</v>
      </c>
      <c r="E250" s="141" t="str">
        <f>TEXT(IF(KB[[#This Row],[DOC]]&lt;&gt;"",KB[[#This Row],[DOC]],E249),"000")</f>
        <v>021</v>
      </c>
      <c r="F250" s="40">
        <v>43862</v>
      </c>
      <c r="G250" s="40" t="str">
        <f>TYPE</f>
        <v>A</v>
      </c>
      <c r="H250" s="153" t="s">
        <v>823</v>
      </c>
      <c r="I250" s="42" t="s">
        <v>79</v>
      </c>
      <c r="J250" s="43" t="s">
        <v>77</v>
      </c>
      <c r="K250" s="44">
        <v>1</v>
      </c>
      <c r="L250" s="49">
        <v>10110</v>
      </c>
      <c r="M250" s="49">
        <v>7030</v>
      </c>
      <c r="N250" s="49">
        <v>3080</v>
      </c>
      <c r="O250" s="49">
        <v>5</v>
      </c>
      <c r="P250" s="49">
        <v>154</v>
      </c>
      <c r="Q250" s="49">
        <v>2926</v>
      </c>
      <c r="R250" s="49">
        <v>2900</v>
      </c>
      <c r="S250" s="49">
        <v>8485400</v>
      </c>
      <c r="T250" s="49">
        <v>14.57</v>
      </c>
      <c r="U250" s="49">
        <v>2914.57</v>
      </c>
      <c r="V250" s="49">
        <v>8528032</v>
      </c>
      <c r="W250" s="49">
        <v>42640</v>
      </c>
      <c r="X250" s="49">
        <v>8485392</v>
      </c>
      <c r="Y250" s="530" t="str">
        <f>IFERROR(IF(FIND("/KM",KB[[#This Row],[SUPPLIER]])&gt;0,"LAUT"),"DARAT")</f>
        <v>DARAT</v>
      </c>
    </row>
    <row r="251" spans="2:25">
      <c r="B251" s="140" t="str">
        <f>IFERROR(LEFT(KB[[#This Row],[SUPPLIER]],FIND("/",KB[[#This Row],[SUPPLIER]])-1),KB[[#This Row],[SUPPLIER]])</f>
        <v>RUSLAN JAYA, SH</v>
      </c>
      <c r="C251" s="141" t="str">
        <f>TEXT(VLOOKUP(KB[[#This Row],[RELASI]],DBRELASI[[RELASI]:[DOCKB]],10,0)+COUNTIFS($B$2:B251,KB[[#This Row],[RELASI]],$D$2:D251,1),"000")</f>
        <v>010</v>
      </c>
      <c r="D251" s="141">
        <f>IF(COUNTIFS($B$3:B251,KB[[#This Row],[RELASI]],$F$3:F251,KB[[#This Row],[TANGGAL]])&lt;&gt;1,0,1)</f>
        <v>1</v>
      </c>
      <c r="E251" s="141" t="str">
        <f>TEXT(IF(KB[[#This Row],[DOC]]&lt;&gt;"",KB[[#This Row],[DOC]],E250),"000")</f>
        <v>010</v>
      </c>
      <c r="F251" s="40">
        <v>43862</v>
      </c>
      <c r="G251" s="40" t="str">
        <f>TYPE</f>
        <v>A</v>
      </c>
      <c r="H251" s="153" t="s">
        <v>773</v>
      </c>
      <c r="I251" s="42" t="s">
        <v>479</v>
      </c>
      <c r="J251" s="43" t="s">
        <v>475</v>
      </c>
      <c r="K251" s="44">
        <v>3</v>
      </c>
      <c r="L251" s="49">
        <v>30760</v>
      </c>
      <c r="M251" s="49">
        <v>10140</v>
      </c>
      <c r="N251" s="49">
        <v>20620</v>
      </c>
      <c r="O251" s="49">
        <v>5</v>
      </c>
      <c r="P251" s="49">
        <v>1031</v>
      </c>
      <c r="Q251" s="49">
        <v>19589</v>
      </c>
      <c r="R251" s="49">
        <v>2800</v>
      </c>
      <c r="S251" s="49">
        <v>54849200</v>
      </c>
      <c r="T251" s="49">
        <v>14.07</v>
      </c>
      <c r="U251" s="49">
        <v>2814.07</v>
      </c>
      <c r="V251" s="49">
        <v>55124817</v>
      </c>
      <c r="W251" s="49">
        <v>275624</v>
      </c>
      <c r="X251" s="49">
        <v>54849193</v>
      </c>
      <c r="Y251" s="530" t="str">
        <f>IFERROR(IF(FIND("/KM",KB[[#This Row],[SUPPLIER]])&gt;0,"LAUT"),"DARAT")</f>
        <v>DARAT</v>
      </c>
    </row>
    <row r="252" spans="2:25">
      <c r="B252" s="140" t="str">
        <f>IFERROR(LEFT(KB[[#This Row],[SUPPLIER]],FIND("/",KB[[#This Row],[SUPPLIER]])-1),KB[[#This Row],[SUPPLIER]])</f>
        <v>MARTONO</v>
      </c>
      <c r="C252" s="141" t="str">
        <f>TEXT(VLOOKUP(KB[[#This Row],[RELASI]],DBRELASI[[RELASI]:[DOCKB]],10,0)+COUNTIFS($B$2:B252,KB[[#This Row],[RELASI]],$D$2:D252,1),"000")</f>
        <v>019</v>
      </c>
      <c r="D252" s="141">
        <f>IF(COUNTIFS($B$3:B252,KB[[#This Row],[RELASI]],$F$3:F252,KB[[#This Row],[TANGGAL]])&lt;&gt;1,0,1)</f>
        <v>1</v>
      </c>
      <c r="E252" s="141" t="str">
        <f>TEXT(IF(KB[[#This Row],[DOC]]&lt;&gt;"",KB[[#This Row],[DOC]],E251),"000")</f>
        <v>019</v>
      </c>
      <c r="F252" s="40">
        <v>43862</v>
      </c>
      <c r="G252" s="40" t="str">
        <f>TYPE</f>
        <v>A</v>
      </c>
      <c r="H252" s="153" t="s">
        <v>810</v>
      </c>
      <c r="I252" s="42" t="s">
        <v>791</v>
      </c>
      <c r="J252" s="43" t="s">
        <v>83</v>
      </c>
      <c r="K252" s="44">
        <v>2</v>
      </c>
      <c r="L252" s="49">
        <v>17530</v>
      </c>
      <c r="M252" s="49">
        <v>7770</v>
      </c>
      <c r="N252" s="49">
        <v>9760</v>
      </c>
      <c r="O252" s="49">
        <v>5.9999999999999991</v>
      </c>
      <c r="P252" s="49">
        <v>585.59999999999991</v>
      </c>
      <c r="Q252" s="49">
        <v>9174.4</v>
      </c>
      <c r="R252" s="49">
        <v>2750</v>
      </c>
      <c r="S252" s="49">
        <v>25229600</v>
      </c>
      <c r="T252" s="49">
        <v>13.82</v>
      </c>
      <c r="U252" s="49">
        <v>2763.82</v>
      </c>
      <c r="V252" s="49">
        <v>25356390</v>
      </c>
      <c r="W252" s="49">
        <v>126782</v>
      </c>
      <c r="X252" s="49">
        <v>25229608</v>
      </c>
      <c r="Y252" s="530" t="str">
        <f>IFERROR(IF(FIND("/KM",KB[[#This Row],[SUPPLIER]])&gt;0,"LAUT"),"DARAT")</f>
        <v>LAUT</v>
      </c>
    </row>
    <row r="253" spans="2:25">
      <c r="B253" s="140" t="str">
        <f>IFERROR(LEFT(KB[[#This Row],[SUPPLIER]],FIND("/",KB[[#This Row],[SUPPLIER]])-1),KB[[#This Row],[SUPPLIER]])</f>
        <v>MARTONO</v>
      </c>
      <c r="C253" s="141" t="str">
        <f>TEXT(VLOOKUP(KB[[#This Row],[RELASI]],DBRELASI[[RELASI]:[DOCKB]],10,0)+COUNTIFS($B$2:B253,KB[[#This Row],[RELASI]],$D$2:D253,1),"000")</f>
        <v>019</v>
      </c>
      <c r="D253" s="141">
        <f>IF(COUNTIFS($B$3:B253,KB[[#This Row],[RELASI]],$F$3:F253,KB[[#This Row],[TANGGAL]])&lt;&gt;1,0,1)</f>
        <v>0</v>
      </c>
      <c r="E253" s="141" t="str">
        <f>TEXT(IF(KB[[#This Row],[DOC]]&lt;&gt;"",KB[[#This Row],[DOC]],E252),"000")</f>
        <v>019</v>
      </c>
      <c r="F253" s="40">
        <v>43862</v>
      </c>
      <c r="G253" s="40" t="str">
        <f>TYPE</f>
        <v>A</v>
      </c>
      <c r="H253"/>
      <c r="I253" s="42" t="s">
        <v>519</v>
      </c>
      <c r="J253" s="43" t="s">
        <v>83</v>
      </c>
      <c r="K253" s="44">
        <v>2</v>
      </c>
      <c r="L253" s="49">
        <v>14110</v>
      </c>
      <c r="M253" s="49">
        <v>7740</v>
      </c>
      <c r="N253" s="49">
        <v>6370</v>
      </c>
      <c r="O253" s="49">
        <v>5.9999999999999991</v>
      </c>
      <c r="P253" s="49">
        <v>382.2</v>
      </c>
      <c r="Q253" s="49">
        <v>5987.8</v>
      </c>
      <c r="R253" s="49">
        <v>2750</v>
      </c>
      <c r="S253" s="49">
        <v>16466450</v>
      </c>
      <c r="T253" s="49">
        <v>13.82</v>
      </c>
      <c r="U253" s="49">
        <v>2763.82</v>
      </c>
      <c r="V253" s="49">
        <v>16549202</v>
      </c>
      <c r="W253" s="49">
        <v>82746</v>
      </c>
      <c r="X253" s="49">
        <v>16466456</v>
      </c>
      <c r="Y253" s="530" t="str">
        <f>IFERROR(IF(FIND("/KM",KB[[#This Row],[SUPPLIER]])&gt;0,"LAUT"),"DARAT")</f>
        <v>LAUT</v>
      </c>
    </row>
    <row r="254" spans="2:25">
      <c r="B254" s="140" t="str">
        <f>IFERROR(LEFT(KB[[#This Row],[SUPPLIER]],FIND("/",KB[[#This Row],[SUPPLIER]])-1),KB[[#This Row],[SUPPLIER]])</f>
        <v>MARTONO</v>
      </c>
      <c r="C254" s="141" t="str">
        <f>TEXT(VLOOKUP(KB[[#This Row],[RELASI]],DBRELASI[[RELASI]:[DOCKB]],10,0)+COUNTIFS($B$2:B254,KB[[#This Row],[RELASI]],$D$2:D254,1),"000")</f>
        <v>019</v>
      </c>
      <c r="D254" s="141">
        <f>IF(COUNTIFS($B$3:B254,KB[[#This Row],[RELASI]],$F$3:F254,KB[[#This Row],[TANGGAL]])&lt;&gt;1,0,1)</f>
        <v>0</v>
      </c>
      <c r="E254" s="141" t="str">
        <f>TEXT(IF(KB[[#This Row],[DOC]]&lt;&gt;"",KB[[#This Row],[DOC]],E253),"000")</f>
        <v>019</v>
      </c>
      <c r="F254" s="40">
        <v>43862</v>
      </c>
      <c r="G254" s="40" t="str">
        <f>TYPE</f>
        <v>A</v>
      </c>
      <c r="H254"/>
      <c r="I254" s="42" t="s">
        <v>529</v>
      </c>
      <c r="J254" s="43" t="s">
        <v>83</v>
      </c>
      <c r="K254" s="44">
        <v>2</v>
      </c>
      <c r="L254" s="49">
        <v>16030</v>
      </c>
      <c r="M254" s="49">
        <v>7770</v>
      </c>
      <c r="N254" s="49">
        <v>8260</v>
      </c>
      <c r="O254" s="49">
        <v>6</v>
      </c>
      <c r="P254" s="49">
        <v>495.59999999999997</v>
      </c>
      <c r="Q254" s="49">
        <v>7764.4000000000005</v>
      </c>
      <c r="R254" s="49">
        <v>2750</v>
      </c>
      <c r="S254" s="49">
        <v>21352100</v>
      </c>
      <c r="T254" s="49">
        <v>13.82</v>
      </c>
      <c r="U254" s="49">
        <v>2763.82</v>
      </c>
      <c r="V254" s="49">
        <v>21459404</v>
      </c>
      <c r="W254" s="49">
        <v>107297</v>
      </c>
      <c r="X254" s="49">
        <v>21352107</v>
      </c>
      <c r="Y254" s="530" t="str">
        <f>IFERROR(IF(FIND("/KM",KB[[#This Row],[SUPPLIER]])&gt;0,"LAUT"),"DARAT")</f>
        <v>LAUT</v>
      </c>
    </row>
    <row r="255" spans="2:25">
      <c r="B255" s="140" t="str">
        <f>IFERROR(LEFT(KB[[#This Row],[SUPPLIER]],FIND("/",KB[[#This Row],[SUPPLIER]])-1),KB[[#This Row],[SUPPLIER]])</f>
        <v>MARTONO</v>
      </c>
      <c r="C255" s="141" t="str">
        <f>TEXT(VLOOKUP(KB[[#This Row],[RELASI]],DBRELASI[[RELASI]:[DOCKB]],10,0)+COUNTIFS($B$2:B255,KB[[#This Row],[RELASI]],$D$2:D255,1),"000")</f>
        <v>019</v>
      </c>
      <c r="D255" s="141">
        <f>IF(COUNTIFS($B$3:B255,KB[[#This Row],[RELASI]],$F$3:F255,KB[[#This Row],[TANGGAL]])&lt;&gt;1,0,1)</f>
        <v>0</v>
      </c>
      <c r="E255" s="141" t="str">
        <f>TEXT(IF(KB[[#This Row],[DOC]]&lt;&gt;"",KB[[#This Row],[DOC]],E254),"000")</f>
        <v>019</v>
      </c>
      <c r="F255" s="40">
        <v>43862</v>
      </c>
      <c r="G255" s="40" t="str">
        <f>TYPE</f>
        <v>A</v>
      </c>
      <c r="H255"/>
      <c r="I255" s="42" t="s">
        <v>509</v>
      </c>
      <c r="J255" s="43" t="s">
        <v>83</v>
      </c>
      <c r="K255" s="44">
        <v>1</v>
      </c>
      <c r="L255" s="49">
        <v>7170</v>
      </c>
      <c r="M255" s="49">
        <v>3880</v>
      </c>
      <c r="N255" s="49">
        <v>3290</v>
      </c>
      <c r="O255" s="49">
        <v>6</v>
      </c>
      <c r="P255" s="49">
        <v>197.4</v>
      </c>
      <c r="Q255" s="49">
        <v>3092.6</v>
      </c>
      <c r="R255" s="49">
        <v>2750</v>
      </c>
      <c r="S255" s="49">
        <v>8504650</v>
      </c>
      <c r="T255" s="49">
        <v>13.82</v>
      </c>
      <c r="U255" s="49">
        <v>2763.82</v>
      </c>
      <c r="V255" s="49">
        <v>8547390</v>
      </c>
      <c r="W255" s="49">
        <v>42737</v>
      </c>
      <c r="X255" s="49">
        <v>8504653</v>
      </c>
      <c r="Y255" s="530" t="str">
        <f>IFERROR(IF(FIND("/KM",KB[[#This Row],[SUPPLIER]])&gt;0,"LAUT"),"DARAT")</f>
        <v>LAUT</v>
      </c>
    </row>
    <row r="256" spans="2:25">
      <c r="B256" s="140" t="str">
        <f>IFERROR(LEFT(KB[[#This Row],[SUPPLIER]],FIND("/",KB[[#This Row],[SUPPLIER]])-1),KB[[#This Row],[SUPPLIER]])</f>
        <v>MASRI</v>
      </c>
      <c r="C256" s="141" t="str">
        <f>TEXT(VLOOKUP(KB[[#This Row],[RELASI]],DBRELASI[[RELASI]:[DOCKB]],10,0)+COUNTIFS($B$2:B256,KB[[#This Row],[RELASI]],$D$2:D256,1),"000")</f>
        <v>015</v>
      </c>
      <c r="D256" s="141">
        <f>IF(COUNTIFS($B$3:B256,KB[[#This Row],[RELASI]],$F$3:F256,KB[[#This Row],[TANGGAL]])&lt;&gt;1,0,1)</f>
        <v>1</v>
      </c>
      <c r="E256" s="141" t="str">
        <f>TEXT(IF(KB[[#This Row],[DOC]]&lt;&gt;"",KB[[#This Row],[DOC]],E255),"000")</f>
        <v>015</v>
      </c>
      <c r="F256" s="40">
        <v>43862</v>
      </c>
      <c r="G256" s="40" t="str">
        <f>TYPE</f>
        <v>A</v>
      </c>
      <c r="H256" s="153" t="s">
        <v>789</v>
      </c>
      <c r="I256" s="42" t="s">
        <v>775</v>
      </c>
      <c r="J256" s="43" t="s">
        <v>511</v>
      </c>
      <c r="K256" s="44">
        <v>7</v>
      </c>
      <c r="L256" s="49">
        <v>60480</v>
      </c>
      <c r="M256" s="49">
        <v>27260</v>
      </c>
      <c r="N256" s="49">
        <v>33220</v>
      </c>
      <c r="O256" s="49">
        <v>6</v>
      </c>
      <c r="P256" s="49">
        <v>1993.2</v>
      </c>
      <c r="Q256" s="49">
        <v>31226.799999999999</v>
      </c>
      <c r="R256" s="49">
        <v>2850</v>
      </c>
      <c r="S256" s="49">
        <v>88996380</v>
      </c>
      <c r="T256" s="49">
        <v>14.32</v>
      </c>
      <c r="U256" s="49">
        <v>2864.32</v>
      </c>
      <c r="V256" s="49">
        <v>89443549</v>
      </c>
      <c r="W256" s="49">
        <v>447218</v>
      </c>
      <c r="X256" s="49">
        <v>88996331</v>
      </c>
      <c r="Y256" s="530" t="str">
        <f>IFERROR(IF(FIND("/KM",KB[[#This Row],[SUPPLIER]])&gt;0,"LAUT"),"DARAT")</f>
        <v>LAUT</v>
      </c>
    </row>
    <row r="257" spans="2:25">
      <c r="B257" s="140" t="str">
        <f>IFERROR(LEFT(KB[[#This Row],[SUPPLIER]],FIND("/",KB[[#This Row],[SUPPLIER]])-1),KB[[#This Row],[SUPPLIER]])</f>
        <v>PT.SINAR KELAPA TEMBILAHAN</v>
      </c>
      <c r="C257" s="141" t="str">
        <f>TEXT(VLOOKUP(KB[[#This Row],[RELASI]],DBRELASI[[RELASI]:[DOCKB]],10,0)+COUNTIFS($B$2:B257,KB[[#This Row],[RELASI]],$D$2:D257,1),"000")</f>
        <v>007</v>
      </c>
      <c r="D257" s="141">
        <f>IF(COUNTIFS($B$3:B257,KB[[#This Row],[RELASI]],$F$3:F257,KB[[#This Row],[TANGGAL]])&lt;&gt;1,0,1)</f>
        <v>1</v>
      </c>
      <c r="E257" s="141" t="str">
        <f>TEXT(IF(KB[[#This Row],[DOC]]&lt;&gt;"",KB[[#This Row],[DOC]],E256),"000")</f>
        <v>007</v>
      </c>
      <c r="F257" s="40">
        <v>43862</v>
      </c>
      <c r="G257" s="40" t="str">
        <f>TYPE</f>
        <v>A</v>
      </c>
      <c r="H257" s="153" t="s">
        <v>763</v>
      </c>
      <c r="I257" s="42" t="s">
        <v>831</v>
      </c>
      <c r="J257" s="43" t="s">
        <v>81</v>
      </c>
      <c r="K257" s="44">
        <v>2</v>
      </c>
      <c r="L257" s="49">
        <v>15100</v>
      </c>
      <c r="M257" s="49">
        <v>7760</v>
      </c>
      <c r="N257" s="49">
        <v>7340</v>
      </c>
      <c r="O257" s="49">
        <v>5.9999999999999991</v>
      </c>
      <c r="P257" s="49">
        <v>440.4</v>
      </c>
      <c r="Q257" s="49">
        <v>6899.6</v>
      </c>
      <c r="R257" s="49">
        <v>2850</v>
      </c>
      <c r="S257" s="49">
        <v>19663860</v>
      </c>
      <c r="T257" s="49">
        <v>0</v>
      </c>
      <c r="U257" s="49">
        <v>2850</v>
      </c>
      <c r="V257" s="49">
        <v>19663860</v>
      </c>
      <c r="W257" s="49">
        <v>49159</v>
      </c>
      <c r="X257" s="49">
        <v>19614701</v>
      </c>
      <c r="Y257" s="530" t="str">
        <f>IFERROR(IF(FIND("/KM",KB[[#This Row],[SUPPLIER]])&gt;0,"LAUT"),"DARAT")</f>
        <v>LAUT</v>
      </c>
    </row>
    <row r="258" spans="2:25">
      <c r="B258" s="140" t="str">
        <f>IFERROR(LEFT(KB[[#This Row],[SUPPLIER]],FIND("/",KB[[#This Row],[SUPPLIER]])-1),KB[[#This Row],[SUPPLIER]])</f>
        <v>PT.SINAR KELAPA TEMBILAHAN</v>
      </c>
      <c r="C258" s="141" t="str">
        <f>TEXT(VLOOKUP(KB[[#This Row],[RELASI]],DBRELASI[[RELASI]:[DOCKB]],10,0)+COUNTIFS($B$2:B258,KB[[#This Row],[RELASI]],$D$2:D258,1),"000")</f>
        <v>007</v>
      </c>
      <c r="D258" s="141">
        <f>IF(COUNTIFS($B$3:B258,KB[[#This Row],[RELASI]],$F$3:F258,KB[[#This Row],[TANGGAL]])&lt;&gt;1,0,1)</f>
        <v>0</v>
      </c>
      <c r="E258" s="141" t="str">
        <f>TEXT(IF(KB[[#This Row],[DOC]]&lt;&gt;"",KB[[#This Row],[DOC]],E257),"000")</f>
        <v>007</v>
      </c>
      <c r="F258" s="40">
        <v>43862</v>
      </c>
      <c r="G258" s="40" t="str">
        <f>TYPE</f>
        <v>A</v>
      </c>
      <c r="H258"/>
      <c r="I258" s="46" t="s">
        <v>841</v>
      </c>
      <c r="J258" s="47" t="s">
        <v>81</v>
      </c>
      <c r="K258" s="48">
        <v>2</v>
      </c>
      <c r="L258" s="49">
        <v>15370</v>
      </c>
      <c r="M258" s="49">
        <v>7750</v>
      </c>
      <c r="N258" s="49">
        <v>7620</v>
      </c>
      <c r="O258" s="49">
        <v>5.9999999999999991</v>
      </c>
      <c r="P258" s="49">
        <v>457.19999999999993</v>
      </c>
      <c r="Q258" s="49">
        <v>7162.7999999999993</v>
      </c>
      <c r="R258" s="49">
        <v>2850.0000000000005</v>
      </c>
      <c r="S258" s="49">
        <v>20413980</v>
      </c>
      <c r="T258" s="49">
        <v>0</v>
      </c>
      <c r="U258" s="49">
        <v>2850.0000000000005</v>
      </c>
      <c r="V258" s="49">
        <v>20413980</v>
      </c>
      <c r="W258" s="49">
        <v>51035</v>
      </c>
      <c r="X258" s="49">
        <v>20362945</v>
      </c>
      <c r="Y258" s="574" t="str">
        <f>IFERROR(IF(FIND("/KM",KB[[#This Row],[SUPPLIER]])&gt;0,"LAUT"),"DARAT")</f>
        <v>LAUT</v>
      </c>
    </row>
    <row r="259" spans="2:25">
      <c r="B259" s="140" t="str">
        <f>IFERROR(LEFT(KB[[#This Row],[SUPPLIER]],FIND("/",KB[[#This Row],[SUPPLIER]])-1),KB[[#This Row],[SUPPLIER]])</f>
        <v>ERAWATI</v>
      </c>
      <c r="C259" s="141" t="str">
        <f>TEXT(VLOOKUP(KB[[#This Row],[RELASI]],DBRELASI[[RELASI]:[DOCKB]],10,0)+COUNTIFS($B$2:B259,KB[[#This Row],[RELASI]],$D$2:D259,1),"000")</f>
        <v>024</v>
      </c>
      <c r="D259" s="141">
        <f>IF(COUNTIFS($B$3:B259,KB[[#This Row],[RELASI]],$F$3:F259,KB[[#This Row],[TANGGAL]])&lt;&gt;1,0,1)</f>
        <v>1</v>
      </c>
      <c r="E259" s="141" t="str">
        <f>TEXT(IF(KB[[#This Row],[DOC]]&lt;&gt;"",KB[[#This Row],[DOC]],E258),"000")</f>
        <v>024</v>
      </c>
      <c r="F259" s="40">
        <v>43864</v>
      </c>
      <c r="G259" s="40" t="str">
        <f>TYPE</f>
        <v>A</v>
      </c>
      <c r="H259" s="153" t="s">
        <v>844</v>
      </c>
      <c r="I259" s="42" t="s">
        <v>155</v>
      </c>
      <c r="J259" s="43" t="s">
        <v>77</v>
      </c>
      <c r="K259" s="44">
        <v>8</v>
      </c>
      <c r="L259" s="49">
        <v>67310</v>
      </c>
      <c r="M259" s="49">
        <v>33900</v>
      </c>
      <c r="N259" s="49">
        <v>33410</v>
      </c>
      <c r="O259" s="49">
        <v>5</v>
      </c>
      <c r="P259" s="49">
        <v>1670.5</v>
      </c>
      <c r="Q259" s="49">
        <v>31739.5</v>
      </c>
      <c r="R259" s="49">
        <v>2800</v>
      </c>
      <c r="S259" s="49">
        <v>88870600</v>
      </c>
      <c r="T259" s="49">
        <v>14.07</v>
      </c>
      <c r="U259" s="49">
        <v>2814.07</v>
      </c>
      <c r="V259" s="49">
        <v>89317175</v>
      </c>
      <c r="W259" s="49">
        <v>446585</v>
      </c>
      <c r="X259" s="49">
        <v>88870590</v>
      </c>
      <c r="Y259" s="530" t="str">
        <f>IFERROR(IF(FIND("/KM",KB[[#This Row],[SUPPLIER]])&gt;0,"LAUT"),"DARAT")</f>
        <v>DARAT</v>
      </c>
    </row>
    <row r="260" spans="2:25">
      <c r="B260" s="140" t="str">
        <f>IFERROR(LEFT(KB[[#This Row],[SUPPLIER]],FIND("/",KB[[#This Row],[SUPPLIER]])-1),KB[[#This Row],[SUPPLIER]])</f>
        <v>INDRAYANI</v>
      </c>
      <c r="C260" s="141" t="str">
        <f>TEXT(VLOOKUP(KB[[#This Row],[RELASI]],DBRELASI[[RELASI]:[DOCKB]],10,0)+COUNTIFS($B$2:B260,KB[[#This Row],[RELASI]],$D$2:D260,1),"000")</f>
        <v>022</v>
      </c>
      <c r="D260" s="141">
        <f>IF(COUNTIFS($B$3:B260,KB[[#This Row],[RELASI]],$F$3:F260,KB[[#This Row],[TANGGAL]])&lt;&gt;1,0,1)</f>
        <v>1</v>
      </c>
      <c r="E260" s="141" t="str">
        <f>TEXT(IF(KB[[#This Row],[DOC]]&lt;&gt;"",KB[[#This Row],[DOC]],E259),"000")</f>
        <v>022</v>
      </c>
      <c r="F260" s="40">
        <v>43864</v>
      </c>
      <c r="G260" s="40" t="str">
        <f>TYPE</f>
        <v>A</v>
      </c>
      <c r="H260" s="153" t="s">
        <v>837</v>
      </c>
      <c r="I260" s="42" t="s">
        <v>79</v>
      </c>
      <c r="J260" s="43" t="s">
        <v>77</v>
      </c>
      <c r="K260" s="44">
        <v>2</v>
      </c>
      <c r="L260" s="49">
        <v>21270</v>
      </c>
      <c r="M260" s="49">
        <v>7780</v>
      </c>
      <c r="N260" s="49">
        <v>13490</v>
      </c>
      <c r="O260" s="49">
        <v>5</v>
      </c>
      <c r="P260" s="49">
        <v>674.5</v>
      </c>
      <c r="Q260" s="49">
        <v>12815.5</v>
      </c>
      <c r="R260" s="49">
        <v>2900</v>
      </c>
      <c r="S260" s="49">
        <v>37164950</v>
      </c>
      <c r="T260" s="49">
        <v>14.57</v>
      </c>
      <c r="U260" s="49">
        <v>2914.57</v>
      </c>
      <c r="V260" s="49">
        <v>37351672</v>
      </c>
      <c r="W260" s="49">
        <v>186758</v>
      </c>
      <c r="X260" s="49">
        <v>37164914</v>
      </c>
      <c r="Y260" s="530" t="str">
        <f>IFERROR(IF(FIND("/KM",KB[[#This Row],[SUPPLIER]])&gt;0,"LAUT"),"DARAT")</f>
        <v>DARAT</v>
      </c>
    </row>
    <row r="261" spans="2:25">
      <c r="B261" s="140" t="str">
        <f>IFERROR(LEFT(KB[[#This Row],[SUPPLIER]],FIND("/",KB[[#This Row],[SUPPLIER]])-1),KB[[#This Row],[SUPPLIER]])</f>
        <v>RUSLAN JAYA, SH</v>
      </c>
      <c r="C261" s="141" t="str">
        <f>TEXT(VLOOKUP(KB[[#This Row],[RELASI]],DBRELASI[[RELASI]:[DOCKB]],10,0)+COUNTIFS($B$2:B261,KB[[#This Row],[RELASI]],$D$2:D261,1),"000")</f>
        <v>011</v>
      </c>
      <c r="D261" s="141">
        <f>IF(COUNTIFS($B$3:B261,KB[[#This Row],[RELASI]],$F$3:F261,KB[[#This Row],[TANGGAL]])&lt;&gt;1,0,1)</f>
        <v>1</v>
      </c>
      <c r="E261" s="141" t="str">
        <f>TEXT(IF(KB[[#This Row],[DOC]]&lt;&gt;"",KB[[#This Row],[DOC]],E260),"000")</f>
        <v>011</v>
      </c>
      <c r="F261" s="40">
        <v>43864</v>
      </c>
      <c r="G261" s="40" t="str">
        <f>TYPE</f>
        <v>A</v>
      </c>
      <c r="H261" s="153" t="s">
        <v>777</v>
      </c>
      <c r="I261" s="42" t="s">
        <v>479</v>
      </c>
      <c r="J261" s="43" t="s">
        <v>475</v>
      </c>
      <c r="K261" s="44">
        <v>5</v>
      </c>
      <c r="L261" s="49">
        <v>48480</v>
      </c>
      <c r="M261" s="49">
        <v>18650</v>
      </c>
      <c r="N261" s="49">
        <v>29830</v>
      </c>
      <c r="O261" s="49">
        <v>5.1092859537378477</v>
      </c>
      <c r="P261" s="49">
        <v>1524.1</v>
      </c>
      <c r="Q261" s="49">
        <v>28305.9</v>
      </c>
      <c r="R261" s="49">
        <v>2800</v>
      </c>
      <c r="S261" s="49">
        <v>79256520</v>
      </c>
      <c r="T261" s="49">
        <v>14.07</v>
      </c>
      <c r="U261" s="49">
        <v>2814.07</v>
      </c>
      <c r="V261" s="49">
        <v>79654783</v>
      </c>
      <c r="W261" s="49">
        <v>398273</v>
      </c>
      <c r="X261" s="49">
        <v>79256510</v>
      </c>
      <c r="Y261" s="530" t="str">
        <f>IFERROR(IF(FIND("/KM",KB[[#This Row],[SUPPLIER]])&gt;0,"LAUT"),"DARAT")</f>
        <v>DARAT</v>
      </c>
    </row>
    <row r="262" spans="2:25">
      <c r="B262" s="140" t="str">
        <f>IFERROR(LEFT(KB[[#This Row],[SUPPLIER]],FIND("/",KB[[#This Row],[SUPPLIER]])-1),KB[[#This Row],[SUPPLIER]])</f>
        <v>SAIRI</v>
      </c>
      <c r="C262" s="141" t="str">
        <f>TEXT(VLOOKUP(KB[[#This Row],[RELASI]],DBRELASI[[RELASI]:[DOCKB]],10,0)+COUNTIFS($B$2:B262,KB[[#This Row],[RELASI]],$D$2:D262,1),"000")</f>
        <v>017</v>
      </c>
      <c r="D262" s="141">
        <f>IF(COUNTIFS($B$3:B262,KB[[#This Row],[RELASI]],$F$3:F262,KB[[#This Row],[TANGGAL]])&lt;&gt;1,0,1)</f>
        <v>1</v>
      </c>
      <c r="E262" s="141" t="str">
        <f>TEXT(IF(KB[[#This Row],[DOC]]&lt;&gt;"",KB[[#This Row],[DOC]],E261),"000")</f>
        <v>017</v>
      </c>
      <c r="F262" s="40">
        <v>43864</v>
      </c>
      <c r="G262" s="40" t="str">
        <f>TYPE</f>
        <v>A</v>
      </c>
      <c r="H262" s="153" t="s">
        <v>798</v>
      </c>
      <c r="I262" s="42" t="s">
        <v>84</v>
      </c>
      <c r="J262" s="43" t="s">
        <v>85</v>
      </c>
      <c r="K262" s="44">
        <v>3</v>
      </c>
      <c r="L262" s="49">
        <v>19780</v>
      </c>
      <c r="M262" s="49">
        <v>10240</v>
      </c>
      <c r="N262" s="49">
        <v>9540</v>
      </c>
      <c r="O262" s="49">
        <v>5</v>
      </c>
      <c r="P262" s="49">
        <v>477</v>
      </c>
      <c r="Q262" s="49">
        <v>9063</v>
      </c>
      <c r="R262" s="49">
        <v>2850</v>
      </c>
      <c r="S262" s="49">
        <v>25829550</v>
      </c>
      <c r="T262" s="49">
        <v>14.32</v>
      </c>
      <c r="U262" s="49">
        <v>2864.32</v>
      </c>
      <c r="V262" s="49">
        <v>25959333</v>
      </c>
      <c r="W262" s="49">
        <v>129797</v>
      </c>
      <c r="X262" s="49">
        <v>25829536</v>
      </c>
      <c r="Y262" s="530" t="str">
        <f>IFERROR(IF(FIND("/KM",KB[[#This Row],[SUPPLIER]])&gt;0,"LAUT"),"DARAT")</f>
        <v>DARAT</v>
      </c>
    </row>
    <row r="263" spans="2:25">
      <c r="B263" s="140" t="str">
        <f>IFERROR(LEFT(KB[[#This Row],[SUPPLIER]],FIND("/",KB[[#This Row],[SUPPLIER]])-1),KB[[#This Row],[SUPPLIER]])</f>
        <v>YANADI</v>
      </c>
      <c r="C263" s="141" t="str">
        <f>TEXT(VLOOKUP(KB[[#This Row],[RELASI]],DBRELASI[[RELASI]:[DOCKB]],10,0)+COUNTIFS($B$2:B263,KB[[#This Row],[RELASI]],$D$2:D263,1),"000")</f>
        <v>013</v>
      </c>
      <c r="D263" s="141">
        <f>IF(COUNTIFS($B$3:B263,KB[[#This Row],[RELASI]],$F$3:F263,KB[[#This Row],[TANGGAL]])&lt;&gt;1,0,1)</f>
        <v>1</v>
      </c>
      <c r="E263" s="141" t="str">
        <f>TEXT(IF(KB[[#This Row],[DOC]]&lt;&gt;"",KB[[#This Row],[DOC]],E262),"000")</f>
        <v>013</v>
      </c>
      <c r="F263" s="40">
        <v>43864</v>
      </c>
      <c r="G263" s="40" t="str">
        <f>TYPE</f>
        <v>A</v>
      </c>
      <c r="H263" s="153" t="s">
        <v>780</v>
      </c>
      <c r="I263" s="42" t="s">
        <v>137</v>
      </c>
      <c r="J263" s="43" t="s">
        <v>74</v>
      </c>
      <c r="K263" s="44">
        <v>4</v>
      </c>
      <c r="L263" s="49">
        <v>35210</v>
      </c>
      <c r="M263" s="49">
        <v>11860</v>
      </c>
      <c r="N263" s="49">
        <v>23350</v>
      </c>
      <c r="O263" s="49">
        <v>5</v>
      </c>
      <c r="P263" s="49">
        <v>1167.5</v>
      </c>
      <c r="Q263" s="49">
        <v>22182.5</v>
      </c>
      <c r="R263" s="49">
        <v>2800</v>
      </c>
      <c r="S263" s="49">
        <v>62111000</v>
      </c>
      <c r="T263" s="49">
        <v>14.07</v>
      </c>
      <c r="U263" s="49">
        <v>2814.07</v>
      </c>
      <c r="V263" s="49">
        <v>62423108</v>
      </c>
      <c r="W263" s="49">
        <v>312115</v>
      </c>
      <c r="X263" s="49">
        <v>62110993</v>
      </c>
      <c r="Y263" s="530" t="str">
        <f>IFERROR(IF(FIND("/KM",KB[[#This Row],[SUPPLIER]])&gt;0,"LAUT"),"DARAT")</f>
        <v>DARAT</v>
      </c>
    </row>
    <row r="264" spans="2:25">
      <c r="B264" s="140" t="str">
        <f>IFERROR(LEFT(KB[[#This Row],[SUPPLIER]],FIND("/",KB[[#This Row],[SUPPLIER]])-1),KB[[#This Row],[SUPPLIER]])</f>
        <v>DINI CHAIRANI</v>
      </c>
      <c r="C264" s="141" t="str">
        <f>TEXT(VLOOKUP(KB[[#This Row],[RELASI]],DBRELASI[[RELASI]:[DOCKB]],10,0)+COUNTIFS($B$2:B264,KB[[#This Row],[RELASI]],$D$2:D264,1),"000")</f>
        <v>017</v>
      </c>
      <c r="D264" s="141">
        <f>IF(COUNTIFS($B$3:B264,KB[[#This Row],[RELASI]],$F$3:F264,KB[[#This Row],[TANGGAL]])&lt;&gt;1,0,1)</f>
        <v>1</v>
      </c>
      <c r="E264" s="141" t="str">
        <f>TEXT(IF(KB[[#This Row],[DOC]]&lt;&gt;"",KB[[#This Row],[DOC]],E263),"000")</f>
        <v>017</v>
      </c>
      <c r="F264" s="40">
        <v>43864</v>
      </c>
      <c r="G264" s="40" t="str">
        <f>TYPE</f>
        <v>A</v>
      </c>
      <c r="H264" s="153" t="s">
        <v>798</v>
      </c>
      <c r="I264" s="42" t="s">
        <v>772</v>
      </c>
      <c r="J264" s="43" t="s">
        <v>95</v>
      </c>
      <c r="K264" s="44">
        <v>2</v>
      </c>
      <c r="L264" s="49">
        <v>16110</v>
      </c>
      <c r="M264" s="49">
        <v>7670</v>
      </c>
      <c r="N264" s="49">
        <v>8440</v>
      </c>
      <c r="O264" s="49">
        <v>5.9999999999999991</v>
      </c>
      <c r="P264" s="49">
        <v>506.4</v>
      </c>
      <c r="Q264" s="49">
        <v>7933.6</v>
      </c>
      <c r="R264" s="49">
        <v>2750</v>
      </c>
      <c r="S264" s="49">
        <v>21817400</v>
      </c>
      <c r="T264" s="49">
        <v>13.82</v>
      </c>
      <c r="U264" s="49">
        <v>2763.82</v>
      </c>
      <c r="V264" s="49">
        <v>21927042</v>
      </c>
      <c r="W264" s="49">
        <v>109636</v>
      </c>
      <c r="X264" s="49">
        <v>21817406</v>
      </c>
      <c r="Y264" s="530" t="str">
        <f>IFERROR(IF(FIND("/KM",KB[[#This Row],[SUPPLIER]])&gt;0,"LAUT"),"DARAT")</f>
        <v>LAUT</v>
      </c>
    </row>
    <row r="265" spans="2:25">
      <c r="B265" s="140" t="str">
        <f>IFERROR(LEFT(KB[[#This Row],[SUPPLIER]],FIND("/",KB[[#This Row],[SUPPLIER]])-1),KB[[#This Row],[SUPPLIER]])</f>
        <v>DINI CHAIRANI</v>
      </c>
      <c r="C265" s="141" t="str">
        <f>TEXT(VLOOKUP(KB[[#This Row],[RELASI]],DBRELASI[[RELASI]:[DOCKB]],10,0)+COUNTIFS($B$2:B265,KB[[#This Row],[RELASI]],$D$2:D265,1),"000")</f>
        <v>017</v>
      </c>
      <c r="D265" s="141">
        <f>IF(COUNTIFS($B$3:B265,KB[[#This Row],[RELASI]],$F$3:F265,KB[[#This Row],[TANGGAL]])&lt;&gt;1,0,1)</f>
        <v>0</v>
      </c>
      <c r="E265" s="141" t="str">
        <f>TEXT(IF(KB[[#This Row],[DOC]]&lt;&gt;"",KB[[#This Row],[DOC]],E264),"000")</f>
        <v>017</v>
      </c>
      <c r="F265" s="40">
        <v>43864</v>
      </c>
      <c r="G265" s="40" t="str">
        <f>TYPE</f>
        <v>A</v>
      </c>
      <c r="H265"/>
      <c r="I265" s="42" t="s">
        <v>820</v>
      </c>
      <c r="J265" s="43" t="s">
        <v>95</v>
      </c>
      <c r="K265" s="44">
        <v>2</v>
      </c>
      <c r="L265" s="49">
        <v>14260</v>
      </c>
      <c r="M265" s="49">
        <v>7890</v>
      </c>
      <c r="N265" s="49">
        <v>6370</v>
      </c>
      <c r="O265" s="49">
        <v>5.9999999999999991</v>
      </c>
      <c r="P265" s="49">
        <v>382.2</v>
      </c>
      <c r="Q265" s="49">
        <v>5987.8</v>
      </c>
      <c r="R265" s="49">
        <v>2750</v>
      </c>
      <c r="S265" s="49">
        <v>16466450</v>
      </c>
      <c r="T265" s="49">
        <v>13.82</v>
      </c>
      <c r="U265" s="49">
        <v>2763.82</v>
      </c>
      <c r="V265" s="49">
        <v>16549201</v>
      </c>
      <c r="W265" s="49">
        <v>82746</v>
      </c>
      <c r="X265" s="49">
        <v>16466455</v>
      </c>
      <c r="Y265" s="530" t="str">
        <f>IFERROR(IF(FIND("/KM",KB[[#This Row],[SUPPLIER]])&gt;0,"LAUT"),"DARAT")</f>
        <v>LAUT</v>
      </c>
    </row>
    <row r="266" spans="2:25">
      <c r="B266" s="140" t="str">
        <f>IFERROR(LEFT(KB[[#This Row],[SUPPLIER]],FIND("/",KB[[#This Row],[SUPPLIER]])-1),KB[[#This Row],[SUPPLIER]])</f>
        <v>HENDRI</v>
      </c>
      <c r="C266" s="141" t="str">
        <f>TEXT(VLOOKUP(KB[[#This Row],[RELASI]],DBRELASI[[RELASI]:[DOCKB]],10,0)+COUNTIFS($B$2:B266,KB[[#This Row],[RELASI]],$D$2:D266,1),"000")</f>
        <v>014</v>
      </c>
      <c r="D266" s="141">
        <f>IF(COUNTIFS($B$3:B266,KB[[#This Row],[RELASI]],$F$3:F266,KB[[#This Row],[TANGGAL]])&lt;&gt;1,0,1)</f>
        <v>1</v>
      </c>
      <c r="E266" s="141" t="str">
        <f>TEXT(IF(KB[[#This Row],[DOC]]&lt;&gt;"",KB[[#This Row],[DOC]],E265),"000")</f>
        <v>014</v>
      </c>
      <c r="F266" s="40">
        <v>43864</v>
      </c>
      <c r="G266" s="40" t="str">
        <f>TYPE</f>
        <v>A</v>
      </c>
      <c r="H266" s="153" t="s">
        <v>781</v>
      </c>
      <c r="I266" s="42" t="s">
        <v>770</v>
      </c>
      <c r="J266" s="43" t="s">
        <v>475</v>
      </c>
      <c r="K266" s="44">
        <v>1</v>
      </c>
      <c r="L266" s="49">
        <v>9210</v>
      </c>
      <c r="M266" s="49">
        <v>4010</v>
      </c>
      <c r="N266" s="49">
        <v>5200</v>
      </c>
      <c r="O266" s="49">
        <v>6</v>
      </c>
      <c r="P266" s="49">
        <v>312</v>
      </c>
      <c r="Q266" s="49">
        <v>4888</v>
      </c>
      <c r="R266" s="49">
        <v>2750</v>
      </c>
      <c r="S266" s="49">
        <v>13442000</v>
      </c>
      <c r="T266" s="49">
        <v>13.82</v>
      </c>
      <c r="U266" s="49">
        <v>2763.82</v>
      </c>
      <c r="V266" s="49">
        <v>13509552</v>
      </c>
      <c r="W266" s="49">
        <v>67548</v>
      </c>
      <c r="X266" s="49">
        <v>13442004</v>
      </c>
      <c r="Y266" s="530" t="str">
        <f>IFERROR(IF(FIND("/KM",KB[[#This Row],[SUPPLIER]])&gt;0,"LAUT"),"DARAT")</f>
        <v>LAUT</v>
      </c>
    </row>
    <row r="267" spans="2:25">
      <c r="B267" s="140" t="str">
        <f>IFERROR(LEFT(KB[[#This Row],[SUPPLIER]],FIND("/",KB[[#This Row],[SUPPLIER]])-1),KB[[#This Row],[SUPPLIER]])</f>
        <v>HENDRI</v>
      </c>
      <c r="C267" s="141" t="str">
        <f>TEXT(VLOOKUP(KB[[#This Row],[RELASI]],DBRELASI[[RELASI]:[DOCKB]],10,0)+COUNTIFS($B$2:B267,KB[[#This Row],[RELASI]],$D$2:D267,1),"000")</f>
        <v>014</v>
      </c>
      <c r="D267" s="141">
        <f>IF(COUNTIFS($B$3:B267,KB[[#This Row],[RELASI]],$F$3:F267,KB[[#This Row],[TANGGAL]])&lt;&gt;1,0,1)</f>
        <v>0</v>
      </c>
      <c r="E267" s="141" t="str">
        <f>TEXT(IF(KB[[#This Row],[DOC]]&lt;&gt;"",KB[[#This Row],[DOC]],E266),"000")</f>
        <v>014</v>
      </c>
      <c r="F267" s="40">
        <v>43864</v>
      </c>
      <c r="G267" s="40" t="str">
        <f>TYPE</f>
        <v>A</v>
      </c>
      <c r="H267"/>
      <c r="I267" s="42" t="s">
        <v>785</v>
      </c>
      <c r="J267" s="43" t="s">
        <v>475</v>
      </c>
      <c r="K267" s="44">
        <v>5</v>
      </c>
      <c r="L267" s="49">
        <v>41780</v>
      </c>
      <c r="M267" s="49">
        <v>19470</v>
      </c>
      <c r="N267" s="49">
        <v>22310</v>
      </c>
      <c r="O267" s="49">
        <v>6</v>
      </c>
      <c r="P267" s="49">
        <v>1338.6</v>
      </c>
      <c r="Q267" s="49">
        <v>20971.400000000001</v>
      </c>
      <c r="R267" s="49">
        <v>2800</v>
      </c>
      <c r="S267" s="49">
        <v>58719920</v>
      </c>
      <c r="T267" s="49">
        <v>14.07</v>
      </c>
      <c r="U267" s="49">
        <v>2814.07</v>
      </c>
      <c r="V267" s="49">
        <v>59014987</v>
      </c>
      <c r="W267" s="49">
        <v>295075</v>
      </c>
      <c r="X267" s="49">
        <v>58719912</v>
      </c>
      <c r="Y267" s="530" t="str">
        <f>IFERROR(IF(FIND("/KM",KB[[#This Row],[SUPPLIER]])&gt;0,"LAUT"),"DARAT")</f>
        <v>LAUT</v>
      </c>
    </row>
    <row r="268" spans="2:25">
      <c r="B268" s="140" t="str">
        <f>IFERROR(LEFT(KB[[#This Row],[SUPPLIER]],FIND("/",KB[[#This Row],[SUPPLIER]])-1),KB[[#This Row],[SUPPLIER]])</f>
        <v>MARTONO</v>
      </c>
      <c r="C268" s="141" t="str">
        <f>TEXT(VLOOKUP(KB[[#This Row],[RELASI]],DBRELASI[[RELASI]:[DOCKB]],10,0)+COUNTIFS($B$2:B268,KB[[#This Row],[RELASI]],$D$2:D268,1),"000")</f>
        <v>020</v>
      </c>
      <c r="D268" s="141">
        <f>IF(COUNTIFS($B$3:B268,KB[[#This Row],[RELASI]],$F$3:F268,KB[[#This Row],[TANGGAL]])&lt;&gt;1,0,1)</f>
        <v>1</v>
      </c>
      <c r="E268" s="141" t="str">
        <f>TEXT(IF(KB[[#This Row],[DOC]]&lt;&gt;"",KB[[#This Row],[DOC]],E267),"000")</f>
        <v>020</v>
      </c>
      <c r="F268" s="40">
        <v>43864</v>
      </c>
      <c r="G268" s="40" t="str">
        <f>TYPE</f>
        <v>A</v>
      </c>
      <c r="H268" s="153" t="s">
        <v>818</v>
      </c>
      <c r="I268" s="42" t="s">
        <v>845</v>
      </c>
      <c r="J268" s="43" t="s">
        <v>83</v>
      </c>
      <c r="K268" s="44">
        <v>5</v>
      </c>
      <c r="L268" s="49">
        <v>40460</v>
      </c>
      <c r="M268" s="49">
        <v>19430</v>
      </c>
      <c r="N268" s="49">
        <v>21030</v>
      </c>
      <c r="O268" s="49">
        <v>5.9999999999999991</v>
      </c>
      <c r="P268" s="49">
        <v>1261.8</v>
      </c>
      <c r="Q268" s="49">
        <v>19768.2</v>
      </c>
      <c r="R268" s="49">
        <v>2850</v>
      </c>
      <c r="S268" s="49">
        <v>56339370</v>
      </c>
      <c r="T268" s="49">
        <v>14.32</v>
      </c>
      <c r="U268" s="49">
        <v>2864.32</v>
      </c>
      <c r="V268" s="49">
        <v>56622451</v>
      </c>
      <c r="W268" s="49">
        <v>283112</v>
      </c>
      <c r="X268" s="49">
        <v>56339339</v>
      </c>
      <c r="Y268" s="530" t="str">
        <f>IFERROR(IF(FIND("/KM",KB[[#This Row],[SUPPLIER]])&gt;0,"LAUT"),"DARAT")</f>
        <v>LAUT</v>
      </c>
    </row>
    <row r="269" spans="2:25">
      <c r="B269" s="140" t="str">
        <f>IFERROR(LEFT(KB[[#This Row],[SUPPLIER]],FIND("/",KB[[#This Row],[SUPPLIER]])-1),KB[[#This Row],[SUPPLIER]])</f>
        <v>MARTONO</v>
      </c>
      <c r="C269" s="141" t="str">
        <f>TEXT(VLOOKUP(KB[[#This Row],[RELASI]],DBRELASI[[RELASI]:[DOCKB]],10,0)+COUNTIFS($B$2:B269,KB[[#This Row],[RELASI]],$D$2:D269,1),"000")</f>
        <v>020</v>
      </c>
      <c r="D269" s="141">
        <f>IF(COUNTIFS($B$3:B269,KB[[#This Row],[RELASI]],$F$3:F269,KB[[#This Row],[TANGGAL]])&lt;&gt;1,0,1)</f>
        <v>0</v>
      </c>
      <c r="E269" s="141" t="str">
        <f>TEXT(IF(KB[[#This Row],[DOC]]&lt;&gt;"",KB[[#This Row],[DOC]],E268),"000")</f>
        <v>020</v>
      </c>
      <c r="F269" s="40">
        <v>43864</v>
      </c>
      <c r="G269" s="40" t="str">
        <f>TYPE</f>
        <v>A</v>
      </c>
      <c r="H269"/>
      <c r="I269" s="42" t="s">
        <v>762</v>
      </c>
      <c r="J269" s="43" t="s">
        <v>83</v>
      </c>
      <c r="K269" s="44">
        <v>5</v>
      </c>
      <c r="L269" s="49">
        <v>40900</v>
      </c>
      <c r="M269" s="49">
        <v>19430</v>
      </c>
      <c r="N269" s="49">
        <v>21470</v>
      </c>
      <c r="O269" s="49">
        <v>5.9999999999999991</v>
      </c>
      <c r="P269" s="49">
        <v>1288.1999999999998</v>
      </c>
      <c r="Q269" s="49">
        <v>20181.8</v>
      </c>
      <c r="R269" s="49">
        <v>2850</v>
      </c>
      <c r="S269" s="49">
        <v>57518130</v>
      </c>
      <c r="T269" s="49">
        <v>14.32</v>
      </c>
      <c r="U269" s="49">
        <v>2864.32</v>
      </c>
      <c r="V269" s="49">
        <v>57807134</v>
      </c>
      <c r="W269" s="49">
        <v>289036</v>
      </c>
      <c r="X269" s="49">
        <v>57518098</v>
      </c>
      <c r="Y269" s="530" t="str">
        <f>IFERROR(IF(FIND("/KM",KB[[#This Row],[SUPPLIER]])&gt;0,"LAUT"),"DARAT")</f>
        <v>LAUT</v>
      </c>
    </row>
    <row r="270" spans="2:25">
      <c r="B270" s="140" t="str">
        <f>IFERROR(LEFT(KB[[#This Row],[SUPPLIER]],FIND("/",KB[[#This Row],[SUPPLIER]])-1),KB[[#This Row],[SUPPLIER]])</f>
        <v>MARTONO</v>
      </c>
      <c r="C270" s="141" t="str">
        <f>TEXT(VLOOKUP(KB[[#This Row],[RELASI]],DBRELASI[[RELASI]:[DOCKB]],10,0)+COUNTIFS($B$2:B270,KB[[#This Row],[RELASI]],$D$2:D270,1),"000")</f>
        <v>020</v>
      </c>
      <c r="D270" s="141">
        <f>IF(COUNTIFS($B$3:B270,KB[[#This Row],[RELASI]],$F$3:F270,KB[[#This Row],[TANGGAL]])&lt;&gt;1,0,1)</f>
        <v>0</v>
      </c>
      <c r="E270" s="141" t="str">
        <f>TEXT(IF(KB[[#This Row],[DOC]]&lt;&gt;"",KB[[#This Row],[DOC]],E269),"000")</f>
        <v>020</v>
      </c>
      <c r="F270" s="40">
        <v>43864</v>
      </c>
      <c r="G270" s="40" t="str">
        <f>TYPE</f>
        <v>A</v>
      </c>
      <c r="H270"/>
      <c r="I270" s="42" t="s">
        <v>522</v>
      </c>
      <c r="J270" s="43" t="s">
        <v>83</v>
      </c>
      <c r="K270" s="44">
        <v>3</v>
      </c>
      <c r="L270" s="49">
        <v>22290</v>
      </c>
      <c r="M270" s="49">
        <v>11790</v>
      </c>
      <c r="N270" s="49">
        <v>10500</v>
      </c>
      <c r="O270" s="49">
        <v>5.9999999999999991</v>
      </c>
      <c r="P270" s="49">
        <v>629.99999999999989</v>
      </c>
      <c r="Q270" s="49">
        <v>9870</v>
      </c>
      <c r="R270" s="49">
        <v>2750</v>
      </c>
      <c r="S270" s="49">
        <v>27142500</v>
      </c>
      <c r="T270" s="49">
        <v>13.82</v>
      </c>
      <c r="U270" s="49">
        <v>2763.82</v>
      </c>
      <c r="V270" s="49">
        <v>27278904</v>
      </c>
      <c r="W270" s="49">
        <v>136395</v>
      </c>
      <c r="X270" s="49">
        <v>27142509</v>
      </c>
      <c r="Y270" s="530" t="str">
        <f>IFERROR(IF(FIND("/KM",KB[[#This Row],[SUPPLIER]])&gt;0,"LAUT"),"DARAT")</f>
        <v>LAUT</v>
      </c>
    </row>
    <row r="271" spans="2:25">
      <c r="B271" s="140" t="str">
        <f>IFERROR(LEFT(KB[[#This Row],[SUPPLIER]],FIND("/",KB[[#This Row],[SUPPLIER]])-1),KB[[#This Row],[SUPPLIER]])</f>
        <v>MARTONO</v>
      </c>
      <c r="C271" s="141" t="str">
        <f>TEXT(VLOOKUP(KB[[#This Row],[RELASI]],DBRELASI[[RELASI]:[DOCKB]],10,0)+COUNTIFS($B$2:B271,KB[[#This Row],[RELASI]],$D$2:D271,1),"000")</f>
        <v>020</v>
      </c>
      <c r="D271" s="141">
        <f>IF(COUNTIFS($B$3:B271,KB[[#This Row],[RELASI]],$F$3:F271,KB[[#This Row],[TANGGAL]])&lt;&gt;1,0,1)</f>
        <v>0</v>
      </c>
      <c r="E271" s="141" t="str">
        <f>TEXT(IF(KB[[#This Row],[DOC]]&lt;&gt;"",KB[[#This Row],[DOC]],E270),"000")</f>
        <v>020</v>
      </c>
      <c r="F271" s="40">
        <v>43864</v>
      </c>
      <c r="G271" s="40" t="str">
        <f>TYPE</f>
        <v>A</v>
      </c>
      <c r="H271"/>
      <c r="I271" s="42" t="s">
        <v>509</v>
      </c>
      <c r="J271" s="43" t="s">
        <v>83</v>
      </c>
      <c r="K271" s="44">
        <v>1</v>
      </c>
      <c r="L271" s="49">
        <v>7540</v>
      </c>
      <c r="M271" s="49">
        <v>3890</v>
      </c>
      <c r="N271" s="49">
        <v>3650</v>
      </c>
      <c r="O271" s="49">
        <v>6</v>
      </c>
      <c r="P271" s="49">
        <v>219</v>
      </c>
      <c r="Q271" s="49">
        <v>3431</v>
      </c>
      <c r="R271" s="49">
        <v>2750</v>
      </c>
      <c r="S271" s="49">
        <v>9435250</v>
      </c>
      <c r="T271" s="49">
        <v>13.82</v>
      </c>
      <c r="U271" s="49">
        <v>2763.82</v>
      </c>
      <c r="V271" s="49">
        <v>9482666</v>
      </c>
      <c r="W271" s="49">
        <v>47413</v>
      </c>
      <c r="X271" s="49">
        <v>9435253</v>
      </c>
      <c r="Y271" s="530" t="str">
        <f>IFERROR(IF(FIND("/KM",KB[[#This Row],[SUPPLIER]])&gt;0,"LAUT"),"DARAT")</f>
        <v>LAUT</v>
      </c>
    </row>
    <row r="272" spans="2:25">
      <c r="B272" s="140" t="str">
        <f>IFERROR(LEFT(KB[[#This Row],[SUPPLIER]],FIND("/",KB[[#This Row],[SUPPLIER]])-1),KB[[#This Row],[SUPPLIER]])</f>
        <v>MASRI</v>
      </c>
      <c r="C272" s="141" t="str">
        <f>TEXT(VLOOKUP(KB[[#This Row],[RELASI]],DBRELASI[[RELASI]:[DOCKB]],10,0)+COUNTIFS($B$2:B272,KB[[#This Row],[RELASI]],$D$2:D272,1),"000")</f>
        <v>016</v>
      </c>
      <c r="D272" s="141">
        <f>IF(COUNTIFS($B$3:B272,KB[[#This Row],[RELASI]],$F$3:F272,KB[[#This Row],[TANGGAL]])&lt;&gt;1,0,1)</f>
        <v>1</v>
      </c>
      <c r="E272" s="141" t="str">
        <f>TEXT(IF(KB[[#This Row],[DOC]]&lt;&gt;"",KB[[#This Row],[DOC]],E271),"000")</f>
        <v>016</v>
      </c>
      <c r="F272" s="40">
        <v>43864</v>
      </c>
      <c r="G272" s="40" t="str">
        <f>TYPE</f>
        <v>A</v>
      </c>
      <c r="H272" s="153" t="s">
        <v>796</v>
      </c>
      <c r="I272" s="42" t="s">
        <v>846</v>
      </c>
      <c r="J272" s="43" t="s">
        <v>511</v>
      </c>
      <c r="K272" s="44">
        <v>21</v>
      </c>
      <c r="L272" s="49">
        <v>186270</v>
      </c>
      <c r="M272" s="49">
        <v>81880</v>
      </c>
      <c r="N272" s="49">
        <v>104390</v>
      </c>
      <c r="O272" s="49">
        <v>6</v>
      </c>
      <c r="P272" s="49">
        <v>6263.4000000000005</v>
      </c>
      <c r="Q272" s="49">
        <v>98126.599999999991</v>
      </c>
      <c r="R272" s="49">
        <v>2950.0000000000005</v>
      </c>
      <c r="S272" s="49">
        <v>289473470</v>
      </c>
      <c r="T272" s="49">
        <v>14.82</v>
      </c>
      <c r="U272" s="49">
        <v>2964.8200000000006</v>
      </c>
      <c r="V272" s="49">
        <v>290927705</v>
      </c>
      <c r="W272" s="49">
        <v>1454641</v>
      </c>
      <c r="X272" s="49">
        <v>289473064</v>
      </c>
      <c r="Y272" s="530" t="str">
        <f>IFERROR(IF(FIND("/KM",KB[[#This Row],[SUPPLIER]])&gt;0,"LAUT"),"DARAT")</f>
        <v>LAUT</v>
      </c>
    </row>
    <row r="273" spans="2:25">
      <c r="B273" s="140" t="str">
        <f>IFERROR(LEFT(KB[[#This Row],[SUPPLIER]],FIND("/",KB[[#This Row],[SUPPLIER]])-1),KB[[#This Row],[SUPPLIER]])</f>
        <v>MASRI</v>
      </c>
      <c r="C273" s="141" t="str">
        <f>TEXT(VLOOKUP(KB[[#This Row],[RELASI]],DBRELASI[[RELASI]:[DOCKB]],10,0)+COUNTIFS($B$2:B273,KB[[#This Row],[RELASI]],$D$2:D273,1),"000")</f>
        <v>016</v>
      </c>
      <c r="D273" s="141">
        <f>IF(COUNTIFS($B$3:B273,KB[[#This Row],[RELASI]],$F$3:F273,KB[[#This Row],[TANGGAL]])&lt;&gt;1,0,1)</f>
        <v>0</v>
      </c>
      <c r="E273" s="141" t="str">
        <f>TEXT(IF(KB[[#This Row],[DOC]]&lt;&gt;"",KB[[#This Row],[DOC]],E272),"000")</f>
        <v>016</v>
      </c>
      <c r="F273" s="40">
        <v>43864</v>
      </c>
      <c r="G273" s="40" t="str">
        <f>TYPE</f>
        <v>A</v>
      </c>
      <c r="H273"/>
      <c r="I273" s="42" t="s">
        <v>775</v>
      </c>
      <c r="J273" s="43" t="s">
        <v>511</v>
      </c>
      <c r="K273" s="44">
        <v>10</v>
      </c>
      <c r="L273" s="49">
        <v>85410</v>
      </c>
      <c r="M273" s="49">
        <v>38750</v>
      </c>
      <c r="N273" s="49">
        <v>46660</v>
      </c>
      <c r="O273" s="49">
        <v>6.0000000000000009</v>
      </c>
      <c r="P273" s="49">
        <v>2799.6000000000004</v>
      </c>
      <c r="Q273" s="49">
        <v>43860.399999999994</v>
      </c>
      <c r="R273" s="49">
        <v>2950.0000000000005</v>
      </c>
      <c r="S273" s="49">
        <v>129388180</v>
      </c>
      <c r="T273" s="49">
        <v>14.82</v>
      </c>
      <c r="U273" s="49">
        <v>2964.8200000000006</v>
      </c>
      <c r="V273" s="49">
        <v>130038190</v>
      </c>
      <c r="W273" s="49">
        <v>650192</v>
      </c>
      <c r="X273" s="49">
        <v>129387998</v>
      </c>
      <c r="Y273" s="530" t="str">
        <f>IFERROR(IF(FIND("/KM",KB[[#This Row],[SUPPLIER]])&gt;0,"LAUT"),"DARAT")</f>
        <v>LAUT</v>
      </c>
    </row>
    <row r="274" spans="2:25">
      <c r="B274" s="140" t="str">
        <f>IFERROR(LEFT(KB[[#This Row],[SUPPLIER]],FIND("/",KB[[#This Row],[SUPPLIER]])-1),KB[[#This Row],[SUPPLIER]])</f>
        <v>MUHAMMAD ARAB</v>
      </c>
      <c r="C274" s="141" t="str">
        <f>TEXT(VLOOKUP(KB[[#This Row],[RELASI]],DBRELASI[[RELASI]:[DOCKB]],10,0)+COUNTIFS($B$2:B274,KB[[#This Row],[RELASI]],$D$2:D274,1),"000")</f>
        <v>002</v>
      </c>
      <c r="D274" s="141">
        <f>IF(COUNTIFS($B$3:B274,KB[[#This Row],[RELASI]],$F$3:F274,KB[[#This Row],[TANGGAL]])&lt;&gt;1,0,1)</f>
        <v>1</v>
      </c>
      <c r="E274" s="141" t="str">
        <f>TEXT(IF(KB[[#This Row],[DOC]]&lt;&gt;"",KB[[#This Row],[DOC]],E273),"000")</f>
        <v>002</v>
      </c>
      <c r="F274" s="40">
        <v>43864</v>
      </c>
      <c r="G274" s="40" t="str">
        <f>TYPE</f>
        <v>A</v>
      </c>
      <c r="H274" s="153" t="s">
        <v>515</v>
      </c>
      <c r="I274" s="42" t="s">
        <v>765</v>
      </c>
      <c r="J274" s="43" t="s">
        <v>766</v>
      </c>
      <c r="K274" s="44">
        <v>4</v>
      </c>
      <c r="L274" s="49">
        <v>35360</v>
      </c>
      <c r="M274" s="49">
        <v>15560</v>
      </c>
      <c r="N274" s="49">
        <v>19800</v>
      </c>
      <c r="O274" s="49">
        <v>6</v>
      </c>
      <c r="P274" s="49">
        <v>1188</v>
      </c>
      <c r="Q274" s="49">
        <v>18612</v>
      </c>
      <c r="R274" s="49">
        <v>2750</v>
      </c>
      <c r="S274" s="49">
        <v>51183000</v>
      </c>
      <c r="T274" s="49">
        <v>13.82</v>
      </c>
      <c r="U274" s="49">
        <v>2763.82</v>
      </c>
      <c r="V274" s="49">
        <v>51440218</v>
      </c>
      <c r="W274" s="49">
        <v>257201</v>
      </c>
      <c r="X274" s="49">
        <v>51183017</v>
      </c>
      <c r="Y274" s="530" t="str">
        <f>IFERROR(IF(FIND("/KM",KB[[#This Row],[SUPPLIER]])&gt;0,"LAUT"),"DARAT")</f>
        <v>LAUT</v>
      </c>
    </row>
    <row r="275" spans="2:25">
      <c r="B275" s="140" t="str">
        <f>IFERROR(LEFT(KB[[#This Row],[SUPPLIER]],FIND("/",KB[[#This Row],[SUPPLIER]])-1),KB[[#This Row],[SUPPLIER]])</f>
        <v>PT.SINAR KELAPA TEMBILAHAN</v>
      </c>
      <c r="C275" s="141" t="str">
        <f>TEXT(VLOOKUP(KB[[#This Row],[RELASI]],DBRELASI[[RELASI]:[DOCKB]],10,0)+COUNTIFS($B$2:B275,KB[[#This Row],[RELASI]],$D$2:D275,1),"000")</f>
        <v>008</v>
      </c>
      <c r="D275" s="141">
        <f>IF(COUNTIFS($B$3:B275,KB[[#This Row],[RELASI]],$F$3:F275,KB[[#This Row],[TANGGAL]])&lt;&gt;1,0,1)</f>
        <v>1</v>
      </c>
      <c r="E275" s="141" t="str">
        <f>TEXT(IF(KB[[#This Row],[DOC]]&lt;&gt;"",KB[[#This Row],[DOC]],E274),"000")</f>
        <v>008</v>
      </c>
      <c r="F275" s="40">
        <v>43864</v>
      </c>
      <c r="G275" s="40" t="str">
        <f>TYPE</f>
        <v>A</v>
      </c>
      <c r="H275" s="153" t="s">
        <v>767</v>
      </c>
      <c r="I275" s="42" t="s">
        <v>827</v>
      </c>
      <c r="J275" s="43" t="s">
        <v>81</v>
      </c>
      <c r="K275" s="44">
        <v>2</v>
      </c>
      <c r="L275" s="49">
        <v>15780</v>
      </c>
      <c r="M275" s="49">
        <v>7820</v>
      </c>
      <c r="N275" s="49">
        <v>7960</v>
      </c>
      <c r="O275" s="49">
        <v>6.0000000000000009</v>
      </c>
      <c r="P275" s="49">
        <v>477.6</v>
      </c>
      <c r="Q275" s="49">
        <v>7482.4</v>
      </c>
      <c r="R275" s="49">
        <v>2850</v>
      </c>
      <c r="S275" s="49">
        <v>21324840</v>
      </c>
      <c r="T275" s="49">
        <v>0</v>
      </c>
      <c r="U275" s="49">
        <v>2850</v>
      </c>
      <c r="V275" s="49">
        <v>21324840</v>
      </c>
      <c r="W275" s="49">
        <v>53313</v>
      </c>
      <c r="X275" s="49">
        <v>21271527</v>
      </c>
      <c r="Y275" s="530" t="str">
        <f>IFERROR(IF(FIND("/KM",KB[[#This Row],[SUPPLIER]])&gt;0,"LAUT"),"DARAT")</f>
        <v>LAUT</v>
      </c>
    </row>
    <row r="276" spans="2:25">
      <c r="B276" s="140" t="str">
        <f>IFERROR(LEFT(KB[[#This Row],[SUPPLIER]],FIND("/",KB[[#This Row],[SUPPLIER]])-1),KB[[#This Row],[SUPPLIER]])</f>
        <v>PT.SINAR KELAPA TEMBILAHAN</v>
      </c>
      <c r="C276" s="141" t="str">
        <f>TEXT(VLOOKUP(KB[[#This Row],[RELASI]],DBRELASI[[RELASI]:[DOCKB]],10,0)+COUNTIFS($B$2:B276,KB[[#This Row],[RELASI]],$D$2:D276,1),"000")</f>
        <v>008</v>
      </c>
      <c r="D276" s="141">
        <f>IF(COUNTIFS($B$3:B276,KB[[#This Row],[RELASI]],$F$3:F276,KB[[#This Row],[TANGGAL]])&lt;&gt;1,0,1)</f>
        <v>0</v>
      </c>
      <c r="E276" s="141" t="str">
        <f>TEXT(IF(KB[[#This Row],[DOC]]&lt;&gt;"",KB[[#This Row],[DOC]],E275),"000")</f>
        <v>008</v>
      </c>
      <c r="F276" s="40">
        <v>43864</v>
      </c>
      <c r="G276" s="40" t="str">
        <f>TYPE</f>
        <v>A</v>
      </c>
      <c r="H276"/>
      <c r="I276" s="42" t="s">
        <v>830</v>
      </c>
      <c r="J276" s="43" t="s">
        <v>81</v>
      </c>
      <c r="K276" s="44">
        <v>2</v>
      </c>
      <c r="L276" s="49">
        <v>15040</v>
      </c>
      <c r="M276" s="49">
        <v>7730</v>
      </c>
      <c r="N276" s="49">
        <v>7310</v>
      </c>
      <c r="O276" s="49">
        <v>6</v>
      </c>
      <c r="P276" s="49">
        <v>438.59999999999997</v>
      </c>
      <c r="Q276" s="49">
        <v>6871.4000000000005</v>
      </c>
      <c r="R276" s="49">
        <v>2850</v>
      </c>
      <c r="S276" s="49">
        <v>19583490</v>
      </c>
      <c r="T276" s="49">
        <v>0</v>
      </c>
      <c r="U276" s="49">
        <v>2850</v>
      </c>
      <c r="V276" s="49">
        <v>19583490</v>
      </c>
      <c r="W276" s="49">
        <v>48959</v>
      </c>
      <c r="X276" s="49">
        <v>19534531</v>
      </c>
      <c r="Y276" s="530" t="str">
        <f>IFERROR(IF(FIND("/KM",KB[[#This Row],[SUPPLIER]])&gt;0,"LAUT"),"DARAT")</f>
        <v>LAUT</v>
      </c>
    </row>
    <row r="277" spans="2:25">
      <c r="B277" s="140" t="str">
        <f>IFERROR(LEFT(KB[[#This Row],[SUPPLIER]],FIND("/",KB[[#This Row],[SUPPLIER]])-1),KB[[#This Row],[SUPPLIER]])</f>
        <v>PT.SINAR KELAPA TEMBILAHAN</v>
      </c>
      <c r="C277" s="141" t="str">
        <f>TEXT(VLOOKUP(KB[[#This Row],[RELASI]],DBRELASI[[RELASI]:[DOCKB]],10,0)+COUNTIFS($B$2:B277,KB[[#This Row],[RELASI]],$D$2:D277,1),"000")</f>
        <v>008</v>
      </c>
      <c r="D277" s="141">
        <f>IF(COUNTIFS($B$3:B277,KB[[#This Row],[RELASI]],$F$3:F277,KB[[#This Row],[TANGGAL]])&lt;&gt;1,0,1)</f>
        <v>0</v>
      </c>
      <c r="E277" s="141" t="str">
        <f>TEXT(IF(KB[[#This Row],[DOC]]&lt;&gt;"",KB[[#This Row],[DOC]],E276),"000")</f>
        <v>008</v>
      </c>
      <c r="F277" s="40">
        <v>43864</v>
      </c>
      <c r="G277" s="40" t="str">
        <f>TYPE</f>
        <v>A</v>
      </c>
      <c r="H277"/>
      <c r="I277" s="42" t="s">
        <v>831</v>
      </c>
      <c r="J277" s="43" t="s">
        <v>81</v>
      </c>
      <c r="K277" s="44">
        <v>2</v>
      </c>
      <c r="L277" s="49">
        <v>13850</v>
      </c>
      <c r="M277" s="49">
        <v>7880</v>
      </c>
      <c r="N277" s="49">
        <v>5970</v>
      </c>
      <c r="O277" s="49">
        <v>5.9999999999999991</v>
      </c>
      <c r="P277" s="49">
        <v>358.2</v>
      </c>
      <c r="Q277" s="49">
        <v>5611.8</v>
      </c>
      <c r="R277" s="49">
        <v>2850</v>
      </c>
      <c r="S277" s="49">
        <v>15993630</v>
      </c>
      <c r="T277" s="49">
        <v>0</v>
      </c>
      <c r="U277" s="49">
        <v>2850</v>
      </c>
      <c r="V277" s="49">
        <v>15993630</v>
      </c>
      <c r="W277" s="49">
        <v>39984</v>
      </c>
      <c r="X277" s="49">
        <v>15953646</v>
      </c>
      <c r="Y277" s="530" t="str">
        <f>IFERROR(IF(FIND("/KM",KB[[#This Row],[SUPPLIER]])&gt;0,"LAUT"),"DARAT")</f>
        <v>LAUT</v>
      </c>
    </row>
    <row r="278" spans="2:25">
      <c r="B278" s="140" t="str">
        <f>IFERROR(LEFT(KB[[#This Row],[SUPPLIER]],FIND("/",KB[[#This Row],[SUPPLIER]])-1),KB[[#This Row],[SUPPLIER]])</f>
        <v>PT.SINAR KELAPA TEMBILAHAN</v>
      </c>
      <c r="C278" s="141" t="str">
        <f>TEXT(VLOOKUP(KB[[#This Row],[RELASI]],DBRELASI[[RELASI]:[DOCKB]],10,0)+COUNTIFS($B$2:B278,KB[[#This Row],[RELASI]],$D$2:D278,1),"000")</f>
        <v>008</v>
      </c>
      <c r="D278" s="141">
        <f>IF(COUNTIFS($B$3:B278,KB[[#This Row],[RELASI]],$F$3:F278,KB[[#This Row],[TANGGAL]])&lt;&gt;1,0,1)</f>
        <v>0</v>
      </c>
      <c r="E278" s="141" t="str">
        <f>TEXT(IF(KB[[#This Row],[DOC]]&lt;&gt;"",KB[[#This Row],[DOC]],E277),"000")</f>
        <v>008</v>
      </c>
      <c r="F278" s="40">
        <v>43864</v>
      </c>
      <c r="G278" s="40" t="str">
        <f>TYPE</f>
        <v>A</v>
      </c>
      <c r="H278"/>
      <c r="I278" s="42" t="s">
        <v>847</v>
      </c>
      <c r="J278" s="43" t="s">
        <v>81</v>
      </c>
      <c r="K278" s="44">
        <v>2</v>
      </c>
      <c r="L278" s="49">
        <v>13570</v>
      </c>
      <c r="M278" s="49">
        <v>7790</v>
      </c>
      <c r="N278" s="49">
        <v>5780</v>
      </c>
      <c r="O278" s="49">
        <v>5.9999999999999991</v>
      </c>
      <c r="P278" s="49">
        <v>346.79999999999995</v>
      </c>
      <c r="Q278" s="49">
        <v>5433.2</v>
      </c>
      <c r="R278" s="49">
        <v>2850</v>
      </c>
      <c r="S278" s="49">
        <v>15484620</v>
      </c>
      <c r="T278" s="49">
        <v>0</v>
      </c>
      <c r="U278" s="49">
        <v>2850</v>
      </c>
      <c r="V278" s="49">
        <v>15484620</v>
      </c>
      <c r="W278" s="49">
        <v>38711</v>
      </c>
      <c r="X278" s="49">
        <v>15445909</v>
      </c>
      <c r="Y278" s="530" t="str">
        <f>IFERROR(IF(FIND("/KM",KB[[#This Row],[SUPPLIER]])&gt;0,"LAUT"),"DARAT")</f>
        <v>LAUT</v>
      </c>
    </row>
    <row r="279" spans="2:25">
      <c r="B279" s="140" t="str">
        <f>IFERROR(LEFT(KB[[#This Row],[SUPPLIER]],FIND("/",KB[[#This Row],[SUPPLIER]])-1),KB[[#This Row],[SUPPLIER]])</f>
        <v>PT.SINAR KELAPA TEMBILAHAN</v>
      </c>
      <c r="C279" s="141" t="str">
        <f>TEXT(VLOOKUP(KB[[#This Row],[RELASI]],DBRELASI[[RELASI]:[DOCKB]],10,0)+COUNTIFS($B$2:B279,KB[[#This Row],[RELASI]],$D$2:D279,1),"000")</f>
        <v>008</v>
      </c>
      <c r="D279" s="141">
        <f>IF(COUNTIFS($B$3:B279,KB[[#This Row],[RELASI]],$F$3:F279,KB[[#This Row],[TANGGAL]])&lt;&gt;1,0,1)</f>
        <v>0</v>
      </c>
      <c r="E279" s="141" t="str">
        <f>TEXT(IF(KB[[#This Row],[DOC]]&lt;&gt;"",KB[[#This Row],[DOC]],E278),"000")</f>
        <v>008</v>
      </c>
      <c r="F279" s="40">
        <v>43864</v>
      </c>
      <c r="G279" s="40" t="str">
        <f>TYPE</f>
        <v>A</v>
      </c>
      <c r="H279"/>
      <c r="I279" s="42" t="s">
        <v>808</v>
      </c>
      <c r="J279" s="43" t="s">
        <v>81</v>
      </c>
      <c r="K279" s="44">
        <v>2</v>
      </c>
      <c r="L279" s="49">
        <v>18100</v>
      </c>
      <c r="M279" s="49">
        <v>7750</v>
      </c>
      <c r="N279" s="49">
        <v>10350</v>
      </c>
      <c r="O279" s="49">
        <v>6</v>
      </c>
      <c r="P279" s="49">
        <v>621</v>
      </c>
      <c r="Q279" s="49">
        <v>9729</v>
      </c>
      <c r="R279" s="49">
        <v>2850</v>
      </c>
      <c r="S279" s="49">
        <v>27727650</v>
      </c>
      <c r="T279" s="49">
        <v>0</v>
      </c>
      <c r="U279" s="49">
        <v>2850</v>
      </c>
      <c r="V279" s="49">
        <v>27727650</v>
      </c>
      <c r="W279" s="49">
        <v>69319</v>
      </c>
      <c r="X279" s="49">
        <v>27658331</v>
      </c>
      <c r="Y279" s="530" t="str">
        <f>IFERROR(IF(FIND("/KM",KB[[#This Row],[SUPPLIER]])&gt;0,"LAUT"),"DARAT")</f>
        <v>LAUT</v>
      </c>
    </row>
    <row r="280" spans="2:25">
      <c r="B280" s="140" t="str">
        <f>IFERROR(LEFT(KB[[#This Row],[SUPPLIER]],FIND("/",KB[[#This Row],[SUPPLIER]])-1),KB[[#This Row],[SUPPLIER]])</f>
        <v>PT.SINAR KELAPA TEMBILAHAN</v>
      </c>
      <c r="C280" s="141" t="str">
        <f>TEXT(VLOOKUP(KB[[#This Row],[RELASI]],DBRELASI[[RELASI]:[DOCKB]],10,0)+COUNTIFS($B$2:B280,KB[[#This Row],[RELASI]],$D$2:D280,1),"000")</f>
        <v>008</v>
      </c>
      <c r="D280" s="141">
        <f>IF(COUNTIFS($B$3:B280,KB[[#This Row],[RELASI]],$F$3:F280,KB[[#This Row],[TANGGAL]])&lt;&gt;1,0,1)</f>
        <v>0</v>
      </c>
      <c r="E280" s="141" t="str">
        <f>TEXT(IF(KB[[#This Row],[DOC]]&lt;&gt;"",KB[[#This Row],[DOC]],E279),"000")</f>
        <v>008</v>
      </c>
      <c r="F280" s="40">
        <v>43864</v>
      </c>
      <c r="G280" s="40" t="str">
        <f>TYPE</f>
        <v>A</v>
      </c>
      <c r="H280"/>
      <c r="I280" s="42" t="s">
        <v>841</v>
      </c>
      <c r="J280" s="43" t="s">
        <v>81</v>
      </c>
      <c r="K280" s="44">
        <v>2</v>
      </c>
      <c r="L280" s="49">
        <v>14470</v>
      </c>
      <c r="M280" s="49">
        <v>7690</v>
      </c>
      <c r="N280" s="49">
        <v>6780</v>
      </c>
      <c r="O280" s="49">
        <v>6</v>
      </c>
      <c r="P280" s="49">
        <v>406.79999999999995</v>
      </c>
      <c r="Q280" s="49">
        <v>6373.2000000000007</v>
      </c>
      <c r="R280" s="49">
        <v>2849.9999999999995</v>
      </c>
      <c r="S280" s="49">
        <v>18163620</v>
      </c>
      <c r="T280" s="49">
        <v>0</v>
      </c>
      <c r="U280" s="49">
        <v>2849.9999999999995</v>
      </c>
      <c r="V280" s="49">
        <v>18163620</v>
      </c>
      <c r="W280" s="49">
        <v>45409</v>
      </c>
      <c r="X280" s="49">
        <v>18118211</v>
      </c>
      <c r="Y280" s="530" t="str">
        <f>IFERROR(IF(FIND("/KM",KB[[#This Row],[SUPPLIER]])&gt;0,"LAUT"),"DARAT")</f>
        <v>LAUT</v>
      </c>
    </row>
    <row r="281" spans="2:25">
      <c r="B281" s="140" t="str">
        <f>IFERROR(LEFT(KB[[#This Row],[SUPPLIER]],FIND("/",KB[[#This Row],[SUPPLIER]])-1),KB[[#This Row],[SUPPLIER]])</f>
        <v>SUKAMTO</v>
      </c>
      <c r="C281" s="141" t="str">
        <f>TEXT(VLOOKUP(KB[[#This Row],[RELASI]],DBRELASI[[RELASI]:[DOCKB]],10,0)+COUNTIFS($B$2:B281,KB[[#This Row],[RELASI]],$D$2:D281,1),"000")</f>
        <v>008</v>
      </c>
      <c r="D281" s="141">
        <f>IF(COUNTIFS($B$3:B281,KB[[#This Row],[RELASI]],$F$3:F281,KB[[#This Row],[TANGGAL]])&lt;&gt;1,0,1)</f>
        <v>1</v>
      </c>
      <c r="E281" s="141" t="str">
        <f>TEXT(IF(KB[[#This Row],[DOC]]&lt;&gt;"",KB[[#This Row],[DOC]],E280),"000")</f>
        <v>008</v>
      </c>
      <c r="F281" s="40">
        <v>43864</v>
      </c>
      <c r="G281" s="40" t="str">
        <f>TYPE</f>
        <v>A</v>
      </c>
      <c r="H281" s="153" t="s">
        <v>767</v>
      </c>
      <c r="I281" s="42" t="s">
        <v>848</v>
      </c>
      <c r="J281" s="43" t="s">
        <v>524</v>
      </c>
      <c r="K281" s="44">
        <v>1</v>
      </c>
      <c r="L281" s="49">
        <v>8500</v>
      </c>
      <c r="M281" s="49">
        <v>3940</v>
      </c>
      <c r="N281" s="49">
        <v>4560</v>
      </c>
      <c r="O281" s="49">
        <v>5.9999999999999991</v>
      </c>
      <c r="P281" s="49">
        <v>273.59999999999997</v>
      </c>
      <c r="Q281" s="49">
        <v>4286.3999999999996</v>
      </c>
      <c r="R281" s="49">
        <v>2750.0000000000005</v>
      </c>
      <c r="S281" s="49">
        <v>11787600</v>
      </c>
      <c r="T281" s="49">
        <v>13.82</v>
      </c>
      <c r="U281" s="49">
        <v>2763.8200000000006</v>
      </c>
      <c r="V281" s="49">
        <v>11846838</v>
      </c>
      <c r="W281" s="49">
        <v>59234</v>
      </c>
      <c r="X281" s="49">
        <v>11787604</v>
      </c>
      <c r="Y281" s="530" t="str">
        <f>IFERROR(IF(FIND("/KM",KB[[#This Row],[SUPPLIER]])&gt;0,"LAUT"),"DARAT")</f>
        <v>LAUT</v>
      </c>
    </row>
    <row r="282" spans="2:25">
      <c r="B282" s="140" t="str">
        <f>IFERROR(LEFT(KB[[#This Row],[SUPPLIER]],FIND("/",KB[[#This Row],[SUPPLIER]])-1),KB[[#This Row],[SUPPLIER]])</f>
        <v>ZAINAL ABIDIN</v>
      </c>
      <c r="C282" s="141" t="str">
        <f>TEXT(VLOOKUP(KB[[#This Row],[RELASI]],DBRELASI[[RELASI]:[DOCKB]],10,0)+COUNTIFS($B$2:B282,KB[[#This Row],[RELASI]],$D$2:D282,1),"000")</f>
        <v>003</v>
      </c>
      <c r="D282" s="141">
        <f>IF(COUNTIFS($B$3:B282,KB[[#This Row],[RELASI]],$F$3:F282,KB[[#This Row],[TANGGAL]])&lt;&gt;1,0,1)</f>
        <v>1</v>
      </c>
      <c r="E282" s="141" t="str">
        <f>TEXT(IF(KB[[#This Row],[DOC]]&lt;&gt;"",KB[[#This Row],[DOC]],E281),"000")</f>
        <v>003</v>
      </c>
      <c r="F282" s="40">
        <v>43864</v>
      </c>
      <c r="G282" s="40" t="str">
        <f>TYPE</f>
        <v>A</v>
      </c>
      <c r="H282" s="154" t="s">
        <v>521</v>
      </c>
      <c r="I282" s="46" t="s">
        <v>849</v>
      </c>
      <c r="J282" s="47" t="s">
        <v>524</v>
      </c>
      <c r="K282" s="48">
        <v>4</v>
      </c>
      <c r="L282" s="49">
        <v>30260</v>
      </c>
      <c r="M282" s="49">
        <v>15560</v>
      </c>
      <c r="N282" s="49">
        <v>14700</v>
      </c>
      <c r="O282" s="49">
        <v>5.9999999999999991</v>
      </c>
      <c r="P282" s="49">
        <v>881.99999999999989</v>
      </c>
      <c r="Q282" s="49">
        <v>13818.000000000002</v>
      </c>
      <c r="R282" s="49">
        <v>2699.9999999999995</v>
      </c>
      <c r="S282" s="49">
        <v>37308600</v>
      </c>
      <c r="T282" s="49">
        <v>13.57</v>
      </c>
      <c r="U282" s="49">
        <v>2713.5699999999997</v>
      </c>
      <c r="V282" s="49">
        <v>37496111</v>
      </c>
      <c r="W282" s="49">
        <v>187480</v>
      </c>
      <c r="X282" s="49">
        <v>37308631</v>
      </c>
      <c r="Y282" s="574" t="str">
        <f>IFERROR(IF(FIND("/KM",KB[[#This Row],[SUPPLIER]])&gt;0,"LAUT"),"DARAT")</f>
        <v>LAUT</v>
      </c>
    </row>
    <row r="283" spans="2:25">
      <c r="B283" s="140" t="str">
        <f>IFERROR(LEFT(KB[[#This Row],[SUPPLIER]],FIND("/",KB[[#This Row],[SUPPLIER]])-1),KB[[#This Row],[SUPPLIER]])</f>
        <v>ERAWATI</v>
      </c>
      <c r="C283" s="141" t="str">
        <f>TEXT(VLOOKUP(KB[[#This Row],[RELASI]],DBRELASI[[RELASI]:[DOCKB]],10,0)+COUNTIFS($B$2:B283,KB[[#This Row],[RELASI]],$D$2:D283,1),"000")</f>
        <v>025</v>
      </c>
      <c r="D283" s="141">
        <f>IF(COUNTIFS($B$3:B283,KB[[#This Row],[RELASI]],$F$3:F283,KB[[#This Row],[TANGGAL]])&lt;&gt;1,0,1)</f>
        <v>1</v>
      </c>
      <c r="E283" s="141" t="str">
        <f>TEXT(IF(KB[[#This Row],[DOC]]&lt;&gt;"",KB[[#This Row],[DOC]],E282),"000")</f>
        <v>025</v>
      </c>
      <c r="F283" s="40">
        <v>43865</v>
      </c>
      <c r="G283" s="40" t="str">
        <f>TYPE</f>
        <v>A</v>
      </c>
      <c r="H283" s="153" t="s">
        <v>850</v>
      </c>
      <c r="I283" s="42" t="s">
        <v>155</v>
      </c>
      <c r="J283" s="43" t="s">
        <v>77</v>
      </c>
      <c r="K283" s="44">
        <v>4</v>
      </c>
      <c r="L283" s="49">
        <v>28880</v>
      </c>
      <c r="M283" s="49">
        <v>11790</v>
      </c>
      <c r="N283" s="49">
        <v>17090</v>
      </c>
      <c r="O283" s="49">
        <v>5</v>
      </c>
      <c r="P283" s="49">
        <v>854.5</v>
      </c>
      <c r="Q283" s="49">
        <v>16235.5</v>
      </c>
      <c r="R283" s="49">
        <v>2800</v>
      </c>
      <c r="S283" s="49">
        <v>45459400</v>
      </c>
      <c r="T283" s="49">
        <v>14.07</v>
      </c>
      <c r="U283" s="49">
        <v>2814.07</v>
      </c>
      <c r="V283" s="49">
        <v>45687834</v>
      </c>
      <c r="W283" s="49">
        <v>228439</v>
      </c>
      <c r="X283" s="49">
        <v>45459395</v>
      </c>
      <c r="Y283" s="530" t="str">
        <f>IFERROR(IF(FIND("/KM",KB[[#This Row],[SUPPLIER]])&gt;0,"LAUT"),"DARAT")</f>
        <v>DARAT</v>
      </c>
    </row>
    <row r="284" spans="2:25">
      <c r="B284" s="140" t="str">
        <f>IFERROR(LEFT(KB[[#This Row],[SUPPLIER]],FIND("/",KB[[#This Row],[SUPPLIER]])-1),KB[[#This Row],[SUPPLIER]])</f>
        <v>INDRAYANI</v>
      </c>
      <c r="C284" s="141" t="str">
        <f>TEXT(VLOOKUP(KB[[#This Row],[RELASI]],DBRELASI[[RELASI]:[DOCKB]],10,0)+COUNTIFS($B$2:B284,KB[[#This Row],[RELASI]],$D$2:D284,1),"000")</f>
        <v>023</v>
      </c>
      <c r="D284" s="141">
        <f>IF(COUNTIFS($B$3:B284,KB[[#This Row],[RELASI]],$F$3:F284,KB[[#This Row],[TANGGAL]])&lt;&gt;1,0,1)</f>
        <v>1</v>
      </c>
      <c r="E284" s="141" t="str">
        <f>TEXT(IF(KB[[#This Row],[DOC]]&lt;&gt;"",KB[[#This Row],[DOC]],E283),"000")</f>
        <v>023</v>
      </c>
      <c r="F284" s="40">
        <v>43865</v>
      </c>
      <c r="G284" s="40" t="str">
        <f>TYPE</f>
        <v>A</v>
      </c>
      <c r="H284" s="153" t="s">
        <v>843</v>
      </c>
      <c r="I284" s="42" t="s">
        <v>79</v>
      </c>
      <c r="J284" s="43" t="s">
        <v>77</v>
      </c>
      <c r="K284" s="44">
        <v>2</v>
      </c>
      <c r="L284" s="49">
        <v>23240</v>
      </c>
      <c r="M284" s="49">
        <v>9840</v>
      </c>
      <c r="N284" s="49">
        <v>13400</v>
      </c>
      <c r="O284" s="49">
        <v>5</v>
      </c>
      <c r="P284" s="49">
        <v>670</v>
      </c>
      <c r="Q284" s="49">
        <v>12730</v>
      </c>
      <c r="R284" s="49">
        <v>2900</v>
      </c>
      <c r="S284" s="49">
        <v>36917000</v>
      </c>
      <c r="T284" s="49">
        <v>14.57</v>
      </c>
      <c r="U284" s="49">
        <v>2914.57</v>
      </c>
      <c r="V284" s="49">
        <v>37102476</v>
      </c>
      <c r="W284" s="49">
        <v>185513</v>
      </c>
      <c r="X284" s="49">
        <v>36916963</v>
      </c>
      <c r="Y284" s="530" t="str">
        <f>IFERROR(IF(FIND("/KM",KB[[#This Row],[SUPPLIER]])&gt;0,"LAUT"),"DARAT")</f>
        <v>DARAT</v>
      </c>
    </row>
    <row r="285" spans="2:25">
      <c r="B285" s="140" t="str">
        <f>IFERROR(LEFT(KB[[#This Row],[SUPPLIER]],FIND("/",KB[[#This Row],[SUPPLIER]])-1),KB[[#This Row],[SUPPLIER]])</f>
        <v>RUSLAN JAYA, SH</v>
      </c>
      <c r="C285" s="141" t="str">
        <f>TEXT(VLOOKUP(KB[[#This Row],[RELASI]],DBRELASI[[RELASI]:[DOCKB]],10,0)+COUNTIFS($B$2:B285,KB[[#This Row],[RELASI]],$D$2:D285,1),"000")</f>
        <v>012</v>
      </c>
      <c r="D285" s="141">
        <f>IF(COUNTIFS($B$3:B285,KB[[#This Row],[RELASI]],$F$3:F285,KB[[#This Row],[TANGGAL]])&lt;&gt;1,0,1)</f>
        <v>1</v>
      </c>
      <c r="E285" s="141" t="str">
        <f>TEXT(IF(KB[[#This Row],[DOC]]&lt;&gt;"",KB[[#This Row],[DOC]],E284),"000")</f>
        <v>012</v>
      </c>
      <c r="F285" s="40">
        <v>43865</v>
      </c>
      <c r="G285" s="40" t="str">
        <f>TYPE</f>
        <v>A</v>
      </c>
      <c r="H285" s="153" t="s">
        <v>778</v>
      </c>
      <c r="I285" s="42" t="s">
        <v>479</v>
      </c>
      <c r="J285" s="43" t="s">
        <v>475</v>
      </c>
      <c r="K285" s="44">
        <v>2</v>
      </c>
      <c r="L285" s="49">
        <v>24710</v>
      </c>
      <c r="M285" s="49">
        <v>13330</v>
      </c>
      <c r="N285" s="49">
        <v>11380</v>
      </c>
      <c r="O285" s="49">
        <v>5</v>
      </c>
      <c r="P285" s="49">
        <v>569</v>
      </c>
      <c r="Q285" s="49">
        <v>10811</v>
      </c>
      <c r="R285" s="49">
        <v>2800</v>
      </c>
      <c r="S285" s="49">
        <v>30270800</v>
      </c>
      <c r="T285" s="49">
        <v>14.07</v>
      </c>
      <c r="U285" s="49">
        <v>2814.07</v>
      </c>
      <c r="V285" s="49">
        <v>30422910</v>
      </c>
      <c r="W285" s="49">
        <v>152115</v>
      </c>
      <c r="X285" s="49">
        <v>30270795</v>
      </c>
      <c r="Y285" s="530" t="str">
        <f>IFERROR(IF(FIND("/KM",KB[[#This Row],[SUPPLIER]])&gt;0,"LAUT"),"DARAT")</f>
        <v>DARAT</v>
      </c>
    </row>
    <row r="286" spans="2:25">
      <c r="B286" s="140" t="str">
        <f>IFERROR(LEFT(KB[[#This Row],[SUPPLIER]],FIND("/",KB[[#This Row],[SUPPLIER]])-1),KB[[#This Row],[SUPPLIER]])</f>
        <v>SAIRI</v>
      </c>
      <c r="C286" s="141" t="str">
        <f>TEXT(VLOOKUP(KB[[#This Row],[RELASI]],DBRELASI[[RELASI]:[DOCKB]],10,0)+COUNTIFS($B$2:B286,KB[[#This Row],[RELASI]],$D$2:D286,1),"000")</f>
        <v>018</v>
      </c>
      <c r="D286" s="141">
        <f>IF(COUNTIFS($B$3:B286,KB[[#This Row],[RELASI]],$F$3:F286,KB[[#This Row],[TANGGAL]])&lt;&gt;1,0,1)</f>
        <v>1</v>
      </c>
      <c r="E286" s="141" t="str">
        <f>TEXT(IF(KB[[#This Row],[DOC]]&lt;&gt;"",KB[[#This Row],[DOC]],E285),"000")</f>
        <v>018</v>
      </c>
      <c r="F286" s="40">
        <v>43865</v>
      </c>
      <c r="G286" s="40" t="str">
        <f>TYPE</f>
        <v>A</v>
      </c>
      <c r="H286" s="153" t="s">
        <v>803</v>
      </c>
      <c r="I286" s="42" t="s">
        <v>84</v>
      </c>
      <c r="J286" s="43" t="s">
        <v>85</v>
      </c>
      <c r="K286" s="44">
        <v>1</v>
      </c>
      <c r="L286" s="49">
        <v>3010</v>
      </c>
      <c r="M286" s="49">
        <v>1590</v>
      </c>
      <c r="N286" s="49">
        <v>1420</v>
      </c>
      <c r="O286" s="49">
        <v>5</v>
      </c>
      <c r="P286" s="49">
        <v>71</v>
      </c>
      <c r="Q286" s="49">
        <v>1349</v>
      </c>
      <c r="R286" s="49">
        <v>2850</v>
      </c>
      <c r="S286" s="49">
        <v>3844650</v>
      </c>
      <c r="T286" s="49">
        <v>14.32</v>
      </c>
      <c r="U286" s="49">
        <v>2864.32</v>
      </c>
      <c r="V286" s="49">
        <v>3863968</v>
      </c>
      <c r="W286" s="49">
        <v>19320</v>
      </c>
      <c r="X286" s="49">
        <v>3844648</v>
      </c>
      <c r="Y286" s="530" t="str">
        <f>IFERROR(IF(FIND("/KM",KB[[#This Row],[SUPPLIER]])&gt;0,"LAUT"),"DARAT")</f>
        <v>DARAT</v>
      </c>
    </row>
    <row r="287" spans="2:25">
      <c r="B287" s="140" t="str">
        <f>IFERROR(LEFT(KB[[#This Row],[SUPPLIER]],FIND("/",KB[[#This Row],[SUPPLIER]])-1),KB[[#This Row],[SUPPLIER]])</f>
        <v>AMIR</v>
      </c>
      <c r="C287" s="141" t="str">
        <f>TEXT(VLOOKUP(KB[[#This Row],[RELASI]],DBRELASI[[RELASI]:[DOCKB]],10,0)+COUNTIFS($B$2:B287,KB[[#This Row],[RELASI]],$D$2:D287,1),"000")</f>
        <v>004</v>
      </c>
      <c r="D287" s="141">
        <f>IF(COUNTIFS($B$3:B287,KB[[#This Row],[RELASI]],$F$3:F287,KB[[#This Row],[TANGGAL]])&lt;&gt;1,0,1)</f>
        <v>1</v>
      </c>
      <c r="E287" s="141" t="str">
        <f>TEXT(IF(KB[[#This Row],[DOC]]&lt;&gt;"",KB[[#This Row],[DOC]],E286),"000")</f>
        <v>004</v>
      </c>
      <c r="F287" s="40">
        <v>43865</v>
      </c>
      <c r="G287" s="40" t="str">
        <f>TYPE</f>
        <v>A</v>
      </c>
      <c r="H287" s="153" t="s">
        <v>526</v>
      </c>
      <c r="I287" s="42" t="s">
        <v>851</v>
      </c>
      <c r="J287" s="43" t="s">
        <v>783</v>
      </c>
      <c r="K287" s="44">
        <v>2</v>
      </c>
      <c r="L287" s="49">
        <v>16310</v>
      </c>
      <c r="M287" s="49">
        <v>7710</v>
      </c>
      <c r="N287" s="49">
        <v>8600</v>
      </c>
      <c r="O287" s="49">
        <v>6</v>
      </c>
      <c r="P287" s="49">
        <v>516</v>
      </c>
      <c r="Q287" s="49">
        <v>8084</v>
      </c>
      <c r="R287" s="49">
        <v>2750</v>
      </c>
      <c r="S287" s="49">
        <v>22231000</v>
      </c>
      <c r="T287" s="49">
        <v>13.82</v>
      </c>
      <c r="U287" s="49">
        <v>2763.82</v>
      </c>
      <c r="V287" s="49">
        <v>22342721</v>
      </c>
      <c r="W287" s="49">
        <v>111713</v>
      </c>
      <c r="X287" s="49">
        <v>22231008</v>
      </c>
      <c r="Y287" s="530" t="str">
        <f>IFERROR(IF(FIND("/KM",KB[[#This Row],[SUPPLIER]])&gt;0,"LAUT"),"DARAT")</f>
        <v>LAUT</v>
      </c>
    </row>
    <row r="288" spans="2:25">
      <c r="B288" s="140" t="str">
        <f>IFERROR(LEFT(KB[[#This Row],[SUPPLIER]],FIND("/",KB[[#This Row],[SUPPLIER]])-1),KB[[#This Row],[SUPPLIER]])</f>
        <v>DINI CHAIRANI</v>
      </c>
      <c r="C288" s="141" t="str">
        <f>TEXT(VLOOKUP(KB[[#This Row],[RELASI]],DBRELASI[[RELASI]:[DOCKB]],10,0)+COUNTIFS($B$2:B288,KB[[#This Row],[RELASI]],$D$2:D288,1),"000")</f>
        <v>018</v>
      </c>
      <c r="D288" s="141">
        <f>IF(COUNTIFS($B$3:B288,KB[[#This Row],[RELASI]],$F$3:F288,KB[[#This Row],[TANGGAL]])&lt;&gt;1,0,1)</f>
        <v>1</v>
      </c>
      <c r="E288" s="141" t="str">
        <f>TEXT(IF(KB[[#This Row],[DOC]]&lt;&gt;"",KB[[#This Row],[DOC]],E287),"000")</f>
        <v>018</v>
      </c>
      <c r="F288" s="40">
        <v>43865</v>
      </c>
      <c r="G288" s="40" t="str">
        <f>TYPE</f>
        <v>A</v>
      </c>
      <c r="H288" s="153" t="s">
        <v>803</v>
      </c>
      <c r="I288" s="42" t="s">
        <v>516</v>
      </c>
      <c r="J288" s="43" t="s">
        <v>95</v>
      </c>
      <c r="K288" s="44">
        <v>2</v>
      </c>
      <c r="L288" s="49">
        <v>15290</v>
      </c>
      <c r="M288" s="49">
        <v>7820</v>
      </c>
      <c r="N288" s="49">
        <v>7470</v>
      </c>
      <c r="O288" s="49">
        <v>6</v>
      </c>
      <c r="P288" s="49">
        <v>448.2</v>
      </c>
      <c r="Q288" s="49">
        <v>7021.8</v>
      </c>
      <c r="R288" s="49">
        <v>2750</v>
      </c>
      <c r="S288" s="49">
        <v>19309950</v>
      </c>
      <c r="T288" s="49">
        <v>13.82</v>
      </c>
      <c r="U288" s="49">
        <v>2763.82</v>
      </c>
      <c r="V288" s="49">
        <v>19406991</v>
      </c>
      <c r="W288" s="49">
        <v>97035</v>
      </c>
      <c r="X288" s="49">
        <v>19309956</v>
      </c>
      <c r="Y288" s="530" t="str">
        <f>IFERROR(IF(FIND("/KM",KB[[#This Row],[SUPPLIER]])&gt;0,"LAUT"),"DARAT")</f>
        <v>LAUT</v>
      </c>
    </row>
    <row r="289" spans="2:25">
      <c r="B289" s="140" t="str">
        <f>IFERROR(LEFT(KB[[#This Row],[SUPPLIER]],FIND("/",KB[[#This Row],[SUPPLIER]])-1),KB[[#This Row],[SUPPLIER]])</f>
        <v>DINI CHAIRANI</v>
      </c>
      <c r="C289" s="141" t="str">
        <f>TEXT(VLOOKUP(KB[[#This Row],[RELASI]],DBRELASI[[RELASI]:[DOCKB]],10,0)+COUNTIFS($B$2:B289,KB[[#This Row],[RELASI]],$D$2:D289,1),"000")</f>
        <v>018</v>
      </c>
      <c r="D289" s="141">
        <f>IF(COUNTIFS($B$3:B289,KB[[#This Row],[RELASI]],$F$3:F289,KB[[#This Row],[TANGGAL]])&lt;&gt;1,0,1)</f>
        <v>0</v>
      </c>
      <c r="E289" s="141" t="str">
        <f>TEXT(IF(KB[[#This Row],[DOC]]&lt;&gt;"",KB[[#This Row],[DOC]],E288),"000")</f>
        <v>018</v>
      </c>
      <c r="F289" s="40">
        <v>43865</v>
      </c>
      <c r="G289" s="40" t="str">
        <f>TYPE</f>
        <v>A</v>
      </c>
      <c r="H289"/>
      <c r="I289" s="42" t="s">
        <v>825</v>
      </c>
      <c r="J289" s="43" t="s">
        <v>95</v>
      </c>
      <c r="K289" s="44">
        <v>3</v>
      </c>
      <c r="L289" s="49">
        <v>22370</v>
      </c>
      <c r="M289" s="49">
        <v>11610</v>
      </c>
      <c r="N289" s="49">
        <v>10760</v>
      </c>
      <c r="O289" s="49">
        <v>5.9999999999999991</v>
      </c>
      <c r="P289" s="49">
        <v>645.59999999999991</v>
      </c>
      <c r="Q289" s="49">
        <v>10114.4</v>
      </c>
      <c r="R289" s="49">
        <v>2750</v>
      </c>
      <c r="S289" s="49">
        <v>27814600</v>
      </c>
      <c r="T289" s="49">
        <v>13.82</v>
      </c>
      <c r="U289" s="49">
        <v>2763.82</v>
      </c>
      <c r="V289" s="49">
        <v>27954381</v>
      </c>
      <c r="W289" s="49">
        <v>139772</v>
      </c>
      <c r="X289" s="49">
        <v>27814609</v>
      </c>
      <c r="Y289" s="530" t="str">
        <f>IFERROR(IF(FIND("/KM",KB[[#This Row],[SUPPLIER]])&gt;0,"LAUT"),"DARAT")</f>
        <v>LAUT</v>
      </c>
    </row>
    <row r="290" spans="2:25">
      <c r="B290" s="140" t="str">
        <f>IFERROR(LEFT(KB[[#This Row],[SUPPLIER]],FIND("/",KB[[#This Row],[SUPPLIER]])-1),KB[[#This Row],[SUPPLIER]])</f>
        <v>HENDRI</v>
      </c>
      <c r="C290" s="141" t="str">
        <f>TEXT(VLOOKUP(KB[[#This Row],[RELASI]],DBRELASI[[RELASI]:[DOCKB]],10,0)+COUNTIFS($B$2:B290,KB[[#This Row],[RELASI]],$D$2:D290,1),"000")</f>
        <v>015</v>
      </c>
      <c r="D290" s="141">
        <f>IF(COUNTIFS($B$3:B290,KB[[#This Row],[RELASI]],$F$3:F290,KB[[#This Row],[TANGGAL]])&lt;&gt;1,0,1)</f>
        <v>1</v>
      </c>
      <c r="E290" s="141" t="str">
        <f>TEXT(IF(KB[[#This Row],[DOC]]&lt;&gt;"",KB[[#This Row],[DOC]],E289),"000")</f>
        <v>015</v>
      </c>
      <c r="F290" s="40">
        <v>43865</v>
      </c>
      <c r="G290" s="40" t="str">
        <f>TYPE</f>
        <v>A</v>
      </c>
      <c r="H290" s="153" t="s">
        <v>789</v>
      </c>
      <c r="I290" s="42" t="s">
        <v>770</v>
      </c>
      <c r="J290" s="43" t="s">
        <v>475</v>
      </c>
      <c r="K290" s="44">
        <v>1</v>
      </c>
      <c r="L290" s="49">
        <v>8970</v>
      </c>
      <c r="M290" s="49">
        <v>3780</v>
      </c>
      <c r="N290" s="49">
        <v>5190</v>
      </c>
      <c r="O290" s="49">
        <v>6</v>
      </c>
      <c r="P290" s="49">
        <v>311.39999999999998</v>
      </c>
      <c r="Q290" s="49">
        <v>4878.6000000000004</v>
      </c>
      <c r="R290" s="49">
        <v>2750</v>
      </c>
      <c r="S290" s="49">
        <v>13416150</v>
      </c>
      <c r="T290" s="49">
        <v>13.82</v>
      </c>
      <c r="U290" s="49">
        <v>2763.82</v>
      </c>
      <c r="V290" s="49">
        <v>13483572</v>
      </c>
      <c r="W290" s="49">
        <v>67418</v>
      </c>
      <c r="X290" s="49">
        <v>13416154</v>
      </c>
      <c r="Y290" s="530" t="str">
        <f>IFERROR(IF(FIND("/KM",KB[[#This Row],[SUPPLIER]])&gt;0,"LAUT"),"DARAT")</f>
        <v>LAUT</v>
      </c>
    </row>
    <row r="291" spans="2:25">
      <c r="B291" s="140" t="str">
        <f>IFERROR(LEFT(KB[[#This Row],[SUPPLIER]],FIND("/",KB[[#This Row],[SUPPLIER]])-1),KB[[#This Row],[SUPPLIER]])</f>
        <v>HENDRI</v>
      </c>
      <c r="C291" s="141" t="str">
        <f>TEXT(VLOOKUP(KB[[#This Row],[RELASI]],DBRELASI[[RELASI]:[DOCKB]],10,0)+COUNTIFS($B$2:B291,KB[[#This Row],[RELASI]],$D$2:D291,1),"000")</f>
        <v>015</v>
      </c>
      <c r="D291" s="141">
        <f>IF(COUNTIFS($B$3:B291,KB[[#This Row],[RELASI]],$F$3:F291,KB[[#This Row],[TANGGAL]])&lt;&gt;1,0,1)</f>
        <v>0</v>
      </c>
      <c r="E291" s="141" t="str">
        <f>TEXT(IF(KB[[#This Row],[DOC]]&lt;&gt;"",KB[[#This Row],[DOC]],E290),"000")</f>
        <v>015</v>
      </c>
      <c r="F291" s="40">
        <v>43865</v>
      </c>
      <c r="G291" s="40" t="str">
        <f>TYPE</f>
        <v>A</v>
      </c>
      <c r="H291"/>
      <c r="I291" s="42" t="s">
        <v>774</v>
      </c>
      <c r="J291" s="43" t="s">
        <v>475</v>
      </c>
      <c r="K291" s="44">
        <v>3</v>
      </c>
      <c r="L291" s="49">
        <v>21550</v>
      </c>
      <c r="M291" s="49">
        <v>11640</v>
      </c>
      <c r="N291" s="49">
        <v>9910</v>
      </c>
      <c r="O291" s="49">
        <v>6.0000000000000009</v>
      </c>
      <c r="P291" s="49">
        <v>594.6</v>
      </c>
      <c r="Q291" s="49">
        <v>9315.4</v>
      </c>
      <c r="R291" s="49">
        <v>2800</v>
      </c>
      <c r="S291" s="49">
        <v>26083120</v>
      </c>
      <c r="T291" s="49">
        <v>14.07</v>
      </c>
      <c r="U291" s="49">
        <v>2814.07</v>
      </c>
      <c r="V291" s="49">
        <v>26214187</v>
      </c>
      <c r="W291" s="49">
        <v>131071</v>
      </c>
      <c r="X291" s="49">
        <v>26083116</v>
      </c>
      <c r="Y291" s="530" t="str">
        <f>IFERROR(IF(FIND("/KM",KB[[#This Row],[SUPPLIER]])&gt;0,"LAUT"),"DARAT")</f>
        <v>LAUT</v>
      </c>
    </row>
    <row r="292" spans="2:25">
      <c r="B292" s="140" t="str">
        <f>IFERROR(LEFT(KB[[#This Row],[SUPPLIER]],FIND("/",KB[[#This Row],[SUPPLIER]])-1),KB[[#This Row],[SUPPLIER]])</f>
        <v>HENDRY JOHANES</v>
      </c>
      <c r="C292" s="141" t="str">
        <f>TEXT(VLOOKUP(KB[[#This Row],[RELASI]],DBRELASI[[RELASI]:[DOCKB]],10,0)+COUNTIFS($B$2:B292,KB[[#This Row],[RELASI]],$D$2:D292,1),"000")</f>
        <v>002</v>
      </c>
      <c r="D292" s="141">
        <f>IF(COUNTIFS($B$3:B292,KB[[#This Row],[RELASI]],$F$3:F292,KB[[#This Row],[TANGGAL]])&lt;&gt;1,0,1)</f>
        <v>1</v>
      </c>
      <c r="E292" s="141" t="str">
        <f>TEXT(IF(KB[[#This Row],[DOC]]&lt;&gt;"",KB[[#This Row],[DOC]],E291),"000")</f>
        <v>002</v>
      </c>
      <c r="F292" s="40">
        <v>43865</v>
      </c>
      <c r="G292" s="40" t="str">
        <f>TYPE</f>
        <v>A</v>
      </c>
      <c r="H292" s="153" t="s">
        <v>515</v>
      </c>
      <c r="I292" s="42" t="s">
        <v>839</v>
      </c>
      <c r="J292" s="43" t="s">
        <v>783</v>
      </c>
      <c r="K292" s="44">
        <v>8</v>
      </c>
      <c r="L292" s="49">
        <v>66860</v>
      </c>
      <c r="M292" s="49">
        <v>31140</v>
      </c>
      <c r="N292" s="49">
        <v>35720</v>
      </c>
      <c r="O292" s="49">
        <v>6</v>
      </c>
      <c r="P292" s="49">
        <v>2143.1999999999998</v>
      </c>
      <c r="Q292" s="49">
        <v>33576.800000000003</v>
      </c>
      <c r="R292" s="49">
        <v>2799.9999999999995</v>
      </c>
      <c r="S292" s="49">
        <v>94015040</v>
      </c>
      <c r="T292" s="49">
        <v>14.07</v>
      </c>
      <c r="U292" s="49">
        <v>2814.0699999999997</v>
      </c>
      <c r="V292" s="49">
        <v>94487465</v>
      </c>
      <c r="W292" s="49">
        <v>472438</v>
      </c>
      <c r="X292" s="49">
        <v>94015027</v>
      </c>
      <c r="Y292" s="530" t="str">
        <f>IFERROR(IF(FIND("/KM",KB[[#This Row],[SUPPLIER]])&gt;0,"LAUT"),"DARAT")</f>
        <v>LAUT</v>
      </c>
    </row>
    <row r="293" spans="2:25">
      <c r="B293" s="140" t="str">
        <f>IFERROR(LEFT(KB[[#This Row],[SUPPLIER]],FIND("/",KB[[#This Row],[SUPPLIER]])-1),KB[[#This Row],[SUPPLIER]])</f>
        <v>MARTONO</v>
      </c>
      <c r="C293" s="141" t="str">
        <f>TEXT(VLOOKUP(KB[[#This Row],[RELASI]],DBRELASI[[RELASI]:[DOCKB]],10,0)+COUNTIFS($B$2:B293,KB[[#This Row],[RELASI]],$D$2:D293,1),"000")</f>
        <v>021</v>
      </c>
      <c r="D293" s="141">
        <f>IF(COUNTIFS($B$3:B293,KB[[#This Row],[RELASI]],$F$3:F293,KB[[#This Row],[TANGGAL]])&lt;&gt;1,0,1)</f>
        <v>1</v>
      </c>
      <c r="E293" s="141" t="str">
        <f>TEXT(IF(KB[[#This Row],[DOC]]&lt;&gt;"",KB[[#This Row],[DOC]],E292),"000")</f>
        <v>021</v>
      </c>
      <c r="F293" s="40">
        <v>43865</v>
      </c>
      <c r="G293" s="40" t="str">
        <f>TYPE</f>
        <v>A</v>
      </c>
      <c r="H293" s="153" t="s">
        <v>823</v>
      </c>
      <c r="I293" s="42" t="s">
        <v>528</v>
      </c>
      <c r="J293" s="43" t="s">
        <v>83</v>
      </c>
      <c r="K293" s="44">
        <v>1</v>
      </c>
      <c r="L293" s="49">
        <v>5710</v>
      </c>
      <c r="M293" s="49">
        <v>3890</v>
      </c>
      <c r="N293" s="49">
        <v>1820</v>
      </c>
      <c r="O293" s="49">
        <v>6</v>
      </c>
      <c r="P293" s="49">
        <v>109.2</v>
      </c>
      <c r="Q293" s="49">
        <v>1710.8</v>
      </c>
      <c r="R293" s="49">
        <v>2750</v>
      </c>
      <c r="S293" s="49">
        <v>4704700</v>
      </c>
      <c r="T293" s="49">
        <v>13.82</v>
      </c>
      <c r="U293" s="49">
        <v>2763.82</v>
      </c>
      <c r="V293" s="49">
        <v>4728343</v>
      </c>
      <c r="W293" s="49">
        <v>23642</v>
      </c>
      <c r="X293" s="49">
        <v>4704701</v>
      </c>
      <c r="Y293" s="530" t="str">
        <f>IFERROR(IF(FIND("/KM",KB[[#This Row],[SUPPLIER]])&gt;0,"LAUT"),"DARAT")</f>
        <v>LAUT</v>
      </c>
    </row>
    <row r="294" spans="2:25">
      <c r="B294" s="140" t="str">
        <f>IFERROR(LEFT(KB[[#This Row],[SUPPLIER]],FIND("/",KB[[#This Row],[SUPPLIER]])-1),KB[[#This Row],[SUPPLIER]])</f>
        <v>MASRI</v>
      </c>
      <c r="C294" s="141" t="str">
        <f>TEXT(VLOOKUP(KB[[#This Row],[RELASI]],DBRELASI[[RELASI]:[DOCKB]],10,0)+COUNTIFS($B$2:B294,KB[[#This Row],[RELASI]],$D$2:D294,1),"000")</f>
        <v>017</v>
      </c>
      <c r="D294" s="141">
        <f>IF(COUNTIFS($B$3:B294,KB[[#This Row],[RELASI]],$F$3:F294,KB[[#This Row],[TANGGAL]])&lt;&gt;1,0,1)</f>
        <v>1</v>
      </c>
      <c r="E294" s="141" t="str">
        <f>TEXT(IF(KB[[#This Row],[DOC]]&lt;&gt;"",KB[[#This Row],[DOC]],E293),"000")</f>
        <v>017</v>
      </c>
      <c r="F294" s="40">
        <v>43865</v>
      </c>
      <c r="G294" s="40" t="str">
        <f>TYPE</f>
        <v>A</v>
      </c>
      <c r="H294" s="153" t="s">
        <v>798</v>
      </c>
      <c r="I294" s="42" t="s">
        <v>846</v>
      </c>
      <c r="J294" s="43" t="s">
        <v>511</v>
      </c>
      <c r="K294" s="44">
        <v>2</v>
      </c>
      <c r="L294" s="49">
        <v>17220</v>
      </c>
      <c r="M294" s="49">
        <v>7790</v>
      </c>
      <c r="N294" s="49">
        <v>9430</v>
      </c>
      <c r="O294" s="49">
        <v>6</v>
      </c>
      <c r="P294" s="49">
        <v>565.79999999999995</v>
      </c>
      <c r="Q294" s="49">
        <v>8864.2000000000007</v>
      </c>
      <c r="R294" s="49">
        <v>2949.9999999999995</v>
      </c>
      <c r="S294" s="49">
        <v>26149390</v>
      </c>
      <c r="T294" s="49">
        <v>14.82</v>
      </c>
      <c r="U294" s="49">
        <v>2964.8199999999997</v>
      </c>
      <c r="V294" s="49">
        <v>26280757</v>
      </c>
      <c r="W294" s="49">
        <v>131404</v>
      </c>
      <c r="X294" s="49">
        <v>26149353</v>
      </c>
      <c r="Y294" s="530" t="str">
        <f>IFERROR(IF(FIND("/KM",KB[[#This Row],[SUPPLIER]])&gt;0,"LAUT"),"DARAT")</f>
        <v>LAUT</v>
      </c>
    </row>
    <row r="295" spans="2:25">
      <c r="B295" s="140" t="str">
        <f>IFERROR(LEFT(KB[[#This Row],[SUPPLIER]],FIND("/",KB[[#This Row],[SUPPLIER]])-1),KB[[#This Row],[SUPPLIER]])</f>
        <v>PT.SINAR KELAPA TEMBILAHAN</v>
      </c>
      <c r="C295" s="141" t="str">
        <f>TEXT(VLOOKUP(KB[[#This Row],[RELASI]],DBRELASI[[RELASI]:[DOCKB]],10,0)+COUNTIFS($B$2:B295,KB[[#This Row],[RELASI]],$D$2:D295,1),"000")</f>
        <v>009</v>
      </c>
      <c r="D295" s="141">
        <f>IF(COUNTIFS($B$3:B295,KB[[#This Row],[RELASI]],$F$3:F295,KB[[#This Row],[TANGGAL]])&lt;&gt;1,0,1)</f>
        <v>1</v>
      </c>
      <c r="E295" s="141" t="str">
        <f>TEXT(IF(KB[[#This Row],[DOC]]&lt;&gt;"",KB[[#This Row],[DOC]],E294),"000")</f>
        <v>009</v>
      </c>
      <c r="F295" s="40">
        <v>43865</v>
      </c>
      <c r="G295" s="40" t="str">
        <f>TYPE</f>
        <v>A</v>
      </c>
      <c r="H295" s="153" t="s">
        <v>769</v>
      </c>
      <c r="I295" s="42" t="s">
        <v>831</v>
      </c>
      <c r="J295" s="43" t="s">
        <v>81</v>
      </c>
      <c r="K295" s="44">
        <v>1</v>
      </c>
      <c r="L295" s="49">
        <v>8560</v>
      </c>
      <c r="M295" s="49">
        <v>3850</v>
      </c>
      <c r="N295" s="49">
        <v>4710</v>
      </c>
      <c r="O295" s="49">
        <v>5.9999999999999991</v>
      </c>
      <c r="P295" s="49">
        <v>282.59999999999997</v>
      </c>
      <c r="Q295" s="49">
        <v>4427.3999999999996</v>
      </c>
      <c r="R295" s="49">
        <v>2850.0000000000005</v>
      </c>
      <c r="S295" s="49">
        <v>12618090</v>
      </c>
      <c r="T295" s="49">
        <v>0</v>
      </c>
      <c r="U295" s="49">
        <v>2850.0000000000005</v>
      </c>
      <c r="V295" s="49">
        <v>12618090</v>
      </c>
      <c r="W295" s="49">
        <v>31545</v>
      </c>
      <c r="X295" s="49">
        <v>12586545</v>
      </c>
      <c r="Y295" s="530" t="str">
        <f>IFERROR(IF(FIND("/KM",KB[[#This Row],[SUPPLIER]])&gt;0,"LAUT"),"DARAT")</f>
        <v>LAUT</v>
      </c>
    </row>
    <row r="296" spans="2:25">
      <c r="B296" s="140" t="str">
        <f>IFERROR(LEFT(KB[[#This Row],[SUPPLIER]],FIND("/",KB[[#This Row],[SUPPLIER]])-1),KB[[#This Row],[SUPPLIER]])</f>
        <v>YANADI</v>
      </c>
      <c r="C296" s="141" t="str">
        <f>TEXT(VLOOKUP(KB[[#This Row],[RELASI]],DBRELASI[[RELASI]:[DOCKB]],10,0)+COUNTIFS($B$2:B296,KB[[#This Row],[RELASI]],$D$2:D296,1),"000")</f>
        <v>014</v>
      </c>
      <c r="D296" s="141">
        <f>IF(COUNTIFS($B$3:B296,KB[[#This Row],[RELASI]],$F$3:F296,KB[[#This Row],[TANGGAL]])&lt;&gt;1,0,1)</f>
        <v>1</v>
      </c>
      <c r="E296" s="141" t="str">
        <f>TEXT(IF(KB[[#This Row],[DOC]]&lt;&gt;"",KB[[#This Row],[DOC]],E295),"000")</f>
        <v>014</v>
      </c>
      <c r="F296" s="40">
        <v>43865</v>
      </c>
      <c r="G296" s="40" t="str">
        <f>TYPE</f>
        <v>A</v>
      </c>
      <c r="H296" s="154" t="s">
        <v>781</v>
      </c>
      <c r="I296" s="46" t="s">
        <v>514</v>
      </c>
      <c r="J296" s="47" t="s">
        <v>74</v>
      </c>
      <c r="K296" s="48">
        <v>1</v>
      </c>
      <c r="L296" s="49">
        <v>8080</v>
      </c>
      <c r="M296" s="49">
        <v>3990</v>
      </c>
      <c r="N296" s="49">
        <v>4090</v>
      </c>
      <c r="O296" s="49">
        <v>6</v>
      </c>
      <c r="P296" s="49">
        <v>245.39999999999998</v>
      </c>
      <c r="Q296" s="49">
        <v>3844.6</v>
      </c>
      <c r="R296" s="49">
        <v>2750</v>
      </c>
      <c r="S296" s="49">
        <v>10572650</v>
      </c>
      <c r="T296" s="49">
        <v>13.82</v>
      </c>
      <c r="U296" s="49">
        <v>2763.82</v>
      </c>
      <c r="V296" s="49">
        <v>10625782</v>
      </c>
      <c r="W296" s="49">
        <v>53129</v>
      </c>
      <c r="X296" s="49">
        <v>10572653</v>
      </c>
      <c r="Y296" s="574" t="str">
        <f>IFERROR(IF(FIND("/KM",KB[[#This Row],[SUPPLIER]])&gt;0,"LAUT"),"DARAT")</f>
        <v>LAUT</v>
      </c>
    </row>
    <row r="297" spans="2:25">
      <c r="B297" s="140" t="str">
        <f>IFERROR(LEFT(KB[[#This Row],[SUPPLIER]],FIND("/",KB[[#This Row],[SUPPLIER]])-1),KB[[#This Row],[SUPPLIER]])</f>
        <v>ERAWATI</v>
      </c>
      <c r="C297" s="141" t="str">
        <f>TEXT(VLOOKUP(KB[[#This Row],[RELASI]],DBRELASI[[RELASI]:[DOCKB]],10,0)+COUNTIFS($B$2:B297,KB[[#This Row],[RELASI]],$D$2:D297,1),"000")</f>
        <v>026</v>
      </c>
      <c r="D297" s="141">
        <f>IF(COUNTIFS($B$3:B297,KB[[#This Row],[RELASI]],$F$3:F297,KB[[#This Row],[TANGGAL]])&lt;&gt;1,0,1)</f>
        <v>1</v>
      </c>
      <c r="E297" s="141" t="str">
        <f>TEXT(IF(KB[[#This Row],[DOC]]&lt;&gt;"",KB[[#This Row],[DOC]],E296),"000")</f>
        <v>026</v>
      </c>
      <c r="F297" s="40">
        <v>43866</v>
      </c>
      <c r="G297" s="40" t="str">
        <f>TYPE</f>
        <v>A</v>
      </c>
      <c r="H297" s="153" t="s">
        <v>852</v>
      </c>
      <c r="I297" s="42" t="s">
        <v>155</v>
      </c>
      <c r="J297" s="43" t="s">
        <v>77</v>
      </c>
      <c r="K297" s="44">
        <v>7</v>
      </c>
      <c r="L297" s="49">
        <v>39870</v>
      </c>
      <c r="M297" s="49">
        <v>19520</v>
      </c>
      <c r="N297" s="49">
        <v>20350</v>
      </c>
      <c r="O297" s="49">
        <v>5</v>
      </c>
      <c r="P297" s="49">
        <v>1017.5</v>
      </c>
      <c r="Q297" s="49">
        <v>19332.5</v>
      </c>
      <c r="R297" s="49">
        <v>2800</v>
      </c>
      <c r="S297" s="49">
        <v>54131000</v>
      </c>
      <c r="T297" s="49">
        <v>14.07</v>
      </c>
      <c r="U297" s="49">
        <v>2814.07</v>
      </c>
      <c r="V297" s="49">
        <v>54403008</v>
      </c>
      <c r="W297" s="49">
        <v>272014</v>
      </c>
      <c r="X297" s="49">
        <v>54130994</v>
      </c>
      <c r="Y297" s="530" t="str">
        <f>IFERROR(IF(FIND("/KM",KB[[#This Row],[SUPPLIER]])&gt;0,"LAUT"),"DARAT")</f>
        <v>DARAT</v>
      </c>
    </row>
    <row r="298" spans="2:25">
      <c r="B298" s="140" t="str">
        <f>IFERROR(LEFT(KB[[#This Row],[SUPPLIER]],FIND("/",KB[[#This Row],[SUPPLIER]])-1),KB[[#This Row],[SUPPLIER]])</f>
        <v>INDRAYANI</v>
      </c>
      <c r="C298" s="141" t="str">
        <f>TEXT(VLOOKUP(KB[[#This Row],[RELASI]],DBRELASI[[RELASI]:[DOCKB]],10,0)+COUNTIFS($B$2:B298,KB[[#This Row],[RELASI]],$D$2:D298,1),"000")</f>
        <v>024</v>
      </c>
      <c r="D298" s="141">
        <f>IF(COUNTIFS($B$3:B298,KB[[#This Row],[RELASI]],$F$3:F298,KB[[#This Row],[TANGGAL]])&lt;&gt;1,0,1)</f>
        <v>1</v>
      </c>
      <c r="E298" s="141" t="str">
        <f>TEXT(IF(KB[[#This Row],[DOC]]&lt;&gt;"",KB[[#This Row],[DOC]],E297),"000")</f>
        <v>024</v>
      </c>
      <c r="F298" s="40">
        <v>43866</v>
      </c>
      <c r="G298" s="40" t="str">
        <f>TYPE</f>
        <v>A</v>
      </c>
      <c r="H298" s="153" t="s">
        <v>844</v>
      </c>
      <c r="I298" s="42" t="s">
        <v>79</v>
      </c>
      <c r="J298" s="43" t="s">
        <v>77</v>
      </c>
      <c r="K298" s="44">
        <v>4</v>
      </c>
      <c r="L298" s="49">
        <v>43900</v>
      </c>
      <c r="M298" s="49">
        <v>15740</v>
      </c>
      <c r="N298" s="49">
        <v>28160</v>
      </c>
      <c r="O298" s="49">
        <v>5</v>
      </c>
      <c r="P298" s="49">
        <v>1408</v>
      </c>
      <c r="Q298" s="49">
        <v>26752</v>
      </c>
      <c r="R298" s="49">
        <v>2900</v>
      </c>
      <c r="S298" s="49">
        <v>77580800</v>
      </c>
      <c r="T298" s="49">
        <v>14.57</v>
      </c>
      <c r="U298" s="49">
        <v>2914.57</v>
      </c>
      <c r="V298" s="49">
        <v>77970577</v>
      </c>
      <c r="W298" s="49">
        <v>389853</v>
      </c>
      <c r="X298" s="49">
        <v>77580724</v>
      </c>
      <c r="Y298" s="530" t="str">
        <f>IFERROR(IF(FIND("/KM",KB[[#This Row],[SUPPLIER]])&gt;0,"LAUT"),"DARAT")</f>
        <v>DARAT</v>
      </c>
    </row>
    <row r="299" spans="2:25">
      <c r="B299" s="140" t="str">
        <f>IFERROR(LEFT(KB[[#This Row],[SUPPLIER]],FIND("/",KB[[#This Row],[SUPPLIER]])-1),KB[[#This Row],[SUPPLIER]])</f>
        <v>RUSLAN JAYA, SH</v>
      </c>
      <c r="C299" s="141" t="str">
        <f>TEXT(VLOOKUP(KB[[#This Row],[RELASI]],DBRELASI[[RELASI]:[DOCKB]],10,0)+COUNTIFS($B$2:B299,KB[[#This Row],[RELASI]],$D$2:D299,1),"000")</f>
        <v>013</v>
      </c>
      <c r="D299" s="141">
        <f>IF(COUNTIFS($B$3:B299,KB[[#This Row],[RELASI]],$F$3:F299,KB[[#This Row],[TANGGAL]])&lt;&gt;1,0,1)</f>
        <v>1</v>
      </c>
      <c r="E299" s="141" t="str">
        <f>TEXT(IF(KB[[#This Row],[DOC]]&lt;&gt;"",KB[[#This Row],[DOC]],E298),"000")</f>
        <v>013</v>
      </c>
      <c r="F299" s="40">
        <v>43866</v>
      </c>
      <c r="G299" s="40" t="str">
        <f>TYPE</f>
        <v>A</v>
      </c>
      <c r="H299" s="153" t="s">
        <v>780</v>
      </c>
      <c r="I299" s="42" t="s">
        <v>479</v>
      </c>
      <c r="J299" s="43" t="s">
        <v>475</v>
      </c>
      <c r="K299" s="44">
        <v>3</v>
      </c>
      <c r="L299" s="49">
        <v>27390</v>
      </c>
      <c r="M299" s="49">
        <v>10220</v>
      </c>
      <c r="N299" s="49">
        <v>17170</v>
      </c>
      <c r="O299" s="49">
        <v>5</v>
      </c>
      <c r="P299" s="49">
        <v>858.5</v>
      </c>
      <c r="Q299" s="49">
        <v>16311.5</v>
      </c>
      <c r="R299" s="49">
        <v>2800</v>
      </c>
      <c r="S299" s="49">
        <v>45672200</v>
      </c>
      <c r="T299" s="49">
        <v>14.07</v>
      </c>
      <c r="U299" s="49">
        <v>2814.07</v>
      </c>
      <c r="V299" s="49">
        <v>45901703</v>
      </c>
      <c r="W299" s="49">
        <v>229509</v>
      </c>
      <c r="X299" s="49">
        <v>45672194</v>
      </c>
      <c r="Y299" s="530" t="str">
        <f>IFERROR(IF(FIND("/KM",KB[[#This Row],[SUPPLIER]])&gt;0,"LAUT"),"DARAT")</f>
        <v>DARAT</v>
      </c>
    </row>
    <row r="300" spans="2:25">
      <c r="B300" s="140" t="str">
        <f>IFERROR(LEFT(KB[[#This Row],[SUPPLIER]],FIND("/",KB[[#This Row],[SUPPLIER]])-1),KB[[#This Row],[SUPPLIER]])</f>
        <v>SAIRI</v>
      </c>
      <c r="C300" s="141" t="str">
        <f>TEXT(VLOOKUP(KB[[#This Row],[RELASI]],DBRELASI[[RELASI]:[DOCKB]],10,0)+COUNTIFS($B$2:B300,KB[[#This Row],[RELASI]],$D$2:D300,1),"000")</f>
        <v>019</v>
      </c>
      <c r="D300" s="141">
        <f>IF(COUNTIFS($B$3:B300,KB[[#This Row],[RELASI]],$F$3:F300,KB[[#This Row],[TANGGAL]])&lt;&gt;1,0,1)</f>
        <v>1</v>
      </c>
      <c r="E300" s="141" t="str">
        <f>TEXT(IF(KB[[#This Row],[DOC]]&lt;&gt;"",KB[[#This Row],[DOC]],E299),"000")</f>
        <v>019</v>
      </c>
      <c r="F300" s="40">
        <v>43866</v>
      </c>
      <c r="G300" s="40" t="str">
        <f>TYPE</f>
        <v>A</v>
      </c>
      <c r="H300" s="153" t="s">
        <v>810</v>
      </c>
      <c r="I300" s="42" t="s">
        <v>84</v>
      </c>
      <c r="J300" s="43" t="s">
        <v>85</v>
      </c>
      <c r="K300" s="44">
        <v>3</v>
      </c>
      <c r="L300" s="49">
        <v>16940</v>
      </c>
      <c r="M300" s="49">
        <v>8390</v>
      </c>
      <c r="N300" s="49">
        <v>8550</v>
      </c>
      <c r="O300" s="49">
        <v>5</v>
      </c>
      <c r="P300" s="49">
        <v>427.5</v>
      </c>
      <c r="Q300" s="49">
        <v>8122.5</v>
      </c>
      <c r="R300" s="49">
        <v>2850</v>
      </c>
      <c r="S300" s="49">
        <v>23149125</v>
      </c>
      <c r="T300" s="49">
        <v>14.32</v>
      </c>
      <c r="U300" s="49">
        <v>2864.32</v>
      </c>
      <c r="V300" s="49">
        <v>23265439</v>
      </c>
      <c r="W300" s="49">
        <v>116328</v>
      </c>
      <c r="X300" s="49">
        <v>23149111</v>
      </c>
      <c r="Y300" s="530" t="str">
        <f>IFERROR(IF(FIND("/KM",KB[[#This Row],[SUPPLIER]])&gt;0,"LAUT"),"DARAT")</f>
        <v>DARAT</v>
      </c>
    </row>
    <row r="301" spans="2:25">
      <c r="B301" s="140" t="str">
        <f>IFERROR(LEFT(KB[[#This Row],[SUPPLIER]],FIND("/",KB[[#This Row],[SUPPLIER]])-1),KB[[#This Row],[SUPPLIER]])</f>
        <v>YANADI</v>
      </c>
      <c r="C301" s="141" t="str">
        <f>TEXT(VLOOKUP(KB[[#This Row],[RELASI]],DBRELASI[[RELASI]:[DOCKB]],10,0)+COUNTIFS($B$2:B301,KB[[#This Row],[RELASI]],$D$2:D301,1),"000")</f>
        <v>015</v>
      </c>
      <c r="D301" s="141">
        <f>IF(COUNTIFS($B$3:B301,KB[[#This Row],[RELASI]],$F$3:F301,KB[[#This Row],[TANGGAL]])&lt;&gt;1,0,1)</f>
        <v>1</v>
      </c>
      <c r="E301" s="141" t="str">
        <f>TEXT(IF(KB[[#This Row],[DOC]]&lt;&gt;"",KB[[#This Row],[DOC]],E300),"000")</f>
        <v>015</v>
      </c>
      <c r="F301" s="40">
        <v>43866</v>
      </c>
      <c r="G301" s="40" t="str">
        <f>TYPE</f>
        <v>A</v>
      </c>
      <c r="H301" s="153" t="s">
        <v>789</v>
      </c>
      <c r="I301" s="42" t="s">
        <v>137</v>
      </c>
      <c r="J301" s="43" t="s">
        <v>74</v>
      </c>
      <c r="K301" s="44">
        <v>2</v>
      </c>
      <c r="L301" s="49">
        <v>25830</v>
      </c>
      <c r="M301" s="49">
        <v>8280</v>
      </c>
      <c r="N301" s="49">
        <v>17550</v>
      </c>
      <c r="O301" s="49">
        <v>5</v>
      </c>
      <c r="P301" s="49">
        <v>877.5</v>
      </c>
      <c r="Q301" s="49">
        <v>16672.5</v>
      </c>
      <c r="R301" s="49">
        <v>2800</v>
      </c>
      <c r="S301" s="49">
        <v>46683000</v>
      </c>
      <c r="T301" s="49">
        <v>14.07</v>
      </c>
      <c r="U301" s="49">
        <v>2814.07</v>
      </c>
      <c r="V301" s="49">
        <v>46917582</v>
      </c>
      <c r="W301" s="49">
        <v>234588</v>
      </c>
      <c r="X301" s="49">
        <v>46682994</v>
      </c>
      <c r="Y301" s="530" t="str">
        <f>IFERROR(IF(FIND("/KM",KB[[#This Row],[SUPPLIER]])&gt;0,"LAUT"),"DARAT")</f>
        <v>DARAT</v>
      </c>
    </row>
    <row r="302" spans="2:25">
      <c r="B302" s="140" t="str">
        <f>IFERROR(LEFT(KB[[#This Row],[SUPPLIER]],FIND("/",KB[[#This Row],[SUPPLIER]])-1),KB[[#This Row],[SUPPLIER]])</f>
        <v>DINI CHAIRANI</v>
      </c>
      <c r="C302" s="141" t="str">
        <f>TEXT(VLOOKUP(KB[[#This Row],[RELASI]],DBRELASI[[RELASI]:[DOCKB]],10,0)+COUNTIFS($B$2:B302,KB[[#This Row],[RELASI]],$D$2:D302,1),"000")</f>
        <v>019</v>
      </c>
      <c r="D302" s="141">
        <f>IF(COUNTIFS($B$3:B302,KB[[#This Row],[RELASI]],$F$3:F302,KB[[#This Row],[TANGGAL]])&lt;&gt;1,0,1)</f>
        <v>1</v>
      </c>
      <c r="E302" s="141" t="str">
        <f>TEXT(IF(KB[[#This Row],[DOC]]&lt;&gt;"",KB[[#This Row],[DOC]],E301),"000")</f>
        <v>019</v>
      </c>
      <c r="F302" s="40">
        <v>43866</v>
      </c>
      <c r="G302" s="40" t="str">
        <f>TYPE</f>
        <v>A</v>
      </c>
      <c r="H302" s="153" t="s">
        <v>810</v>
      </c>
      <c r="I302" s="42" t="s">
        <v>517</v>
      </c>
      <c r="J302" s="43" t="s">
        <v>95</v>
      </c>
      <c r="K302" s="44">
        <v>5</v>
      </c>
      <c r="L302" s="49">
        <v>42140</v>
      </c>
      <c r="M302" s="49">
        <v>19550</v>
      </c>
      <c r="N302" s="49">
        <v>22590</v>
      </c>
      <c r="O302" s="49">
        <v>6</v>
      </c>
      <c r="P302" s="49">
        <v>1355.4</v>
      </c>
      <c r="Q302" s="49">
        <v>21234.6</v>
      </c>
      <c r="R302" s="49">
        <v>2800</v>
      </c>
      <c r="S302" s="49">
        <v>59456880</v>
      </c>
      <c r="T302" s="49">
        <v>14.07</v>
      </c>
      <c r="U302" s="49">
        <v>2814.07</v>
      </c>
      <c r="V302" s="49">
        <v>59755651</v>
      </c>
      <c r="W302" s="49">
        <v>298779</v>
      </c>
      <c r="X302" s="49">
        <v>59456872</v>
      </c>
      <c r="Y302" s="530" t="str">
        <f>IFERROR(IF(FIND("/KM",KB[[#This Row],[SUPPLIER]])&gt;0,"LAUT"),"DARAT")</f>
        <v>LAUT</v>
      </c>
    </row>
    <row r="303" spans="2:25">
      <c r="B303" s="140" t="str">
        <f>IFERROR(LEFT(KB[[#This Row],[SUPPLIER]],FIND("/",KB[[#This Row],[SUPPLIER]])-1),KB[[#This Row],[SUPPLIER]])</f>
        <v>DINI CHAIRANI</v>
      </c>
      <c r="C303" s="141" t="str">
        <f>TEXT(VLOOKUP(KB[[#This Row],[RELASI]],DBRELASI[[RELASI]:[DOCKB]],10,0)+COUNTIFS($B$2:B303,KB[[#This Row],[RELASI]],$D$2:D303,1),"000")</f>
        <v>019</v>
      </c>
      <c r="D303" s="141">
        <f>IF(COUNTIFS($B$3:B303,KB[[#This Row],[RELASI]],$F$3:F303,KB[[#This Row],[TANGGAL]])&lt;&gt;1,0,1)</f>
        <v>0</v>
      </c>
      <c r="E303" s="141" t="str">
        <f>TEXT(IF(KB[[#This Row],[DOC]]&lt;&gt;"",KB[[#This Row],[DOC]],E302),"000")</f>
        <v>019</v>
      </c>
      <c r="F303" s="40">
        <v>43866</v>
      </c>
      <c r="G303" s="40" t="str">
        <f>TYPE</f>
        <v>A</v>
      </c>
      <c r="H303"/>
      <c r="I303" s="42" t="s">
        <v>772</v>
      </c>
      <c r="J303" s="43" t="s">
        <v>95</v>
      </c>
      <c r="K303" s="44">
        <v>1</v>
      </c>
      <c r="L303" s="49">
        <v>9380</v>
      </c>
      <c r="M303" s="49">
        <v>3890</v>
      </c>
      <c r="N303" s="49">
        <v>5490</v>
      </c>
      <c r="O303" s="49">
        <v>6</v>
      </c>
      <c r="P303" s="49">
        <v>329.4</v>
      </c>
      <c r="Q303" s="49">
        <v>5160.6000000000004</v>
      </c>
      <c r="R303" s="49">
        <v>2750</v>
      </c>
      <c r="S303" s="49">
        <v>14191650</v>
      </c>
      <c r="T303" s="49">
        <v>13.82</v>
      </c>
      <c r="U303" s="49">
        <v>2763.82</v>
      </c>
      <c r="V303" s="49">
        <v>14262969</v>
      </c>
      <c r="W303" s="49">
        <v>71315</v>
      </c>
      <c r="X303" s="49">
        <v>14191654</v>
      </c>
      <c r="Y303" s="530" t="str">
        <f>IFERROR(IF(FIND("/KM",KB[[#This Row],[SUPPLIER]])&gt;0,"LAUT"),"DARAT")</f>
        <v>LAUT</v>
      </c>
    </row>
    <row r="304" spans="2:25">
      <c r="B304" s="140" t="str">
        <f>IFERROR(LEFT(KB[[#This Row],[SUPPLIER]],FIND("/",KB[[#This Row],[SUPPLIER]])-1),KB[[#This Row],[SUPPLIER]])</f>
        <v>DINI CHAIRANI</v>
      </c>
      <c r="C304" s="141" t="str">
        <f>TEXT(VLOOKUP(KB[[#This Row],[RELASI]],DBRELASI[[RELASI]:[DOCKB]],10,0)+COUNTIFS($B$2:B304,KB[[#This Row],[RELASI]],$D$2:D304,1),"000")</f>
        <v>019</v>
      </c>
      <c r="D304" s="141">
        <f>IF(COUNTIFS($B$3:B304,KB[[#This Row],[RELASI]],$F$3:F304,KB[[#This Row],[TANGGAL]])&lt;&gt;1,0,1)</f>
        <v>0</v>
      </c>
      <c r="E304" s="141" t="str">
        <f>TEXT(IF(KB[[#This Row],[DOC]]&lt;&gt;"",KB[[#This Row],[DOC]],E303),"000")</f>
        <v>019</v>
      </c>
      <c r="F304" s="40">
        <v>43866</v>
      </c>
      <c r="G304" s="40" t="str">
        <f>TYPE</f>
        <v>A</v>
      </c>
      <c r="H304"/>
      <c r="I304" s="42" t="s">
        <v>820</v>
      </c>
      <c r="J304" s="43" t="s">
        <v>95</v>
      </c>
      <c r="K304" s="44">
        <v>2</v>
      </c>
      <c r="L304" s="49">
        <v>13290</v>
      </c>
      <c r="M304" s="49">
        <v>7630</v>
      </c>
      <c r="N304" s="49">
        <v>5660</v>
      </c>
      <c r="O304" s="49">
        <v>5.9999999999999991</v>
      </c>
      <c r="P304" s="49">
        <v>339.59999999999997</v>
      </c>
      <c r="Q304" s="49">
        <v>5320.4</v>
      </c>
      <c r="R304" s="49">
        <v>2750</v>
      </c>
      <c r="S304" s="49">
        <v>14631100</v>
      </c>
      <c r="T304" s="49">
        <v>13.82</v>
      </c>
      <c r="U304" s="49">
        <v>2763.82</v>
      </c>
      <c r="V304" s="49">
        <v>14704628</v>
      </c>
      <c r="W304" s="49">
        <v>73524</v>
      </c>
      <c r="X304" s="49">
        <v>14631104</v>
      </c>
      <c r="Y304" s="530" t="str">
        <f>IFERROR(IF(FIND("/KM",KB[[#This Row],[SUPPLIER]])&gt;0,"LAUT"),"DARAT")</f>
        <v>LAUT</v>
      </c>
    </row>
    <row r="305" spans="2:25">
      <c r="B305" s="140" t="str">
        <f>IFERROR(LEFT(KB[[#This Row],[SUPPLIER]],FIND("/",KB[[#This Row],[SUPPLIER]])-1),KB[[#This Row],[SUPPLIER]])</f>
        <v>HENDRI</v>
      </c>
      <c r="C305" s="141" t="str">
        <f>TEXT(VLOOKUP(KB[[#This Row],[RELASI]],DBRELASI[[RELASI]:[DOCKB]],10,0)+COUNTIFS($B$2:B305,KB[[#This Row],[RELASI]],$D$2:D305,1),"000")</f>
        <v>016</v>
      </c>
      <c r="D305" s="141">
        <f>IF(COUNTIFS($B$3:B305,KB[[#This Row],[RELASI]],$F$3:F305,KB[[#This Row],[TANGGAL]])&lt;&gt;1,0,1)</f>
        <v>1</v>
      </c>
      <c r="E305" s="141" t="str">
        <f>TEXT(IF(KB[[#This Row],[DOC]]&lt;&gt;"",KB[[#This Row],[DOC]],E304),"000")</f>
        <v>016</v>
      </c>
      <c r="F305" s="40">
        <v>43866</v>
      </c>
      <c r="G305" s="40" t="str">
        <f>TYPE</f>
        <v>A</v>
      </c>
      <c r="H305" s="153" t="s">
        <v>796</v>
      </c>
      <c r="I305" s="42" t="s">
        <v>770</v>
      </c>
      <c r="J305" s="43" t="s">
        <v>475</v>
      </c>
      <c r="K305" s="44">
        <v>1</v>
      </c>
      <c r="L305" s="49">
        <v>8930</v>
      </c>
      <c r="M305" s="49">
        <v>3890</v>
      </c>
      <c r="N305" s="49">
        <v>5040</v>
      </c>
      <c r="O305" s="49">
        <v>6</v>
      </c>
      <c r="P305" s="49">
        <v>302.39999999999998</v>
      </c>
      <c r="Q305" s="49">
        <v>4737.6000000000004</v>
      </c>
      <c r="R305" s="49">
        <v>2750</v>
      </c>
      <c r="S305" s="49">
        <v>13028400</v>
      </c>
      <c r="T305" s="49">
        <v>13.82</v>
      </c>
      <c r="U305" s="49">
        <v>2763.82</v>
      </c>
      <c r="V305" s="49">
        <v>13093874</v>
      </c>
      <c r="W305" s="49">
        <v>65469</v>
      </c>
      <c r="X305" s="49">
        <v>13028405</v>
      </c>
      <c r="Y305" s="530" t="str">
        <f>IFERROR(IF(FIND("/KM",KB[[#This Row],[SUPPLIER]])&gt;0,"LAUT"),"DARAT")</f>
        <v>LAUT</v>
      </c>
    </row>
    <row r="306" spans="2:25">
      <c r="B306" s="140" t="str">
        <f>IFERROR(LEFT(KB[[#This Row],[SUPPLIER]],FIND("/",KB[[#This Row],[SUPPLIER]])-1),KB[[#This Row],[SUPPLIER]])</f>
        <v>MARTONO</v>
      </c>
      <c r="C306" s="141" t="str">
        <f>TEXT(VLOOKUP(KB[[#This Row],[RELASI]],DBRELASI[[RELASI]:[DOCKB]],10,0)+COUNTIFS($B$2:B306,KB[[#This Row],[RELASI]],$D$2:D306,1),"000")</f>
        <v>022</v>
      </c>
      <c r="D306" s="141">
        <f>IF(COUNTIFS($B$3:B306,KB[[#This Row],[RELASI]],$F$3:F306,KB[[#This Row],[TANGGAL]])&lt;&gt;1,0,1)</f>
        <v>1</v>
      </c>
      <c r="E306" s="141" t="str">
        <f>TEXT(IF(KB[[#This Row],[DOC]]&lt;&gt;"",KB[[#This Row],[DOC]],E305),"000")</f>
        <v>022</v>
      </c>
      <c r="F306" s="40">
        <v>43866</v>
      </c>
      <c r="G306" s="40" t="str">
        <f>TYPE</f>
        <v>A</v>
      </c>
      <c r="H306" s="153" t="s">
        <v>837</v>
      </c>
      <c r="I306" s="42" t="s">
        <v>509</v>
      </c>
      <c r="J306" s="43" t="s">
        <v>83</v>
      </c>
      <c r="K306" s="44">
        <v>1</v>
      </c>
      <c r="L306" s="49">
        <v>7880</v>
      </c>
      <c r="M306" s="49">
        <v>3930</v>
      </c>
      <c r="N306" s="49">
        <v>3950</v>
      </c>
      <c r="O306" s="49">
        <v>6</v>
      </c>
      <c r="P306" s="49">
        <v>237</v>
      </c>
      <c r="Q306" s="49">
        <v>3713</v>
      </c>
      <c r="R306" s="49">
        <v>2750</v>
      </c>
      <c r="S306" s="49">
        <v>10210750</v>
      </c>
      <c r="T306" s="49">
        <v>13.82</v>
      </c>
      <c r="U306" s="49">
        <v>2763.82</v>
      </c>
      <c r="V306" s="49">
        <v>10262064</v>
      </c>
      <c r="W306" s="49">
        <v>51310</v>
      </c>
      <c r="X306" s="49">
        <v>10210754</v>
      </c>
      <c r="Y306" s="530" t="str">
        <f>IFERROR(IF(FIND("/KM",KB[[#This Row],[SUPPLIER]])&gt;0,"LAUT"),"DARAT")</f>
        <v>LAUT</v>
      </c>
    </row>
    <row r="307" spans="2:25">
      <c r="B307" s="140" t="str">
        <f>IFERROR(LEFT(KB[[#This Row],[SUPPLIER]],FIND("/",KB[[#This Row],[SUPPLIER]])-1),KB[[#This Row],[SUPPLIER]])</f>
        <v>PT.SINAR KELAPA TEMBILAHAN</v>
      </c>
      <c r="C307" s="141" t="str">
        <f>TEXT(VLOOKUP(KB[[#This Row],[RELASI]],DBRELASI[[RELASI]:[DOCKB]],10,0)+COUNTIFS($B$2:B307,KB[[#This Row],[RELASI]],$D$2:D307,1),"000")</f>
        <v>010</v>
      </c>
      <c r="D307" s="141">
        <f>IF(COUNTIFS($B$3:B307,KB[[#This Row],[RELASI]],$F$3:F307,KB[[#This Row],[TANGGAL]])&lt;&gt;1,0,1)</f>
        <v>1</v>
      </c>
      <c r="E307" s="141" t="str">
        <f>TEXT(IF(KB[[#This Row],[DOC]]&lt;&gt;"",KB[[#This Row],[DOC]],E306),"000")</f>
        <v>010</v>
      </c>
      <c r="F307" s="40">
        <v>43866</v>
      </c>
      <c r="G307" s="40" t="str">
        <f>TYPE</f>
        <v>A</v>
      </c>
      <c r="H307" s="153" t="s">
        <v>773</v>
      </c>
      <c r="I307" s="42" t="s">
        <v>831</v>
      </c>
      <c r="J307" s="43" t="s">
        <v>81</v>
      </c>
      <c r="K307" s="44">
        <v>2</v>
      </c>
      <c r="L307" s="49">
        <v>13480</v>
      </c>
      <c r="M307" s="49">
        <v>7630</v>
      </c>
      <c r="N307" s="49">
        <v>5850</v>
      </c>
      <c r="O307" s="49">
        <v>6</v>
      </c>
      <c r="P307" s="49">
        <v>351</v>
      </c>
      <c r="Q307" s="49">
        <v>5499</v>
      </c>
      <c r="R307" s="49">
        <v>2850</v>
      </c>
      <c r="S307" s="49">
        <v>15672150</v>
      </c>
      <c r="T307" s="49">
        <v>0</v>
      </c>
      <c r="U307" s="49">
        <v>2850</v>
      </c>
      <c r="V307" s="49">
        <v>15672150</v>
      </c>
      <c r="W307" s="49">
        <v>39180</v>
      </c>
      <c r="X307" s="49">
        <v>15632970</v>
      </c>
      <c r="Y307" s="530" t="str">
        <f>IFERROR(IF(FIND("/KM",KB[[#This Row],[SUPPLIER]])&gt;0,"LAUT"),"DARAT")</f>
        <v>LAUT</v>
      </c>
    </row>
    <row r="308" spans="2:25">
      <c r="B308" s="140" t="str">
        <f>IFERROR(LEFT(KB[[#This Row],[SUPPLIER]],FIND("/",KB[[#This Row],[SUPPLIER]])-1),KB[[#This Row],[SUPPLIER]])</f>
        <v>RITA ERNITA</v>
      </c>
      <c r="C308" s="141" t="str">
        <f>TEXT(VLOOKUP(KB[[#This Row],[RELASI]],DBRELASI[[RELASI]:[DOCKB]],10,0)+COUNTIFS($B$2:B308,KB[[#This Row],[RELASI]],$D$2:D308,1),"000")</f>
        <v>005</v>
      </c>
      <c r="D308" s="141">
        <f>IF(COUNTIFS($B$3:B308,KB[[#This Row],[RELASI]],$F$3:F308,KB[[#This Row],[TANGGAL]])&lt;&gt;1,0,1)</f>
        <v>1</v>
      </c>
      <c r="E308" s="141" t="str">
        <f>TEXT(IF(KB[[#This Row],[DOC]]&lt;&gt;"",KB[[#This Row],[DOC]],E307),"000")</f>
        <v>005</v>
      </c>
      <c r="F308" s="40">
        <v>43866</v>
      </c>
      <c r="G308" s="40" t="str">
        <f>TYPE</f>
        <v>A</v>
      </c>
      <c r="H308" s="153" t="s">
        <v>532</v>
      </c>
      <c r="I308" s="42" t="s">
        <v>793</v>
      </c>
      <c r="J308" s="43" t="s">
        <v>96</v>
      </c>
      <c r="K308" s="44">
        <v>6</v>
      </c>
      <c r="L308" s="49">
        <v>50470</v>
      </c>
      <c r="M308" s="49">
        <v>23110</v>
      </c>
      <c r="N308" s="49">
        <v>27360</v>
      </c>
      <c r="O308" s="49">
        <v>6.1549707602339172</v>
      </c>
      <c r="P308" s="49">
        <v>1684</v>
      </c>
      <c r="Q308" s="49">
        <v>25676</v>
      </c>
      <c r="R308" s="49">
        <v>2850</v>
      </c>
      <c r="S308" s="49">
        <v>73176600</v>
      </c>
      <c r="T308" s="49">
        <v>14.32</v>
      </c>
      <c r="U308" s="49">
        <v>2864.32</v>
      </c>
      <c r="V308" s="49">
        <v>73544280</v>
      </c>
      <c r="W308" s="49">
        <v>367721</v>
      </c>
      <c r="X308" s="49">
        <v>73176559</v>
      </c>
      <c r="Y308" s="530" t="str">
        <f>IFERROR(IF(FIND("/KM",KB[[#This Row],[SUPPLIER]])&gt;0,"LAUT"),"DARAT")</f>
        <v>LAUT</v>
      </c>
    </row>
    <row r="309" spans="2:25">
      <c r="B309" s="140" t="str">
        <f>IFERROR(LEFT(KB[[#This Row],[SUPPLIER]],FIND("/",KB[[#This Row],[SUPPLIER]])-1),KB[[#This Row],[SUPPLIER]])</f>
        <v>SUKAMTO</v>
      </c>
      <c r="C309" s="141" t="str">
        <f>TEXT(VLOOKUP(KB[[#This Row],[RELASI]],DBRELASI[[RELASI]:[DOCKB]],10,0)+COUNTIFS($B$2:B309,KB[[#This Row],[RELASI]],$D$2:D309,1),"000")</f>
        <v>009</v>
      </c>
      <c r="D309" s="141">
        <f>IF(COUNTIFS($B$3:B309,KB[[#This Row],[RELASI]],$F$3:F309,KB[[#This Row],[TANGGAL]])&lt;&gt;1,0,1)</f>
        <v>1</v>
      </c>
      <c r="E309" s="141" t="str">
        <f>TEXT(IF(KB[[#This Row],[DOC]]&lt;&gt;"",KB[[#This Row],[DOC]],E308),"000")</f>
        <v>009</v>
      </c>
      <c r="F309" s="40">
        <v>43866</v>
      </c>
      <c r="G309" s="40" t="str">
        <f>TYPE</f>
        <v>A</v>
      </c>
      <c r="H309" s="154" t="s">
        <v>769</v>
      </c>
      <c r="I309" s="46" t="s">
        <v>523</v>
      </c>
      <c r="J309" s="47" t="s">
        <v>524</v>
      </c>
      <c r="K309" s="48">
        <v>1</v>
      </c>
      <c r="L309" s="49">
        <v>8230</v>
      </c>
      <c r="M309" s="49">
        <v>4000</v>
      </c>
      <c r="N309" s="49">
        <v>4230</v>
      </c>
      <c r="O309" s="49">
        <v>6</v>
      </c>
      <c r="P309" s="49">
        <v>253.79999999999998</v>
      </c>
      <c r="Q309" s="49">
        <v>3976.2</v>
      </c>
      <c r="R309" s="49">
        <v>2750</v>
      </c>
      <c r="S309" s="49">
        <v>10934550</v>
      </c>
      <c r="T309" s="49">
        <v>13.82</v>
      </c>
      <c r="U309" s="49">
        <v>2763.82</v>
      </c>
      <c r="V309" s="49">
        <v>10989501</v>
      </c>
      <c r="W309" s="49">
        <v>54948</v>
      </c>
      <c r="X309" s="49">
        <v>10934553</v>
      </c>
      <c r="Y309" s="574" t="str">
        <f>IFERROR(IF(FIND("/KM",KB[[#This Row],[SUPPLIER]])&gt;0,"LAUT"),"DARAT")</f>
        <v>LAUT</v>
      </c>
    </row>
    <row r="310" spans="2:25">
      <c r="B310" s="140" t="str">
        <f>IFERROR(LEFT(KB[[#This Row],[SUPPLIER]],FIND("/",KB[[#This Row],[SUPPLIER]])-1),KB[[#This Row],[SUPPLIER]])</f>
        <v>ERAWATI</v>
      </c>
      <c r="C310" s="141" t="str">
        <f>TEXT(VLOOKUP(KB[[#This Row],[RELASI]],DBRELASI[[RELASI]:[DOCKB]],10,0)+COUNTIFS($B$2:B310,KB[[#This Row],[RELASI]],$D$2:D310,1),"000")</f>
        <v>027</v>
      </c>
      <c r="D310" s="141">
        <f>IF(COUNTIFS($B$3:B310,KB[[#This Row],[RELASI]],$F$3:F310,KB[[#This Row],[TANGGAL]])&lt;&gt;1,0,1)</f>
        <v>1</v>
      </c>
      <c r="E310" s="141" t="str">
        <f>TEXT(IF(KB[[#This Row],[DOC]]&lt;&gt;"",KB[[#This Row],[DOC]],E309),"000")</f>
        <v>027</v>
      </c>
      <c r="F310" s="40">
        <v>43867</v>
      </c>
      <c r="G310" s="40" t="str">
        <f>TYPE</f>
        <v>A</v>
      </c>
      <c r="H310" s="153" t="s">
        <v>853</v>
      </c>
      <c r="I310" s="42" t="s">
        <v>155</v>
      </c>
      <c r="J310" s="43" t="s">
        <v>77</v>
      </c>
      <c r="K310" s="44">
        <v>9</v>
      </c>
      <c r="L310" s="49">
        <v>56450</v>
      </c>
      <c r="M310" s="49">
        <v>23280</v>
      </c>
      <c r="N310" s="49">
        <v>33170</v>
      </c>
      <c r="O310" s="49">
        <v>5</v>
      </c>
      <c r="P310" s="49">
        <v>1658.5</v>
      </c>
      <c r="Q310" s="49">
        <v>31511.5</v>
      </c>
      <c r="R310" s="49">
        <v>2800</v>
      </c>
      <c r="S310" s="49">
        <v>88232200</v>
      </c>
      <c r="T310" s="49">
        <v>14.07</v>
      </c>
      <c r="U310" s="49">
        <v>2814.07</v>
      </c>
      <c r="V310" s="49">
        <v>88675568</v>
      </c>
      <c r="W310" s="49">
        <v>443376</v>
      </c>
      <c r="X310" s="49">
        <v>88232192</v>
      </c>
      <c r="Y310" s="530" t="str">
        <f>IFERROR(IF(FIND("/KM",KB[[#This Row],[SUPPLIER]])&gt;0,"LAUT"),"DARAT")</f>
        <v>DARAT</v>
      </c>
    </row>
    <row r="311" spans="2:25">
      <c r="B311" s="140" t="str">
        <f>IFERROR(LEFT(KB[[#This Row],[SUPPLIER]],FIND("/",KB[[#This Row],[SUPPLIER]])-1),KB[[#This Row],[SUPPLIER]])</f>
        <v>RUSLAN JAYA, SH</v>
      </c>
      <c r="C311" s="141" t="str">
        <f>TEXT(VLOOKUP(KB[[#This Row],[RELASI]],DBRELASI[[RELASI]:[DOCKB]],10,0)+COUNTIFS($B$2:B311,KB[[#This Row],[RELASI]],$D$2:D311,1),"000")</f>
        <v>014</v>
      </c>
      <c r="D311" s="141">
        <f>IF(COUNTIFS($B$3:B311,KB[[#This Row],[RELASI]],$F$3:F311,KB[[#This Row],[TANGGAL]])&lt;&gt;1,0,1)</f>
        <v>1</v>
      </c>
      <c r="E311" s="141" t="str">
        <f>TEXT(IF(KB[[#This Row],[DOC]]&lt;&gt;"",KB[[#This Row],[DOC]],E310),"000")</f>
        <v>014</v>
      </c>
      <c r="F311" s="40">
        <v>43867</v>
      </c>
      <c r="G311" s="40" t="str">
        <f>TYPE</f>
        <v>A</v>
      </c>
      <c r="H311" s="153" t="s">
        <v>781</v>
      </c>
      <c r="I311" s="42" t="s">
        <v>479</v>
      </c>
      <c r="J311" s="43" t="s">
        <v>475</v>
      </c>
      <c r="K311" s="44">
        <v>2</v>
      </c>
      <c r="L311" s="49">
        <v>24780</v>
      </c>
      <c r="M311" s="49">
        <v>9270</v>
      </c>
      <c r="N311" s="49">
        <v>15510</v>
      </c>
      <c r="O311" s="49">
        <v>5.5016118633139905</v>
      </c>
      <c r="P311" s="49">
        <v>853.3</v>
      </c>
      <c r="Q311" s="49">
        <v>14656.7</v>
      </c>
      <c r="R311" s="49">
        <v>2800</v>
      </c>
      <c r="S311" s="49">
        <v>41038760</v>
      </c>
      <c r="T311" s="49">
        <v>14.07</v>
      </c>
      <c r="U311" s="49">
        <v>2814.07</v>
      </c>
      <c r="V311" s="49">
        <v>41244980</v>
      </c>
      <c r="W311" s="49">
        <v>206225</v>
      </c>
      <c r="X311" s="49">
        <v>41038755</v>
      </c>
      <c r="Y311" s="530" t="str">
        <f>IFERROR(IF(FIND("/KM",KB[[#This Row],[SUPPLIER]])&gt;0,"LAUT"),"DARAT")</f>
        <v>DARAT</v>
      </c>
    </row>
    <row r="312" spans="2:25">
      <c r="B312" s="140" t="str">
        <f>IFERROR(LEFT(KB[[#This Row],[SUPPLIER]],FIND("/",KB[[#This Row],[SUPPLIER]])-1),KB[[#This Row],[SUPPLIER]])</f>
        <v>YANADI</v>
      </c>
      <c r="C312" s="141" t="str">
        <f>TEXT(VLOOKUP(KB[[#This Row],[RELASI]],DBRELASI[[RELASI]:[DOCKB]],10,0)+COUNTIFS($B$2:B312,KB[[#This Row],[RELASI]],$D$2:D312,1),"000")</f>
        <v>016</v>
      </c>
      <c r="D312" s="141">
        <f>IF(COUNTIFS($B$3:B312,KB[[#This Row],[RELASI]],$F$3:F312,KB[[#This Row],[TANGGAL]])&lt;&gt;1,0,1)</f>
        <v>1</v>
      </c>
      <c r="E312" s="141" t="str">
        <f>TEXT(IF(KB[[#This Row],[DOC]]&lt;&gt;"",KB[[#This Row],[DOC]],E311),"000")</f>
        <v>016</v>
      </c>
      <c r="F312" s="40">
        <v>43867</v>
      </c>
      <c r="G312" s="40" t="str">
        <f>TYPE</f>
        <v>A</v>
      </c>
      <c r="H312" s="153" t="s">
        <v>796</v>
      </c>
      <c r="I312" s="42" t="s">
        <v>137</v>
      </c>
      <c r="J312" s="43" t="s">
        <v>74</v>
      </c>
      <c r="K312" s="44">
        <v>2</v>
      </c>
      <c r="L312" s="49">
        <v>23240</v>
      </c>
      <c r="M312" s="49">
        <v>8740</v>
      </c>
      <c r="N312" s="49">
        <v>14500</v>
      </c>
      <c r="O312" s="49">
        <v>5</v>
      </c>
      <c r="P312" s="49">
        <v>725</v>
      </c>
      <c r="Q312" s="49">
        <v>13775</v>
      </c>
      <c r="R312" s="49">
        <v>2800</v>
      </c>
      <c r="S312" s="49">
        <v>38570000</v>
      </c>
      <c r="T312" s="49">
        <v>14.07</v>
      </c>
      <c r="U312" s="49">
        <v>2814.07</v>
      </c>
      <c r="V312" s="49">
        <v>38763814</v>
      </c>
      <c r="W312" s="49">
        <v>193819</v>
      </c>
      <c r="X312" s="49">
        <v>38569995</v>
      </c>
      <c r="Y312" s="530" t="str">
        <f>IFERROR(IF(FIND("/KM",KB[[#This Row],[SUPPLIER]])&gt;0,"LAUT"),"DARAT")</f>
        <v>DARAT</v>
      </c>
    </row>
    <row r="313" spans="2:25">
      <c r="B313" s="140" t="str">
        <f>IFERROR(LEFT(KB[[#This Row],[SUPPLIER]],FIND("/",KB[[#This Row],[SUPPLIER]])-1),KB[[#This Row],[SUPPLIER]])</f>
        <v>YANADI</v>
      </c>
      <c r="C313" s="141" t="str">
        <f>TEXT(VLOOKUP(KB[[#This Row],[RELASI]],DBRELASI[[RELASI]:[DOCKB]],10,0)+COUNTIFS($B$2:B313,KB[[#This Row],[RELASI]],$D$2:D313,1),"000")</f>
        <v>016</v>
      </c>
      <c r="D313" s="141">
        <f>IF(COUNTIFS($B$3:B313,KB[[#This Row],[RELASI]],$F$3:F313,KB[[#This Row],[TANGGAL]])&lt;&gt;1,0,1)</f>
        <v>0</v>
      </c>
      <c r="E313" s="141" t="str">
        <f>TEXT(IF(KB[[#This Row],[DOC]]&lt;&gt;"",KB[[#This Row],[DOC]],E312),"000")</f>
        <v>016</v>
      </c>
      <c r="F313" s="40">
        <v>43867</v>
      </c>
      <c r="G313" s="40" t="str">
        <f>TYPE</f>
        <v>A</v>
      </c>
      <c r="H313"/>
      <c r="I313" s="42" t="s">
        <v>768</v>
      </c>
      <c r="J313" s="43" t="s">
        <v>74</v>
      </c>
      <c r="K313" s="44">
        <v>1</v>
      </c>
      <c r="L313" s="49">
        <v>7430</v>
      </c>
      <c r="M313" s="49">
        <v>3920</v>
      </c>
      <c r="N313" s="49">
        <v>3510</v>
      </c>
      <c r="O313" s="49">
        <v>6</v>
      </c>
      <c r="P313" s="49">
        <v>210.6</v>
      </c>
      <c r="Q313" s="49">
        <v>3299.4</v>
      </c>
      <c r="R313" s="49">
        <v>2750</v>
      </c>
      <c r="S313" s="49">
        <v>9073350</v>
      </c>
      <c r="T313" s="49">
        <v>13.82</v>
      </c>
      <c r="U313" s="49">
        <v>2763.82</v>
      </c>
      <c r="V313" s="49">
        <v>9118948</v>
      </c>
      <c r="W313" s="49">
        <v>45595</v>
      </c>
      <c r="X313" s="49">
        <v>9073353</v>
      </c>
      <c r="Y313" s="530" t="str">
        <f>IFERROR(IF(FIND("/KM",KB[[#This Row],[SUPPLIER]])&gt;0,"LAUT"),"DARAT")</f>
        <v>LAUT</v>
      </c>
    </row>
    <row r="314" spans="2:25">
      <c r="B314" s="140" t="str">
        <f>IFERROR(LEFT(KB[[#This Row],[SUPPLIER]],FIND("/",KB[[#This Row],[SUPPLIER]])-1),KB[[#This Row],[SUPPLIER]])</f>
        <v>YANADI</v>
      </c>
      <c r="C314" s="141" t="str">
        <f>TEXT(VLOOKUP(KB[[#This Row],[RELASI]],DBRELASI[[RELASI]:[DOCKB]],10,0)+COUNTIFS($B$2:B314,KB[[#This Row],[RELASI]],$D$2:D314,1),"000")</f>
        <v>016</v>
      </c>
      <c r="D314" s="141">
        <f>IF(COUNTIFS($B$3:B314,KB[[#This Row],[RELASI]],$F$3:F314,KB[[#This Row],[TANGGAL]])&lt;&gt;1,0,1)</f>
        <v>0</v>
      </c>
      <c r="E314" s="141" t="str">
        <f>TEXT(IF(KB[[#This Row],[DOC]]&lt;&gt;"",KB[[#This Row],[DOC]],E313),"000")</f>
        <v>016</v>
      </c>
      <c r="F314" s="40">
        <v>43867</v>
      </c>
      <c r="G314" s="40" t="str">
        <f>TYPE</f>
        <v>A</v>
      </c>
      <c r="H314"/>
      <c r="I314" s="42" t="s">
        <v>531</v>
      </c>
      <c r="J314" s="43" t="s">
        <v>74</v>
      </c>
      <c r="K314" s="44">
        <v>2</v>
      </c>
      <c r="L314" s="49">
        <v>15430</v>
      </c>
      <c r="M314" s="49">
        <v>7810</v>
      </c>
      <c r="N314" s="49">
        <v>7620</v>
      </c>
      <c r="O314" s="49">
        <v>5.9999999999999991</v>
      </c>
      <c r="P314" s="49">
        <v>457.19999999999993</v>
      </c>
      <c r="Q314" s="49">
        <v>7162.7999999999993</v>
      </c>
      <c r="R314" s="49">
        <v>2750.0000000000005</v>
      </c>
      <c r="S314" s="49">
        <v>19697700</v>
      </c>
      <c r="T314" s="49">
        <v>13.82</v>
      </c>
      <c r="U314" s="49">
        <v>2763.8200000000006</v>
      </c>
      <c r="V314" s="49">
        <v>19796690</v>
      </c>
      <c r="W314" s="49">
        <v>98983</v>
      </c>
      <c r="X314" s="49">
        <v>19697707</v>
      </c>
      <c r="Y314" s="530" t="str">
        <f>IFERROR(IF(FIND("/KM",KB[[#This Row],[SUPPLIER]])&gt;0,"LAUT"),"DARAT")</f>
        <v>LAUT</v>
      </c>
    </row>
    <row r="315" spans="2:25">
      <c r="B315" s="140" t="str">
        <f>IFERROR(LEFT(KB[[#This Row],[SUPPLIER]],FIND("/",KB[[#This Row],[SUPPLIER]])-1),KB[[#This Row],[SUPPLIER]])</f>
        <v>HENDRI</v>
      </c>
      <c r="C315" s="141" t="str">
        <f>TEXT(VLOOKUP(KB[[#This Row],[RELASI]],DBRELASI[[RELASI]:[DOCKB]],10,0)+COUNTIFS($B$2:B315,KB[[#This Row],[RELASI]],$D$2:D315,1),"000")</f>
        <v>017</v>
      </c>
      <c r="D315" s="141">
        <f>IF(COUNTIFS($B$3:B315,KB[[#This Row],[RELASI]],$F$3:F315,KB[[#This Row],[TANGGAL]])&lt;&gt;1,0,1)</f>
        <v>1</v>
      </c>
      <c r="E315" s="141" t="str">
        <f>TEXT(IF(KB[[#This Row],[DOC]]&lt;&gt;"",KB[[#This Row],[DOC]],E314),"000")</f>
        <v>017</v>
      </c>
      <c r="F315" s="40">
        <v>43867</v>
      </c>
      <c r="G315" s="40" t="str">
        <f>TYPE</f>
        <v>A</v>
      </c>
      <c r="H315" s="153" t="s">
        <v>798</v>
      </c>
      <c r="I315" s="42" t="s">
        <v>785</v>
      </c>
      <c r="J315" s="43" t="s">
        <v>475</v>
      </c>
      <c r="K315" s="44">
        <v>5</v>
      </c>
      <c r="L315" s="49">
        <v>40850</v>
      </c>
      <c r="M315" s="49">
        <v>19380</v>
      </c>
      <c r="N315" s="49">
        <v>21470</v>
      </c>
      <c r="O315" s="49">
        <v>5.9999999999999991</v>
      </c>
      <c r="P315" s="49">
        <v>1288.1999999999998</v>
      </c>
      <c r="Q315" s="49">
        <v>20181.800000000003</v>
      </c>
      <c r="R315" s="49">
        <v>2799.9999999999995</v>
      </c>
      <c r="S315" s="49">
        <v>56509040</v>
      </c>
      <c r="T315" s="49">
        <v>14.07</v>
      </c>
      <c r="U315" s="49">
        <v>2814.0699999999997</v>
      </c>
      <c r="V315" s="49">
        <v>56792998</v>
      </c>
      <c r="W315" s="49">
        <v>283965</v>
      </c>
      <c r="X315" s="49">
        <v>56509033</v>
      </c>
      <c r="Y315" s="530" t="str">
        <f>IFERROR(IF(FIND("/KM",KB[[#This Row],[SUPPLIER]])&gt;0,"LAUT"),"DARAT")</f>
        <v>LAUT</v>
      </c>
    </row>
    <row r="316" spans="2:25">
      <c r="B316" s="140" t="str">
        <f>IFERROR(LEFT(KB[[#This Row],[SUPPLIER]],FIND("/",KB[[#This Row],[SUPPLIER]])-1),KB[[#This Row],[SUPPLIER]])</f>
        <v>MARTONO</v>
      </c>
      <c r="C316" s="141" t="str">
        <f>TEXT(VLOOKUP(KB[[#This Row],[RELASI]],DBRELASI[[RELASI]:[DOCKB]],10,0)+COUNTIFS($B$2:B316,KB[[#This Row],[RELASI]],$D$2:D316,1),"000")</f>
        <v>023</v>
      </c>
      <c r="D316" s="141">
        <f>IF(COUNTIFS($B$3:B316,KB[[#This Row],[RELASI]],$F$3:F316,KB[[#This Row],[TANGGAL]])&lt;&gt;1,0,1)</f>
        <v>1</v>
      </c>
      <c r="E316" s="141" t="str">
        <f>TEXT(IF(KB[[#This Row],[DOC]]&lt;&gt;"",KB[[#This Row],[DOC]],E315),"000")</f>
        <v>023</v>
      </c>
      <c r="F316" s="40">
        <v>43867</v>
      </c>
      <c r="G316" s="40" t="str">
        <f>TYPE</f>
        <v>A</v>
      </c>
      <c r="H316" s="153" t="s">
        <v>843</v>
      </c>
      <c r="I316" s="42" t="s">
        <v>801</v>
      </c>
      <c r="J316" s="43" t="s">
        <v>83</v>
      </c>
      <c r="K316" s="44">
        <v>1</v>
      </c>
      <c r="L316" s="49">
        <v>8690</v>
      </c>
      <c r="M316" s="49">
        <v>3880</v>
      </c>
      <c r="N316" s="49">
        <v>4810</v>
      </c>
      <c r="O316" s="49">
        <v>5.9999999999999991</v>
      </c>
      <c r="P316" s="49">
        <v>288.59999999999997</v>
      </c>
      <c r="Q316" s="49">
        <v>4521.3999999999996</v>
      </c>
      <c r="R316" s="49">
        <v>2750</v>
      </c>
      <c r="S316" s="49">
        <v>12433850</v>
      </c>
      <c r="T316" s="49">
        <v>13.82</v>
      </c>
      <c r="U316" s="49">
        <v>2763.82</v>
      </c>
      <c r="V316" s="49">
        <v>12496336</v>
      </c>
      <c r="W316" s="49">
        <v>62482</v>
      </c>
      <c r="X316" s="49">
        <v>12433854</v>
      </c>
      <c r="Y316" s="530" t="str">
        <f>IFERROR(IF(FIND("/KM",KB[[#This Row],[SUPPLIER]])&gt;0,"LAUT"),"DARAT")</f>
        <v>LAUT</v>
      </c>
    </row>
    <row r="317" spans="2:25">
      <c r="B317" s="140" t="str">
        <f>IFERROR(LEFT(KB[[#This Row],[SUPPLIER]],FIND("/",KB[[#This Row],[SUPPLIER]])-1),KB[[#This Row],[SUPPLIER]])</f>
        <v>MARTONO</v>
      </c>
      <c r="C317" s="141" t="str">
        <f>TEXT(VLOOKUP(KB[[#This Row],[RELASI]],DBRELASI[[RELASI]:[DOCKB]],10,0)+COUNTIFS($B$2:B317,KB[[#This Row],[RELASI]],$D$2:D317,1),"000")</f>
        <v>023</v>
      </c>
      <c r="D317" s="141">
        <f>IF(COUNTIFS($B$3:B317,KB[[#This Row],[RELASI]],$F$3:F317,KB[[#This Row],[TANGGAL]])&lt;&gt;1,0,1)</f>
        <v>0</v>
      </c>
      <c r="E317" s="141" t="str">
        <f>TEXT(IF(KB[[#This Row],[DOC]]&lt;&gt;"",KB[[#This Row],[DOC]],E316),"000")</f>
        <v>023</v>
      </c>
      <c r="F317" s="40">
        <v>43867</v>
      </c>
      <c r="G317" s="40" t="str">
        <f>TYPE</f>
        <v>A</v>
      </c>
      <c r="H317"/>
      <c r="I317" s="42" t="s">
        <v>529</v>
      </c>
      <c r="J317" s="43" t="s">
        <v>83</v>
      </c>
      <c r="K317" s="44">
        <v>2</v>
      </c>
      <c r="L317" s="49">
        <v>15400</v>
      </c>
      <c r="M317" s="49">
        <v>7680</v>
      </c>
      <c r="N317" s="49">
        <v>7720</v>
      </c>
      <c r="O317" s="49">
        <v>5.9999999999999991</v>
      </c>
      <c r="P317" s="49">
        <v>463.19999999999993</v>
      </c>
      <c r="Q317" s="49">
        <v>7256.8</v>
      </c>
      <c r="R317" s="49">
        <v>2750</v>
      </c>
      <c r="S317" s="49">
        <v>19956200</v>
      </c>
      <c r="T317" s="49">
        <v>13.82</v>
      </c>
      <c r="U317" s="49">
        <v>2763.82</v>
      </c>
      <c r="V317" s="49">
        <v>20056489</v>
      </c>
      <c r="W317" s="49">
        <v>100282</v>
      </c>
      <c r="X317" s="49">
        <v>19956207</v>
      </c>
      <c r="Y317" s="530" t="str">
        <f>IFERROR(IF(FIND("/KM",KB[[#This Row],[SUPPLIER]])&gt;0,"LAUT"),"DARAT")</f>
        <v>LAUT</v>
      </c>
    </row>
    <row r="318" spans="2:25">
      <c r="B318" s="140" t="str">
        <f>IFERROR(LEFT(KB[[#This Row],[SUPPLIER]],FIND("/",KB[[#This Row],[SUPPLIER]])-1),KB[[#This Row],[SUPPLIER]])</f>
        <v>MASRI</v>
      </c>
      <c r="C318" s="141" t="str">
        <f>TEXT(VLOOKUP(KB[[#This Row],[RELASI]],DBRELASI[[RELASI]:[DOCKB]],10,0)+COUNTIFS($B$2:B318,KB[[#This Row],[RELASI]],$D$2:D318,1),"000")</f>
        <v>018</v>
      </c>
      <c r="D318" s="141">
        <f>IF(COUNTIFS($B$3:B318,KB[[#This Row],[RELASI]],$F$3:F318,KB[[#This Row],[TANGGAL]])&lt;&gt;1,0,1)</f>
        <v>1</v>
      </c>
      <c r="E318" s="141" t="str">
        <f>TEXT(IF(KB[[#This Row],[DOC]]&lt;&gt;"",KB[[#This Row],[DOC]],E317),"000")</f>
        <v>018</v>
      </c>
      <c r="F318" s="40">
        <v>43867</v>
      </c>
      <c r="G318" s="40" t="str">
        <f>TYPE</f>
        <v>A</v>
      </c>
      <c r="H318" s="153" t="s">
        <v>803</v>
      </c>
      <c r="I318" s="42" t="s">
        <v>788</v>
      </c>
      <c r="J318" s="43" t="s">
        <v>511</v>
      </c>
      <c r="K318" s="44">
        <v>8</v>
      </c>
      <c r="L318" s="49">
        <v>68150</v>
      </c>
      <c r="M318" s="49">
        <v>31270</v>
      </c>
      <c r="N318" s="49">
        <v>36880</v>
      </c>
      <c r="O318" s="49">
        <v>6</v>
      </c>
      <c r="P318" s="49">
        <v>2212.8000000000002</v>
      </c>
      <c r="Q318" s="49">
        <v>34667.199999999997</v>
      </c>
      <c r="R318" s="49">
        <v>2950.0000000000005</v>
      </c>
      <c r="S318" s="49">
        <v>102268240</v>
      </c>
      <c r="T318" s="49">
        <v>14.82</v>
      </c>
      <c r="U318" s="49">
        <v>2964.8200000000006</v>
      </c>
      <c r="V318" s="49">
        <v>102782008</v>
      </c>
      <c r="W318" s="49">
        <v>513910</v>
      </c>
      <c r="X318" s="49">
        <v>102268098</v>
      </c>
      <c r="Y318" s="530" t="str">
        <f>IFERROR(IF(FIND("/KM",KB[[#This Row],[SUPPLIER]])&gt;0,"LAUT"),"DARAT")</f>
        <v>LAUT</v>
      </c>
    </row>
    <row r="319" spans="2:25">
      <c r="B319" s="140" t="str">
        <f>IFERROR(LEFT(KB[[#This Row],[SUPPLIER]],FIND("/",KB[[#This Row],[SUPPLIER]])-1),KB[[#This Row],[SUPPLIER]])</f>
        <v>PT.SINAR KELAPA TEMBILAHAN</v>
      </c>
      <c r="C319" s="141" t="str">
        <f>TEXT(VLOOKUP(KB[[#This Row],[RELASI]],DBRELASI[[RELASI]:[DOCKB]],10,0)+COUNTIFS($B$2:B319,KB[[#This Row],[RELASI]],$D$2:D319,1),"000")</f>
        <v>011</v>
      </c>
      <c r="D319" s="141">
        <f>IF(COUNTIFS($B$3:B319,KB[[#This Row],[RELASI]],$F$3:F319,KB[[#This Row],[TANGGAL]])&lt;&gt;1,0,1)</f>
        <v>1</v>
      </c>
      <c r="E319" s="141" t="str">
        <f>TEXT(IF(KB[[#This Row],[DOC]]&lt;&gt;"",KB[[#This Row],[DOC]],E318),"000")</f>
        <v>011</v>
      </c>
      <c r="F319" s="40">
        <v>43867</v>
      </c>
      <c r="G319" s="40" t="str">
        <f>TYPE</f>
        <v>A</v>
      </c>
      <c r="H319" s="153" t="s">
        <v>777</v>
      </c>
      <c r="I319" s="42" t="s">
        <v>813</v>
      </c>
      <c r="J319" s="43" t="s">
        <v>81</v>
      </c>
      <c r="K319" s="44">
        <v>4</v>
      </c>
      <c r="L319" s="49">
        <v>34260</v>
      </c>
      <c r="M319" s="49">
        <v>15520</v>
      </c>
      <c r="N319" s="49">
        <v>18740</v>
      </c>
      <c r="O319" s="49">
        <v>5.9999999999999991</v>
      </c>
      <c r="P319" s="49">
        <v>1124.3999999999999</v>
      </c>
      <c r="Q319" s="49">
        <v>17615.599999999999</v>
      </c>
      <c r="R319" s="49">
        <v>2950.0000000000005</v>
      </c>
      <c r="S319" s="49">
        <v>51966020</v>
      </c>
      <c r="T319" s="49">
        <v>0</v>
      </c>
      <c r="U319" s="49">
        <v>2950.0000000000005</v>
      </c>
      <c r="V319" s="49">
        <v>51966020</v>
      </c>
      <c r="W319" s="49">
        <v>129915</v>
      </c>
      <c r="X319" s="49">
        <v>51836105</v>
      </c>
      <c r="Y319" s="530" t="str">
        <f>IFERROR(IF(FIND("/KM",KB[[#This Row],[SUPPLIER]])&gt;0,"LAUT"),"DARAT")</f>
        <v>LAUT</v>
      </c>
    </row>
    <row r="320" spans="2:25">
      <c r="B320" s="140" t="str">
        <f>IFERROR(LEFT(KB[[#This Row],[SUPPLIER]],FIND("/",KB[[#This Row],[SUPPLIER]])-1),KB[[#This Row],[SUPPLIER]])</f>
        <v>PT.SINAR KELAPA TEMBILAHAN</v>
      </c>
      <c r="C320" s="141" t="str">
        <f>TEXT(VLOOKUP(KB[[#This Row],[RELASI]],DBRELASI[[RELASI]:[DOCKB]],10,0)+COUNTIFS($B$2:B320,KB[[#This Row],[RELASI]],$D$2:D320,1),"000")</f>
        <v>011</v>
      </c>
      <c r="D320" s="141">
        <f>IF(COUNTIFS($B$3:B320,KB[[#This Row],[RELASI]],$F$3:F320,KB[[#This Row],[TANGGAL]])&lt;&gt;1,0,1)</f>
        <v>0</v>
      </c>
      <c r="E320" s="141" t="str">
        <f>TEXT(IF(KB[[#This Row],[DOC]]&lt;&gt;"",KB[[#This Row],[DOC]],E319),"000")</f>
        <v>011</v>
      </c>
      <c r="F320" s="40">
        <v>43867</v>
      </c>
      <c r="G320" s="40" t="str">
        <f>TYPE</f>
        <v>A</v>
      </c>
      <c r="H320"/>
      <c r="I320" s="42" t="s">
        <v>827</v>
      </c>
      <c r="J320" s="43" t="s">
        <v>81</v>
      </c>
      <c r="K320" s="44">
        <v>1</v>
      </c>
      <c r="L320" s="49">
        <v>9360</v>
      </c>
      <c r="M320" s="49">
        <v>3880</v>
      </c>
      <c r="N320" s="49">
        <v>5480</v>
      </c>
      <c r="O320" s="49">
        <v>6.0000000000000009</v>
      </c>
      <c r="P320" s="49">
        <v>328.8</v>
      </c>
      <c r="Q320" s="49">
        <v>5151.2</v>
      </c>
      <c r="R320" s="49">
        <v>2850</v>
      </c>
      <c r="S320" s="49">
        <v>14680920</v>
      </c>
      <c r="T320" s="49">
        <v>0</v>
      </c>
      <c r="U320" s="49">
        <v>2850</v>
      </c>
      <c r="V320" s="49">
        <v>14680920</v>
      </c>
      <c r="W320" s="49">
        <v>36702</v>
      </c>
      <c r="X320" s="49">
        <v>14644218</v>
      </c>
      <c r="Y320" s="530" t="str">
        <f>IFERROR(IF(FIND("/KM",KB[[#This Row],[SUPPLIER]])&gt;0,"LAUT"),"DARAT")</f>
        <v>LAUT</v>
      </c>
    </row>
    <row r="321" spans="2:25">
      <c r="B321" s="140" t="str">
        <f>IFERROR(LEFT(KB[[#This Row],[SUPPLIER]],FIND("/",KB[[#This Row],[SUPPLIER]])-1),KB[[#This Row],[SUPPLIER]])</f>
        <v>PT.SINAR KELAPA TEMBILAHAN</v>
      </c>
      <c r="C321" s="141" t="str">
        <f>TEXT(VLOOKUP(KB[[#This Row],[RELASI]],DBRELASI[[RELASI]:[DOCKB]],10,0)+COUNTIFS($B$2:B321,KB[[#This Row],[RELASI]],$D$2:D321,1),"000")</f>
        <v>011</v>
      </c>
      <c r="D321" s="141">
        <f>IF(COUNTIFS($B$3:B321,KB[[#This Row],[RELASI]],$F$3:F321,KB[[#This Row],[TANGGAL]])&lt;&gt;1,0,1)</f>
        <v>0</v>
      </c>
      <c r="E321" s="141" t="str">
        <f>TEXT(IF(KB[[#This Row],[DOC]]&lt;&gt;"",KB[[#This Row],[DOC]],E320),"000")</f>
        <v>011</v>
      </c>
      <c r="F321" s="40">
        <v>43867</v>
      </c>
      <c r="G321" s="40" t="str">
        <f>TYPE</f>
        <v>A</v>
      </c>
      <c r="H321"/>
      <c r="I321" s="42" t="s">
        <v>830</v>
      </c>
      <c r="J321" s="43" t="s">
        <v>81</v>
      </c>
      <c r="K321" s="44">
        <v>2</v>
      </c>
      <c r="L321" s="49">
        <v>15350</v>
      </c>
      <c r="M321" s="49">
        <v>7960</v>
      </c>
      <c r="N321" s="49">
        <v>7390</v>
      </c>
      <c r="O321" s="49">
        <v>5.9999999999999991</v>
      </c>
      <c r="P321" s="49">
        <v>443.4</v>
      </c>
      <c r="Q321" s="49">
        <v>6946.6</v>
      </c>
      <c r="R321" s="49">
        <v>2850</v>
      </c>
      <c r="S321" s="49">
        <v>19797810</v>
      </c>
      <c r="T321" s="49">
        <v>0</v>
      </c>
      <c r="U321" s="49">
        <v>2850</v>
      </c>
      <c r="V321" s="49">
        <v>19797810</v>
      </c>
      <c r="W321" s="49">
        <v>49494</v>
      </c>
      <c r="X321" s="49">
        <v>19748316</v>
      </c>
      <c r="Y321" s="530" t="str">
        <f>IFERROR(IF(FIND("/KM",KB[[#This Row],[SUPPLIER]])&gt;0,"LAUT"),"DARAT")</f>
        <v>LAUT</v>
      </c>
    </row>
    <row r="322" spans="2:25">
      <c r="B322" s="140" t="str">
        <f>IFERROR(LEFT(KB[[#This Row],[SUPPLIER]],FIND("/",KB[[#This Row],[SUPPLIER]])-1),KB[[#This Row],[SUPPLIER]])</f>
        <v>ROSDIANTO</v>
      </c>
      <c r="C322" s="141" t="str">
        <f>TEXT(VLOOKUP(KB[[#This Row],[RELASI]],DBRELASI[[RELASI]:[DOCKB]],10,0)+COUNTIFS($B$2:B322,KB[[#This Row],[RELASI]],$D$2:D322,1),"000")</f>
        <v>003</v>
      </c>
      <c r="D322" s="141">
        <f>IF(COUNTIFS($B$3:B322,KB[[#This Row],[RELASI]],$F$3:F322,KB[[#This Row],[TANGGAL]])&lt;&gt;1,0,1)</f>
        <v>1</v>
      </c>
      <c r="E322" s="141" t="str">
        <f>TEXT(IF(KB[[#This Row],[DOC]]&lt;&gt;"",KB[[#This Row],[DOC]],E321),"000")</f>
        <v>003</v>
      </c>
      <c r="F322" s="40">
        <v>43867</v>
      </c>
      <c r="G322" s="40" t="str">
        <f>TYPE</f>
        <v>A</v>
      </c>
      <c r="H322" s="154" t="s">
        <v>521</v>
      </c>
      <c r="I322" s="46" t="s">
        <v>815</v>
      </c>
      <c r="J322" s="47" t="s">
        <v>816</v>
      </c>
      <c r="K322" s="48">
        <v>6</v>
      </c>
      <c r="L322" s="49">
        <v>48790</v>
      </c>
      <c r="M322" s="49">
        <v>23530</v>
      </c>
      <c r="N322" s="49">
        <v>25260</v>
      </c>
      <c r="O322" s="49">
        <v>5.9999999999999991</v>
      </c>
      <c r="P322" s="49">
        <v>1515.5999999999997</v>
      </c>
      <c r="Q322" s="49">
        <v>23744.400000000005</v>
      </c>
      <c r="R322" s="49">
        <v>2799.9999999999995</v>
      </c>
      <c r="S322" s="49">
        <v>66484320</v>
      </c>
      <c r="T322" s="49">
        <v>14.07</v>
      </c>
      <c r="U322" s="49">
        <v>2814.0699999999997</v>
      </c>
      <c r="V322" s="49">
        <v>66818404</v>
      </c>
      <c r="W322" s="49">
        <v>334091</v>
      </c>
      <c r="X322" s="49">
        <v>66484313</v>
      </c>
      <c r="Y322" s="574" t="str">
        <f>IFERROR(IF(FIND("/KM",KB[[#This Row],[SUPPLIER]])&gt;0,"LAUT"),"DARAT")</f>
        <v>LAUT</v>
      </c>
    </row>
    <row r="323" spans="2:25">
      <c r="B323" s="140" t="str">
        <f>IFERROR(LEFT(KB[[#This Row],[SUPPLIER]],FIND("/",KB[[#This Row],[SUPPLIER]])-1),KB[[#This Row],[SUPPLIER]])</f>
        <v>ERAWATI</v>
      </c>
      <c r="C323" s="141" t="str">
        <f>TEXT(VLOOKUP(KB[[#This Row],[RELASI]],DBRELASI[[RELASI]:[DOCKB]],10,0)+COUNTIFS($B$2:B323,KB[[#This Row],[RELASI]],$D$2:D323,1),"000")</f>
        <v>028</v>
      </c>
      <c r="D323" s="141">
        <f>IF(COUNTIFS($B$3:B323,KB[[#This Row],[RELASI]],$F$3:F323,KB[[#This Row],[TANGGAL]])&lt;&gt;1,0,1)</f>
        <v>1</v>
      </c>
      <c r="E323" s="141" t="str">
        <f>TEXT(IF(KB[[#This Row],[DOC]]&lt;&gt;"",KB[[#This Row],[DOC]],E322),"000")</f>
        <v>028</v>
      </c>
      <c r="F323" s="40">
        <v>43868</v>
      </c>
      <c r="G323" s="40" t="str">
        <f>TYPE</f>
        <v>A</v>
      </c>
      <c r="H323" s="153" t="s">
        <v>854</v>
      </c>
      <c r="I323" s="42" t="s">
        <v>155</v>
      </c>
      <c r="J323" s="43" t="s">
        <v>77</v>
      </c>
      <c r="K323" s="44">
        <v>6</v>
      </c>
      <c r="L323" s="49">
        <v>36650</v>
      </c>
      <c r="M323" s="49">
        <v>14520</v>
      </c>
      <c r="N323" s="49">
        <v>22130</v>
      </c>
      <c r="O323" s="49">
        <v>5.0668775417984628</v>
      </c>
      <c r="P323" s="49">
        <v>1121.3</v>
      </c>
      <c r="Q323" s="49">
        <v>21008.7</v>
      </c>
      <c r="R323" s="49">
        <v>2800</v>
      </c>
      <c r="S323" s="49">
        <v>58824360</v>
      </c>
      <c r="T323" s="49">
        <v>14.07</v>
      </c>
      <c r="U323" s="49">
        <v>2814.07</v>
      </c>
      <c r="V323" s="49">
        <v>59119953</v>
      </c>
      <c r="W323" s="49">
        <v>295600</v>
      </c>
      <c r="X323" s="49">
        <v>58824353</v>
      </c>
      <c r="Y323" s="530" t="str">
        <f>IFERROR(IF(FIND("/KM",KB[[#This Row],[SUPPLIER]])&gt;0,"LAUT"),"DARAT")</f>
        <v>DARAT</v>
      </c>
    </row>
    <row r="324" spans="2:25">
      <c r="B324" s="140" t="str">
        <f>IFERROR(LEFT(KB[[#This Row],[SUPPLIER]],FIND("/",KB[[#This Row],[SUPPLIER]])-1),KB[[#This Row],[SUPPLIER]])</f>
        <v>ERAWATI</v>
      </c>
      <c r="C324" s="141" t="str">
        <f>TEXT(VLOOKUP(KB[[#This Row],[RELASI]],DBRELASI[[RELASI]:[DOCKB]],10,0)+COUNTIFS($B$2:B324,KB[[#This Row],[RELASI]],$D$2:D324,1),"000")</f>
        <v>028</v>
      </c>
      <c r="D324" s="141">
        <f>IF(COUNTIFS($B$3:B324,KB[[#This Row],[RELASI]],$F$3:F324,KB[[#This Row],[TANGGAL]])&lt;&gt;1,0,1)</f>
        <v>0</v>
      </c>
      <c r="E324" s="141" t="str">
        <f>TEXT(IF(KB[[#This Row],[DOC]]&lt;&gt;"",KB[[#This Row],[DOC]],E323),"000")</f>
        <v>028</v>
      </c>
      <c r="F324" s="40">
        <v>43868</v>
      </c>
      <c r="G324" s="40" t="str">
        <f>TYPE</f>
        <v>A</v>
      </c>
      <c r="H324"/>
      <c r="I324" s="42" t="s">
        <v>760</v>
      </c>
      <c r="J324" s="43" t="s">
        <v>77</v>
      </c>
      <c r="K324" s="44">
        <v>1</v>
      </c>
      <c r="L324" s="49">
        <v>7780</v>
      </c>
      <c r="M324" s="49">
        <v>3910</v>
      </c>
      <c r="N324" s="49">
        <v>3870</v>
      </c>
      <c r="O324" s="49">
        <v>5.9999999999999991</v>
      </c>
      <c r="P324" s="49">
        <v>232.2</v>
      </c>
      <c r="Q324" s="49">
        <v>3637.8</v>
      </c>
      <c r="R324" s="49">
        <v>2750</v>
      </c>
      <c r="S324" s="49">
        <v>10003950</v>
      </c>
      <c r="T324" s="49">
        <v>13.82</v>
      </c>
      <c r="U324" s="49">
        <v>2763.82</v>
      </c>
      <c r="V324" s="49">
        <v>10054224</v>
      </c>
      <c r="W324" s="49">
        <v>50271</v>
      </c>
      <c r="X324" s="49">
        <v>10003953</v>
      </c>
      <c r="Y324" s="530" t="str">
        <f>IFERROR(IF(FIND("/KM",KB[[#This Row],[SUPPLIER]])&gt;0,"LAUT"),"DARAT")</f>
        <v>LAUT</v>
      </c>
    </row>
    <row r="325" spans="2:25">
      <c r="B325" s="140" t="str">
        <f>IFERROR(LEFT(KB[[#This Row],[SUPPLIER]],FIND("/",KB[[#This Row],[SUPPLIER]])-1),KB[[#This Row],[SUPPLIER]])</f>
        <v>INDRAYANI</v>
      </c>
      <c r="C325" s="141" t="str">
        <f>TEXT(VLOOKUP(KB[[#This Row],[RELASI]],DBRELASI[[RELASI]:[DOCKB]],10,0)+COUNTIFS($B$2:B325,KB[[#This Row],[RELASI]],$D$2:D325,1),"000")</f>
        <v>025</v>
      </c>
      <c r="D325" s="141">
        <f>IF(COUNTIFS($B$3:B325,KB[[#This Row],[RELASI]],$F$3:F325,KB[[#This Row],[TANGGAL]])&lt;&gt;1,0,1)</f>
        <v>1</v>
      </c>
      <c r="E325" s="141" t="str">
        <f>TEXT(IF(KB[[#This Row],[DOC]]&lt;&gt;"",KB[[#This Row],[DOC]],E324),"000")</f>
        <v>025</v>
      </c>
      <c r="F325" s="40">
        <v>43868</v>
      </c>
      <c r="G325" s="40" t="str">
        <f>TYPE</f>
        <v>A</v>
      </c>
      <c r="H325" s="153" t="s">
        <v>850</v>
      </c>
      <c r="I325" s="42" t="s">
        <v>79</v>
      </c>
      <c r="J325" s="43" t="s">
        <v>77</v>
      </c>
      <c r="K325" s="44">
        <v>2</v>
      </c>
      <c r="L325" s="49">
        <v>21170</v>
      </c>
      <c r="M325" s="49">
        <v>7200</v>
      </c>
      <c r="N325" s="49">
        <v>13970</v>
      </c>
      <c r="O325" s="49">
        <v>5</v>
      </c>
      <c r="P325" s="49">
        <v>698.5</v>
      </c>
      <c r="Q325" s="49">
        <v>13271.5</v>
      </c>
      <c r="R325" s="49">
        <v>2900</v>
      </c>
      <c r="S325" s="49">
        <v>38487350</v>
      </c>
      <c r="T325" s="49">
        <v>14.57</v>
      </c>
      <c r="U325" s="49">
        <v>2914.57</v>
      </c>
      <c r="V325" s="49">
        <v>38680716</v>
      </c>
      <c r="W325" s="49">
        <v>193403</v>
      </c>
      <c r="X325" s="49">
        <v>38487313</v>
      </c>
      <c r="Y325" s="530" t="str">
        <f>IFERROR(IF(FIND("/KM",KB[[#This Row],[SUPPLIER]])&gt;0,"LAUT"),"DARAT")</f>
        <v>DARAT</v>
      </c>
    </row>
    <row r="326" spans="2:25">
      <c r="B326" s="140" t="str">
        <f>IFERROR(LEFT(KB[[#This Row],[SUPPLIER]],FIND("/",KB[[#This Row],[SUPPLIER]])-1),KB[[#This Row],[SUPPLIER]])</f>
        <v>RUSLAN JAYA, SH</v>
      </c>
      <c r="C326" s="141" t="str">
        <f>TEXT(VLOOKUP(KB[[#This Row],[RELASI]],DBRELASI[[RELASI]:[DOCKB]],10,0)+COUNTIFS($B$2:B326,KB[[#This Row],[RELASI]],$D$2:D326,1),"000")</f>
        <v>015</v>
      </c>
      <c r="D326" s="141">
        <f>IF(COUNTIFS($B$3:B326,KB[[#This Row],[RELASI]],$F$3:F326,KB[[#This Row],[TANGGAL]])&lt;&gt;1,0,1)</f>
        <v>1</v>
      </c>
      <c r="E326" s="141" t="str">
        <f>TEXT(IF(KB[[#This Row],[DOC]]&lt;&gt;"",KB[[#This Row],[DOC]],E325),"000")</f>
        <v>015</v>
      </c>
      <c r="F326" s="40">
        <v>43868</v>
      </c>
      <c r="G326" s="40" t="str">
        <f>TYPE</f>
        <v>A</v>
      </c>
      <c r="H326" s="153" t="s">
        <v>789</v>
      </c>
      <c r="I326" s="42" t="s">
        <v>479</v>
      </c>
      <c r="J326" s="43" t="s">
        <v>475</v>
      </c>
      <c r="K326" s="44">
        <v>1</v>
      </c>
      <c r="L326" s="49">
        <v>11070</v>
      </c>
      <c r="M326" s="49">
        <v>4280</v>
      </c>
      <c r="N326" s="49">
        <v>6790</v>
      </c>
      <c r="O326" s="49">
        <v>5</v>
      </c>
      <c r="P326" s="49">
        <v>339.5</v>
      </c>
      <c r="Q326" s="49">
        <v>6450.5</v>
      </c>
      <c r="R326" s="49">
        <v>2800</v>
      </c>
      <c r="S326" s="49">
        <v>18061400</v>
      </c>
      <c r="T326" s="49">
        <v>14.07</v>
      </c>
      <c r="U326" s="49">
        <v>2814.07</v>
      </c>
      <c r="V326" s="49">
        <v>18152159</v>
      </c>
      <c r="W326" s="49">
        <v>90761</v>
      </c>
      <c r="X326" s="49">
        <v>18061398</v>
      </c>
      <c r="Y326" s="530" t="str">
        <f>IFERROR(IF(FIND("/KM",KB[[#This Row],[SUPPLIER]])&gt;0,"LAUT"),"DARAT")</f>
        <v>DARAT</v>
      </c>
    </row>
    <row r="327" spans="2:25">
      <c r="B327" s="140" t="str">
        <f>IFERROR(LEFT(KB[[#This Row],[SUPPLIER]],FIND("/",KB[[#This Row],[SUPPLIER]])-1),KB[[#This Row],[SUPPLIER]])</f>
        <v>SAIRI</v>
      </c>
      <c r="C327" s="141" t="str">
        <f>TEXT(VLOOKUP(KB[[#This Row],[RELASI]],DBRELASI[[RELASI]:[DOCKB]],10,0)+COUNTIFS($B$2:B327,KB[[#This Row],[RELASI]],$D$2:D327,1),"000")</f>
        <v>020</v>
      </c>
      <c r="D327" s="141">
        <f>IF(COUNTIFS($B$3:B327,KB[[#This Row],[RELASI]],$F$3:F327,KB[[#This Row],[TANGGAL]])&lt;&gt;1,0,1)</f>
        <v>1</v>
      </c>
      <c r="E327" s="141" t="str">
        <f>TEXT(IF(KB[[#This Row],[DOC]]&lt;&gt;"",KB[[#This Row],[DOC]],E326),"000")</f>
        <v>020</v>
      </c>
      <c r="F327" s="40">
        <v>43868</v>
      </c>
      <c r="G327" s="40" t="str">
        <f>TYPE</f>
        <v>A</v>
      </c>
      <c r="H327" s="153" t="s">
        <v>818</v>
      </c>
      <c r="I327" s="42" t="s">
        <v>84</v>
      </c>
      <c r="J327" s="43" t="s">
        <v>85</v>
      </c>
      <c r="K327" s="44">
        <v>1</v>
      </c>
      <c r="L327" s="49">
        <v>8160</v>
      </c>
      <c r="M327" s="49">
        <v>4350</v>
      </c>
      <c r="N327" s="49">
        <v>3810</v>
      </c>
      <c r="O327" s="49">
        <v>5</v>
      </c>
      <c r="P327" s="49">
        <v>190.5</v>
      </c>
      <c r="Q327" s="49">
        <v>3619.5</v>
      </c>
      <c r="R327" s="49">
        <v>2850</v>
      </c>
      <c r="S327" s="49">
        <v>10315575</v>
      </c>
      <c r="T327" s="49">
        <v>14.32</v>
      </c>
      <c r="U327" s="49">
        <v>2864.32</v>
      </c>
      <c r="V327" s="49">
        <v>10367406</v>
      </c>
      <c r="W327" s="49">
        <v>51837</v>
      </c>
      <c r="X327" s="49">
        <v>10315569</v>
      </c>
      <c r="Y327" s="530" t="str">
        <f>IFERROR(IF(FIND("/KM",KB[[#This Row],[SUPPLIER]])&gt;0,"LAUT"),"DARAT")</f>
        <v>DARAT</v>
      </c>
    </row>
    <row r="328" spans="2:25">
      <c r="B328" s="140" t="str">
        <f>IFERROR(LEFT(KB[[#This Row],[SUPPLIER]],FIND("/",KB[[#This Row],[SUPPLIER]])-1),KB[[#This Row],[SUPPLIER]])</f>
        <v>YANADI</v>
      </c>
      <c r="C328" s="141" t="str">
        <f>TEXT(VLOOKUP(KB[[#This Row],[RELASI]],DBRELASI[[RELASI]:[DOCKB]],10,0)+COUNTIFS($B$2:B328,KB[[#This Row],[RELASI]],$D$2:D328,1),"000")</f>
        <v>017</v>
      </c>
      <c r="D328" s="141">
        <f>IF(COUNTIFS($B$3:B328,KB[[#This Row],[RELASI]],$F$3:F328,KB[[#This Row],[TANGGAL]])&lt;&gt;1,0,1)</f>
        <v>1</v>
      </c>
      <c r="E328" s="141" t="str">
        <f>TEXT(IF(KB[[#This Row],[DOC]]&lt;&gt;"",KB[[#This Row],[DOC]],E327),"000")</f>
        <v>017</v>
      </c>
      <c r="F328" s="40">
        <v>43868</v>
      </c>
      <c r="G328" s="40" t="str">
        <f>TYPE</f>
        <v>A</v>
      </c>
      <c r="H328" s="153" t="s">
        <v>798</v>
      </c>
      <c r="I328" s="42" t="s">
        <v>137</v>
      </c>
      <c r="J328" s="43" t="s">
        <v>74</v>
      </c>
      <c r="K328" s="44">
        <v>1</v>
      </c>
      <c r="L328" s="49">
        <v>16660</v>
      </c>
      <c r="M328" s="49">
        <v>5020</v>
      </c>
      <c r="N328" s="49">
        <v>11640</v>
      </c>
      <c r="O328" s="49">
        <v>5</v>
      </c>
      <c r="P328" s="49">
        <v>582</v>
      </c>
      <c r="Q328" s="49">
        <v>11058</v>
      </c>
      <c r="R328" s="49">
        <v>2800</v>
      </c>
      <c r="S328" s="49">
        <v>30962400</v>
      </c>
      <c r="T328" s="49">
        <v>14.07</v>
      </c>
      <c r="U328" s="49">
        <v>2814.07</v>
      </c>
      <c r="V328" s="49">
        <v>31117986</v>
      </c>
      <c r="W328" s="49">
        <v>155590</v>
      </c>
      <c r="X328" s="49">
        <v>30962396</v>
      </c>
      <c r="Y328" s="530" t="str">
        <f>IFERROR(IF(FIND("/KM",KB[[#This Row],[SUPPLIER]])&gt;0,"LAUT"),"DARAT")</f>
        <v>DARAT</v>
      </c>
    </row>
    <row r="329" spans="2:25">
      <c r="B329" s="140" t="str">
        <f>IFERROR(LEFT(KB[[#This Row],[SUPPLIER]],FIND("/",KB[[#This Row],[SUPPLIER]])-1),KB[[#This Row],[SUPPLIER]])</f>
        <v>DINI CHAIRANI</v>
      </c>
      <c r="C329" s="141" t="str">
        <f>TEXT(VLOOKUP(KB[[#This Row],[RELASI]],DBRELASI[[RELASI]:[DOCKB]],10,0)+COUNTIFS($B$2:B329,KB[[#This Row],[RELASI]],$D$2:D329,1),"000")</f>
        <v>020</v>
      </c>
      <c r="D329" s="141">
        <f>IF(COUNTIFS($B$3:B329,KB[[#This Row],[RELASI]],$F$3:F329,KB[[#This Row],[TANGGAL]])&lt;&gt;1,0,1)</f>
        <v>1</v>
      </c>
      <c r="E329" s="141" t="str">
        <f>TEXT(IF(KB[[#This Row],[DOC]]&lt;&gt;"",KB[[#This Row],[DOC]],E328),"000")</f>
        <v>020</v>
      </c>
      <c r="F329" s="40">
        <v>43868</v>
      </c>
      <c r="G329" s="40" t="str">
        <f>TYPE</f>
        <v>A</v>
      </c>
      <c r="H329" s="153" t="s">
        <v>818</v>
      </c>
      <c r="I329" s="42" t="s">
        <v>525</v>
      </c>
      <c r="J329" s="43" t="s">
        <v>95</v>
      </c>
      <c r="K329" s="44">
        <v>1</v>
      </c>
      <c r="L329" s="49">
        <v>6940</v>
      </c>
      <c r="M329" s="49">
        <v>4000</v>
      </c>
      <c r="N329" s="49">
        <v>2940</v>
      </c>
      <c r="O329" s="49">
        <v>6.0000000000000009</v>
      </c>
      <c r="P329" s="49">
        <v>176.4</v>
      </c>
      <c r="Q329" s="49">
        <v>2763.6</v>
      </c>
      <c r="R329" s="49">
        <v>2750</v>
      </c>
      <c r="S329" s="49">
        <v>7599900</v>
      </c>
      <c r="T329" s="49">
        <v>13.82</v>
      </c>
      <c r="U329" s="49">
        <v>2763.82</v>
      </c>
      <c r="V329" s="49">
        <v>7638093</v>
      </c>
      <c r="W329" s="49">
        <v>38190</v>
      </c>
      <c r="X329" s="49">
        <v>7599903</v>
      </c>
      <c r="Y329" s="530" t="str">
        <f>IFERROR(IF(FIND("/KM",KB[[#This Row],[SUPPLIER]])&gt;0,"LAUT"),"DARAT")</f>
        <v>LAUT</v>
      </c>
    </row>
    <row r="330" spans="2:25">
      <c r="B330" s="140" t="str">
        <f>IFERROR(LEFT(KB[[#This Row],[SUPPLIER]],FIND("/",KB[[#This Row],[SUPPLIER]])-1),KB[[#This Row],[SUPPLIER]])</f>
        <v>HENDRI</v>
      </c>
      <c r="C330" s="141" t="str">
        <f>TEXT(VLOOKUP(KB[[#This Row],[RELASI]],DBRELASI[[RELASI]:[DOCKB]],10,0)+COUNTIFS($B$2:B330,KB[[#This Row],[RELASI]],$D$2:D330,1),"000")</f>
        <v>018</v>
      </c>
      <c r="D330" s="141">
        <f>IF(COUNTIFS($B$3:B330,KB[[#This Row],[RELASI]],$F$3:F330,KB[[#This Row],[TANGGAL]])&lt;&gt;1,0,1)</f>
        <v>1</v>
      </c>
      <c r="E330" s="141" t="str">
        <f>TEXT(IF(KB[[#This Row],[DOC]]&lt;&gt;"",KB[[#This Row],[DOC]],E329),"000")</f>
        <v>018</v>
      </c>
      <c r="F330" s="40">
        <v>43868</v>
      </c>
      <c r="G330" s="40" t="str">
        <f>TYPE</f>
        <v>A</v>
      </c>
      <c r="H330" s="153" t="s">
        <v>803</v>
      </c>
      <c r="I330" s="42" t="s">
        <v>527</v>
      </c>
      <c r="J330" s="43" t="s">
        <v>475</v>
      </c>
      <c r="K330" s="44">
        <v>3</v>
      </c>
      <c r="L330" s="49">
        <v>25640</v>
      </c>
      <c r="M330" s="49">
        <v>11600</v>
      </c>
      <c r="N330" s="49">
        <v>14040</v>
      </c>
      <c r="O330" s="49">
        <v>6</v>
      </c>
      <c r="P330" s="49">
        <v>842.40000000000009</v>
      </c>
      <c r="Q330" s="49">
        <v>13197.599999999999</v>
      </c>
      <c r="R330" s="49">
        <v>2800.0000000000005</v>
      </c>
      <c r="S330" s="49">
        <v>36953280</v>
      </c>
      <c r="T330" s="49">
        <v>14.07</v>
      </c>
      <c r="U330" s="49">
        <v>2814.0700000000006</v>
      </c>
      <c r="V330" s="49">
        <v>37138970</v>
      </c>
      <c r="W330" s="49">
        <v>185696</v>
      </c>
      <c r="X330" s="49">
        <v>36953274</v>
      </c>
      <c r="Y330" s="530" t="str">
        <f>IFERROR(IF(FIND("/KM",KB[[#This Row],[SUPPLIER]])&gt;0,"LAUT"),"DARAT")</f>
        <v>LAUT</v>
      </c>
    </row>
    <row r="331" spans="2:25">
      <c r="B331" s="140" t="str">
        <f>IFERROR(LEFT(KB[[#This Row],[SUPPLIER]],FIND("/",KB[[#This Row],[SUPPLIER]])-1),KB[[#This Row],[SUPPLIER]])</f>
        <v>HENDRY JOHANES</v>
      </c>
      <c r="C331" s="141" t="str">
        <f>TEXT(VLOOKUP(KB[[#This Row],[RELASI]],DBRELASI[[RELASI]:[DOCKB]],10,0)+COUNTIFS($B$2:B331,KB[[#This Row],[RELASI]],$D$2:D331,1),"000")</f>
        <v>003</v>
      </c>
      <c r="D331" s="141">
        <f>IF(COUNTIFS($B$3:B331,KB[[#This Row],[RELASI]],$F$3:F331,KB[[#This Row],[TANGGAL]])&lt;&gt;1,0,1)</f>
        <v>1</v>
      </c>
      <c r="E331" s="141" t="str">
        <f>TEXT(IF(KB[[#This Row],[DOC]]&lt;&gt;"",KB[[#This Row],[DOC]],E330),"000")</f>
        <v>003</v>
      </c>
      <c r="F331" s="40">
        <v>43868</v>
      </c>
      <c r="G331" s="40" t="str">
        <f>TYPE</f>
        <v>A</v>
      </c>
      <c r="H331" s="153" t="s">
        <v>521</v>
      </c>
      <c r="I331" s="42" t="s">
        <v>855</v>
      </c>
      <c r="J331" s="43" t="s">
        <v>783</v>
      </c>
      <c r="K331" s="44">
        <v>3</v>
      </c>
      <c r="L331" s="49">
        <v>24880</v>
      </c>
      <c r="M331" s="49">
        <v>11670</v>
      </c>
      <c r="N331" s="49">
        <v>13210</v>
      </c>
      <c r="O331" s="49">
        <v>6</v>
      </c>
      <c r="P331" s="49">
        <v>792.6</v>
      </c>
      <c r="Q331" s="49">
        <v>12417.4</v>
      </c>
      <c r="R331" s="49">
        <v>2750</v>
      </c>
      <c r="S331" s="49">
        <v>34147850</v>
      </c>
      <c r="T331" s="49">
        <v>13.82</v>
      </c>
      <c r="U331" s="49">
        <v>2763.82</v>
      </c>
      <c r="V331" s="49">
        <v>34319458</v>
      </c>
      <c r="W331" s="49">
        <v>171597</v>
      </c>
      <c r="X331" s="49">
        <v>34147861</v>
      </c>
      <c r="Y331" s="530" t="str">
        <f>IFERROR(IF(FIND("/KM",KB[[#This Row],[SUPPLIER]])&gt;0,"LAUT"),"DARAT")</f>
        <v>LAUT</v>
      </c>
    </row>
    <row r="332" spans="2:25">
      <c r="B332" s="140" t="str">
        <f>IFERROR(LEFT(KB[[#This Row],[SUPPLIER]],FIND("/",KB[[#This Row],[SUPPLIER]])-1),KB[[#This Row],[SUPPLIER]])</f>
        <v>PT.SINAR KELAPA TEMBILAHAN</v>
      </c>
      <c r="C332" s="141" t="str">
        <f>TEXT(VLOOKUP(KB[[#This Row],[RELASI]],DBRELASI[[RELASI]:[DOCKB]],10,0)+COUNTIFS($B$2:B332,KB[[#This Row],[RELASI]],$D$2:D332,1),"000")</f>
        <v>012</v>
      </c>
      <c r="D332" s="141">
        <f>IF(COUNTIFS($B$3:B332,KB[[#This Row],[RELASI]],$F$3:F332,KB[[#This Row],[TANGGAL]])&lt;&gt;1,0,1)</f>
        <v>1</v>
      </c>
      <c r="E332" s="141" t="str">
        <f>TEXT(IF(KB[[#This Row],[DOC]]&lt;&gt;"",KB[[#This Row],[DOC]],E331),"000")</f>
        <v>012</v>
      </c>
      <c r="F332" s="40">
        <v>43868</v>
      </c>
      <c r="G332" s="40" t="str">
        <f>TYPE</f>
        <v>A</v>
      </c>
      <c r="H332" s="153" t="s">
        <v>778</v>
      </c>
      <c r="I332" s="42" t="s">
        <v>830</v>
      </c>
      <c r="J332" s="43" t="s">
        <v>81</v>
      </c>
      <c r="K332" s="44">
        <v>2</v>
      </c>
      <c r="L332" s="49">
        <v>13780</v>
      </c>
      <c r="M332" s="49">
        <v>7700</v>
      </c>
      <c r="N332" s="49">
        <v>6080</v>
      </c>
      <c r="O332" s="49">
        <v>6.0000000000000009</v>
      </c>
      <c r="P332" s="49">
        <v>364.8</v>
      </c>
      <c r="Q332" s="49">
        <v>5715.2</v>
      </c>
      <c r="R332" s="49">
        <v>2850</v>
      </c>
      <c r="S332" s="49">
        <v>16288320</v>
      </c>
      <c r="T332" s="49">
        <v>0</v>
      </c>
      <c r="U332" s="49">
        <v>2850</v>
      </c>
      <c r="V332" s="49">
        <v>16288320</v>
      </c>
      <c r="W332" s="49">
        <v>40721</v>
      </c>
      <c r="X332" s="49">
        <v>16247599</v>
      </c>
      <c r="Y332" s="530" t="str">
        <f>IFERROR(IF(FIND("/KM",KB[[#This Row],[SUPPLIER]])&gt;0,"LAUT"),"DARAT")</f>
        <v>LAUT</v>
      </c>
    </row>
    <row r="333" spans="2:25">
      <c r="B333" s="140" t="str">
        <f>IFERROR(LEFT(KB[[#This Row],[SUPPLIER]],FIND("/",KB[[#This Row],[SUPPLIER]])-1),KB[[#This Row],[SUPPLIER]])</f>
        <v>PT.SINAR KELAPA TEMBILAHAN</v>
      </c>
      <c r="C333" s="141" t="str">
        <f>TEXT(VLOOKUP(KB[[#This Row],[RELASI]],DBRELASI[[RELASI]:[DOCKB]],10,0)+COUNTIFS($B$2:B333,KB[[#This Row],[RELASI]],$D$2:D333,1),"000")</f>
        <v>012</v>
      </c>
      <c r="D333" s="141">
        <f>IF(COUNTIFS($B$3:B333,KB[[#This Row],[RELASI]],$F$3:F333,KB[[#This Row],[TANGGAL]])&lt;&gt;1,0,1)</f>
        <v>0</v>
      </c>
      <c r="E333" s="141" t="str">
        <f>TEXT(IF(KB[[#This Row],[DOC]]&lt;&gt;"",KB[[#This Row],[DOC]],E332),"000")</f>
        <v>012</v>
      </c>
      <c r="F333" s="40">
        <v>43868</v>
      </c>
      <c r="G333" s="40" t="str">
        <f>TYPE</f>
        <v>A</v>
      </c>
      <c r="H333"/>
      <c r="I333" s="42" t="s">
        <v>856</v>
      </c>
      <c r="J333" s="43" t="s">
        <v>81</v>
      </c>
      <c r="K333" s="44">
        <v>1</v>
      </c>
      <c r="L333" s="49">
        <v>8390</v>
      </c>
      <c r="M333" s="49">
        <v>3960</v>
      </c>
      <c r="N333" s="49">
        <v>4430</v>
      </c>
      <c r="O333" s="49">
        <v>6.0000000000000009</v>
      </c>
      <c r="P333" s="49">
        <v>265.8</v>
      </c>
      <c r="Q333" s="49">
        <v>4164.2</v>
      </c>
      <c r="R333" s="49">
        <v>2850</v>
      </c>
      <c r="S333" s="49">
        <v>11867970</v>
      </c>
      <c r="T333" s="49">
        <v>0</v>
      </c>
      <c r="U333" s="49">
        <v>2850</v>
      </c>
      <c r="V333" s="49">
        <v>11867970</v>
      </c>
      <c r="W333" s="49">
        <v>29670</v>
      </c>
      <c r="X333" s="49">
        <v>11838300</v>
      </c>
      <c r="Y333" s="530" t="str">
        <f>IFERROR(IF(FIND("/KM",KB[[#This Row],[SUPPLIER]])&gt;0,"LAUT"),"DARAT")</f>
        <v>LAUT</v>
      </c>
    </row>
    <row r="334" spans="2:25">
      <c r="B334" s="140" t="str">
        <f>IFERROR(LEFT(KB[[#This Row],[SUPPLIER]],FIND("/",KB[[#This Row],[SUPPLIER]])-1),KB[[#This Row],[SUPPLIER]])</f>
        <v>PT.SINAR KELAPA TEMBILAHAN</v>
      </c>
      <c r="C334" s="141" t="str">
        <f>TEXT(VLOOKUP(KB[[#This Row],[RELASI]],DBRELASI[[RELASI]:[DOCKB]],10,0)+COUNTIFS($B$2:B334,KB[[#This Row],[RELASI]],$D$2:D334,1),"000")</f>
        <v>012</v>
      </c>
      <c r="D334" s="141">
        <f>IF(COUNTIFS($B$3:B334,KB[[#This Row],[RELASI]],$F$3:F334,KB[[#This Row],[TANGGAL]])&lt;&gt;1,0,1)</f>
        <v>0</v>
      </c>
      <c r="E334" s="141" t="str">
        <f>TEXT(IF(KB[[#This Row],[DOC]]&lt;&gt;"",KB[[#This Row],[DOC]],E333),"000")</f>
        <v>012</v>
      </c>
      <c r="F334" s="40">
        <v>43868</v>
      </c>
      <c r="G334" s="40" t="str">
        <f>TYPE</f>
        <v>A</v>
      </c>
      <c r="H334"/>
      <c r="I334" s="42" t="s">
        <v>512</v>
      </c>
      <c r="J334" s="43" t="s">
        <v>81</v>
      </c>
      <c r="K334" s="44">
        <v>4</v>
      </c>
      <c r="L334" s="49">
        <v>31910</v>
      </c>
      <c r="M334" s="49">
        <v>15590</v>
      </c>
      <c r="N334" s="49">
        <v>16320</v>
      </c>
      <c r="O334" s="49">
        <v>6.0000000000000009</v>
      </c>
      <c r="P334" s="49">
        <v>979.2</v>
      </c>
      <c r="Q334" s="49">
        <v>15340.8</v>
      </c>
      <c r="R334" s="49">
        <v>2950</v>
      </c>
      <c r="S334" s="49">
        <v>45255360</v>
      </c>
      <c r="T334" s="49">
        <v>0</v>
      </c>
      <c r="U334" s="49">
        <v>2950</v>
      </c>
      <c r="V334" s="49">
        <v>45255360</v>
      </c>
      <c r="W334" s="49">
        <v>113139</v>
      </c>
      <c r="X334" s="49">
        <v>45142221</v>
      </c>
      <c r="Y334" s="530" t="str">
        <f>IFERROR(IF(FIND("/KM",KB[[#This Row],[SUPPLIER]])&gt;0,"LAUT"),"DARAT")</f>
        <v>LAUT</v>
      </c>
    </row>
    <row r="335" spans="2:25">
      <c r="B335" s="140" t="str">
        <f>IFERROR(LEFT(KB[[#This Row],[SUPPLIER]],FIND("/",KB[[#This Row],[SUPPLIER]])-1),KB[[#This Row],[SUPPLIER]])</f>
        <v>PT.SINAR KELAPA TEMBILAHAN</v>
      </c>
      <c r="C335" s="141" t="str">
        <f>TEXT(VLOOKUP(KB[[#This Row],[RELASI]],DBRELASI[[RELASI]:[DOCKB]],10,0)+COUNTIFS($B$2:B335,KB[[#This Row],[RELASI]],$D$2:D335,1),"000")</f>
        <v>012</v>
      </c>
      <c r="D335" s="141">
        <f>IF(COUNTIFS($B$3:B335,KB[[#This Row],[RELASI]],$F$3:F335,KB[[#This Row],[TANGGAL]])&lt;&gt;1,0,1)</f>
        <v>0</v>
      </c>
      <c r="E335" s="141" t="str">
        <f>TEXT(IF(KB[[#This Row],[DOC]]&lt;&gt;"",KB[[#This Row],[DOC]],E334),"000")</f>
        <v>012</v>
      </c>
      <c r="F335" s="40">
        <v>43868</v>
      </c>
      <c r="G335" s="40" t="str">
        <f>TYPE</f>
        <v>A</v>
      </c>
      <c r="H335"/>
      <c r="I335" s="42" t="s">
        <v>841</v>
      </c>
      <c r="J335" s="43" t="s">
        <v>81</v>
      </c>
      <c r="K335" s="44">
        <v>2</v>
      </c>
      <c r="L335" s="49">
        <v>17790</v>
      </c>
      <c r="M335" s="49">
        <v>7880</v>
      </c>
      <c r="N335" s="49">
        <v>9910</v>
      </c>
      <c r="O335" s="49">
        <v>5.9999999999999991</v>
      </c>
      <c r="P335" s="49">
        <v>594.59999999999991</v>
      </c>
      <c r="Q335" s="49">
        <v>9315.4</v>
      </c>
      <c r="R335" s="49">
        <v>2850</v>
      </c>
      <c r="S335" s="49">
        <v>26548890</v>
      </c>
      <c r="T335" s="49">
        <v>0</v>
      </c>
      <c r="U335" s="49">
        <v>2850</v>
      </c>
      <c r="V335" s="49">
        <v>26548890</v>
      </c>
      <c r="W335" s="49">
        <v>66372</v>
      </c>
      <c r="X335" s="49">
        <v>26482518</v>
      </c>
      <c r="Y335" s="530" t="str">
        <f>IFERROR(IF(FIND("/KM",KB[[#This Row],[SUPPLIER]])&gt;0,"LAUT"),"DARAT")</f>
        <v>LAUT</v>
      </c>
    </row>
    <row r="336" spans="2:25">
      <c r="B336" s="140" t="str">
        <f>IFERROR(LEFT(KB[[#This Row],[SUPPLIER]],FIND("/",KB[[#This Row],[SUPPLIER]])-1),KB[[#This Row],[SUPPLIER]])</f>
        <v>SUKAMTO</v>
      </c>
      <c r="C336" s="141" t="str">
        <f>TEXT(VLOOKUP(KB[[#This Row],[RELASI]],DBRELASI[[RELASI]:[DOCKB]],10,0)+COUNTIFS($B$2:B336,KB[[#This Row],[RELASI]],$D$2:D336,1),"000")</f>
        <v>010</v>
      </c>
      <c r="D336" s="141">
        <f>IF(COUNTIFS($B$3:B336,KB[[#This Row],[RELASI]],$F$3:F336,KB[[#This Row],[TANGGAL]])&lt;&gt;1,0,1)</f>
        <v>1</v>
      </c>
      <c r="E336" s="141" t="str">
        <f>TEXT(IF(KB[[#This Row],[DOC]]&lt;&gt;"",KB[[#This Row],[DOC]],E335),"000")</f>
        <v>010</v>
      </c>
      <c r="F336" s="40">
        <v>43868</v>
      </c>
      <c r="G336" s="40" t="str">
        <f>TYPE</f>
        <v>A</v>
      </c>
      <c r="H336" s="154" t="s">
        <v>773</v>
      </c>
      <c r="I336" s="46" t="s">
        <v>523</v>
      </c>
      <c r="J336" s="47" t="s">
        <v>524</v>
      </c>
      <c r="K336" s="48">
        <v>1</v>
      </c>
      <c r="L336" s="49">
        <v>8030</v>
      </c>
      <c r="M336" s="49">
        <v>3880</v>
      </c>
      <c r="N336" s="49">
        <v>4150</v>
      </c>
      <c r="O336" s="49">
        <v>6</v>
      </c>
      <c r="P336" s="49">
        <v>249</v>
      </c>
      <c r="Q336" s="49">
        <v>3901</v>
      </c>
      <c r="R336" s="49">
        <v>2750</v>
      </c>
      <c r="S336" s="49">
        <v>10727750</v>
      </c>
      <c r="T336" s="49">
        <v>13.82</v>
      </c>
      <c r="U336" s="49">
        <v>2763.82</v>
      </c>
      <c r="V336" s="49">
        <v>10781662</v>
      </c>
      <c r="W336" s="49">
        <v>53908</v>
      </c>
      <c r="X336" s="49">
        <v>10727754</v>
      </c>
      <c r="Y336" s="574" t="str">
        <f>IFERROR(IF(FIND("/KM",KB[[#This Row],[SUPPLIER]])&gt;0,"LAUT"),"DARAT")</f>
        <v>LAUT</v>
      </c>
    </row>
    <row r="337" spans="2:25">
      <c r="B337" s="140" t="str">
        <f>IFERROR(LEFT(KB[[#This Row],[SUPPLIER]],FIND("/",KB[[#This Row],[SUPPLIER]])-1),KB[[#This Row],[SUPPLIER]])</f>
        <v>ERAWATI</v>
      </c>
      <c r="C337" s="141" t="str">
        <f>TEXT(VLOOKUP(KB[[#This Row],[RELASI]],DBRELASI[[RELASI]:[DOCKB]],10,0)+COUNTIFS($B$2:B337,KB[[#This Row],[RELASI]],$D$2:D337,1),"000")</f>
        <v>029</v>
      </c>
      <c r="D337" s="141">
        <f>IF(COUNTIFS($B$3:B337,KB[[#This Row],[RELASI]],$F$3:F337,KB[[#This Row],[TANGGAL]])&lt;&gt;1,0,1)</f>
        <v>1</v>
      </c>
      <c r="E337" s="141" t="str">
        <f>TEXT(IF(KB[[#This Row],[DOC]]&lt;&gt;"",KB[[#This Row],[DOC]],E336),"000")</f>
        <v>029</v>
      </c>
      <c r="F337" s="40">
        <v>43869</v>
      </c>
      <c r="G337" s="40" t="str">
        <f>TYPE</f>
        <v>A</v>
      </c>
      <c r="H337" s="153" t="s">
        <v>857</v>
      </c>
      <c r="I337" s="42" t="s">
        <v>155</v>
      </c>
      <c r="J337" s="43" t="s">
        <v>77</v>
      </c>
      <c r="K337" s="44">
        <v>4</v>
      </c>
      <c r="L337" s="49">
        <v>42230</v>
      </c>
      <c r="M337" s="49">
        <v>19020</v>
      </c>
      <c r="N337" s="49">
        <v>23210</v>
      </c>
      <c r="O337" s="49">
        <v>5</v>
      </c>
      <c r="P337" s="49">
        <v>1160.5</v>
      </c>
      <c r="Q337" s="49">
        <v>22049.5</v>
      </c>
      <c r="R337" s="49">
        <v>2800</v>
      </c>
      <c r="S337" s="49">
        <v>61738600</v>
      </c>
      <c r="T337" s="49">
        <v>14.07</v>
      </c>
      <c r="U337" s="49">
        <v>2814.07</v>
      </c>
      <c r="V337" s="49">
        <v>62048836</v>
      </c>
      <c r="W337" s="49">
        <v>310244</v>
      </c>
      <c r="X337" s="49">
        <v>61738592</v>
      </c>
      <c r="Y337" s="530" t="str">
        <f>IFERROR(IF(FIND("/KM",KB[[#This Row],[SUPPLIER]])&gt;0,"LAUT"),"DARAT")</f>
        <v>DARAT</v>
      </c>
    </row>
    <row r="338" spans="2:25">
      <c r="B338" s="140" t="str">
        <f>IFERROR(LEFT(KB[[#This Row],[SUPPLIER]],FIND("/",KB[[#This Row],[SUPPLIER]])-1),KB[[#This Row],[SUPPLIER]])</f>
        <v>RUSLAN JAYA, SH</v>
      </c>
      <c r="C338" s="141" t="str">
        <f>TEXT(VLOOKUP(KB[[#This Row],[RELASI]],DBRELASI[[RELASI]:[DOCKB]],10,0)+COUNTIFS($B$2:B338,KB[[#This Row],[RELASI]],$D$2:D338,1),"000")</f>
        <v>016</v>
      </c>
      <c r="D338" s="141">
        <f>IF(COUNTIFS($B$3:B338,KB[[#This Row],[RELASI]],$F$3:F338,KB[[#This Row],[TANGGAL]])&lt;&gt;1,0,1)</f>
        <v>1</v>
      </c>
      <c r="E338" s="141" t="str">
        <f>TEXT(IF(KB[[#This Row],[DOC]]&lt;&gt;"",KB[[#This Row],[DOC]],E337),"000")</f>
        <v>016</v>
      </c>
      <c r="F338" s="40">
        <v>43869</v>
      </c>
      <c r="G338" s="40" t="str">
        <f>TYPE</f>
        <v>A</v>
      </c>
      <c r="H338" s="153" t="s">
        <v>796</v>
      </c>
      <c r="I338" s="42" t="s">
        <v>479</v>
      </c>
      <c r="J338" s="43" t="s">
        <v>475</v>
      </c>
      <c r="K338" s="44">
        <v>2</v>
      </c>
      <c r="L338" s="49">
        <v>5700</v>
      </c>
      <c r="M338" s="49">
        <v>3190</v>
      </c>
      <c r="N338" s="49">
        <v>2510</v>
      </c>
      <c r="O338" s="49">
        <v>5.5657370517928282</v>
      </c>
      <c r="P338" s="49">
        <v>139.69999999999999</v>
      </c>
      <c r="Q338" s="49">
        <v>2370.3000000000002</v>
      </c>
      <c r="R338" s="49">
        <v>2800</v>
      </c>
      <c r="S338" s="49">
        <v>6636840</v>
      </c>
      <c r="T338" s="49">
        <v>14.07</v>
      </c>
      <c r="U338" s="49">
        <v>2814.07</v>
      </c>
      <c r="V338" s="49">
        <v>6670190</v>
      </c>
      <c r="W338" s="49">
        <v>33351</v>
      </c>
      <c r="X338" s="49">
        <v>6636839</v>
      </c>
      <c r="Y338" s="530" t="str">
        <f>IFERROR(IF(FIND("/KM",KB[[#This Row],[SUPPLIER]])&gt;0,"LAUT"),"DARAT")</f>
        <v>DARAT</v>
      </c>
    </row>
    <row r="339" spans="2:25">
      <c r="B339" s="140" t="str">
        <f>IFERROR(LEFT(KB[[#This Row],[SUPPLIER]],FIND("/",KB[[#This Row],[SUPPLIER]])-1),KB[[#This Row],[SUPPLIER]])</f>
        <v>YANADI</v>
      </c>
      <c r="C339" s="141" t="str">
        <f>TEXT(VLOOKUP(KB[[#This Row],[RELASI]],DBRELASI[[RELASI]:[DOCKB]],10,0)+COUNTIFS($B$2:B339,KB[[#This Row],[RELASI]],$D$2:D339,1),"000")</f>
        <v>018</v>
      </c>
      <c r="D339" s="141">
        <f>IF(COUNTIFS($B$3:B339,KB[[#This Row],[RELASI]],$F$3:F339,KB[[#This Row],[TANGGAL]])&lt;&gt;1,0,1)</f>
        <v>1</v>
      </c>
      <c r="E339" s="141" t="str">
        <f>TEXT(IF(KB[[#This Row],[DOC]]&lt;&gt;"",KB[[#This Row],[DOC]],E338),"000")</f>
        <v>018</v>
      </c>
      <c r="F339" s="40">
        <v>43869</v>
      </c>
      <c r="G339" s="40" t="str">
        <f>TYPE</f>
        <v>A</v>
      </c>
      <c r="H339" s="153" t="s">
        <v>803</v>
      </c>
      <c r="I339" s="42" t="s">
        <v>137</v>
      </c>
      <c r="J339" s="43" t="s">
        <v>74</v>
      </c>
      <c r="K339" s="44">
        <v>1</v>
      </c>
      <c r="L339" s="49">
        <v>16260</v>
      </c>
      <c r="M339" s="49">
        <v>6410</v>
      </c>
      <c r="N339" s="49">
        <v>9850</v>
      </c>
      <c r="O339" s="49">
        <v>6</v>
      </c>
      <c r="P339" s="49">
        <v>591</v>
      </c>
      <c r="Q339" s="49">
        <v>9259</v>
      </c>
      <c r="R339" s="49">
        <v>2800</v>
      </c>
      <c r="S339" s="49">
        <v>25925200</v>
      </c>
      <c r="T339" s="49">
        <v>14.07</v>
      </c>
      <c r="U339" s="49">
        <v>2814.07</v>
      </c>
      <c r="V339" s="49">
        <v>26055474</v>
      </c>
      <c r="W339" s="49">
        <v>130277</v>
      </c>
      <c r="X339" s="49">
        <v>25925197</v>
      </c>
      <c r="Y339" s="530" t="str">
        <f>IFERROR(IF(FIND("/KM",KB[[#This Row],[SUPPLIER]])&gt;0,"LAUT"),"DARAT")</f>
        <v>DARAT</v>
      </c>
    </row>
    <row r="340" spans="2:25">
      <c r="B340" s="140" t="str">
        <f>IFERROR(LEFT(KB[[#This Row],[SUPPLIER]],FIND("/",KB[[#This Row],[SUPPLIER]])-1),KB[[#This Row],[SUPPLIER]])</f>
        <v>DINI CHAIRANI</v>
      </c>
      <c r="C340" s="141" t="str">
        <f>TEXT(VLOOKUP(KB[[#This Row],[RELASI]],DBRELASI[[RELASI]:[DOCKB]],10,0)+COUNTIFS($B$2:B340,KB[[#This Row],[RELASI]],$D$2:D340,1),"000")</f>
        <v>021</v>
      </c>
      <c r="D340" s="141">
        <f>IF(COUNTIFS($B$3:B340,KB[[#This Row],[RELASI]],$F$3:F340,KB[[#This Row],[TANGGAL]])&lt;&gt;1,0,1)</f>
        <v>1</v>
      </c>
      <c r="E340" s="141" t="str">
        <f>TEXT(IF(KB[[#This Row],[DOC]]&lt;&gt;"",KB[[#This Row],[DOC]],E339),"000")</f>
        <v>021</v>
      </c>
      <c r="F340" s="40">
        <v>43869</v>
      </c>
      <c r="G340" s="40" t="str">
        <f>TYPE</f>
        <v>A</v>
      </c>
      <c r="H340" s="153" t="s">
        <v>823</v>
      </c>
      <c r="I340" s="42" t="s">
        <v>517</v>
      </c>
      <c r="J340" s="43" t="s">
        <v>95</v>
      </c>
      <c r="K340" s="44">
        <v>5</v>
      </c>
      <c r="L340" s="49">
        <v>40820</v>
      </c>
      <c r="M340" s="49">
        <v>19480</v>
      </c>
      <c r="N340" s="49">
        <v>21340</v>
      </c>
      <c r="O340" s="49">
        <v>5.9999999999999991</v>
      </c>
      <c r="P340" s="49">
        <v>1280.3999999999999</v>
      </c>
      <c r="Q340" s="49">
        <v>20059.599999999999</v>
      </c>
      <c r="R340" s="49">
        <v>2800</v>
      </c>
      <c r="S340" s="49">
        <v>56166880</v>
      </c>
      <c r="T340" s="49">
        <v>14.07</v>
      </c>
      <c r="U340" s="49">
        <v>2814.07</v>
      </c>
      <c r="V340" s="49">
        <v>56449118</v>
      </c>
      <c r="W340" s="49">
        <v>282245</v>
      </c>
      <c r="X340" s="49">
        <v>56166873</v>
      </c>
      <c r="Y340" s="530" t="str">
        <f>IFERROR(IF(FIND("/KM",KB[[#This Row],[SUPPLIER]])&gt;0,"LAUT"),"DARAT")</f>
        <v>LAUT</v>
      </c>
    </row>
    <row r="341" spans="2:25">
      <c r="B341" s="140" t="str">
        <f>IFERROR(LEFT(KB[[#This Row],[SUPPLIER]],FIND("/",KB[[#This Row],[SUPPLIER]])-1),KB[[#This Row],[SUPPLIER]])</f>
        <v>DINI CHAIRANI</v>
      </c>
      <c r="C341" s="141" t="str">
        <f>TEXT(VLOOKUP(KB[[#This Row],[RELASI]],DBRELASI[[RELASI]:[DOCKB]],10,0)+COUNTIFS($B$2:B341,KB[[#This Row],[RELASI]],$D$2:D341,1),"000")</f>
        <v>021</v>
      </c>
      <c r="D341" s="141">
        <f>IF(COUNTIFS($B$3:B341,KB[[#This Row],[RELASI]],$F$3:F341,KB[[#This Row],[TANGGAL]])&lt;&gt;1,0,1)</f>
        <v>0</v>
      </c>
      <c r="E341" s="141" t="str">
        <f>TEXT(IF(KB[[#This Row],[DOC]]&lt;&gt;"",KB[[#This Row],[DOC]],E340),"000")</f>
        <v>021</v>
      </c>
      <c r="F341" s="40">
        <v>43869</v>
      </c>
      <c r="G341" s="40" t="str">
        <f>TYPE</f>
        <v>A</v>
      </c>
      <c r="H341"/>
      <c r="I341" s="42" t="s">
        <v>772</v>
      </c>
      <c r="J341" s="43" t="s">
        <v>95</v>
      </c>
      <c r="K341" s="44">
        <v>2</v>
      </c>
      <c r="L341" s="49">
        <v>14680</v>
      </c>
      <c r="M341" s="49">
        <v>7800</v>
      </c>
      <c r="N341" s="49">
        <v>6880</v>
      </c>
      <c r="O341" s="49">
        <v>6</v>
      </c>
      <c r="P341" s="49">
        <v>412.8</v>
      </c>
      <c r="Q341" s="49">
        <v>6467.2</v>
      </c>
      <c r="R341" s="49">
        <v>2750</v>
      </c>
      <c r="S341" s="49">
        <v>17784800</v>
      </c>
      <c r="T341" s="49">
        <v>13.82</v>
      </c>
      <c r="U341" s="49">
        <v>2763.82</v>
      </c>
      <c r="V341" s="49">
        <v>17874176</v>
      </c>
      <c r="W341" s="49">
        <v>89371</v>
      </c>
      <c r="X341" s="49">
        <v>17784805</v>
      </c>
      <c r="Y341" s="530" t="str">
        <f>IFERROR(IF(FIND("/KM",KB[[#This Row],[SUPPLIER]])&gt;0,"LAUT"),"DARAT")</f>
        <v>LAUT</v>
      </c>
    </row>
    <row r="342" spans="2:25">
      <c r="B342" s="140" t="str">
        <f>IFERROR(LEFT(KB[[#This Row],[SUPPLIER]],FIND("/",KB[[#This Row],[SUPPLIER]])-1),KB[[#This Row],[SUPPLIER]])</f>
        <v>PT.SINAR KELAPA TEMBILAHAN</v>
      </c>
      <c r="C342" s="141" t="str">
        <f>TEXT(VLOOKUP(KB[[#This Row],[RELASI]],DBRELASI[[RELASI]:[DOCKB]],10,0)+COUNTIFS($B$2:B342,KB[[#This Row],[RELASI]],$D$2:D342,1),"000")</f>
        <v>013</v>
      </c>
      <c r="D342" s="141">
        <f>IF(COUNTIFS($B$3:B342,KB[[#This Row],[RELASI]],$F$3:F342,KB[[#This Row],[TANGGAL]])&lt;&gt;1,0,1)</f>
        <v>1</v>
      </c>
      <c r="E342" s="141" t="str">
        <f>TEXT(IF(KB[[#This Row],[DOC]]&lt;&gt;"",KB[[#This Row],[DOC]],E341),"000")</f>
        <v>013</v>
      </c>
      <c r="F342" s="40">
        <v>43869</v>
      </c>
      <c r="G342" s="40" t="str">
        <f>TYPE</f>
        <v>A</v>
      </c>
      <c r="H342" s="153" t="s">
        <v>780</v>
      </c>
      <c r="I342" s="42" t="s">
        <v>830</v>
      </c>
      <c r="J342" s="43" t="s">
        <v>81</v>
      </c>
      <c r="K342" s="44">
        <v>2</v>
      </c>
      <c r="L342" s="49">
        <v>14370</v>
      </c>
      <c r="M342" s="49">
        <v>7820</v>
      </c>
      <c r="N342" s="49">
        <v>6550</v>
      </c>
      <c r="O342" s="49">
        <v>6</v>
      </c>
      <c r="P342" s="49">
        <v>393</v>
      </c>
      <c r="Q342" s="49">
        <v>6157</v>
      </c>
      <c r="R342" s="49">
        <v>2850</v>
      </c>
      <c r="S342" s="49">
        <v>17547450</v>
      </c>
      <c r="T342" s="49">
        <v>0</v>
      </c>
      <c r="U342" s="49">
        <v>2850</v>
      </c>
      <c r="V342" s="49">
        <v>17547450</v>
      </c>
      <c r="W342" s="49">
        <v>43869</v>
      </c>
      <c r="X342" s="49">
        <v>17503581</v>
      </c>
      <c r="Y342" s="530" t="str">
        <f>IFERROR(IF(FIND("/KM",KB[[#This Row],[SUPPLIER]])&gt;0,"LAUT"),"DARAT")</f>
        <v>LAUT</v>
      </c>
    </row>
    <row r="343" spans="2:25">
      <c r="B343" s="140" t="str">
        <f>IFERROR(LEFT(KB[[#This Row],[SUPPLIER]],FIND("/",KB[[#This Row],[SUPPLIER]])-1),KB[[#This Row],[SUPPLIER]])</f>
        <v>PT.SINAR KELAPA TEMBILAHAN</v>
      </c>
      <c r="C343" s="141" t="str">
        <f>TEXT(VLOOKUP(KB[[#This Row],[RELASI]],DBRELASI[[RELASI]:[DOCKB]],10,0)+COUNTIFS($B$2:B343,KB[[#This Row],[RELASI]],$D$2:D343,1),"000")</f>
        <v>013</v>
      </c>
      <c r="D343" s="141">
        <f>IF(COUNTIFS($B$3:B343,KB[[#This Row],[RELASI]],$F$3:F343,KB[[#This Row],[TANGGAL]])&lt;&gt;1,0,1)</f>
        <v>0</v>
      </c>
      <c r="E343" s="141" t="str">
        <f>TEXT(IF(KB[[#This Row],[DOC]]&lt;&gt;"",KB[[#This Row],[DOC]],E342),"000")</f>
        <v>013</v>
      </c>
      <c r="F343" s="40">
        <v>43869</v>
      </c>
      <c r="G343" s="40" t="str">
        <f>TYPE</f>
        <v>A</v>
      </c>
      <c r="H343"/>
      <c r="I343" s="42" t="s">
        <v>858</v>
      </c>
      <c r="J343" s="43" t="s">
        <v>81</v>
      </c>
      <c r="K343" s="44">
        <v>2</v>
      </c>
      <c r="L343" s="49">
        <v>15450</v>
      </c>
      <c r="M343" s="49">
        <v>7860</v>
      </c>
      <c r="N343" s="49">
        <v>7590</v>
      </c>
      <c r="O343" s="49">
        <v>5.9999999999999991</v>
      </c>
      <c r="P343" s="49">
        <v>455.4</v>
      </c>
      <c r="Q343" s="49">
        <v>7134.5999999999995</v>
      </c>
      <c r="R343" s="49">
        <v>2850</v>
      </c>
      <c r="S343" s="49">
        <v>20333610</v>
      </c>
      <c r="T343" s="49">
        <v>0</v>
      </c>
      <c r="U343" s="49">
        <v>2850</v>
      </c>
      <c r="V343" s="49">
        <v>20333610</v>
      </c>
      <c r="W343" s="49">
        <v>50834</v>
      </c>
      <c r="X343" s="49">
        <v>20282776</v>
      </c>
      <c r="Y343" s="530" t="str">
        <f>IFERROR(IF(FIND("/KM",KB[[#This Row],[SUPPLIER]])&gt;0,"LAUT"),"DARAT")</f>
        <v>LAUT</v>
      </c>
    </row>
    <row r="344" spans="2:25">
      <c r="B344" s="140" t="str">
        <f>IFERROR(LEFT(KB[[#This Row],[SUPPLIER]],FIND("/",KB[[#This Row],[SUPPLIER]])-1),KB[[#This Row],[SUPPLIER]])</f>
        <v>PT.SINAR KELAPA TEMBILAHAN</v>
      </c>
      <c r="C344" s="141" t="str">
        <f>TEXT(VLOOKUP(KB[[#This Row],[RELASI]],DBRELASI[[RELASI]:[DOCKB]],10,0)+COUNTIFS($B$2:B344,KB[[#This Row],[RELASI]],$D$2:D344,1),"000")</f>
        <v>013</v>
      </c>
      <c r="D344" s="141">
        <f>IF(COUNTIFS($B$3:B344,KB[[#This Row],[RELASI]],$F$3:F344,KB[[#This Row],[TANGGAL]])&lt;&gt;1,0,1)</f>
        <v>0</v>
      </c>
      <c r="E344" s="141" t="str">
        <f>TEXT(IF(KB[[#This Row],[DOC]]&lt;&gt;"",KB[[#This Row],[DOC]],E343),"000")</f>
        <v>013</v>
      </c>
      <c r="F344" s="40">
        <v>43869</v>
      </c>
      <c r="G344" s="40" t="str">
        <f>TYPE</f>
        <v>A</v>
      </c>
      <c r="H344"/>
      <c r="I344" s="42" t="s">
        <v>859</v>
      </c>
      <c r="J344" s="43" t="s">
        <v>81</v>
      </c>
      <c r="K344" s="44">
        <v>2</v>
      </c>
      <c r="L344" s="49">
        <v>14340</v>
      </c>
      <c r="M344" s="49">
        <v>7870</v>
      </c>
      <c r="N344" s="49">
        <v>6470</v>
      </c>
      <c r="O344" s="49">
        <v>6</v>
      </c>
      <c r="P344" s="49">
        <v>388.2</v>
      </c>
      <c r="Q344" s="49">
        <v>6081.7999999999993</v>
      </c>
      <c r="R344" s="49">
        <v>2850.0000000000005</v>
      </c>
      <c r="S344" s="49">
        <v>17333130</v>
      </c>
      <c r="T344" s="49">
        <v>0</v>
      </c>
      <c r="U344" s="49">
        <v>2850.0000000000005</v>
      </c>
      <c r="V344" s="49">
        <v>17333130</v>
      </c>
      <c r="W344" s="49">
        <v>43333</v>
      </c>
      <c r="X344" s="49">
        <v>17289797</v>
      </c>
      <c r="Y344" s="530" t="str">
        <f>IFERROR(IF(FIND("/KM",KB[[#This Row],[SUPPLIER]])&gt;0,"LAUT"),"DARAT")</f>
        <v>LAUT</v>
      </c>
    </row>
    <row r="345" spans="2:25">
      <c r="B345" s="140" t="str">
        <f>IFERROR(LEFT(KB[[#This Row],[SUPPLIER]],FIND("/",KB[[#This Row],[SUPPLIER]])-1),KB[[#This Row],[SUPPLIER]])</f>
        <v>PT.SINAR KELAPA TEMBILAHAN</v>
      </c>
      <c r="C345" s="141" t="str">
        <f>TEXT(VLOOKUP(KB[[#This Row],[RELASI]],DBRELASI[[RELASI]:[DOCKB]],10,0)+COUNTIFS($B$2:B345,KB[[#This Row],[RELASI]],$D$2:D345,1),"000")</f>
        <v>013</v>
      </c>
      <c r="D345" s="141">
        <f>IF(COUNTIFS($B$3:B345,KB[[#This Row],[RELASI]],$F$3:F345,KB[[#This Row],[TANGGAL]])&lt;&gt;1,0,1)</f>
        <v>0</v>
      </c>
      <c r="E345" s="141" t="str">
        <f>TEXT(IF(KB[[#This Row],[DOC]]&lt;&gt;"",KB[[#This Row],[DOC]],E344),"000")</f>
        <v>013</v>
      </c>
      <c r="F345" s="40">
        <v>43869</v>
      </c>
      <c r="G345" s="40" t="str">
        <f>TYPE</f>
        <v>A</v>
      </c>
      <c r="H345"/>
      <c r="I345" s="42" t="s">
        <v>847</v>
      </c>
      <c r="J345" s="43" t="s">
        <v>81</v>
      </c>
      <c r="K345" s="44">
        <v>2</v>
      </c>
      <c r="L345" s="49">
        <v>14430</v>
      </c>
      <c r="M345" s="49">
        <v>7860</v>
      </c>
      <c r="N345" s="49">
        <v>6570</v>
      </c>
      <c r="O345" s="49">
        <v>6</v>
      </c>
      <c r="P345" s="49">
        <v>394.2</v>
      </c>
      <c r="Q345" s="49">
        <v>6175.7999999999993</v>
      </c>
      <c r="R345" s="49">
        <v>2850.0000000000005</v>
      </c>
      <c r="S345" s="49">
        <v>17601030</v>
      </c>
      <c r="T345" s="49">
        <v>0</v>
      </c>
      <c r="U345" s="49">
        <v>2850.0000000000005</v>
      </c>
      <c r="V345" s="49">
        <v>17601030</v>
      </c>
      <c r="W345" s="49">
        <v>44002</v>
      </c>
      <c r="X345" s="49">
        <v>17557028</v>
      </c>
      <c r="Y345" s="530" t="str">
        <f>IFERROR(IF(FIND("/KM",KB[[#This Row],[SUPPLIER]])&gt;0,"LAUT"),"DARAT")</f>
        <v>LAUT</v>
      </c>
    </row>
    <row r="346" spans="2:25">
      <c r="B346" s="140" t="str">
        <f>IFERROR(LEFT(KB[[#This Row],[SUPPLIER]],FIND("/",KB[[#This Row],[SUPPLIER]])-1),KB[[#This Row],[SUPPLIER]])</f>
        <v>PT.SINAR KELAPA TEMBILAHAN</v>
      </c>
      <c r="C346" s="141" t="str">
        <f>TEXT(VLOOKUP(KB[[#This Row],[RELASI]],DBRELASI[[RELASI]:[DOCKB]],10,0)+COUNTIFS($B$2:B346,KB[[#This Row],[RELASI]],$D$2:D346,1),"000")</f>
        <v>013</v>
      </c>
      <c r="D346" s="141">
        <f>IF(COUNTIFS($B$3:B346,KB[[#This Row],[RELASI]],$F$3:F346,KB[[#This Row],[TANGGAL]])&lt;&gt;1,0,1)</f>
        <v>0</v>
      </c>
      <c r="E346" s="141" t="str">
        <f>TEXT(IF(KB[[#This Row],[DOC]]&lt;&gt;"",KB[[#This Row],[DOC]],E345),"000")</f>
        <v>013</v>
      </c>
      <c r="F346" s="40">
        <v>43869</v>
      </c>
      <c r="G346" s="40" t="str">
        <f>TYPE</f>
        <v>A</v>
      </c>
      <c r="H346"/>
      <c r="I346" s="46" t="s">
        <v>856</v>
      </c>
      <c r="J346" s="47" t="s">
        <v>81</v>
      </c>
      <c r="K346" s="48">
        <v>1</v>
      </c>
      <c r="L346" s="49">
        <v>8910</v>
      </c>
      <c r="M346" s="49">
        <v>3960</v>
      </c>
      <c r="N346" s="49">
        <v>4950</v>
      </c>
      <c r="O346" s="49">
        <v>6</v>
      </c>
      <c r="P346" s="49">
        <v>297</v>
      </c>
      <c r="Q346" s="49">
        <v>4653</v>
      </c>
      <c r="R346" s="49">
        <v>2850</v>
      </c>
      <c r="S346" s="49">
        <v>13261050</v>
      </c>
      <c r="T346" s="49">
        <v>0</v>
      </c>
      <c r="U346" s="49">
        <v>2850</v>
      </c>
      <c r="V346" s="49">
        <v>13261050</v>
      </c>
      <c r="W346" s="49">
        <v>33153</v>
      </c>
      <c r="X346" s="49">
        <v>13227897</v>
      </c>
      <c r="Y346" s="574" t="str">
        <f>IFERROR(IF(FIND("/KM",KB[[#This Row],[SUPPLIER]])&gt;0,"LAUT"),"DARAT")</f>
        <v>LAUT</v>
      </c>
    </row>
    <row r="347" spans="2:25">
      <c r="B347" s="140" t="str">
        <f>IFERROR(LEFT(KB[[#This Row],[SUPPLIER]],FIND("/",KB[[#This Row],[SUPPLIER]])-1),KB[[#This Row],[SUPPLIER]])</f>
        <v>ERAWATI</v>
      </c>
      <c r="C347" s="141" t="str">
        <f>TEXT(VLOOKUP(KB[[#This Row],[RELASI]],DBRELASI[[RELASI]:[DOCKB]],10,0)+COUNTIFS($B$2:B347,KB[[#This Row],[RELASI]],$D$2:D347,1),"000")</f>
        <v>030</v>
      </c>
      <c r="D347" s="141">
        <f>IF(COUNTIFS($B$3:B347,KB[[#This Row],[RELASI]],$F$3:F347,KB[[#This Row],[TANGGAL]])&lt;&gt;1,0,1)</f>
        <v>1</v>
      </c>
      <c r="E347" s="141" t="str">
        <f>TEXT(IF(KB[[#This Row],[DOC]]&lt;&gt;"",KB[[#This Row],[DOC]],E346),"000")</f>
        <v>030</v>
      </c>
      <c r="F347" s="40">
        <v>43871</v>
      </c>
      <c r="G347" s="40" t="str">
        <f>TYPE</f>
        <v>A</v>
      </c>
      <c r="H347" s="153" t="s">
        <v>860</v>
      </c>
      <c r="I347" s="42" t="s">
        <v>155</v>
      </c>
      <c r="J347" s="43" t="s">
        <v>77</v>
      </c>
      <c r="K347" s="44">
        <v>8</v>
      </c>
      <c r="L347" s="49">
        <v>63030</v>
      </c>
      <c r="M347" s="49">
        <v>23590</v>
      </c>
      <c r="N347" s="49">
        <v>39440</v>
      </c>
      <c r="O347" s="49">
        <v>5.0578093306288032</v>
      </c>
      <c r="P347" s="49">
        <v>1994.8</v>
      </c>
      <c r="Q347" s="49">
        <v>37445.199999999997</v>
      </c>
      <c r="R347" s="49">
        <v>2800</v>
      </c>
      <c r="S347" s="49">
        <v>104846560</v>
      </c>
      <c r="T347" s="49">
        <v>14.07</v>
      </c>
      <c r="U347" s="49">
        <v>2814.07</v>
      </c>
      <c r="V347" s="49">
        <v>105373415</v>
      </c>
      <c r="W347" s="49">
        <v>526867</v>
      </c>
      <c r="X347" s="49">
        <v>104846548</v>
      </c>
      <c r="Y347" s="530" t="str">
        <f>IFERROR(IF(FIND("/KM",KB[[#This Row],[SUPPLIER]])&gt;0,"LAUT"),"DARAT")</f>
        <v>DARAT</v>
      </c>
    </row>
    <row r="348" spans="2:25">
      <c r="B348" s="140" t="str">
        <f>IFERROR(LEFT(KB[[#This Row],[SUPPLIER]],FIND("/",KB[[#This Row],[SUPPLIER]])-1),KB[[#This Row],[SUPPLIER]])</f>
        <v>INDRAYANI</v>
      </c>
      <c r="C348" s="141" t="str">
        <f>TEXT(VLOOKUP(KB[[#This Row],[RELASI]],DBRELASI[[RELASI]:[DOCKB]],10,0)+COUNTIFS($B$2:B348,KB[[#This Row],[RELASI]],$D$2:D348,1),"000")</f>
        <v>026</v>
      </c>
      <c r="D348" s="141">
        <f>IF(COUNTIFS($B$3:B348,KB[[#This Row],[RELASI]],$F$3:F348,KB[[#This Row],[TANGGAL]])&lt;&gt;1,0,1)</f>
        <v>1</v>
      </c>
      <c r="E348" s="141" t="str">
        <f>TEXT(IF(KB[[#This Row],[DOC]]&lt;&gt;"",KB[[#This Row],[DOC]],E347),"000")</f>
        <v>026</v>
      </c>
      <c r="F348" s="40">
        <v>43871</v>
      </c>
      <c r="G348" s="40" t="str">
        <f>TYPE</f>
        <v>A</v>
      </c>
      <c r="H348" s="153" t="s">
        <v>852</v>
      </c>
      <c r="I348" s="42" t="s">
        <v>79</v>
      </c>
      <c r="J348" s="43" t="s">
        <v>77</v>
      </c>
      <c r="K348" s="44">
        <v>4</v>
      </c>
      <c r="L348" s="49">
        <v>36220</v>
      </c>
      <c r="M348" s="49">
        <v>17160</v>
      </c>
      <c r="N348" s="49">
        <v>19060</v>
      </c>
      <c r="O348" s="49">
        <v>5</v>
      </c>
      <c r="P348" s="49">
        <v>953</v>
      </c>
      <c r="Q348" s="49">
        <v>18107</v>
      </c>
      <c r="R348" s="49">
        <v>2900</v>
      </c>
      <c r="S348" s="49">
        <v>52510300</v>
      </c>
      <c r="T348" s="49">
        <v>14.57</v>
      </c>
      <c r="U348" s="49">
        <v>2914.57</v>
      </c>
      <c r="V348" s="49">
        <v>52774120</v>
      </c>
      <c r="W348" s="49">
        <v>263870</v>
      </c>
      <c r="X348" s="49">
        <v>52510250</v>
      </c>
      <c r="Y348" s="530" t="str">
        <f>IFERROR(IF(FIND("/KM",KB[[#This Row],[SUPPLIER]])&gt;0,"LAUT"),"DARAT")</f>
        <v>DARAT</v>
      </c>
    </row>
    <row r="349" spans="2:25">
      <c r="B349" s="140" t="str">
        <f>IFERROR(LEFT(KB[[#This Row],[SUPPLIER]],FIND("/",KB[[#This Row],[SUPPLIER]])-1),KB[[#This Row],[SUPPLIER]])</f>
        <v>RUSLAN JAYA, SH</v>
      </c>
      <c r="C349" s="141" t="str">
        <f>TEXT(VLOOKUP(KB[[#This Row],[RELASI]],DBRELASI[[RELASI]:[DOCKB]],10,0)+COUNTIFS($B$2:B349,KB[[#This Row],[RELASI]],$D$2:D349,1),"000")</f>
        <v>017</v>
      </c>
      <c r="D349" s="141">
        <f>IF(COUNTIFS($B$3:B349,KB[[#This Row],[RELASI]],$F$3:F349,KB[[#This Row],[TANGGAL]])&lt;&gt;1,0,1)</f>
        <v>1</v>
      </c>
      <c r="E349" s="141" t="str">
        <f>TEXT(IF(KB[[#This Row],[DOC]]&lt;&gt;"",KB[[#This Row],[DOC]],E348),"000")</f>
        <v>017</v>
      </c>
      <c r="F349" s="40">
        <v>43871</v>
      </c>
      <c r="G349" s="40" t="str">
        <f>TYPE</f>
        <v>A</v>
      </c>
      <c r="H349" s="153" t="s">
        <v>798</v>
      </c>
      <c r="I349" s="42" t="s">
        <v>479</v>
      </c>
      <c r="J349" s="43" t="s">
        <v>475</v>
      </c>
      <c r="K349" s="44">
        <v>5</v>
      </c>
      <c r="L349" s="49">
        <v>43360</v>
      </c>
      <c r="M349" s="49">
        <v>15860</v>
      </c>
      <c r="N349" s="49">
        <v>27500</v>
      </c>
      <c r="O349" s="49">
        <v>5.2385454545454539</v>
      </c>
      <c r="P349" s="49">
        <v>1440.6</v>
      </c>
      <c r="Q349" s="49">
        <v>26059.4</v>
      </c>
      <c r="R349" s="49">
        <v>2800</v>
      </c>
      <c r="S349" s="49">
        <v>72966320</v>
      </c>
      <c r="T349" s="49">
        <v>14.07</v>
      </c>
      <c r="U349" s="49">
        <v>2814.07</v>
      </c>
      <c r="V349" s="49">
        <v>73332976</v>
      </c>
      <c r="W349" s="49">
        <v>366665</v>
      </c>
      <c r="X349" s="49">
        <v>72966311</v>
      </c>
      <c r="Y349" s="530" t="str">
        <f>IFERROR(IF(FIND("/KM",KB[[#This Row],[SUPPLIER]])&gt;0,"LAUT"),"DARAT")</f>
        <v>DARAT</v>
      </c>
    </row>
    <row r="350" spans="2:25">
      <c r="B350" s="140" t="str">
        <f>IFERROR(LEFT(KB[[#This Row],[SUPPLIER]],FIND("/",KB[[#This Row],[SUPPLIER]])-1),KB[[#This Row],[SUPPLIER]])</f>
        <v>YANADI</v>
      </c>
      <c r="C350" s="141" t="str">
        <f>TEXT(VLOOKUP(KB[[#This Row],[RELASI]],DBRELASI[[RELASI]:[DOCKB]],10,0)+COUNTIFS($B$2:B350,KB[[#This Row],[RELASI]],$D$2:D350,1),"000")</f>
        <v>019</v>
      </c>
      <c r="D350" s="141">
        <f>IF(COUNTIFS($B$3:B350,KB[[#This Row],[RELASI]],$F$3:F350,KB[[#This Row],[TANGGAL]])&lt;&gt;1,0,1)</f>
        <v>1</v>
      </c>
      <c r="E350" s="141" t="str">
        <f>TEXT(IF(KB[[#This Row],[DOC]]&lt;&gt;"",KB[[#This Row],[DOC]],E349),"000")</f>
        <v>019</v>
      </c>
      <c r="F350" s="40">
        <v>43871</v>
      </c>
      <c r="G350" s="40" t="str">
        <f>TYPE</f>
        <v>A</v>
      </c>
      <c r="H350" s="153" t="s">
        <v>810</v>
      </c>
      <c r="I350" s="42" t="s">
        <v>137</v>
      </c>
      <c r="J350" s="43" t="s">
        <v>74</v>
      </c>
      <c r="K350" s="44">
        <v>3</v>
      </c>
      <c r="L350" s="49">
        <v>38600</v>
      </c>
      <c r="M350" s="49">
        <v>13310</v>
      </c>
      <c r="N350" s="49">
        <v>25290</v>
      </c>
      <c r="O350" s="49">
        <v>5</v>
      </c>
      <c r="P350" s="49">
        <v>1264.5</v>
      </c>
      <c r="Q350" s="49">
        <v>24025.5</v>
      </c>
      <c r="R350" s="49">
        <v>2800</v>
      </c>
      <c r="S350" s="49">
        <v>67271400</v>
      </c>
      <c r="T350" s="49">
        <v>14.07</v>
      </c>
      <c r="U350" s="49">
        <v>2814.07</v>
      </c>
      <c r="V350" s="49">
        <v>67609439</v>
      </c>
      <c r="W350" s="49">
        <v>338047</v>
      </c>
      <c r="X350" s="49">
        <v>67271392</v>
      </c>
      <c r="Y350" s="530" t="str">
        <f>IFERROR(IF(FIND("/KM",KB[[#This Row],[SUPPLIER]])&gt;0,"LAUT"),"DARAT")</f>
        <v>DARAT</v>
      </c>
    </row>
    <row r="351" spans="2:25">
      <c r="B351" s="140" t="str">
        <f>IFERROR(LEFT(KB[[#This Row],[SUPPLIER]],FIND("/",KB[[#This Row],[SUPPLIER]])-1),KB[[#This Row],[SUPPLIER]])</f>
        <v>MARTONO</v>
      </c>
      <c r="C351" s="141" t="str">
        <f>TEXT(VLOOKUP(KB[[#This Row],[RELASI]],DBRELASI[[RELASI]:[DOCKB]],10,0)+COUNTIFS($B$2:B351,KB[[#This Row],[RELASI]],$D$2:D351,1),"000")</f>
        <v>024</v>
      </c>
      <c r="D351" s="141">
        <f>IF(COUNTIFS($B$3:B351,KB[[#This Row],[RELASI]],$F$3:F351,KB[[#This Row],[TANGGAL]])&lt;&gt;1,0,1)</f>
        <v>1</v>
      </c>
      <c r="E351" s="141" t="str">
        <f>TEXT(IF(KB[[#This Row],[DOC]]&lt;&gt;"",KB[[#This Row],[DOC]],E350),"000")</f>
        <v>024</v>
      </c>
      <c r="F351" s="40">
        <v>43871</v>
      </c>
      <c r="G351" s="40" t="str">
        <f>TYPE</f>
        <v>A</v>
      </c>
      <c r="H351" s="153" t="s">
        <v>844</v>
      </c>
      <c r="I351" s="42" t="s">
        <v>509</v>
      </c>
      <c r="J351" s="43" t="s">
        <v>83</v>
      </c>
      <c r="K351" s="44">
        <v>1</v>
      </c>
      <c r="L351" s="49">
        <v>7560</v>
      </c>
      <c r="M351" s="49">
        <v>3910</v>
      </c>
      <c r="N351" s="49">
        <v>3650</v>
      </c>
      <c r="O351" s="49">
        <v>6</v>
      </c>
      <c r="P351" s="49">
        <v>219</v>
      </c>
      <c r="Q351" s="49">
        <v>3431</v>
      </c>
      <c r="R351" s="49">
        <v>2750</v>
      </c>
      <c r="S351" s="49">
        <v>9435250</v>
      </c>
      <c r="T351" s="49">
        <v>13.82</v>
      </c>
      <c r="U351" s="49">
        <v>2763.82</v>
      </c>
      <c r="V351" s="49">
        <v>9482666</v>
      </c>
      <c r="W351" s="49">
        <v>47413</v>
      </c>
      <c r="X351" s="49">
        <v>9435253</v>
      </c>
      <c r="Y351" s="530" t="str">
        <f>IFERROR(IF(FIND("/KM",KB[[#This Row],[SUPPLIER]])&gt;0,"LAUT"),"DARAT")</f>
        <v>LAUT</v>
      </c>
    </row>
    <row r="352" spans="2:25">
      <c r="B352" s="140" t="str">
        <f>IFERROR(LEFT(KB[[#This Row],[SUPPLIER]],FIND("/",KB[[#This Row],[SUPPLIER]])-1),KB[[#This Row],[SUPPLIER]])</f>
        <v>MASRI</v>
      </c>
      <c r="C352" s="141" t="str">
        <f>TEXT(VLOOKUP(KB[[#This Row],[RELASI]],DBRELASI[[RELASI]:[DOCKB]],10,0)+COUNTIFS($B$2:B352,KB[[#This Row],[RELASI]],$D$2:D352,1),"000")</f>
        <v>019</v>
      </c>
      <c r="D352" s="141">
        <f>IF(COUNTIFS($B$3:B352,KB[[#This Row],[RELASI]],$F$3:F352,KB[[#This Row],[TANGGAL]])&lt;&gt;1,0,1)</f>
        <v>1</v>
      </c>
      <c r="E352" s="141" t="str">
        <f>TEXT(IF(KB[[#This Row],[DOC]]&lt;&gt;"",KB[[#This Row],[DOC]],E351),"000")</f>
        <v>019</v>
      </c>
      <c r="F352" s="40">
        <v>43871</v>
      </c>
      <c r="G352" s="40" t="str">
        <f>TYPE</f>
        <v>A</v>
      </c>
      <c r="H352" s="153" t="s">
        <v>810</v>
      </c>
      <c r="I352" s="42" t="s">
        <v>530</v>
      </c>
      <c r="J352" s="43" t="s">
        <v>511</v>
      </c>
      <c r="K352" s="44">
        <v>15</v>
      </c>
      <c r="L352" s="49">
        <v>128970</v>
      </c>
      <c r="M352" s="49">
        <v>57750</v>
      </c>
      <c r="N352" s="49">
        <v>71220</v>
      </c>
      <c r="O352" s="49">
        <v>5.9999999999999991</v>
      </c>
      <c r="P352" s="49">
        <v>4273.2</v>
      </c>
      <c r="Q352" s="49">
        <v>66946.799999999988</v>
      </c>
      <c r="R352" s="49">
        <v>2950.0000000000005</v>
      </c>
      <c r="S352" s="49">
        <v>197493060</v>
      </c>
      <c r="T352" s="49">
        <v>14.82</v>
      </c>
      <c r="U352" s="49">
        <v>2964.8200000000006</v>
      </c>
      <c r="V352" s="49">
        <v>198485212</v>
      </c>
      <c r="W352" s="49">
        <v>992427</v>
      </c>
      <c r="X352" s="49">
        <v>197492785</v>
      </c>
      <c r="Y352" s="530" t="str">
        <f>IFERROR(IF(FIND("/KM",KB[[#This Row],[SUPPLIER]])&gt;0,"LAUT"),"DARAT")</f>
        <v>LAUT</v>
      </c>
    </row>
    <row r="353" spans="2:25">
      <c r="B353" s="140" t="str">
        <f>IFERROR(LEFT(KB[[#This Row],[SUPPLIER]],FIND("/",KB[[#This Row],[SUPPLIER]])-1),KB[[#This Row],[SUPPLIER]])</f>
        <v>PT.SINAR KELAPA TEMBILAHAN</v>
      </c>
      <c r="C353" s="141" t="str">
        <f>TEXT(VLOOKUP(KB[[#This Row],[RELASI]],DBRELASI[[RELASI]:[DOCKB]],10,0)+COUNTIFS($B$2:B353,KB[[#This Row],[RELASI]],$D$2:D353,1),"000")</f>
        <v>014</v>
      </c>
      <c r="D353" s="141">
        <f>IF(COUNTIFS($B$3:B353,KB[[#This Row],[RELASI]],$F$3:F353,KB[[#This Row],[TANGGAL]])&lt;&gt;1,0,1)</f>
        <v>1</v>
      </c>
      <c r="E353" s="141" t="str">
        <f>TEXT(IF(KB[[#This Row],[DOC]]&lt;&gt;"",KB[[#This Row],[DOC]],E352),"000")</f>
        <v>014</v>
      </c>
      <c r="F353" s="40">
        <v>43871</v>
      </c>
      <c r="G353" s="40" t="str">
        <f>TYPE</f>
        <v>A</v>
      </c>
      <c r="H353" s="153" t="s">
        <v>781</v>
      </c>
      <c r="I353" s="42" t="s">
        <v>827</v>
      </c>
      <c r="J353" s="43" t="s">
        <v>81</v>
      </c>
      <c r="K353" s="44">
        <v>2</v>
      </c>
      <c r="L353" s="49">
        <v>16090</v>
      </c>
      <c r="M353" s="49">
        <v>7740</v>
      </c>
      <c r="N353" s="49">
        <v>8350</v>
      </c>
      <c r="O353" s="49">
        <v>6</v>
      </c>
      <c r="P353" s="49">
        <v>501</v>
      </c>
      <c r="Q353" s="49">
        <v>7849</v>
      </c>
      <c r="R353" s="49">
        <v>2850</v>
      </c>
      <c r="S353" s="49">
        <v>22369650</v>
      </c>
      <c r="T353" s="49">
        <v>0</v>
      </c>
      <c r="U353" s="49">
        <v>2850</v>
      </c>
      <c r="V353" s="49">
        <v>22369650</v>
      </c>
      <c r="W353" s="49">
        <v>55924</v>
      </c>
      <c r="X353" s="49">
        <v>22313726</v>
      </c>
      <c r="Y353" s="530" t="str">
        <f>IFERROR(IF(FIND("/KM",KB[[#This Row],[SUPPLIER]])&gt;0,"LAUT"),"DARAT")</f>
        <v>LAUT</v>
      </c>
    </row>
    <row r="354" spans="2:25">
      <c r="B354" s="140" t="str">
        <f>IFERROR(LEFT(KB[[#This Row],[SUPPLIER]],FIND("/",KB[[#This Row],[SUPPLIER]])-1),KB[[#This Row],[SUPPLIER]])</f>
        <v>PT.SINAR KELAPA TEMBILAHAN</v>
      </c>
      <c r="C354" s="141" t="str">
        <f>TEXT(VLOOKUP(KB[[#This Row],[RELASI]],DBRELASI[[RELASI]:[DOCKB]],10,0)+COUNTIFS($B$2:B354,KB[[#This Row],[RELASI]],$D$2:D354,1),"000")</f>
        <v>014</v>
      </c>
      <c r="D354" s="141">
        <f>IF(COUNTIFS($B$3:B354,KB[[#This Row],[RELASI]],$F$3:F354,KB[[#This Row],[TANGGAL]])&lt;&gt;1,0,1)</f>
        <v>0</v>
      </c>
      <c r="E354" s="141" t="str">
        <f>TEXT(IF(KB[[#This Row],[DOC]]&lt;&gt;"",KB[[#This Row],[DOC]],E353),"000")</f>
        <v>014</v>
      </c>
      <c r="F354" s="40">
        <v>43871</v>
      </c>
      <c r="G354" s="40" t="str">
        <f>TYPE</f>
        <v>A</v>
      </c>
      <c r="H354"/>
      <c r="I354" s="42" t="s">
        <v>861</v>
      </c>
      <c r="J354" s="43" t="s">
        <v>81</v>
      </c>
      <c r="K354" s="44">
        <v>2</v>
      </c>
      <c r="L354" s="49">
        <v>13900</v>
      </c>
      <c r="M354" s="49">
        <v>7750</v>
      </c>
      <c r="N354" s="49">
        <v>6150</v>
      </c>
      <c r="O354" s="49">
        <v>6</v>
      </c>
      <c r="P354" s="49">
        <v>369</v>
      </c>
      <c r="Q354" s="49">
        <v>5781</v>
      </c>
      <c r="R354" s="49">
        <v>2850</v>
      </c>
      <c r="S354" s="49">
        <v>16475850</v>
      </c>
      <c r="T354" s="49">
        <v>0</v>
      </c>
      <c r="U354" s="49">
        <v>2850</v>
      </c>
      <c r="V354" s="49">
        <v>16475850</v>
      </c>
      <c r="W354" s="49">
        <v>41189</v>
      </c>
      <c r="X354" s="49">
        <v>16434661</v>
      </c>
      <c r="Y354" s="530" t="str">
        <f>IFERROR(IF(FIND("/KM",KB[[#This Row],[SUPPLIER]])&gt;0,"LAUT"),"DARAT")</f>
        <v>LAUT</v>
      </c>
    </row>
    <row r="355" spans="2:25">
      <c r="B355" s="140" t="str">
        <f>IFERROR(LEFT(KB[[#This Row],[SUPPLIER]],FIND("/",KB[[#This Row],[SUPPLIER]])-1),KB[[#This Row],[SUPPLIER]])</f>
        <v>PT.SINAR KELAPA TEMBILAHAN</v>
      </c>
      <c r="C355" s="141" t="str">
        <f>TEXT(VLOOKUP(KB[[#This Row],[RELASI]],DBRELASI[[RELASI]:[DOCKB]],10,0)+COUNTIFS($B$2:B355,KB[[#This Row],[RELASI]],$D$2:D355,1),"000")</f>
        <v>014</v>
      </c>
      <c r="D355" s="141">
        <f>IF(COUNTIFS($B$3:B355,KB[[#This Row],[RELASI]],$F$3:F355,KB[[#This Row],[TANGGAL]])&lt;&gt;1,0,1)</f>
        <v>0</v>
      </c>
      <c r="E355" s="141" t="str">
        <f>TEXT(IF(KB[[#This Row],[DOC]]&lt;&gt;"",KB[[#This Row],[DOC]],E354),"000")</f>
        <v>014</v>
      </c>
      <c r="F355" s="40">
        <v>43871</v>
      </c>
      <c r="G355" s="40" t="str">
        <f>TYPE</f>
        <v>A</v>
      </c>
      <c r="H355"/>
      <c r="I355" s="42" t="s">
        <v>862</v>
      </c>
      <c r="J355" s="43" t="s">
        <v>81</v>
      </c>
      <c r="K355" s="44">
        <v>2</v>
      </c>
      <c r="L355" s="49">
        <v>15630</v>
      </c>
      <c r="M355" s="49">
        <v>7740</v>
      </c>
      <c r="N355" s="49">
        <v>7890</v>
      </c>
      <c r="O355" s="49">
        <v>5.9999999999999991</v>
      </c>
      <c r="P355" s="49">
        <v>473.4</v>
      </c>
      <c r="Q355" s="49">
        <v>7416.5999999999995</v>
      </c>
      <c r="R355" s="49">
        <v>2850</v>
      </c>
      <c r="S355" s="49">
        <v>21137310</v>
      </c>
      <c r="T355" s="49">
        <v>0</v>
      </c>
      <c r="U355" s="49">
        <v>2850</v>
      </c>
      <c r="V355" s="49">
        <v>21137310</v>
      </c>
      <c r="W355" s="49">
        <v>52844</v>
      </c>
      <c r="X355" s="49">
        <v>21084466</v>
      </c>
      <c r="Y355" s="530" t="str">
        <f>IFERROR(IF(FIND("/KM",KB[[#This Row],[SUPPLIER]])&gt;0,"LAUT"),"DARAT")</f>
        <v>LAUT</v>
      </c>
    </row>
    <row r="356" spans="2:25">
      <c r="B356" s="140" t="str">
        <f>IFERROR(LEFT(KB[[#This Row],[SUPPLIER]],FIND("/",KB[[#This Row],[SUPPLIER]])-1),KB[[#This Row],[SUPPLIER]])</f>
        <v>PT.SINAR KELAPA TEMBILAHAN</v>
      </c>
      <c r="C356" s="141" t="str">
        <f>TEXT(VLOOKUP(KB[[#This Row],[RELASI]],DBRELASI[[RELASI]:[DOCKB]],10,0)+COUNTIFS($B$2:B356,KB[[#This Row],[RELASI]],$D$2:D356,1),"000")</f>
        <v>014</v>
      </c>
      <c r="D356" s="141">
        <f>IF(COUNTIFS($B$3:B356,KB[[#This Row],[RELASI]],$F$3:F356,KB[[#This Row],[TANGGAL]])&lt;&gt;1,0,1)</f>
        <v>0</v>
      </c>
      <c r="E356" s="141" t="str">
        <f>TEXT(IF(KB[[#This Row],[DOC]]&lt;&gt;"",KB[[#This Row],[DOC]],E355),"000")</f>
        <v>014</v>
      </c>
      <c r="F356" s="40">
        <v>43871</v>
      </c>
      <c r="G356" s="40" t="str">
        <f>TYPE</f>
        <v>A</v>
      </c>
      <c r="H356"/>
      <c r="I356" s="42" t="s">
        <v>841</v>
      </c>
      <c r="J356" s="43" t="s">
        <v>81</v>
      </c>
      <c r="K356" s="44">
        <v>2</v>
      </c>
      <c r="L356" s="49">
        <v>18080</v>
      </c>
      <c r="M356" s="49">
        <v>7770</v>
      </c>
      <c r="N356" s="49">
        <v>10310</v>
      </c>
      <c r="O356" s="49">
        <v>5.9999999999999991</v>
      </c>
      <c r="P356" s="49">
        <v>618.59999999999991</v>
      </c>
      <c r="Q356" s="49">
        <v>9691.4000000000015</v>
      </c>
      <c r="R356" s="49">
        <v>2849.9999999999995</v>
      </c>
      <c r="S356" s="49">
        <v>27620490</v>
      </c>
      <c r="T356" s="49">
        <v>0</v>
      </c>
      <c r="U356" s="49">
        <v>2849.9999999999995</v>
      </c>
      <c r="V356" s="49">
        <v>27620490</v>
      </c>
      <c r="W356" s="49">
        <v>69051</v>
      </c>
      <c r="X356" s="49">
        <v>27551439</v>
      </c>
      <c r="Y356" s="530" t="str">
        <f>IFERROR(IF(FIND("/KM",KB[[#This Row],[SUPPLIER]])&gt;0,"LAUT"),"DARAT")</f>
        <v>LAUT</v>
      </c>
    </row>
    <row r="357" spans="2:25">
      <c r="B357" s="140" t="str">
        <f>IFERROR(LEFT(KB[[#This Row],[SUPPLIER]],FIND("/",KB[[#This Row],[SUPPLIER]])-1),KB[[#This Row],[SUPPLIER]])</f>
        <v>SUKAMTO</v>
      </c>
      <c r="C357" s="141" t="str">
        <f>TEXT(VLOOKUP(KB[[#This Row],[RELASI]],DBRELASI[[RELASI]:[DOCKB]],10,0)+COUNTIFS($B$2:B357,KB[[#This Row],[RELASI]],$D$2:D357,1),"000")</f>
        <v>011</v>
      </c>
      <c r="D357" s="141">
        <f>IF(COUNTIFS($B$3:B357,KB[[#This Row],[RELASI]],$F$3:F357,KB[[#This Row],[TANGGAL]])&lt;&gt;1,0,1)</f>
        <v>1</v>
      </c>
      <c r="E357" s="141" t="str">
        <f>TEXT(IF(KB[[#This Row],[DOC]]&lt;&gt;"",KB[[#This Row],[DOC]],E356),"000")</f>
        <v>011</v>
      </c>
      <c r="F357" s="40">
        <v>43871</v>
      </c>
      <c r="G357" s="40" t="str">
        <f>TYPE</f>
        <v>A</v>
      </c>
      <c r="H357" s="154" t="s">
        <v>777</v>
      </c>
      <c r="I357" s="46" t="s">
        <v>848</v>
      </c>
      <c r="J357" s="47" t="s">
        <v>524</v>
      </c>
      <c r="K357" s="48">
        <v>1</v>
      </c>
      <c r="L357" s="49">
        <v>7430</v>
      </c>
      <c r="M357" s="49">
        <v>3870</v>
      </c>
      <c r="N357" s="49">
        <v>3560</v>
      </c>
      <c r="O357" s="49">
        <v>6</v>
      </c>
      <c r="P357" s="49">
        <v>213.6</v>
      </c>
      <c r="Q357" s="49">
        <v>3346.4</v>
      </c>
      <c r="R357" s="49">
        <v>2750</v>
      </c>
      <c r="S357" s="49">
        <v>9202600</v>
      </c>
      <c r="T357" s="49">
        <v>13.82</v>
      </c>
      <c r="U357" s="49">
        <v>2763.82</v>
      </c>
      <c r="V357" s="49">
        <v>9248847</v>
      </c>
      <c r="W357" s="49">
        <v>46244</v>
      </c>
      <c r="X357" s="49">
        <v>9202603</v>
      </c>
      <c r="Y357" s="574" t="str">
        <f>IFERROR(IF(FIND("/KM",KB[[#This Row],[SUPPLIER]])&gt;0,"LAUT"),"DARAT")</f>
        <v>LAUT</v>
      </c>
    </row>
    <row r="358" spans="2:25">
      <c r="B358" s="140" t="str">
        <f>IFERROR(LEFT(KB[[#This Row],[SUPPLIER]],FIND("/",KB[[#This Row],[SUPPLIER]])-1),KB[[#This Row],[SUPPLIER]])</f>
        <v>ERAWATI</v>
      </c>
      <c r="C358" s="141" t="str">
        <f>TEXT(VLOOKUP(KB[[#This Row],[RELASI]],DBRELASI[[RELASI]:[DOCKB]],10,0)+COUNTIFS($B$2:B358,KB[[#This Row],[RELASI]],$D$2:D358,1),"000")</f>
        <v>031</v>
      </c>
      <c r="D358" s="141">
        <f>IF(COUNTIFS($B$3:B358,KB[[#This Row],[RELASI]],$F$3:F358,KB[[#This Row],[TANGGAL]])&lt;&gt;1,0,1)</f>
        <v>1</v>
      </c>
      <c r="E358" s="141" t="str">
        <f>TEXT(IF(KB[[#This Row],[DOC]]&lt;&gt;"",KB[[#This Row],[DOC]],E357),"000")</f>
        <v>031</v>
      </c>
      <c r="F358" s="40">
        <v>43874</v>
      </c>
      <c r="G358" s="40" t="str">
        <f>TYPE</f>
        <v>A</v>
      </c>
      <c r="H358" s="153" t="s">
        <v>863</v>
      </c>
      <c r="I358" s="42" t="s">
        <v>155</v>
      </c>
      <c r="J358" s="43" t="s">
        <v>77</v>
      </c>
      <c r="K358" s="44">
        <v>10</v>
      </c>
      <c r="L358" s="49">
        <v>86310</v>
      </c>
      <c r="M358" s="49">
        <v>40090</v>
      </c>
      <c r="N358" s="49">
        <v>46220</v>
      </c>
      <c r="O358" s="49">
        <v>5</v>
      </c>
      <c r="P358" s="49">
        <v>2311</v>
      </c>
      <c r="Q358" s="49">
        <v>43909</v>
      </c>
      <c r="R358" s="49">
        <v>2800</v>
      </c>
      <c r="S358" s="49">
        <v>122945200</v>
      </c>
      <c r="T358" s="49">
        <v>14.07</v>
      </c>
      <c r="U358" s="49">
        <v>2814.07</v>
      </c>
      <c r="V358" s="49">
        <v>123563001</v>
      </c>
      <c r="W358" s="49">
        <v>617814</v>
      </c>
      <c r="X358" s="49">
        <v>122945187</v>
      </c>
      <c r="Y358" s="530" t="str">
        <f>IFERROR(IF(FIND("/KM",KB[[#This Row],[SUPPLIER]])&gt;0,"LAUT"),"DARAT")</f>
        <v>DARAT</v>
      </c>
    </row>
    <row r="359" spans="2:25">
      <c r="B359" s="140" t="str">
        <f>IFERROR(LEFT(KB[[#This Row],[SUPPLIER]],FIND("/",KB[[#This Row],[SUPPLIER]])-1),KB[[#This Row],[SUPPLIER]])</f>
        <v>INDRAYANI</v>
      </c>
      <c r="C359" s="141" t="str">
        <f>TEXT(VLOOKUP(KB[[#This Row],[RELASI]],DBRELASI[[RELASI]:[DOCKB]],10,0)+COUNTIFS($B$2:B359,KB[[#This Row],[RELASI]],$D$2:D359,1),"000")</f>
        <v>027</v>
      </c>
      <c r="D359" s="141">
        <f>IF(COUNTIFS($B$3:B359,KB[[#This Row],[RELASI]],$F$3:F359,KB[[#This Row],[TANGGAL]])&lt;&gt;1,0,1)</f>
        <v>1</v>
      </c>
      <c r="E359" s="141" t="str">
        <f>TEXT(IF(KB[[#This Row],[DOC]]&lt;&gt;"",KB[[#This Row],[DOC]],E358),"000")</f>
        <v>027</v>
      </c>
      <c r="F359" s="40">
        <v>43874</v>
      </c>
      <c r="G359" s="40" t="str">
        <f>TYPE</f>
        <v>A</v>
      </c>
      <c r="H359" s="153" t="s">
        <v>853</v>
      </c>
      <c r="I359" s="42" t="s">
        <v>79</v>
      </c>
      <c r="J359" s="43" t="s">
        <v>77</v>
      </c>
      <c r="K359" s="44">
        <v>5</v>
      </c>
      <c r="L359" s="49">
        <v>52300</v>
      </c>
      <c r="M359" s="49">
        <v>21020</v>
      </c>
      <c r="N359" s="49">
        <v>31280</v>
      </c>
      <c r="O359" s="49">
        <v>5</v>
      </c>
      <c r="P359" s="49">
        <v>1564</v>
      </c>
      <c r="Q359" s="49">
        <v>29716</v>
      </c>
      <c r="R359" s="49">
        <v>2900</v>
      </c>
      <c r="S359" s="49">
        <v>86176400</v>
      </c>
      <c r="T359" s="49">
        <v>14.57</v>
      </c>
      <c r="U359" s="49">
        <v>2914.57</v>
      </c>
      <c r="V359" s="49">
        <v>86609363</v>
      </c>
      <c r="W359" s="49">
        <v>433047</v>
      </c>
      <c r="X359" s="49">
        <v>86176316</v>
      </c>
      <c r="Y359" s="530" t="str">
        <f>IFERROR(IF(FIND("/KM",KB[[#This Row],[SUPPLIER]])&gt;0,"LAUT"),"DARAT")</f>
        <v>DARAT</v>
      </c>
    </row>
    <row r="360" spans="2:25">
      <c r="B360" s="140" t="str">
        <f>IFERROR(LEFT(KB[[#This Row],[SUPPLIER]],FIND("/",KB[[#This Row],[SUPPLIER]])-1),KB[[#This Row],[SUPPLIER]])</f>
        <v>RUSLAN JAYA, SH</v>
      </c>
      <c r="C360" s="141" t="str">
        <f>TEXT(VLOOKUP(KB[[#This Row],[RELASI]],DBRELASI[[RELASI]:[DOCKB]],10,0)+COUNTIFS($B$2:B360,KB[[#This Row],[RELASI]],$D$2:D360,1),"000")</f>
        <v>018</v>
      </c>
      <c r="D360" s="141">
        <f>IF(COUNTIFS($B$3:B360,KB[[#This Row],[RELASI]],$F$3:F360,KB[[#This Row],[TANGGAL]])&lt;&gt;1,0,1)</f>
        <v>1</v>
      </c>
      <c r="E360" s="141" t="str">
        <f>TEXT(IF(KB[[#This Row],[DOC]]&lt;&gt;"",KB[[#This Row],[DOC]],E359),"000")</f>
        <v>018</v>
      </c>
      <c r="F360" s="40">
        <v>43874</v>
      </c>
      <c r="G360" s="40" t="str">
        <f>TYPE</f>
        <v>A</v>
      </c>
      <c r="H360" s="153" t="s">
        <v>803</v>
      </c>
      <c r="I360" s="42" t="s">
        <v>479</v>
      </c>
      <c r="J360" s="43" t="s">
        <v>475</v>
      </c>
      <c r="K360" s="44">
        <v>2</v>
      </c>
      <c r="L360" s="49">
        <v>15760</v>
      </c>
      <c r="M360" s="49">
        <v>7520</v>
      </c>
      <c r="N360" s="49">
        <v>8240</v>
      </c>
      <c r="O360" s="49">
        <v>5</v>
      </c>
      <c r="P360" s="49">
        <v>412</v>
      </c>
      <c r="Q360" s="49">
        <v>7828</v>
      </c>
      <c r="R360" s="49">
        <v>2800</v>
      </c>
      <c r="S360" s="49">
        <v>21918400</v>
      </c>
      <c r="T360" s="49">
        <v>14.07</v>
      </c>
      <c r="U360" s="49">
        <v>2814.07</v>
      </c>
      <c r="V360" s="49">
        <v>22028540</v>
      </c>
      <c r="W360" s="49">
        <v>110143</v>
      </c>
      <c r="X360" s="49">
        <v>21918397</v>
      </c>
      <c r="Y360" s="530" t="str">
        <f>IFERROR(IF(FIND("/KM",KB[[#This Row],[SUPPLIER]])&gt;0,"LAUT"),"DARAT")</f>
        <v>DARAT</v>
      </c>
    </row>
    <row r="361" spans="2:25">
      <c r="B361" s="140" t="str">
        <f>IFERROR(LEFT(KB[[#This Row],[SUPPLIER]],FIND("/",KB[[#This Row],[SUPPLIER]])-1),KB[[#This Row],[SUPPLIER]])</f>
        <v>SAIRI</v>
      </c>
      <c r="C361" s="141" t="str">
        <f>TEXT(VLOOKUP(KB[[#This Row],[RELASI]],DBRELASI[[RELASI]:[DOCKB]],10,0)+COUNTIFS($B$2:B361,KB[[#This Row],[RELASI]],$D$2:D361,1),"000")</f>
        <v>021</v>
      </c>
      <c r="D361" s="141">
        <f>IF(COUNTIFS($B$3:B361,KB[[#This Row],[RELASI]],$F$3:F361,KB[[#This Row],[TANGGAL]])&lt;&gt;1,0,1)</f>
        <v>1</v>
      </c>
      <c r="E361" s="141" t="str">
        <f>TEXT(IF(KB[[#This Row],[DOC]]&lt;&gt;"",KB[[#This Row],[DOC]],E360),"000")</f>
        <v>021</v>
      </c>
      <c r="F361" s="40">
        <v>43874</v>
      </c>
      <c r="G361" s="40" t="str">
        <f>TYPE</f>
        <v>A</v>
      </c>
      <c r="H361" s="153" t="s">
        <v>823</v>
      </c>
      <c r="I361" s="42" t="s">
        <v>84</v>
      </c>
      <c r="J361" s="43" t="s">
        <v>85</v>
      </c>
      <c r="K361" s="44">
        <v>2</v>
      </c>
      <c r="L361" s="49">
        <v>14260</v>
      </c>
      <c r="M361" s="49">
        <v>7370</v>
      </c>
      <c r="N361" s="49">
        <v>6890</v>
      </c>
      <c r="O361" s="49">
        <v>5</v>
      </c>
      <c r="P361" s="49">
        <v>344.5</v>
      </c>
      <c r="Q361" s="49">
        <v>6545.5</v>
      </c>
      <c r="R361" s="49">
        <v>2850</v>
      </c>
      <c r="S361" s="49">
        <v>18654675</v>
      </c>
      <c r="T361" s="49">
        <v>14.32</v>
      </c>
      <c r="U361" s="49">
        <v>2864.32</v>
      </c>
      <c r="V361" s="49">
        <v>18748407</v>
      </c>
      <c r="W361" s="49">
        <v>93742</v>
      </c>
      <c r="X361" s="49">
        <v>18654665</v>
      </c>
      <c r="Y361" s="530" t="str">
        <f>IFERROR(IF(FIND("/KM",KB[[#This Row],[SUPPLIER]])&gt;0,"LAUT"),"DARAT")</f>
        <v>DARAT</v>
      </c>
    </row>
    <row r="362" spans="2:25">
      <c r="B362" s="140" t="str">
        <f>IFERROR(LEFT(KB[[#This Row],[SUPPLIER]],FIND("/",KB[[#This Row],[SUPPLIER]])-1),KB[[#This Row],[SUPPLIER]])</f>
        <v>YANADI</v>
      </c>
      <c r="C362" s="141" t="str">
        <f>TEXT(VLOOKUP(KB[[#This Row],[RELASI]],DBRELASI[[RELASI]:[DOCKB]],10,0)+COUNTIFS($B$2:B362,KB[[#This Row],[RELASI]],$D$2:D362,1),"000")</f>
        <v>020</v>
      </c>
      <c r="D362" s="141">
        <f>IF(COUNTIFS($B$3:B362,KB[[#This Row],[RELASI]],$F$3:F362,KB[[#This Row],[TANGGAL]])&lt;&gt;1,0,1)</f>
        <v>1</v>
      </c>
      <c r="E362" s="141" t="str">
        <f>TEXT(IF(KB[[#This Row],[DOC]]&lt;&gt;"",KB[[#This Row],[DOC]],E361),"000")</f>
        <v>020</v>
      </c>
      <c r="F362" s="40">
        <v>43874</v>
      </c>
      <c r="G362" s="40" t="str">
        <f>TYPE</f>
        <v>A</v>
      </c>
      <c r="H362" s="153" t="s">
        <v>818</v>
      </c>
      <c r="I362" s="42" t="s">
        <v>137</v>
      </c>
      <c r="J362" s="43" t="s">
        <v>74</v>
      </c>
      <c r="K362" s="44">
        <v>2</v>
      </c>
      <c r="L362" s="49">
        <v>26160</v>
      </c>
      <c r="M362" s="49">
        <v>8920</v>
      </c>
      <c r="N362" s="49">
        <v>17240</v>
      </c>
      <c r="O362" s="49">
        <v>5</v>
      </c>
      <c r="P362" s="49">
        <v>862</v>
      </c>
      <c r="Q362" s="49">
        <v>16378</v>
      </c>
      <c r="R362" s="49">
        <v>2800</v>
      </c>
      <c r="S362" s="49">
        <v>45858400</v>
      </c>
      <c r="T362" s="49">
        <v>14.07</v>
      </c>
      <c r="U362" s="49">
        <v>2814.07</v>
      </c>
      <c r="V362" s="49">
        <v>46088838</v>
      </c>
      <c r="W362" s="49">
        <v>230444</v>
      </c>
      <c r="X362" s="49">
        <v>45858394</v>
      </c>
      <c r="Y362" s="530" t="str">
        <f>IFERROR(IF(FIND("/KM",KB[[#This Row],[SUPPLIER]])&gt;0,"LAUT"),"DARAT")</f>
        <v>DARAT</v>
      </c>
    </row>
    <row r="363" spans="2:25">
      <c r="B363" s="140" t="str">
        <f>IFERROR(LEFT(KB[[#This Row],[SUPPLIER]],FIND("/",KB[[#This Row],[SUPPLIER]])-1),KB[[#This Row],[SUPPLIER]])</f>
        <v>YANADI</v>
      </c>
      <c r="C363" s="141" t="str">
        <f>TEXT(VLOOKUP(KB[[#This Row],[RELASI]],DBRELASI[[RELASI]:[DOCKB]],10,0)+COUNTIFS($B$2:B363,KB[[#This Row],[RELASI]],$D$2:D363,1),"000")</f>
        <v>020</v>
      </c>
      <c r="D363" s="141">
        <f>IF(COUNTIFS($B$3:B363,KB[[#This Row],[RELASI]],$F$3:F363,KB[[#This Row],[TANGGAL]])&lt;&gt;1,0,1)</f>
        <v>0</v>
      </c>
      <c r="E363" s="141" t="str">
        <f>TEXT(IF(KB[[#This Row],[DOC]]&lt;&gt;"",KB[[#This Row],[DOC]],E362),"000")</f>
        <v>020</v>
      </c>
      <c r="F363" s="40">
        <v>43874</v>
      </c>
      <c r="G363" s="40" t="str">
        <f>TYPE</f>
        <v>A</v>
      </c>
      <c r="H363"/>
      <c r="I363" s="42" t="s">
        <v>531</v>
      </c>
      <c r="J363" s="43" t="s">
        <v>74</v>
      </c>
      <c r="K363" s="44">
        <v>1</v>
      </c>
      <c r="L363" s="49">
        <v>5780</v>
      </c>
      <c r="M363" s="49">
        <v>3870</v>
      </c>
      <c r="N363" s="49">
        <v>1910</v>
      </c>
      <c r="O363" s="49">
        <v>5.9999999999999991</v>
      </c>
      <c r="P363" s="49">
        <v>114.6</v>
      </c>
      <c r="Q363" s="49">
        <v>1795.4</v>
      </c>
      <c r="R363" s="49">
        <v>2750</v>
      </c>
      <c r="S363" s="49">
        <v>4937350</v>
      </c>
      <c r="T363" s="49">
        <v>13.82</v>
      </c>
      <c r="U363" s="49">
        <v>2763.82</v>
      </c>
      <c r="V363" s="49">
        <v>4962162</v>
      </c>
      <c r="W363" s="49">
        <v>24811</v>
      </c>
      <c r="X363" s="49">
        <v>4937351</v>
      </c>
      <c r="Y363" s="530" t="str">
        <f>IFERROR(IF(FIND("/KM",KB[[#This Row],[SUPPLIER]])&gt;0,"LAUT"),"DARAT")</f>
        <v>LAUT</v>
      </c>
    </row>
    <row r="364" spans="2:25">
      <c r="B364" s="140" t="str">
        <f>IFERROR(LEFT(KB[[#This Row],[SUPPLIER]],FIND("/",KB[[#This Row],[SUPPLIER]])-1),KB[[#This Row],[SUPPLIER]])</f>
        <v>DINI CHAIRANI</v>
      </c>
      <c r="C364" s="141" t="str">
        <f>TEXT(VLOOKUP(KB[[#This Row],[RELASI]],DBRELASI[[RELASI]:[DOCKB]],10,0)+COUNTIFS($B$2:B364,KB[[#This Row],[RELASI]],$D$2:D364,1),"000")</f>
        <v>022</v>
      </c>
      <c r="D364" s="141">
        <f>IF(COUNTIFS($B$3:B364,KB[[#This Row],[RELASI]],$F$3:F364,KB[[#This Row],[TANGGAL]])&lt;&gt;1,0,1)</f>
        <v>1</v>
      </c>
      <c r="E364" s="141" t="str">
        <f>TEXT(IF(KB[[#This Row],[DOC]]&lt;&gt;"",KB[[#This Row],[DOC]],E363),"000")</f>
        <v>022</v>
      </c>
      <c r="F364" s="40">
        <v>43874</v>
      </c>
      <c r="G364" s="40" t="str">
        <f>TYPE</f>
        <v>A</v>
      </c>
      <c r="H364" s="153" t="s">
        <v>837</v>
      </c>
      <c r="I364" s="42" t="s">
        <v>516</v>
      </c>
      <c r="J364" s="43" t="s">
        <v>95</v>
      </c>
      <c r="K364" s="44">
        <v>2</v>
      </c>
      <c r="L364" s="49">
        <v>16470</v>
      </c>
      <c r="M364" s="49">
        <v>7640</v>
      </c>
      <c r="N364" s="49">
        <v>8830</v>
      </c>
      <c r="O364" s="49">
        <v>6</v>
      </c>
      <c r="P364" s="49">
        <v>529.79999999999995</v>
      </c>
      <c r="Q364" s="49">
        <v>8300.2000000000007</v>
      </c>
      <c r="R364" s="49">
        <v>2749.9999999999995</v>
      </c>
      <c r="S364" s="49">
        <v>22825550</v>
      </c>
      <c r="T364" s="49">
        <v>13.82</v>
      </c>
      <c r="U364" s="49">
        <v>2763.8199999999997</v>
      </c>
      <c r="V364" s="49">
        <v>22940258</v>
      </c>
      <c r="W364" s="49">
        <v>114701</v>
      </c>
      <c r="X364" s="49">
        <v>22825557</v>
      </c>
      <c r="Y364" s="530" t="str">
        <f>IFERROR(IF(FIND("/KM",KB[[#This Row],[SUPPLIER]])&gt;0,"LAUT"),"DARAT")</f>
        <v>LAUT</v>
      </c>
    </row>
    <row r="365" spans="2:25">
      <c r="B365" s="140" t="str">
        <f>IFERROR(LEFT(KB[[#This Row],[SUPPLIER]],FIND("/",KB[[#This Row],[SUPPLIER]])-1),KB[[#This Row],[SUPPLIER]])</f>
        <v>DINI CHAIRANI</v>
      </c>
      <c r="C365" s="141" t="str">
        <f>TEXT(VLOOKUP(KB[[#This Row],[RELASI]],DBRELASI[[RELASI]:[DOCKB]],10,0)+COUNTIFS($B$2:B365,KB[[#This Row],[RELASI]],$D$2:D365,1),"000")</f>
        <v>022</v>
      </c>
      <c r="D365" s="141">
        <f>IF(COUNTIFS($B$3:B365,KB[[#This Row],[RELASI]],$F$3:F365,KB[[#This Row],[TANGGAL]])&lt;&gt;1,0,1)</f>
        <v>0</v>
      </c>
      <c r="E365" s="141" t="str">
        <f>TEXT(IF(KB[[#This Row],[DOC]]&lt;&gt;"",KB[[#This Row],[DOC]],E364),"000")</f>
        <v>022</v>
      </c>
      <c r="F365" s="40">
        <v>43874</v>
      </c>
      <c r="G365" s="40" t="str">
        <f>TYPE</f>
        <v>A</v>
      </c>
      <c r="H365"/>
      <c r="I365" s="42" t="s">
        <v>772</v>
      </c>
      <c r="J365" s="43" t="s">
        <v>95</v>
      </c>
      <c r="K365" s="44">
        <v>2</v>
      </c>
      <c r="L365" s="49">
        <v>14400</v>
      </c>
      <c r="M365" s="49">
        <v>7720</v>
      </c>
      <c r="N365" s="49">
        <v>6680</v>
      </c>
      <c r="O365" s="49">
        <v>6</v>
      </c>
      <c r="P365" s="49">
        <v>400.79999999999995</v>
      </c>
      <c r="Q365" s="49">
        <v>6279.2000000000007</v>
      </c>
      <c r="R365" s="49">
        <v>2749.9999999999995</v>
      </c>
      <c r="S365" s="49">
        <v>17267800</v>
      </c>
      <c r="T365" s="49">
        <v>13.82</v>
      </c>
      <c r="U365" s="49">
        <v>2763.8199999999997</v>
      </c>
      <c r="V365" s="49">
        <v>17354578</v>
      </c>
      <c r="W365" s="49">
        <v>86773</v>
      </c>
      <c r="X365" s="49">
        <v>17267805</v>
      </c>
      <c r="Y365" s="530" t="str">
        <f>IFERROR(IF(FIND("/KM",KB[[#This Row],[SUPPLIER]])&gt;0,"LAUT"),"DARAT")</f>
        <v>LAUT</v>
      </c>
    </row>
    <row r="366" spans="2:25">
      <c r="B366" s="140" t="str">
        <f>IFERROR(LEFT(KB[[#This Row],[SUPPLIER]],FIND("/",KB[[#This Row],[SUPPLIER]])-1),KB[[#This Row],[SUPPLIER]])</f>
        <v>DINI CHAIRANI</v>
      </c>
      <c r="C366" s="141" t="str">
        <f>TEXT(VLOOKUP(KB[[#This Row],[RELASI]],DBRELASI[[RELASI]:[DOCKB]],10,0)+COUNTIFS($B$2:B366,KB[[#This Row],[RELASI]],$D$2:D366,1),"000")</f>
        <v>022</v>
      </c>
      <c r="D366" s="141">
        <f>IF(COUNTIFS($B$3:B366,KB[[#This Row],[RELASI]],$F$3:F366,KB[[#This Row],[TANGGAL]])&lt;&gt;1,0,1)</f>
        <v>0</v>
      </c>
      <c r="E366" s="141" t="str">
        <f>TEXT(IF(KB[[#This Row],[DOC]]&lt;&gt;"",KB[[#This Row],[DOC]],E365),"000")</f>
        <v>022</v>
      </c>
      <c r="F366" s="40">
        <v>43874</v>
      </c>
      <c r="G366" s="40" t="str">
        <f>TYPE</f>
        <v>A</v>
      </c>
      <c r="H366"/>
      <c r="I366" s="42" t="s">
        <v>820</v>
      </c>
      <c r="J366" s="43" t="s">
        <v>95</v>
      </c>
      <c r="K366" s="44">
        <v>2</v>
      </c>
      <c r="L366" s="49">
        <v>14360</v>
      </c>
      <c r="M366" s="49">
        <v>7650</v>
      </c>
      <c r="N366" s="49">
        <v>6710</v>
      </c>
      <c r="O366" s="49">
        <v>6</v>
      </c>
      <c r="P366" s="49">
        <v>402.59999999999997</v>
      </c>
      <c r="Q366" s="49">
        <v>6307.4</v>
      </c>
      <c r="R366" s="49">
        <v>2750</v>
      </c>
      <c r="S366" s="49">
        <v>17345350</v>
      </c>
      <c r="T366" s="49">
        <v>13.82</v>
      </c>
      <c r="U366" s="49">
        <v>2763.82</v>
      </c>
      <c r="V366" s="49">
        <v>17432519</v>
      </c>
      <c r="W366" s="49">
        <v>87163</v>
      </c>
      <c r="X366" s="49">
        <v>17345356</v>
      </c>
      <c r="Y366" s="530" t="str">
        <f>IFERROR(IF(FIND("/KM",KB[[#This Row],[SUPPLIER]])&gt;0,"LAUT"),"DARAT")</f>
        <v>LAUT</v>
      </c>
    </row>
    <row r="367" spans="2:25">
      <c r="B367" s="140" t="str">
        <f>IFERROR(LEFT(KB[[#This Row],[SUPPLIER]],FIND("/",KB[[#This Row],[SUPPLIER]])-1),KB[[#This Row],[SUPPLIER]])</f>
        <v>DINI CHAIRANI</v>
      </c>
      <c r="C367" s="141" t="str">
        <f>TEXT(VLOOKUP(KB[[#This Row],[RELASI]],DBRELASI[[RELASI]:[DOCKB]],10,0)+COUNTIFS($B$2:B367,KB[[#This Row],[RELASI]],$D$2:D367,1),"000")</f>
        <v>022</v>
      </c>
      <c r="D367" s="141">
        <f>IF(COUNTIFS($B$3:B367,KB[[#This Row],[RELASI]],$F$3:F367,KB[[#This Row],[TANGGAL]])&lt;&gt;1,0,1)</f>
        <v>0</v>
      </c>
      <c r="E367" s="141" t="str">
        <f>TEXT(IF(KB[[#This Row],[DOC]]&lt;&gt;"",KB[[#This Row],[DOC]],E366),"000")</f>
        <v>022</v>
      </c>
      <c r="F367" s="40">
        <v>43874</v>
      </c>
      <c r="G367" s="40" t="str">
        <f>TYPE</f>
        <v>A</v>
      </c>
      <c r="H367"/>
      <c r="I367" s="42" t="s">
        <v>864</v>
      </c>
      <c r="J367" s="43" t="s">
        <v>95</v>
      </c>
      <c r="K367" s="44">
        <v>1</v>
      </c>
      <c r="L367" s="49">
        <v>7750</v>
      </c>
      <c r="M367" s="49">
        <v>3780</v>
      </c>
      <c r="N367" s="49">
        <v>3970</v>
      </c>
      <c r="O367" s="49">
        <v>5.9999999999999991</v>
      </c>
      <c r="P367" s="49">
        <v>238.2</v>
      </c>
      <c r="Q367" s="49">
        <v>3731.8</v>
      </c>
      <c r="R367" s="49">
        <v>2750</v>
      </c>
      <c r="S367" s="49">
        <v>10262450</v>
      </c>
      <c r="T367" s="49">
        <v>13.82</v>
      </c>
      <c r="U367" s="49">
        <v>2763.82</v>
      </c>
      <c r="V367" s="49">
        <v>10314023</v>
      </c>
      <c r="W367" s="49">
        <v>51570</v>
      </c>
      <c r="X367" s="49">
        <v>10262453</v>
      </c>
      <c r="Y367" s="530" t="str">
        <f>IFERROR(IF(FIND("/KM",KB[[#This Row],[SUPPLIER]])&gt;0,"LAUT"),"DARAT")</f>
        <v>LAUT</v>
      </c>
    </row>
    <row r="368" spans="2:25">
      <c r="B368" s="140" t="str">
        <f>IFERROR(LEFT(KB[[#This Row],[SUPPLIER]],FIND("/",KB[[#This Row],[SUPPLIER]])-1),KB[[#This Row],[SUPPLIER]])</f>
        <v>HELMANSYAH</v>
      </c>
      <c r="C368" s="141" t="str">
        <f>TEXT(VLOOKUP(KB[[#This Row],[RELASI]],DBRELASI[[RELASI]:[DOCKB]],10,0)+COUNTIFS($B$2:B368,KB[[#This Row],[RELASI]],$D$2:D368,1),"000")</f>
        <v>001</v>
      </c>
      <c r="D368" s="141">
        <f>IF(COUNTIFS($B$3:B368,KB[[#This Row],[RELASI]],$F$3:F368,KB[[#This Row],[TANGGAL]])&lt;&gt;1,0,1)</f>
        <v>1</v>
      </c>
      <c r="E368" s="141" t="str">
        <f>TEXT(IF(KB[[#This Row],[DOC]]&lt;&gt;"",KB[[#This Row],[DOC]],E367),"000")</f>
        <v>001</v>
      </c>
      <c r="F368" s="40">
        <v>43874</v>
      </c>
      <c r="G368" s="40" t="str">
        <f>TYPE</f>
        <v>A</v>
      </c>
      <c r="H368" s="153" t="s">
        <v>75</v>
      </c>
      <c r="I368" s="42" t="s">
        <v>865</v>
      </c>
      <c r="J368" s="43" t="s">
        <v>866</v>
      </c>
      <c r="K368" s="44">
        <v>2</v>
      </c>
      <c r="L368" s="49">
        <v>16960</v>
      </c>
      <c r="M368" s="49">
        <v>7650</v>
      </c>
      <c r="N368" s="49">
        <v>9310</v>
      </c>
      <c r="O368" s="49">
        <v>5.9999999999999991</v>
      </c>
      <c r="P368" s="49">
        <v>558.59999999999991</v>
      </c>
      <c r="Q368" s="49">
        <v>8751.4000000000015</v>
      </c>
      <c r="R368" s="49">
        <v>2999.9999999999995</v>
      </c>
      <c r="S368" s="49">
        <v>26254200</v>
      </c>
      <c r="T368" s="49">
        <v>15.08</v>
      </c>
      <c r="U368" s="49">
        <v>3015.0799999999995</v>
      </c>
      <c r="V368" s="49">
        <v>26386171</v>
      </c>
      <c r="W368" s="49">
        <v>131931</v>
      </c>
      <c r="X368" s="49">
        <v>26254240</v>
      </c>
      <c r="Y368" s="530" t="str">
        <f>IFERROR(IF(FIND("/KM",KB[[#This Row],[SUPPLIER]])&gt;0,"LAUT"),"DARAT")</f>
        <v>LAUT</v>
      </c>
    </row>
    <row r="369" spans="2:25">
      <c r="B369" s="140" t="str">
        <f>IFERROR(LEFT(KB[[#This Row],[SUPPLIER]],FIND("/",KB[[#This Row],[SUPPLIER]])-1),KB[[#This Row],[SUPPLIER]])</f>
        <v>HELMANSYAH</v>
      </c>
      <c r="C369" s="141" t="str">
        <f>TEXT(VLOOKUP(KB[[#This Row],[RELASI]],DBRELASI[[RELASI]:[DOCKB]],10,0)+COUNTIFS($B$2:B369,KB[[#This Row],[RELASI]],$D$2:D369,1),"000")</f>
        <v>001</v>
      </c>
      <c r="D369" s="141">
        <f>IF(COUNTIFS($B$3:B369,KB[[#This Row],[RELASI]],$F$3:F369,KB[[#This Row],[TANGGAL]])&lt;&gt;1,0,1)</f>
        <v>0</v>
      </c>
      <c r="E369" s="141" t="str">
        <f>TEXT(IF(KB[[#This Row],[DOC]]&lt;&gt;"",KB[[#This Row],[DOC]],E368),"000")</f>
        <v>001</v>
      </c>
      <c r="F369" s="40">
        <v>43874</v>
      </c>
      <c r="G369" s="40" t="str">
        <f>TYPE</f>
        <v>A</v>
      </c>
      <c r="H369"/>
      <c r="I369" s="42" t="s">
        <v>867</v>
      </c>
      <c r="J369" s="43" t="s">
        <v>866</v>
      </c>
      <c r="K369" s="44">
        <v>2</v>
      </c>
      <c r="L369" s="49">
        <v>15160</v>
      </c>
      <c r="M369" s="49">
        <v>7740</v>
      </c>
      <c r="N369" s="49">
        <v>7420</v>
      </c>
      <c r="O369" s="49">
        <v>6</v>
      </c>
      <c r="P369" s="49">
        <v>445.20000000000005</v>
      </c>
      <c r="Q369" s="49">
        <v>6974.7999999999993</v>
      </c>
      <c r="R369" s="49">
        <v>2850.0000000000005</v>
      </c>
      <c r="S369" s="49">
        <v>19878180</v>
      </c>
      <c r="T369" s="49">
        <v>14.32</v>
      </c>
      <c r="U369" s="49">
        <v>2864.3200000000006</v>
      </c>
      <c r="V369" s="49">
        <v>19978060</v>
      </c>
      <c r="W369" s="49">
        <v>99891</v>
      </c>
      <c r="X369" s="49">
        <v>19878169</v>
      </c>
      <c r="Y369" s="530" t="str">
        <f>IFERROR(IF(FIND("/KM",KB[[#This Row],[SUPPLIER]])&gt;0,"LAUT"),"DARAT")</f>
        <v>LAUT</v>
      </c>
    </row>
    <row r="370" spans="2:25">
      <c r="B370" s="140" t="str">
        <f>IFERROR(LEFT(KB[[#This Row],[SUPPLIER]],FIND("/",KB[[#This Row],[SUPPLIER]])-1),KB[[#This Row],[SUPPLIER]])</f>
        <v>HELMANSYAH</v>
      </c>
      <c r="C370" s="141" t="str">
        <f>TEXT(VLOOKUP(KB[[#This Row],[RELASI]],DBRELASI[[RELASI]:[DOCKB]],10,0)+COUNTIFS($B$2:B370,KB[[#This Row],[RELASI]],$D$2:D370,1),"000")</f>
        <v>001</v>
      </c>
      <c r="D370" s="141">
        <f>IF(COUNTIFS($B$3:B370,KB[[#This Row],[RELASI]],$F$3:F370,KB[[#This Row],[TANGGAL]])&lt;&gt;1,0,1)</f>
        <v>0</v>
      </c>
      <c r="E370" s="141" t="str">
        <f>TEXT(IF(KB[[#This Row],[DOC]]&lt;&gt;"",KB[[#This Row],[DOC]],E369),"000")</f>
        <v>001</v>
      </c>
      <c r="F370" s="40">
        <v>43874</v>
      </c>
      <c r="G370" s="40" t="str">
        <f>TYPE</f>
        <v>A</v>
      </c>
      <c r="H370"/>
      <c r="I370" s="42" t="s">
        <v>868</v>
      </c>
      <c r="J370" s="43" t="s">
        <v>866</v>
      </c>
      <c r="K370" s="44">
        <v>1</v>
      </c>
      <c r="L370" s="49">
        <v>7850</v>
      </c>
      <c r="M370" s="49">
        <v>3870</v>
      </c>
      <c r="N370" s="49">
        <v>3980</v>
      </c>
      <c r="O370" s="49">
        <v>6</v>
      </c>
      <c r="P370" s="49">
        <v>238.79999999999998</v>
      </c>
      <c r="Q370" s="49">
        <v>3741.2</v>
      </c>
      <c r="R370" s="49">
        <v>2850</v>
      </c>
      <c r="S370" s="49">
        <v>10662420</v>
      </c>
      <c r="T370" s="49">
        <v>14.32</v>
      </c>
      <c r="U370" s="49">
        <v>2864.32</v>
      </c>
      <c r="V370" s="49">
        <v>10715994</v>
      </c>
      <c r="W370" s="49">
        <v>53580</v>
      </c>
      <c r="X370" s="49">
        <v>10662414</v>
      </c>
      <c r="Y370" s="530" t="str">
        <f>IFERROR(IF(FIND("/KM",KB[[#This Row],[SUPPLIER]])&gt;0,"LAUT"),"DARAT")</f>
        <v>LAUT</v>
      </c>
    </row>
    <row r="371" spans="2:25">
      <c r="B371" s="140" t="str">
        <f>IFERROR(LEFT(KB[[#This Row],[SUPPLIER]],FIND("/",KB[[#This Row],[SUPPLIER]])-1),KB[[#This Row],[SUPPLIER]])</f>
        <v>HELMANSYAH</v>
      </c>
      <c r="C371" s="141" t="str">
        <f>TEXT(VLOOKUP(KB[[#This Row],[RELASI]],DBRELASI[[RELASI]:[DOCKB]],10,0)+COUNTIFS($B$2:B371,KB[[#This Row],[RELASI]],$D$2:D371,1),"000")</f>
        <v>001</v>
      </c>
      <c r="D371" s="141">
        <f>IF(COUNTIFS($B$3:B371,KB[[#This Row],[RELASI]],$F$3:F371,KB[[#This Row],[TANGGAL]])&lt;&gt;1,0,1)</f>
        <v>0</v>
      </c>
      <c r="E371" s="141" t="str">
        <f>TEXT(IF(KB[[#This Row],[DOC]]&lt;&gt;"",KB[[#This Row],[DOC]],E370),"000")</f>
        <v>001</v>
      </c>
      <c r="F371" s="40">
        <v>43874</v>
      </c>
      <c r="G371" s="40" t="str">
        <f>TYPE</f>
        <v>A</v>
      </c>
      <c r="H371"/>
      <c r="I371" s="42" t="s">
        <v>869</v>
      </c>
      <c r="J371" s="43" t="s">
        <v>866</v>
      </c>
      <c r="K371" s="44">
        <v>2</v>
      </c>
      <c r="L371" s="49">
        <v>14690</v>
      </c>
      <c r="M371" s="49">
        <v>7630</v>
      </c>
      <c r="N371" s="49">
        <v>7060</v>
      </c>
      <c r="O371" s="49">
        <v>6.0000000000000009</v>
      </c>
      <c r="P371" s="49">
        <v>423.6</v>
      </c>
      <c r="Q371" s="49">
        <v>6636.4</v>
      </c>
      <c r="R371" s="49">
        <v>2850</v>
      </c>
      <c r="S371" s="49">
        <v>18913740</v>
      </c>
      <c r="T371" s="49">
        <v>14.32</v>
      </c>
      <c r="U371" s="49">
        <v>2864.32</v>
      </c>
      <c r="V371" s="49">
        <v>19008773</v>
      </c>
      <c r="W371" s="49">
        <v>95044</v>
      </c>
      <c r="X371" s="49">
        <v>18913729</v>
      </c>
      <c r="Y371" s="530" t="str">
        <f>IFERROR(IF(FIND("/KM",KB[[#This Row],[SUPPLIER]])&gt;0,"LAUT"),"DARAT")</f>
        <v>LAUT</v>
      </c>
    </row>
    <row r="372" spans="2:25">
      <c r="B372" s="140" t="str">
        <f>IFERROR(LEFT(KB[[#This Row],[SUPPLIER]],FIND("/",KB[[#This Row],[SUPPLIER]])-1),KB[[#This Row],[SUPPLIER]])</f>
        <v>HELMANSYAH</v>
      </c>
      <c r="C372" s="141" t="str">
        <f>TEXT(VLOOKUP(KB[[#This Row],[RELASI]],DBRELASI[[RELASI]:[DOCKB]],10,0)+COUNTIFS($B$2:B372,KB[[#This Row],[RELASI]],$D$2:D372,1),"000")</f>
        <v>001</v>
      </c>
      <c r="D372" s="141">
        <f>IF(COUNTIFS($B$3:B372,KB[[#This Row],[RELASI]],$F$3:F372,KB[[#This Row],[TANGGAL]])&lt;&gt;1,0,1)</f>
        <v>0</v>
      </c>
      <c r="E372" s="141" t="str">
        <f>TEXT(IF(KB[[#This Row],[DOC]]&lt;&gt;"",KB[[#This Row],[DOC]],E371),"000")</f>
        <v>001</v>
      </c>
      <c r="F372" s="40">
        <v>43874</v>
      </c>
      <c r="G372" s="40" t="str">
        <f>TYPE</f>
        <v>A</v>
      </c>
      <c r="H372"/>
      <c r="I372" s="42" t="s">
        <v>870</v>
      </c>
      <c r="J372" s="43" t="s">
        <v>866</v>
      </c>
      <c r="K372" s="44">
        <v>2</v>
      </c>
      <c r="L372" s="49">
        <v>18590</v>
      </c>
      <c r="M372" s="49">
        <v>7740</v>
      </c>
      <c r="N372" s="49">
        <v>10850</v>
      </c>
      <c r="O372" s="49">
        <v>6</v>
      </c>
      <c r="P372" s="49">
        <v>651</v>
      </c>
      <c r="Q372" s="49">
        <v>10199</v>
      </c>
      <c r="R372" s="49">
        <v>2850</v>
      </c>
      <c r="S372" s="49">
        <v>29067150</v>
      </c>
      <c r="T372" s="49">
        <v>14.32</v>
      </c>
      <c r="U372" s="49">
        <v>2864.32</v>
      </c>
      <c r="V372" s="49">
        <v>29213200</v>
      </c>
      <c r="W372" s="49">
        <v>146066</v>
      </c>
      <c r="X372" s="49">
        <v>29067134</v>
      </c>
      <c r="Y372" s="530" t="str">
        <f>IFERROR(IF(FIND("/KM",KB[[#This Row],[SUPPLIER]])&gt;0,"LAUT"),"DARAT")</f>
        <v>LAUT</v>
      </c>
    </row>
    <row r="373" spans="2:25">
      <c r="B373" s="140" t="str">
        <f>IFERROR(LEFT(KB[[#This Row],[SUPPLIER]],FIND("/",KB[[#This Row],[SUPPLIER]])-1),KB[[#This Row],[SUPPLIER]])</f>
        <v>MARTONO</v>
      </c>
      <c r="C373" s="141" t="str">
        <f>TEXT(VLOOKUP(KB[[#This Row],[RELASI]],DBRELASI[[RELASI]:[DOCKB]],10,0)+COUNTIFS($B$2:B373,KB[[#This Row],[RELASI]],$D$2:D373,1),"000")</f>
        <v>025</v>
      </c>
      <c r="D373" s="141">
        <f>IF(COUNTIFS($B$3:B373,KB[[#This Row],[RELASI]],$F$3:F373,KB[[#This Row],[TANGGAL]])&lt;&gt;1,0,1)</f>
        <v>1</v>
      </c>
      <c r="E373" s="141" t="str">
        <f>TEXT(IF(KB[[#This Row],[DOC]]&lt;&gt;"",KB[[#This Row],[DOC]],E372),"000")</f>
        <v>025</v>
      </c>
      <c r="F373" s="40">
        <v>43874</v>
      </c>
      <c r="G373" s="40" t="str">
        <f>TYPE</f>
        <v>A</v>
      </c>
      <c r="H373" s="153" t="s">
        <v>850</v>
      </c>
      <c r="I373" s="42" t="s">
        <v>761</v>
      </c>
      <c r="J373" s="43" t="s">
        <v>83</v>
      </c>
      <c r="K373" s="44">
        <v>4</v>
      </c>
      <c r="L373" s="49">
        <v>34110</v>
      </c>
      <c r="M373" s="49">
        <v>15460</v>
      </c>
      <c r="N373" s="49">
        <v>18650</v>
      </c>
      <c r="O373" s="49">
        <v>6</v>
      </c>
      <c r="P373" s="49">
        <v>1119</v>
      </c>
      <c r="Q373" s="49">
        <v>17531</v>
      </c>
      <c r="R373" s="49">
        <v>2800</v>
      </c>
      <c r="S373" s="49">
        <v>49086800</v>
      </c>
      <c r="T373" s="49">
        <v>14.07</v>
      </c>
      <c r="U373" s="49">
        <v>2814.07</v>
      </c>
      <c r="V373" s="49">
        <v>49333461</v>
      </c>
      <c r="W373" s="49">
        <v>246668</v>
      </c>
      <c r="X373" s="49">
        <v>49086793</v>
      </c>
      <c r="Y373" s="530" t="str">
        <f>IFERROR(IF(FIND("/KM",KB[[#This Row],[SUPPLIER]])&gt;0,"LAUT"),"DARAT")</f>
        <v>LAUT</v>
      </c>
    </row>
    <row r="374" spans="2:25">
      <c r="B374" s="140" t="str">
        <f>IFERROR(LEFT(KB[[#This Row],[SUPPLIER]],FIND("/",KB[[#This Row],[SUPPLIER]])-1),KB[[#This Row],[SUPPLIER]])</f>
        <v>MARTONO</v>
      </c>
      <c r="C374" s="141" t="str">
        <f>TEXT(VLOOKUP(KB[[#This Row],[RELASI]],DBRELASI[[RELASI]:[DOCKB]],10,0)+COUNTIFS($B$2:B374,KB[[#This Row],[RELASI]],$D$2:D374,1),"000")</f>
        <v>025</v>
      </c>
      <c r="D374" s="141">
        <f>IF(COUNTIFS($B$3:B374,KB[[#This Row],[RELASI]],$F$3:F374,KB[[#This Row],[TANGGAL]])&lt;&gt;1,0,1)</f>
        <v>0</v>
      </c>
      <c r="E374" s="141" t="str">
        <f>TEXT(IF(KB[[#This Row],[DOC]]&lt;&gt;"",KB[[#This Row],[DOC]],E373),"000")</f>
        <v>025</v>
      </c>
      <c r="F374" s="40">
        <v>43874</v>
      </c>
      <c r="G374" s="40" t="str">
        <f>TYPE</f>
        <v>A</v>
      </c>
      <c r="H374"/>
      <c r="I374" s="42" t="s">
        <v>845</v>
      </c>
      <c r="J374" s="43" t="s">
        <v>83</v>
      </c>
      <c r="K374" s="44">
        <v>5</v>
      </c>
      <c r="L374" s="49">
        <v>39670</v>
      </c>
      <c r="M374" s="49">
        <v>19450</v>
      </c>
      <c r="N374" s="49">
        <v>20220</v>
      </c>
      <c r="O374" s="49">
        <v>5.9999999999999991</v>
      </c>
      <c r="P374" s="49">
        <v>1213.1999999999998</v>
      </c>
      <c r="Q374" s="49">
        <v>19006.800000000003</v>
      </c>
      <c r="R374" s="49">
        <v>2849.9999999999995</v>
      </c>
      <c r="S374" s="49">
        <v>54169380</v>
      </c>
      <c r="T374" s="49">
        <v>14.32</v>
      </c>
      <c r="U374" s="49">
        <v>2864.3199999999997</v>
      </c>
      <c r="V374" s="49">
        <v>54441557</v>
      </c>
      <c r="W374" s="49">
        <v>272208</v>
      </c>
      <c r="X374" s="49">
        <v>54169349</v>
      </c>
      <c r="Y374" s="530" t="str">
        <f>IFERROR(IF(FIND("/KM",KB[[#This Row],[SUPPLIER]])&gt;0,"LAUT"),"DARAT")</f>
        <v>LAUT</v>
      </c>
    </row>
    <row r="375" spans="2:25">
      <c r="B375" s="140" t="str">
        <f>IFERROR(LEFT(KB[[#This Row],[SUPPLIER]],FIND("/",KB[[#This Row],[SUPPLIER]])-1),KB[[#This Row],[SUPPLIER]])</f>
        <v>MARTONO</v>
      </c>
      <c r="C375" s="141" t="str">
        <f>TEXT(VLOOKUP(KB[[#This Row],[RELASI]],DBRELASI[[RELASI]:[DOCKB]],10,0)+COUNTIFS($B$2:B375,KB[[#This Row],[RELASI]],$D$2:D375,1),"000")</f>
        <v>025</v>
      </c>
      <c r="D375" s="141">
        <f>IF(COUNTIFS($B$3:B375,KB[[#This Row],[RELASI]],$F$3:F375,KB[[#This Row],[TANGGAL]])&lt;&gt;1,0,1)</f>
        <v>0</v>
      </c>
      <c r="E375" s="141" t="str">
        <f>TEXT(IF(KB[[#This Row],[DOC]]&lt;&gt;"",KB[[#This Row],[DOC]],E374),"000")</f>
        <v>025</v>
      </c>
      <c r="F375" s="40">
        <v>43874</v>
      </c>
      <c r="G375" s="40" t="str">
        <f>TYPE</f>
        <v>A</v>
      </c>
      <c r="H375"/>
      <c r="I375" s="42" t="s">
        <v>791</v>
      </c>
      <c r="J375" s="43" t="s">
        <v>83</v>
      </c>
      <c r="K375" s="44">
        <v>1</v>
      </c>
      <c r="L375" s="49">
        <v>8170</v>
      </c>
      <c r="M375" s="49">
        <v>3870</v>
      </c>
      <c r="N375" s="49">
        <v>4300</v>
      </c>
      <c r="O375" s="49">
        <v>6</v>
      </c>
      <c r="P375" s="49">
        <v>258</v>
      </c>
      <c r="Q375" s="49">
        <v>4042</v>
      </c>
      <c r="R375" s="49">
        <v>2750</v>
      </c>
      <c r="S375" s="49">
        <v>11115500</v>
      </c>
      <c r="T375" s="49">
        <v>13.82</v>
      </c>
      <c r="U375" s="49">
        <v>2763.82</v>
      </c>
      <c r="V375" s="49">
        <v>11171360</v>
      </c>
      <c r="W375" s="49">
        <v>55857</v>
      </c>
      <c r="X375" s="49">
        <v>11115503</v>
      </c>
      <c r="Y375" s="530" t="str">
        <f>IFERROR(IF(FIND("/KM",KB[[#This Row],[SUPPLIER]])&gt;0,"LAUT"),"DARAT")</f>
        <v>LAUT</v>
      </c>
    </row>
    <row r="376" spans="2:25">
      <c r="B376" s="140" t="str">
        <f>IFERROR(LEFT(KB[[#This Row],[SUPPLIER]],FIND("/",KB[[#This Row],[SUPPLIER]])-1),KB[[#This Row],[SUPPLIER]])</f>
        <v>MARTONO</v>
      </c>
      <c r="C376" s="141" t="str">
        <f>TEXT(VLOOKUP(KB[[#This Row],[RELASI]],DBRELASI[[RELASI]:[DOCKB]],10,0)+COUNTIFS($B$2:B376,KB[[#This Row],[RELASI]],$D$2:D376,1),"000")</f>
        <v>025</v>
      </c>
      <c r="D376" s="141">
        <f>IF(COUNTIFS($B$3:B376,KB[[#This Row],[RELASI]],$F$3:F376,KB[[#This Row],[TANGGAL]])&lt;&gt;1,0,1)</f>
        <v>0</v>
      </c>
      <c r="E376" s="141" t="str">
        <f>TEXT(IF(KB[[#This Row],[DOC]]&lt;&gt;"",KB[[#This Row],[DOC]],E375),"000")</f>
        <v>025</v>
      </c>
      <c r="F376" s="40">
        <v>43874</v>
      </c>
      <c r="G376" s="40" t="str">
        <f>TYPE</f>
        <v>A</v>
      </c>
      <c r="H376"/>
      <c r="I376" s="42" t="s">
        <v>519</v>
      </c>
      <c r="J376" s="43" t="s">
        <v>83</v>
      </c>
      <c r="K376" s="44">
        <v>3</v>
      </c>
      <c r="L376" s="49">
        <v>23160</v>
      </c>
      <c r="M376" s="49">
        <v>11590</v>
      </c>
      <c r="N376" s="49">
        <v>11570</v>
      </c>
      <c r="O376" s="49">
        <v>5.9999999999999991</v>
      </c>
      <c r="P376" s="49">
        <v>694.19999999999993</v>
      </c>
      <c r="Q376" s="49">
        <v>10875.800000000001</v>
      </c>
      <c r="R376" s="49">
        <v>2749.9999999999995</v>
      </c>
      <c r="S376" s="49">
        <v>29908450</v>
      </c>
      <c r="T376" s="49">
        <v>13.82</v>
      </c>
      <c r="U376" s="49">
        <v>2763.8199999999997</v>
      </c>
      <c r="V376" s="49">
        <v>30058753</v>
      </c>
      <c r="W376" s="49">
        <v>150294</v>
      </c>
      <c r="X376" s="49">
        <v>29908459</v>
      </c>
      <c r="Y376" s="530" t="str">
        <f>IFERROR(IF(FIND("/KM",KB[[#This Row],[SUPPLIER]])&gt;0,"LAUT"),"DARAT")</f>
        <v>LAUT</v>
      </c>
    </row>
    <row r="377" spans="2:25">
      <c r="B377" s="140" t="str">
        <f>IFERROR(LEFT(KB[[#This Row],[SUPPLIER]],FIND("/",KB[[#This Row],[SUPPLIER]])-1),KB[[#This Row],[SUPPLIER]])</f>
        <v>MARTONO</v>
      </c>
      <c r="C377" s="141" t="str">
        <f>TEXT(VLOOKUP(KB[[#This Row],[RELASI]],DBRELASI[[RELASI]:[DOCKB]],10,0)+COUNTIFS($B$2:B377,KB[[#This Row],[RELASI]],$D$2:D377,1),"000")</f>
        <v>025</v>
      </c>
      <c r="D377" s="141">
        <f>IF(COUNTIFS($B$3:B377,KB[[#This Row],[RELASI]],$F$3:F377,KB[[#This Row],[TANGGAL]])&lt;&gt;1,0,1)</f>
        <v>0</v>
      </c>
      <c r="E377" s="141" t="str">
        <f>TEXT(IF(KB[[#This Row],[DOC]]&lt;&gt;"",KB[[#This Row],[DOC]],E376),"000")</f>
        <v>025</v>
      </c>
      <c r="F377" s="40">
        <v>43874</v>
      </c>
      <c r="G377" s="40" t="str">
        <f>TYPE</f>
        <v>A</v>
      </c>
      <c r="H377"/>
      <c r="I377" s="42" t="s">
        <v>529</v>
      </c>
      <c r="J377" s="43" t="s">
        <v>83</v>
      </c>
      <c r="K377" s="44">
        <v>2</v>
      </c>
      <c r="L377" s="49">
        <v>16090</v>
      </c>
      <c r="M377" s="49">
        <v>7580</v>
      </c>
      <c r="N377" s="49">
        <v>8510</v>
      </c>
      <c r="O377" s="49">
        <v>6</v>
      </c>
      <c r="P377" s="49">
        <v>510.59999999999997</v>
      </c>
      <c r="Q377" s="49">
        <v>7999.4</v>
      </c>
      <c r="R377" s="49">
        <v>2750</v>
      </c>
      <c r="S377" s="49">
        <v>21998350</v>
      </c>
      <c r="T377" s="49">
        <v>13.82</v>
      </c>
      <c r="U377" s="49">
        <v>2763.82</v>
      </c>
      <c r="V377" s="49">
        <v>22108902</v>
      </c>
      <c r="W377" s="49">
        <v>110545</v>
      </c>
      <c r="X377" s="49">
        <v>21998357</v>
      </c>
      <c r="Y377" s="530" t="str">
        <f>IFERROR(IF(FIND("/KM",KB[[#This Row],[SUPPLIER]])&gt;0,"LAUT"),"DARAT")</f>
        <v>LAUT</v>
      </c>
    </row>
    <row r="378" spans="2:25">
      <c r="B378" s="140" t="str">
        <f>IFERROR(LEFT(KB[[#This Row],[SUPPLIER]],FIND("/",KB[[#This Row],[SUPPLIER]])-1),KB[[#This Row],[SUPPLIER]])</f>
        <v>MASRI</v>
      </c>
      <c r="C378" s="141" t="str">
        <f>TEXT(VLOOKUP(KB[[#This Row],[RELASI]],DBRELASI[[RELASI]:[DOCKB]],10,0)+COUNTIFS($B$2:B378,KB[[#This Row],[RELASI]],$D$2:D378,1),"000")</f>
        <v>020</v>
      </c>
      <c r="D378" s="141">
        <f>IF(COUNTIFS($B$3:B378,KB[[#This Row],[RELASI]],$F$3:F378,KB[[#This Row],[TANGGAL]])&lt;&gt;1,0,1)</f>
        <v>1</v>
      </c>
      <c r="E378" s="141" t="str">
        <f>TEXT(IF(KB[[#This Row],[DOC]]&lt;&gt;"",KB[[#This Row],[DOC]],E377),"000")</f>
        <v>020</v>
      </c>
      <c r="F378" s="40">
        <v>43874</v>
      </c>
      <c r="G378" s="40" t="str">
        <f>TYPE</f>
        <v>A</v>
      </c>
      <c r="H378" s="153" t="s">
        <v>818</v>
      </c>
      <c r="I378" s="42" t="s">
        <v>802</v>
      </c>
      <c r="J378" s="43" t="s">
        <v>511</v>
      </c>
      <c r="K378" s="44">
        <v>10</v>
      </c>
      <c r="L378" s="49">
        <v>84410</v>
      </c>
      <c r="M378" s="49">
        <v>38800</v>
      </c>
      <c r="N378" s="49">
        <v>45610</v>
      </c>
      <c r="O378" s="49">
        <v>5.9999999999999991</v>
      </c>
      <c r="P378" s="49">
        <v>2736.6</v>
      </c>
      <c r="Q378" s="49">
        <v>42873.4</v>
      </c>
      <c r="R378" s="49">
        <v>3050</v>
      </c>
      <c r="S378" s="49">
        <v>130763870</v>
      </c>
      <c r="T378" s="49">
        <v>15.33</v>
      </c>
      <c r="U378" s="49">
        <v>3065.33</v>
      </c>
      <c r="V378" s="49">
        <v>131421119</v>
      </c>
      <c r="W378" s="49">
        <v>657106</v>
      </c>
      <c r="X378" s="49">
        <v>130764013</v>
      </c>
      <c r="Y378" s="530" t="str">
        <f>IFERROR(IF(FIND("/KM",KB[[#This Row],[SUPPLIER]])&gt;0,"LAUT"),"DARAT")</f>
        <v>LAUT</v>
      </c>
    </row>
    <row r="379" spans="2:25">
      <c r="B379" s="140" t="str">
        <f>IFERROR(LEFT(KB[[#This Row],[SUPPLIER]],FIND("/",KB[[#This Row],[SUPPLIER]])-1),KB[[#This Row],[SUPPLIER]])</f>
        <v>MASRI</v>
      </c>
      <c r="C379" s="141" t="str">
        <f>TEXT(VLOOKUP(KB[[#This Row],[RELASI]],DBRELASI[[RELASI]:[DOCKB]],10,0)+COUNTIFS($B$2:B379,KB[[#This Row],[RELASI]],$D$2:D379,1),"000")</f>
        <v>020</v>
      </c>
      <c r="D379" s="141">
        <f>IF(COUNTIFS($B$3:B379,KB[[#This Row],[RELASI]],$F$3:F379,KB[[#This Row],[TANGGAL]])&lt;&gt;1,0,1)</f>
        <v>0</v>
      </c>
      <c r="E379" s="141" t="str">
        <f>TEXT(IF(KB[[#This Row],[DOC]]&lt;&gt;"",KB[[#This Row],[DOC]],E378),"000")</f>
        <v>020</v>
      </c>
      <c r="F379" s="40">
        <v>43874</v>
      </c>
      <c r="G379" s="40" t="str">
        <f>TYPE</f>
        <v>A</v>
      </c>
      <c r="H379"/>
      <c r="I379" s="42" t="s">
        <v>775</v>
      </c>
      <c r="J379" s="43" t="s">
        <v>511</v>
      </c>
      <c r="K379" s="44">
        <v>2</v>
      </c>
      <c r="L379" s="49">
        <v>14470</v>
      </c>
      <c r="M379" s="49">
        <v>7700</v>
      </c>
      <c r="N379" s="49">
        <v>6770</v>
      </c>
      <c r="O379" s="49">
        <v>5.9999999999999991</v>
      </c>
      <c r="P379" s="49">
        <v>406.19999999999993</v>
      </c>
      <c r="Q379" s="49">
        <v>6363.7999999999993</v>
      </c>
      <c r="R379" s="49">
        <v>3050.0000000000005</v>
      </c>
      <c r="S379" s="49">
        <v>19409590</v>
      </c>
      <c r="T379" s="49">
        <v>15.33</v>
      </c>
      <c r="U379" s="49">
        <v>3065.3300000000004</v>
      </c>
      <c r="V379" s="49">
        <v>19507147</v>
      </c>
      <c r="W379" s="49">
        <v>97536</v>
      </c>
      <c r="X379" s="49">
        <v>19409611</v>
      </c>
      <c r="Y379" s="530" t="str">
        <f>IFERROR(IF(FIND("/KM",KB[[#This Row],[SUPPLIER]])&gt;0,"LAUT"),"DARAT")</f>
        <v>LAUT</v>
      </c>
    </row>
    <row r="380" spans="2:25">
      <c r="B380" s="140" t="str">
        <f>IFERROR(LEFT(KB[[#This Row],[SUPPLIER]],FIND("/",KB[[#This Row],[SUPPLIER]])-1),KB[[#This Row],[SUPPLIER]])</f>
        <v>MASRI</v>
      </c>
      <c r="C380" s="141" t="str">
        <f>TEXT(VLOOKUP(KB[[#This Row],[RELASI]],DBRELASI[[RELASI]:[DOCKB]],10,0)+COUNTIFS($B$2:B380,KB[[#This Row],[RELASI]],$D$2:D380,1),"000")</f>
        <v>020</v>
      </c>
      <c r="D380" s="141">
        <f>IF(COUNTIFS($B$3:B380,KB[[#This Row],[RELASI]],$F$3:F380,KB[[#This Row],[TANGGAL]])&lt;&gt;1,0,1)</f>
        <v>0</v>
      </c>
      <c r="E380" s="141" t="str">
        <f>TEXT(IF(KB[[#This Row],[DOC]]&lt;&gt;"",KB[[#This Row],[DOC]],E379),"000")</f>
        <v>020</v>
      </c>
      <c r="F380" s="40">
        <v>43874</v>
      </c>
      <c r="G380" s="40" t="str">
        <f>TYPE</f>
        <v>A</v>
      </c>
      <c r="H380"/>
      <c r="I380" s="42" t="s">
        <v>871</v>
      </c>
      <c r="J380" s="43" t="s">
        <v>511</v>
      </c>
      <c r="K380" s="44">
        <v>8</v>
      </c>
      <c r="L380" s="49">
        <v>67050</v>
      </c>
      <c r="M380" s="49">
        <v>31060</v>
      </c>
      <c r="N380" s="49">
        <v>35990</v>
      </c>
      <c r="O380" s="49">
        <v>6.0000000000000009</v>
      </c>
      <c r="P380" s="49">
        <v>2159.4</v>
      </c>
      <c r="Q380" s="49">
        <v>33830.599999999991</v>
      </c>
      <c r="R380" s="49">
        <v>3050.0000000000009</v>
      </c>
      <c r="S380" s="49">
        <v>103183330</v>
      </c>
      <c r="T380" s="49">
        <v>15.33</v>
      </c>
      <c r="U380" s="49">
        <v>3065.3300000000008</v>
      </c>
      <c r="V380" s="49">
        <v>103701955</v>
      </c>
      <c r="W380" s="49">
        <v>518510</v>
      </c>
      <c r="X380" s="49">
        <v>103183445</v>
      </c>
      <c r="Y380" s="530" t="str">
        <f>IFERROR(IF(FIND("/KM",KB[[#This Row],[SUPPLIER]])&gt;0,"LAUT"),"DARAT")</f>
        <v>LAUT</v>
      </c>
    </row>
    <row r="381" spans="2:25">
      <c r="B381" s="140" t="str">
        <f>IFERROR(LEFT(KB[[#This Row],[SUPPLIER]],FIND("/",KB[[#This Row],[SUPPLIER]])-1),KB[[#This Row],[SUPPLIER]])</f>
        <v>RITA ERNITA</v>
      </c>
      <c r="C381" s="141" t="str">
        <f>TEXT(VLOOKUP(KB[[#This Row],[RELASI]],DBRELASI[[RELASI]:[DOCKB]],10,0)+COUNTIFS($B$2:B381,KB[[#This Row],[RELASI]],$D$2:D381,1),"000")</f>
        <v>006</v>
      </c>
      <c r="D381" s="141">
        <f>IF(COUNTIFS($B$3:B381,KB[[#This Row],[RELASI]],$F$3:F381,KB[[#This Row],[TANGGAL]])&lt;&gt;1,0,1)</f>
        <v>1</v>
      </c>
      <c r="E381" s="141" t="str">
        <f>TEXT(IF(KB[[#This Row],[DOC]]&lt;&gt;"",KB[[#This Row],[DOC]],E380),"000")</f>
        <v>006</v>
      </c>
      <c r="F381" s="40">
        <v>43874</v>
      </c>
      <c r="G381" s="40" t="str">
        <f>TYPE</f>
        <v>A</v>
      </c>
      <c r="H381" s="154" t="s">
        <v>759</v>
      </c>
      <c r="I381" s="46" t="s">
        <v>513</v>
      </c>
      <c r="J381" s="47" t="s">
        <v>96</v>
      </c>
      <c r="K381" s="48">
        <v>9</v>
      </c>
      <c r="L381" s="49">
        <v>76990</v>
      </c>
      <c r="M381" s="49">
        <v>34610</v>
      </c>
      <c r="N381" s="49">
        <v>42380</v>
      </c>
      <c r="O381" s="49">
        <v>5.9999999999999991</v>
      </c>
      <c r="P381" s="49">
        <v>2542.7999999999997</v>
      </c>
      <c r="Q381" s="49">
        <v>39837.200000000004</v>
      </c>
      <c r="R381" s="49">
        <v>2849.9999999999995</v>
      </c>
      <c r="S381" s="49">
        <v>113536020</v>
      </c>
      <c r="T381" s="49">
        <v>14.32</v>
      </c>
      <c r="U381" s="49">
        <v>2864.3199999999997</v>
      </c>
      <c r="V381" s="49">
        <v>114106489</v>
      </c>
      <c r="W381" s="49">
        <v>570532</v>
      </c>
      <c r="X381" s="49">
        <v>113535957</v>
      </c>
      <c r="Y381" s="574" t="str">
        <f>IFERROR(IF(FIND("/KM",KB[[#This Row],[SUPPLIER]])&gt;0,"LAUT"),"DARAT")</f>
        <v>LAUT</v>
      </c>
    </row>
    <row r="382" spans="2:25">
      <c r="B382" s="140" t="str">
        <f>IFERROR(LEFT(KB[[#This Row],[SUPPLIER]],FIND("/",KB[[#This Row],[SUPPLIER]])-1),KB[[#This Row],[SUPPLIER]])</f>
        <v>ERAWATI</v>
      </c>
      <c r="C382" s="141" t="str">
        <f>TEXT(VLOOKUP(KB[[#This Row],[RELASI]],DBRELASI[[RELASI]:[DOCKB]],10,0)+COUNTIFS($B$2:B382,KB[[#This Row],[RELASI]],$D$2:D382,1),"000")</f>
        <v>032</v>
      </c>
      <c r="D382" s="141">
        <f>IF(COUNTIFS($B$3:B382,KB[[#This Row],[RELASI]],$F$3:F382,KB[[#This Row],[TANGGAL]])&lt;&gt;1,0,1)</f>
        <v>1</v>
      </c>
      <c r="E382" s="141" t="str">
        <f>TEXT(IF(KB[[#This Row],[DOC]]&lt;&gt;"",KB[[#This Row],[DOC]],E381),"000")</f>
        <v>032</v>
      </c>
      <c r="F382" s="40">
        <v>43875</v>
      </c>
      <c r="G382" s="40" t="str">
        <f>TYPE</f>
        <v>A</v>
      </c>
      <c r="H382" s="153" t="s">
        <v>874</v>
      </c>
      <c r="I382" s="42" t="s">
        <v>155</v>
      </c>
      <c r="J382" s="43" t="s">
        <v>77</v>
      </c>
      <c r="K382" s="44">
        <v>3</v>
      </c>
      <c r="L382" s="49">
        <v>24910</v>
      </c>
      <c r="M382" s="49">
        <v>10470</v>
      </c>
      <c r="N382" s="49">
        <v>14440</v>
      </c>
      <c r="O382" s="49">
        <v>5</v>
      </c>
      <c r="P382" s="49">
        <v>722</v>
      </c>
      <c r="Q382" s="49">
        <v>13718</v>
      </c>
      <c r="R382" s="49">
        <v>2800</v>
      </c>
      <c r="S382" s="49">
        <v>38410400</v>
      </c>
      <c r="T382" s="49">
        <v>14.07</v>
      </c>
      <c r="U382" s="49">
        <v>2814.07</v>
      </c>
      <c r="V382" s="49">
        <v>38603413</v>
      </c>
      <c r="W382" s="49">
        <v>193017</v>
      </c>
      <c r="X382" s="49">
        <v>38410396</v>
      </c>
      <c r="Y382" s="530" t="str">
        <f>IFERROR(IF(FIND("/KM",KB[[#This Row],[SUPPLIER]])&gt;0,"LAUT"),"DARAT")</f>
        <v>DARAT</v>
      </c>
    </row>
    <row r="383" spans="2:25">
      <c r="B383" s="140" t="str">
        <f>IFERROR(LEFT(KB[[#This Row],[SUPPLIER]],FIND("/",KB[[#This Row],[SUPPLIER]])-1),KB[[#This Row],[SUPPLIER]])</f>
        <v>INDRAYANI</v>
      </c>
      <c r="C383" s="141" t="str">
        <f>TEXT(VLOOKUP(KB[[#This Row],[RELASI]],DBRELASI[[RELASI]:[DOCKB]],10,0)+COUNTIFS($B$2:B383,KB[[#This Row],[RELASI]],$D$2:D383,1),"000")</f>
        <v>028</v>
      </c>
      <c r="D383" s="141">
        <f>IF(COUNTIFS($B$3:B383,KB[[#This Row],[RELASI]],$F$3:F383,KB[[#This Row],[TANGGAL]])&lt;&gt;1,0,1)</f>
        <v>1</v>
      </c>
      <c r="E383" s="141" t="str">
        <f>TEXT(IF(KB[[#This Row],[DOC]]&lt;&gt;"",KB[[#This Row],[DOC]],E382),"000")</f>
        <v>028</v>
      </c>
      <c r="F383" s="40">
        <v>43875</v>
      </c>
      <c r="G383" s="40" t="str">
        <f>TYPE</f>
        <v>A</v>
      </c>
      <c r="H383" s="153" t="s">
        <v>854</v>
      </c>
      <c r="I383" s="42" t="s">
        <v>79</v>
      </c>
      <c r="J383" s="43" t="s">
        <v>77</v>
      </c>
      <c r="K383" s="44">
        <v>2</v>
      </c>
      <c r="L383" s="49">
        <v>21220</v>
      </c>
      <c r="M383" s="49">
        <v>7810</v>
      </c>
      <c r="N383" s="49">
        <v>13410</v>
      </c>
      <c r="O383" s="49">
        <v>5</v>
      </c>
      <c r="P383" s="49">
        <v>670.5</v>
      </c>
      <c r="Q383" s="49">
        <v>12739.5</v>
      </c>
      <c r="R383" s="49">
        <v>2900</v>
      </c>
      <c r="S383" s="49">
        <v>36944550</v>
      </c>
      <c r="T383" s="49">
        <v>14.57</v>
      </c>
      <c r="U383" s="49">
        <v>2914.57</v>
      </c>
      <c r="V383" s="49">
        <v>37130164</v>
      </c>
      <c r="W383" s="49">
        <v>185651</v>
      </c>
      <c r="X383" s="49">
        <v>36944513</v>
      </c>
      <c r="Y383" s="530" t="str">
        <f>IFERROR(IF(FIND("/KM",KB[[#This Row],[SUPPLIER]])&gt;0,"LAUT"),"DARAT")</f>
        <v>DARAT</v>
      </c>
    </row>
    <row r="384" spans="2:25">
      <c r="B384" s="140" t="str">
        <f>IFERROR(LEFT(KB[[#This Row],[SUPPLIER]],FIND("/",KB[[#This Row],[SUPPLIER]])-1),KB[[#This Row],[SUPPLIER]])</f>
        <v>RUSLAN JAYA, SH</v>
      </c>
      <c r="C384" s="141" t="str">
        <f>TEXT(VLOOKUP(KB[[#This Row],[RELASI]],DBRELASI[[RELASI]:[DOCKB]],10,0)+COUNTIFS($B$2:B384,KB[[#This Row],[RELASI]],$D$2:D384,1),"000")</f>
        <v>019</v>
      </c>
      <c r="D384" s="141">
        <f>IF(COUNTIFS($B$3:B384,KB[[#This Row],[RELASI]],$F$3:F384,KB[[#This Row],[TANGGAL]])&lt;&gt;1,0,1)</f>
        <v>1</v>
      </c>
      <c r="E384" s="141" t="str">
        <f>TEXT(IF(KB[[#This Row],[DOC]]&lt;&gt;"",KB[[#This Row],[DOC]],E383),"000")</f>
        <v>019</v>
      </c>
      <c r="F384" s="40">
        <v>43875</v>
      </c>
      <c r="G384" s="40" t="str">
        <f>TYPE</f>
        <v>A</v>
      </c>
      <c r="H384" s="153" t="s">
        <v>810</v>
      </c>
      <c r="I384" s="42" t="s">
        <v>479</v>
      </c>
      <c r="J384" s="43" t="s">
        <v>475</v>
      </c>
      <c r="K384" s="44">
        <v>1</v>
      </c>
      <c r="L384" s="49">
        <v>5100</v>
      </c>
      <c r="M384" s="49">
        <v>1480</v>
      </c>
      <c r="N384" s="49">
        <v>3620</v>
      </c>
      <c r="O384" s="49">
        <v>5</v>
      </c>
      <c r="P384" s="49">
        <v>181</v>
      </c>
      <c r="Q384" s="49">
        <v>3439</v>
      </c>
      <c r="R384" s="49">
        <v>2800</v>
      </c>
      <c r="S384" s="49">
        <v>9629200</v>
      </c>
      <c r="T384" s="49">
        <v>14.07</v>
      </c>
      <c r="U384" s="49">
        <v>2814.07</v>
      </c>
      <c r="V384" s="49">
        <v>9677587</v>
      </c>
      <c r="W384" s="49">
        <v>48388</v>
      </c>
      <c r="X384" s="49">
        <v>9629199</v>
      </c>
      <c r="Y384" s="530" t="str">
        <f>IFERROR(IF(FIND("/KM",KB[[#This Row],[SUPPLIER]])&gt;0,"LAUT"),"DARAT")</f>
        <v>DARAT</v>
      </c>
    </row>
    <row r="385" spans="2:25">
      <c r="B385" s="140" t="str">
        <f>IFERROR(LEFT(KB[[#This Row],[SUPPLIER]],FIND("/",KB[[#This Row],[SUPPLIER]])-1),KB[[#This Row],[SUPPLIER]])</f>
        <v>YANADI</v>
      </c>
      <c r="C385" s="141" t="str">
        <f>TEXT(VLOOKUP(KB[[#This Row],[RELASI]],DBRELASI[[RELASI]:[DOCKB]],10,0)+COUNTIFS($B$2:B385,KB[[#This Row],[RELASI]],$D$2:D385,1),"000")</f>
        <v>021</v>
      </c>
      <c r="D385" s="141">
        <f>IF(COUNTIFS($B$3:B385,KB[[#This Row],[RELASI]],$F$3:F385,KB[[#This Row],[TANGGAL]])&lt;&gt;1,0,1)</f>
        <v>1</v>
      </c>
      <c r="E385" s="141" t="str">
        <f>TEXT(IF(KB[[#This Row],[DOC]]&lt;&gt;"",KB[[#This Row],[DOC]],E384),"000")</f>
        <v>021</v>
      </c>
      <c r="F385" s="40">
        <v>43875</v>
      </c>
      <c r="G385" s="40" t="str">
        <f>TYPE</f>
        <v>A</v>
      </c>
      <c r="H385" s="153" t="s">
        <v>823</v>
      </c>
      <c r="I385" s="42" t="s">
        <v>137</v>
      </c>
      <c r="J385" s="43" t="s">
        <v>74</v>
      </c>
      <c r="K385" s="44">
        <v>3</v>
      </c>
      <c r="L385" s="49">
        <v>36280</v>
      </c>
      <c r="M385" s="49">
        <v>13310</v>
      </c>
      <c r="N385" s="49">
        <v>22970</v>
      </c>
      <c r="O385" s="49">
        <v>5</v>
      </c>
      <c r="P385" s="49">
        <v>1148.5</v>
      </c>
      <c r="Q385" s="49">
        <v>21821.5</v>
      </c>
      <c r="R385" s="49">
        <v>2800</v>
      </c>
      <c r="S385" s="49">
        <v>61100200</v>
      </c>
      <c r="T385" s="49">
        <v>14.07</v>
      </c>
      <c r="U385" s="49">
        <v>2814.07</v>
      </c>
      <c r="V385" s="49">
        <v>61407228</v>
      </c>
      <c r="W385" s="49">
        <v>307036</v>
      </c>
      <c r="X385" s="49">
        <v>61100192</v>
      </c>
      <c r="Y385" s="530" t="str">
        <f>IFERROR(IF(FIND("/KM",KB[[#This Row],[SUPPLIER]])&gt;0,"LAUT"),"DARAT")</f>
        <v>DARAT</v>
      </c>
    </row>
    <row r="386" spans="2:25">
      <c r="B386" s="140" t="str">
        <f>IFERROR(LEFT(KB[[#This Row],[SUPPLIER]],FIND("/",KB[[#This Row],[SUPPLIER]])-1),KB[[#This Row],[SUPPLIER]])</f>
        <v>YANADI</v>
      </c>
      <c r="C386" s="141" t="str">
        <f>TEXT(VLOOKUP(KB[[#This Row],[RELASI]],DBRELASI[[RELASI]:[DOCKB]],10,0)+COUNTIFS($B$2:B386,KB[[#This Row],[RELASI]],$D$2:D386,1),"000")</f>
        <v>021</v>
      </c>
      <c r="D386" s="141">
        <f>IF(COUNTIFS($B$3:B386,KB[[#This Row],[RELASI]],$F$3:F386,KB[[#This Row],[TANGGAL]])&lt;&gt;1,0,1)</f>
        <v>0</v>
      </c>
      <c r="E386" s="141" t="str">
        <f>TEXT(IF(KB[[#This Row],[DOC]]&lt;&gt;"",KB[[#This Row],[DOC]],E385),"000")</f>
        <v>021</v>
      </c>
      <c r="F386" s="40">
        <v>43875</v>
      </c>
      <c r="G386" s="40" t="str">
        <f>TYPE</f>
        <v>A</v>
      </c>
      <c r="H386"/>
      <c r="I386" s="42" t="s">
        <v>875</v>
      </c>
      <c r="J386" s="43" t="s">
        <v>74</v>
      </c>
      <c r="K386" s="44">
        <v>1</v>
      </c>
      <c r="L386" s="49">
        <v>7530</v>
      </c>
      <c r="M386" s="49">
        <v>3880</v>
      </c>
      <c r="N386" s="49">
        <v>3650</v>
      </c>
      <c r="O386" s="49">
        <v>6</v>
      </c>
      <c r="P386" s="49">
        <v>219</v>
      </c>
      <c r="Q386" s="49">
        <v>3431</v>
      </c>
      <c r="R386" s="49">
        <v>2750</v>
      </c>
      <c r="S386" s="49">
        <v>9435250</v>
      </c>
      <c r="T386" s="49">
        <v>13.82</v>
      </c>
      <c r="U386" s="49">
        <v>2763.82</v>
      </c>
      <c r="V386" s="49">
        <v>9482666</v>
      </c>
      <c r="W386" s="49">
        <v>47413</v>
      </c>
      <c r="X386" s="49">
        <v>9435253</v>
      </c>
      <c r="Y386" s="530" t="str">
        <f>IFERROR(IF(FIND("/KM",KB[[#This Row],[SUPPLIER]])&gt;0,"LAUT"),"DARAT")</f>
        <v>LAUT</v>
      </c>
    </row>
    <row r="387" spans="2:25">
      <c r="B387" s="140" t="str">
        <f>IFERROR(LEFT(KB[[#This Row],[SUPPLIER]],FIND("/",KB[[#This Row],[SUPPLIER]])-1),KB[[#This Row],[SUPPLIER]])</f>
        <v>DINI CHAIRANI</v>
      </c>
      <c r="C387" s="141" t="str">
        <f>TEXT(VLOOKUP(KB[[#This Row],[RELASI]],DBRELASI[[RELASI]:[DOCKB]],10,0)+COUNTIFS($B$2:B387,KB[[#This Row],[RELASI]],$D$2:D387,1),"000")</f>
        <v>023</v>
      </c>
      <c r="D387" s="141">
        <f>IF(COUNTIFS($B$3:B387,KB[[#This Row],[RELASI]],$F$3:F387,KB[[#This Row],[TANGGAL]])&lt;&gt;1,0,1)</f>
        <v>1</v>
      </c>
      <c r="E387" s="141" t="str">
        <f>TEXT(IF(KB[[#This Row],[DOC]]&lt;&gt;"",KB[[#This Row],[DOC]],E386),"000")</f>
        <v>023</v>
      </c>
      <c r="F387" s="40">
        <v>43875</v>
      </c>
      <c r="G387" s="40" t="str">
        <f>TYPE</f>
        <v>A</v>
      </c>
      <c r="H387" s="153" t="s">
        <v>843</v>
      </c>
      <c r="I387" s="42" t="s">
        <v>517</v>
      </c>
      <c r="J387" s="43" t="s">
        <v>95</v>
      </c>
      <c r="K387" s="44">
        <v>5</v>
      </c>
      <c r="L387" s="49">
        <v>39980</v>
      </c>
      <c r="M387" s="49">
        <v>19450</v>
      </c>
      <c r="N387" s="49">
        <v>20530</v>
      </c>
      <c r="O387" s="49">
        <v>5.9999999999999991</v>
      </c>
      <c r="P387" s="49">
        <v>1231.8</v>
      </c>
      <c r="Q387" s="49">
        <v>19298.2</v>
      </c>
      <c r="R387" s="49">
        <v>2800</v>
      </c>
      <c r="S387" s="49">
        <v>54034960</v>
      </c>
      <c r="T387" s="49">
        <v>14.07</v>
      </c>
      <c r="U387" s="49">
        <v>2814.07</v>
      </c>
      <c r="V387" s="49">
        <v>54306485</v>
      </c>
      <c r="W387" s="49">
        <v>271533</v>
      </c>
      <c r="X387" s="49">
        <v>54034952</v>
      </c>
      <c r="Y387" s="530" t="str">
        <f>IFERROR(IF(FIND("/KM",KB[[#This Row],[SUPPLIER]])&gt;0,"LAUT"),"DARAT")</f>
        <v>LAUT</v>
      </c>
    </row>
    <row r="388" spans="2:25">
      <c r="B388" s="140" t="str">
        <f>IFERROR(LEFT(KB[[#This Row],[SUPPLIER]],FIND("/",KB[[#This Row],[SUPPLIER]])-1),KB[[#This Row],[SUPPLIER]])</f>
        <v>DINI CHAIRANI</v>
      </c>
      <c r="C388" s="141" t="str">
        <f>TEXT(VLOOKUP(KB[[#This Row],[RELASI]],DBRELASI[[RELASI]:[DOCKB]],10,0)+COUNTIFS($B$2:B388,KB[[#This Row],[RELASI]],$D$2:D388,1),"000")</f>
        <v>023</v>
      </c>
      <c r="D388" s="141">
        <f>IF(COUNTIFS($B$3:B388,KB[[#This Row],[RELASI]],$F$3:F388,KB[[#This Row],[TANGGAL]])&lt;&gt;1,0,1)</f>
        <v>0</v>
      </c>
      <c r="E388" s="141" t="str">
        <f>TEXT(IF(KB[[#This Row],[DOC]]&lt;&gt;"",KB[[#This Row],[DOC]],E387),"000")</f>
        <v>023</v>
      </c>
      <c r="F388" s="40">
        <v>43875</v>
      </c>
      <c r="G388" s="40" t="str">
        <f>TYPE</f>
        <v>A</v>
      </c>
      <c r="H388"/>
      <c r="I388" s="42" t="s">
        <v>876</v>
      </c>
      <c r="J388" s="43" t="s">
        <v>95</v>
      </c>
      <c r="K388" s="44">
        <v>1</v>
      </c>
      <c r="L388" s="49">
        <v>7130</v>
      </c>
      <c r="M388" s="49">
        <v>3870</v>
      </c>
      <c r="N388" s="49">
        <v>3260</v>
      </c>
      <c r="O388" s="49">
        <v>6</v>
      </c>
      <c r="P388" s="49">
        <v>195.6</v>
      </c>
      <c r="Q388" s="49">
        <v>3064.4</v>
      </c>
      <c r="R388" s="49">
        <v>2750</v>
      </c>
      <c r="S388" s="49">
        <v>8427100</v>
      </c>
      <c r="T388" s="49">
        <v>13.82</v>
      </c>
      <c r="U388" s="49">
        <v>2763.82</v>
      </c>
      <c r="V388" s="49">
        <v>8469450</v>
      </c>
      <c r="W388" s="49">
        <v>42347</v>
      </c>
      <c r="X388" s="49">
        <v>8427103</v>
      </c>
      <c r="Y388" s="530" t="str">
        <f>IFERROR(IF(FIND("/KM",KB[[#This Row],[SUPPLIER]])&gt;0,"LAUT"),"DARAT")</f>
        <v>LAUT</v>
      </c>
    </row>
    <row r="389" spans="2:25">
      <c r="B389" s="140" t="str">
        <f>IFERROR(LEFT(KB[[#This Row],[SUPPLIER]],FIND("/",KB[[#This Row],[SUPPLIER]])-1),KB[[#This Row],[SUPPLIER]])</f>
        <v>HELMANSYAH</v>
      </c>
      <c r="C389" s="141" t="str">
        <f>TEXT(VLOOKUP(KB[[#This Row],[RELASI]],DBRELASI[[RELASI]:[DOCKB]],10,0)+COUNTIFS($B$2:B389,KB[[#This Row],[RELASI]],$D$2:D389,1),"000")</f>
        <v>002</v>
      </c>
      <c r="D389" s="141">
        <f>IF(COUNTIFS($B$3:B389,KB[[#This Row],[RELASI]],$F$3:F389,KB[[#This Row],[TANGGAL]])&lt;&gt;1,0,1)</f>
        <v>1</v>
      </c>
      <c r="E389" s="141" t="str">
        <f>TEXT(IF(KB[[#This Row],[DOC]]&lt;&gt;"",KB[[#This Row],[DOC]],E388),"000")</f>
        <v>002</v>
      </c>
      <c r="F389" s="40">
        <v>43875</v>
      </c>
      <c r="G389" s="40" t="str">
        <f>TYPE</f>
        <v>A</v>
      </c>
      <c r="H389" s="153" t="s">
        <v>515</v>
      </c>
      <c r="I389" s="42" t="s">
        <v>877</v>
      </c>
      <c r="J389" s="43" t="s">
        <v>866</v>
      </c>
      <c r="K389" s="44">
        <v>5</v>
      </c>
      <c r="L389" s="49">
        <v>41780</v>
      </c>
      <c r="M389" s="49">
        <v>19290</v>
      </c>
      <c r="N389" s="49">
        <v>22490</v>
      </c>
      <c r="O389" s="49">
        <v>5.9999999999999991</v>
      </c>
      <c r="P389" s="49">
        <v>1349.3999999999999</v>
      </c>
      <c r="Q389" s="49">
        <v>21140.6</v>
      </c>
      <c r="R389" s="49">
        <v>3000</v>
      </c>
      <c r="S389" s="49">
        <v>63421800</v>
      </c>
      <c r="T389" s="49">
        <v>15.08</v>
      </c>
      <c r="U389" s="49">
        <v>3015.08</v>
      </c>
      <c r="V389" s="49">
        <v>63740600</v>
      </c>
      <c r="W389" s="49">
        <v>318703</v>
      </c>
      <c r="X389" s="49">
        <v>63421897</v>
      </c>
      <c r="Y389" s="530" t="str">
        <f>IFERROR(IF(FIND("/KM",KB[[#This Row],[SUPPLIER]])&gt;0,"LAUT"),"DARAT")</f>
        <v>LAUT</v>
      </c>
    </row>
    <row r="390" spans="2:25">
      <c r="B390" s="140" t="str">
        <f>IFERROR(LEFT(KB[[#This Row],[SUPPLIER]],FIND("/",KB[[#This Row],[SUPPLIER]])-1),KB[[#This Row],[SUPPLIER]])</f>
        <v>HELMANSYAH</v>
      </c>
      <c r="C390" s="141" t="str">
        <f>TEXT(VLOOKUP(KB[[#This Row],[RELASI]],DBRELASI[[RELASI]:[DOCKB]],10,0)+COUNTIFS($B$2:B390,KB[[#This Row],[RELASI]],$D$2:D390,1),"000")</f>
        <v>002</v>
      </c>
      <c r="D390" s="141">
        <f>IF(COUNTIFS($B$3:B390,KB[[#This Row],[RELASI]],$F$3:F390,KB[[#This Row],[TANGGAL]])&lt;&gt;1,0,1)</f>
        <v>0</v>
      </c>
      <c r="E390" s="141" t="str">
        <f>TEXT(IF(KB[[#This Row],[DOC]]&lt;&gt;"",KB[[#This Row],[DOC]],E389),"000")</f>
        <v>002</v>
      </c>
      <c r="F390" s="40">
        <v>43875</v>
      </c>
      <c r="G390" s="40" t="str">
        <f>TYPE</f>
        <v>A</v>
      </c>
      <c r="H390"/>
      <c r="I390" s="42" t="s">
        <v>878</v>
      </c>
      <c r="J390" s="43" t="s">
        <v>866</v>
      </c>
      <c r="K390" s="44">
        <v>2</v>
      </c>
      <c r="L390" s="49">
        <v>15560</v>
      </c>
      <c r="M390" s="49">
        <v>7760</v>
      </c>
      <c r="N390" s="49">
        <v>7800</v>
      </c>
      <c r="O390" s="49">
        <v>6</v>
      </c>
      <c r="P390" s="49">
        <v>468</v>
      </c>
      <c r="Q390" s="49">
        <v>7332</v>
      </c>
      <c r="R390" s="49">
        <v>2850</v>
      </c>
      <c r="S390" s="49">
        <v>20896200</v>
      </c>
      <c r="T390" s="49">
        <v>14.32</v>
      </c>
      <c r="U390" s="49">
        <v>2864.32</v>
      </c>
      <c r="V390" s="49">
        <v>21001195</v>
      </c>
      <c r="W390" s="49">
        <v>105006</v>
      </c>
      <c r="X390" s="49">
        <v>20896189</v>
      </c>
      <c r="Y390" s="530" t="str">
        <f>IFERROR(IF(FIND("/KM",KB[[#This Row],[SUPPLIER]])&gt;0,"LAUT"),"DARAT")</f>
        <v>LAUT</v>
      </c>
    </row>
    <row r="391" spans="2:25">
      <c r="B391" s="140" t="str">
        <f>IFERROR(LEFT(KB[[#This Row],[SUPPLIER]],FIND("/",KB[[#This Row],[SUPPLIER]])-1),KB[[#This Row],[SUPPLIER]])</f>
        <v>HELMANSYAH</v>
      </c>
      <c r="C391" s="141" t="str">
        <f>TEXT(VLOOKUP(KB[[#This Row],[RELASI]],DBRELASI[[RELASI]:[DOCKB]],10,0)+COUNTIFS($B$2:B391,KB[[#This Row],[RELASI]],$D$2:D391,1),"000")</f>
        <v>002</v>
      </c>
      <c r="D391" s="141">
        <f>IF(COUNTIFS($B$3:B391,KB[[#This Row],[RELASI]],$F$3:F391,KB[[#This Row],[TANGGAL]])&lt;&gt;1,0,1)</f>
        <v>0</v>
      </c>
      <c r="E391" s="141" t="str">
        <f>TEXT(IF(KB[[#This Row],[DOC]]&lt;&gt;"",KB[[#This Row],[DOC]],E390),"000")</f>
        <v>002</v>
      </c>
      <c r="F391" s="40">
        <v>43875</v>
      </c>
      <c r="G391" s="40" t="str">
        <f>TYPE</f>
        <v>A</v>
      </c>
      <c r="H391"/>
      <c r="I391" s="42" t="s">
        <v>867</v>
      </c>
      <c r="J391" s="43" t="s">
        <v>866</v>
      </c>
      <c r="K391" s="44">
        <v>2</v>
      </c>
      <c r="L391" s="49">
        <v>15190</v>
      </c>
      <c r="M391" s="49">
        <v>7750</v>
      </c>
      <c r="N391" s="49">
        <v>7440</v>
      </c>
      <c r="O391" s="49">
        <v>5.9999999999999991</v>
      </c>
      <c r="P391" s="49">
        <v>446.4</v>
      </c>
      <c r="Q391" s="49">
        <v>6993.5999999999995</v>
      </c>
      <c r="R391" s="49">
        <v>2850</v>
      </c>
      <c r="S391" s="49">
        <v>19931760</v>
      </c>
      <c r="T391" s="49">
        <v>14.32</v>
      </c>
      <c r="U391" s="49">
        <v>2864.32</v>
      </c>
      <c r="V391" s="49">
        <v>20031909</v>
      </c>
      <c r="W391" s="49">
        <v>100159</v>
      </c>
      <c r="X391" s="49">
        <v>19931750</v>
      </c>
      <c r="Y391" s="530" t="str">
        <f>IFERROR(IF(FIND("/KM",KB[[#This Row],[SUPPLIER]])&gt;0,"LAUT"),"DARAT")</f>
        <v>LAUT</v>
      </c>
    </row>
    <row r="392" spans="2:25">
      <c r="B392" s="140" t="str">
        <f>IFERROR(LEFT(KB[[#This Row],[SUPPLIER]],FIND("/",KB[[#This Row],[SUPPLIER]])-1),KB[[#This Row],[SUPPLIER]])</f>
        <v>HELMANSYAH</v>
      </c>
      <c r="C392" s="141" t="str">
        <f>TEXT(VLOOKUP(KB[[#This Row],[RELASI]],DBRELASI[[RELASI]:[DOCKB]],10,0)+COUNTIFS($B$2:B392,KB[[#This Row],[RELASI]],$D$2:D392,1),"000")</f>
        <v>002</v>
      </c>
      <c r="D392" s="141">
        <f>IF(COUNTIFS($B$3:B392,KB[[#This Row],[RELASI]],$F$3:F392,KB[[#This Row],[TANGGAL]])&lt;&gt;1,0,1)</f>
        <v>0</v>
      </c>
      <c r="E392" s="141" t="str">
        <f>TEXT(IF(KB[[#This Row],[DOC]]&lt;&gt;"",KB[[#This Row],[DOC]],E391),"000")</f>
        <v>002</v>
      </c>
      <c r="F392" s="40">
        <v>43875</v>
      </c>
      <c r="G392" s="40" t="str">
        <f>TYPE</f>
        <v>A</v>
      </c>
      <c r="H392"/>
      <c r="I392" s="42" t="s">
        <v>879</v>
      </c>
      <c r="J392" s="43" t="s">
        <v>866</v>
      </c>
      <c r="K392" s="44">
        <v>2</v>
      </c>
      <c r="L392" s="49">
        <v>14280</v>
      </c>
      <c r="M392" s="49">
        <v>7740</v>
      </c>
      <c r="N392" s="49">
        <v>6540</v>
      </c>
      <c r="O392" s="49">
        <v>5.9999999999999991</v>
      </c>
      <c r="P392" s="49">
        <v>392.4</v>
      </c>
      <c r="Q392" s="49">
        <v>6147.6</v>
      </c>
      <c r="R392" s="49">
        <v>2850</v>
      </c>
      <c r="S392" s="49">
        <v>17520660</v>
      </c>
      <c r="T392" s="49">
        <v>14.32</v>
      </c>
      <c r="U392" s="49">
        <v>2864.32</v>
      </c>
      <c r="V392" s="49">
        <v>17608693</v>
      </c>
      <c r="W392" s="49">
        <v>88044</v>
      </c>
      <c r="X392" s="49">
        <v>17520649</v>
      </c>
      <c r="Y392" s="530" t="str">
        <f>IFERROR(IF(FIND("/KM",KB[[#This Row],[SUPPLIER]])&gt;0,"LAUT"),"DARAT")</f>
        <v>LAUT</v>
      </c>
    </row>
    <row r="393" spans="2:25">
      <c r="B393" s="140" t="str">
        <f>IFERROR(LEFT(KB[[#This Row],[SUPPLIER]],FIND("/",KB[[#This Row],[SUPPLIER]])-1),KB[[#This Row],[SUPPLIER]])</f>
        <v>HENDRI</v>
      </c>
      <c r="C393" s="141" t="str">
        <f>TEXT(VLOOKUP(KB[[#This Row],[RELASI]],DBRELASI[[RELASI]:[DOCKB]],10,0)+COUNTIFS($B$2:B393,KB[[#This Row],[RELASI]],$D$2:D393,1),"000")</f>
        <v>019</v>
      </c>
      <c r="D393" s="141">
        <f>IF(COUNTIFS($B$3:B393,KB[[#This Row],[RELASI]],$F$3:F393,KB[[#This Row],[TANGGAL]])&lt;&gt;1,0,1)</f>
        <v>1</v>
      </c>
      <c r="E393" s="141" t="str">
        <f>TEXT(IF(KB[[#This Row],[DOC]]&lt;&gt;"",KB[[#This Row],[DOC]],E392),"000")</f>
        <v>019</v>
      </c>
      <c r="F393" s="40">
        <v>43875</v>
      </c>
      <c r="G393" s="40" t="str">
        <f>TYPE</f>
        <v>A</v>
      </c>
      <c r="H393" s="153" t="s">
        <v>810</v>
      </c>
      <c r="I393" s="42" t="s">
        <v>774</v>
      </c>
      <c r="J393" s="43" t="s">
        <v>475</v>
      </c>
      <c r="K393" s="44">
        <v>4</v>
      </c>
      <c r="L393" s="49">
        <v>31120</v>
      </c>
      <c r="M393" s="49">
        <v>15540</v>
      </c>
      <c r="N393" s="49">
        <v>15580</v>
      </c>
      <c r="O393" s="49">
        <v>5.9999999999999991</v>
      </c>
      <c r="P393" s="49">
        <v>934.8</v>
      </c>
      <c r="Q393" s="49">
        <v>14645.2</v>
      </c>
      <c r="R393" s="49">
        <v>2800</v>
      </c>
      <c r="S393" s="49">
        <v>41006560</v>
      </c>
      <c r="T393" s="49">
        <v>14.07</v>
      </c>
      <c r="U393" s="49">
        <v>2814.07</v>
      </c>
      <c r="V393" s="49">
        <v>41212618</v>
      </c>
      <c r="W393" s="49">
        <v>206063</v>
      </c>
      <c r="X393" s="49">
        <v>41006555</v>
      </c>
      <c r="Y393" s="530" t="str">
        <f>IFERROR(IF(FIND("/KM",KB[[#This Row],[SUPPLIER]])&gt;0,"LAUT"),"DARAT")</f>
        <v>LAUT</v>
      </c>
    </row>
    <row r="394" spans="2:25">
      <c r="B394" s="140" t="str">
        <f>IFERROR(LEFT(KB[[#This Row],[SUPPLIER]],FIND("/",KB[[#This Row],[SUPPLIER]])-1),KB[[#This Row],[SUPPLIER]])</f>
        <v>MARTONO</v>
      </c>
      <c r="C394" s="141" t="str">
        <f>TEXT(VLOOKUP(KB[[#This Row],[RELASI]],DBRELASI[[RELASI]:[DOCKB]],10,0)+COUNTIFS($B$2:B394,KB[[#This Row],[RELASI]],$D$2:D394,1),"000")</f>
        <v>026</v>
      </c>
      <c r="D394" s="141">
        <f>IF(COUNTIFS($B$3:B394,KB[[#This Row],[RELASI]],$F$3:F394,KB[[#This Row],[TANGGAL]])&lt;&gt;1,0,1)</f>
        <v>1</v>
      </c>
      <c r="E394" s="141" t="str">
        <f>TEXT(IF(KB[[#This Row],[DOC]]&lt;&gt;"",KB[[#This Row],[DOC]],E393),"000")</f>
        <v>026</v>
      </c>
      <c r="F394" s="40">
        <v>43875</v>
      </c>
      <c r="G394" s="40" t="str">
        <f>TYPE</f>
        <v>A</v>
      </c>
      <c r="H394" s="153" t="s">
        <v>852</v>
      </c>
      <c r="I394" s="42" t="s">
        <v>528</v>
      </c>
      <c r="J394" s="43" t="s">
        <v>83</v>
      </c>
      <c r="K394" s="44">
        <v>1</v>
      </c>
      <c r="L394" s="49">
        <v>5420</v>
      </c>
      <c r="M394" s="49">
        <v>3860</v>
      </c>
      <c r="N394" s="49">
        <v>1560</v>
      </c>
      <c r="O394" s="49">
        <v>6</v>
      </c>
      <c r="P394" s="49">
        <v>93.6</v>
      </c>
      <c r="Q394" s="49">
        <v>1466.4</v>
      </c>
      <c r="R394" s="49">
        <v>2750</v>
      </c>
      <c r="S394" s="49">
        <v>4032600</v>
      </c>
      <c r="T394" s="49">
        <v>13.82</v>
      </c>
      <c r="U394" s="49">
        <v>2763.82</v>
      </c>
      <c r="V394" s="49">
        <v>4052866</v>
      </c>
      <c r="W394" s="49">
        <v>20264</v>
      </c>
      <c r="X394" s="49">
        <v>4032602</v>
      </c>
      <c r="Y394" s="530" t="str">
        <f>IFERROR(IF(FIND("/KM",KB[[#This Row],[SUPPLIER]])&gt;0,"LAUT"),"DARAT")</f>
        <v>LAUT</v>
      </c>
    </row>
    <row r="395" spans="2:25">
      <c r="B395" s="140" t="str">
        <f>IFERROR(LEFT(KB[[#This Row],[SUPPLIER]],FIND("/",KB[[#This Row],[SUPPLIER]])-1),KB[[#This Row],[SUPPLIER]])</f>
        <v>MASRI</v>
      </c>
      <c r="C395" s="141" t="str">
        <f>TEXT(VLOOKUP(KB[[#This Row],[RELASI]],DBRELASI[[RELASI]:[DOCKB]],10,0)+COUNTIFS($B$2:B395,KB[[#This Row],[RELASI]],$D$2:D395,1),"000")</f>
        <v>021</v>
      </c>
      <c r="D395" s="141">
        <f>IF(COUNTIFS($B$3:B395,KB[[#This Row],[RELASI]],$F$3:F395,KB[[#This Row],[TANGGAL]])&lt;&gt;1,0,1)</f>
        <v>1</v>
      </c>
      <c r="E395" s="141" t="str">
        <f>TEXT(IF(KB[[#This Row],[DOC]]&lt;&gt;"",KB[[#This Row],[DOC]],E394),"000")</f>
        <v>021</v>
      </c>
      <c r="F395" s="40">
        <v>43875</v>
      </c>
      <c r="G395" s="40" t="str">
        <f>TYPE</f>
        <v>A</v>
      </c>
      <c r="H395" s="153" t="s">
        <v>823</v>
      </c>
      <c r="I395" s="42" t="s">
        <v>802</v>
      </c>
      <c r="J395" s="43" t="s">
        <v>511</v>
      </c>
      <c r="K395" s="44">
        <v>10</v>
      </c>
      <c r="L395" s="49">
        <v>84140</v>
      </c>
      <c r="M395" s="49">
        <v>38820</v>
      </c>
      <c r="N395" s="49">
        <v>45320</v>
      </c>
      <c r="O395" s="49">
        <v>6.5752427184466029</v>
      </c>
      <c r="P395" s="49">
        <v>2979.9000000000005</v>
      </c>
      <c r="Q395" s="49">
        <v>42340.099999999991</v>
      </c>
      <c r="R395" s="49">
        <v>3050.0000000000005</v>
      </c>
      <c r="S395" s="49">
        <v>129137305</v>
      </c>
      <c r="T395" s="49">
        <v>15.33</v>
      </c>
      <c r="U395" s="49">
        <v>3065.3300000000004</v>
      </c>
      <c r="V395" s="49">
        <v>129786379</v>
      </c>
      <c r="W395" s="49">
        <v>648931</v>
      </c>
      <c r="X395" s="49">
        <v>129137448</v>
      </c>
      <c r="Y395" s="530" t="str">
        <f>IFERROR(IF(FIND("/KM",KB[[#This Row],[SUPPLIER]])&gt;0,"LAUT"),"DARAT")</f>
        <v>LAUT</v>
      </c>
    </row>
    <row r="396" spans="2:25">
      <c r="B396" s="140" t="str">
        <f>IFERROR(LEFT(KB[[#This Row],[SUPPLIER]],FIND("/",KB[[#This Row],[SUPPLIER]])-1),KB[[#This Row],[SUPPLIER]])</f>
        <v>MASRI</v>
      </c>
      <c r="C396" s="141" t="str">
        <f>TEXT(VLOOKUP(KB[[#This Row],[RELASI]],DBRELASI[[RELASI]:[DOCKB]],10,0)+COUNTIFS($B$2:B396,KB[[#This Row],[RELASI]],$D$2:D396,1),"000")</f>
        <v>021</v>
      </c>
      <c r="D396" s="141">
        <f>IF(COUNTIFS($B$3:B396,KB[[#This Row],[RELASI]],$F$3:F396,KB[[#This Row],[TANGGAL]])&lt;&gt;1,0,1)</f>
        <v>0</v>
      </c>
      <c r="E396" s="141" t="str">
        <f>TEXT(IF(KB[[#This Row],[DOC]]&lt;&gt;"",KB[[#This Row],[DOC]],E395),"000")</f>
        <v>021</v>
      </c>
      <c r="F396" s="40">
        <v>43875</v>
      </c>
      <c r="G396" s="40" t="str">
        <f>TYPE</f>
        <v>A</v>
      </c>
      <c r="H396"/>
      <c r="I396" s="46" t="s">
        <v>775</v>
      </c>
      <c r="J396" s="47" t="s">
        <v>511</v>
      </c>
      <c r="K396" s="48">
        <v>8</v>
      </c>
      <c r="L396" s="49">
        <v>68810</v>
      </c>
      <c r="M396" s="49">
        <v>31150</v>
      </c>
      <c r="N396" s="49">
        <v>37660</v>
      </c>
      <c r="O396" s="49">
        <v>5.9999999999999991</v>
      </c>
      <c r="P396" s="49">
        <v>2259.6</v>
      </c>
      <c r="Q396" s="49">
        <v>35400.399999999994</v>
      </c>
      <c r="R396" s="49">
        <v>3050.0000000000005</v>
      </c>
      <c r="S396" s="49">
        <v>107971220</v>
      </c>
      <c r="T396" s="49">
        <v>15.33</v>
      </c>
      <c r="U396" s="49">
        <v>3065.3300000000004</v>
      </c>
      <c r="V396" s="49">
        <v>108513909</v>
      </c>
      <c r="W396" s="49">
        <v>542569</v>
      </c>
      <c r="X396" s="49">
        <v>107971340</v>
      </c>
      <c r="Y396" s="574" t="str">
        <f>IFERROR(IF(FIND("/KM",KB[[#This Row],[SUPPLIER]])&gt;0,"LAUT"),"DARAT")</f>
        <v>LAUT</v>
      </c>
    </row>
    <row r="397" spans="2:25">
      <c r="B397" s="140" t="str">
        <f>IFERROR(LEFT(KB[[#This Row],[SUPPLIER]],FIND("/",KB[[#This Row],[SUPPLIER]])-1),KB[[#This Row],[SUPPLIER]])</f>
        <v>ERAWATI</v>
      </c>
      <c r="C397" s="141" t="str">
        <f>TEXT(VLOOKUP(KB[[#This Row],[RELASI]],DBRELASI[[RELASI]:[DOCKB]],10,0)+COUNTIFS($B$2:B397,KB[[#This Row],[RELASI]],$D$2:D397,1),"000")</f>
        <v>033</v>
      </c>
      <c r="D397" s="141">
        <f>IF(COUNTIFS($B$3:B397,KB[[#This Row],[RELASI]],$F$3:F397,KB[[#This Row],[TANGGAL]])&lt;&gt;1,0,1)</f>
        <v>1</v>
      </c>
      <c r="E397" s="141" t="str">
        <f>TEXT(IF(KB[[#This Row],[DOC]]&lt;&gt;"",KB[[#This Row],[DOC]],E396),"000")</f>
        <v>033</v>
      </c>
      <c r="F397" s="40">
        <v>43876</v>
      </c>
      <c r="G397" s="40" t="str">
        <f>TYPE</f>
        <v>A</v>
      </c>
      <c r="H397" s="153" t="s">
        <v>880</v>
      </c>
      <c r="I397" s="42" t="s">
        <v>155</v>
      </c>
      <c r="J397" s="43" t="s">
        <v>77</v>
      </c>
      <c r="K397" s="44">
        <v>2</v>
      </c>
      <c r="L397" s="49">
        <v>6030</v>
      </c>
      <c r="M397" s="49">
        <v>3060</v>
      </c>
      <c r="N397" s="49">
        <v>2970</v>
      </c>
      <c r="O397" s="49">
        <v>5</v>
      </c>
      <c r="P397" s="49">
        <v>148.5</v>
      </c>
      <c r="Q397" s="49">
        <v>2821.5</v>
      </c>
      <c r="R397" s="49">
        <v>2800</v>
      </c>
      <c r="S397" s="49">
        <v>7900200</v>
      </c>
      <c r="T397" s="49">
        <v>14.07</v>
      </c>
      <c r="U397" s="49">
        <v>2814.07</v>
      </c>
      <c r="V397" s="49">
        <v>7939899</v>
      </c>
      <c r="W397" s="49">
        <v>39700</v>
      </c>
      <c r="X397" s="49">
        <v>7900199</v>
      </c>
      <c r="Y397" s="530" t="str">
        <f>IFERROR(IF(FIND("/KM",KB[[#This Row],[SUPPLIER]])&gt;0,"LAUT"),"DARAT")</f>
        <v>DARAT</v>
      </c>
    </row>
    <row r="398" spans="2:25">
      <c r="B398" s="140" t="str">
        <f>IFERROR(LEFT(KB[[#This Row],[SUPPLIER]],FIND("/",KB[[#This Row],[SUPPLIER]])-1),KB[[#This Row],[SUPPLIER]])</f>
        <v>INDRAYANI</v>
      </c>
      <c r="C398" s="141" t="str">
        <f>TEXT(VLOOKUP(KB[[#This Row],[RELASI]],DBRELASI[[RELASI]:[DOCKB]],10,0)+COUNTIFS($B$2:B398,KB[[#This Row],[RELASI]],$D$2:D398,1),"000")</f>
        <v>029</v>
      </c>
      <c r="D398" s="141">
        <f>IF(COUNTIFS($B$3:B398,KB[[#This Row],[RELASI]],$F$3:F398,KB[[#This Row],[TANGGAL]])&lt;&gt;1,0,1)</f>
        <v>1</v>
      </c>
      <c r="E398" s="141" t="str">
        <f>TEXT(IF(KB[[#This Row],[DOC]]&lt;&gt;"",KB[[#This Row],[DOC]],E397),"000")</f>
        <v>029</v>
      </c>
      <c r="F398" s="40">
        <v>43876</v>
      </c>
      <c r="G398" s="40" t="str">
        <f>TYPE</f>
        <v>A</v>
      </c>
      <c r="H398" s="153" t="s">
        <v>857</v>
      </c>
      <c r="I398" s="42" t="s">
        <v>79</v>
      </c>
      <c r="J398" s="43" t="s">
        <v>77</v>
      </c>
      <c r="K398" s="44">
        <v>2</v>
      </c>
      <c r="L398" s="49">
        <v>21160</v>
      </c>
      <c r="M398" s="49">
        <v>7950</v>
      </c>
      <c r="N398" s="49">
        <v>13210</v>
      </c>
      <c r="O398" s="49">
        <v>5.4246782740348216</v>
      </c>
      <c r="P398" s="49">
        <v>716.59999999999991</v>
      </c>
      <c r="Q398" s="49">
        <v>12493.4</v>
      </c>
      <c r="R398" s="49">
        <v>2900</v>
      </c>
      <c r="S398" s="49">
        <v>36230860</v>
      </c>
      <c r="T398" s="49">
        <v>14.57</v>
      </c>
      <c r="U398" s="49">
        <v>2914.57</v>
      </c>
      <c r="V398" s="49">
        <v>36412888</v>
      </c>
      <c r="W398" s="49">
        <v>182064</v>
      </c>
      <c r="X398" s="49">
        <v>36230824</v>
      </c>
      <c r="Y398" s="530" t="str">
        <f>IFERROR(IF(FIND("/KM",KB[[#This Row],[SUPPLIER]])&gt;0,"LAUT"),"DARAT")</f>
        <v>DARAT</v>
      </c>
    </row>
    <row r="399" spans="2:25">
      <c r="B399" s="140" t="str">
        <f>IFERROR(LEFT(KB[[#This Row],[SUPPLIER]],FIND("/",KB[[#This Row],[SUPPLIER]])-1),KB[[#This Row],[SUPPLIER]])</f>
        <v>RUSLAN JAYA, SH</v>
      </c>
      <c r="C399" s="141" t="str">
        <f>TEXT(VLOOKUP(KB[[#This Row],[RELASI]],DBRELASI[[RELASI]:[DOCKB]],10,0)+COUNTIFS($B$2:B399,KB[[#This Row],[RELASI]],$D$2:D399,1),"000")</f>
        <v>020</v>
      </c>
      <c r="D399" s="141">
        <f>IF(COUNTIFS($B$3:B399,KB[[#This Row],[RELASI]],$F$3:F399,KB[[#This Row],[TANGGAL]])&lt;&gt;1,0,1)</f>
        <v>1</v>
      </c>
      <c r="E399" s="141" t="str">
        <f>TEXT(IF(KB[[#This Row],[DOC]]&lt;&gt;"",KB[[#This Row],[DOC]],E398),"000")</f>
        <v>020</v>
      </c>
      <c r="F399" s="40">
        <v>43876</v>
      </c>
      <c r="G399" s="40" t="str">
        <f>TYPE</f>
        <v>A</v>
      </c>
      <c r="H399" s="153" t="s">
        <v>818</v>
      </c>
      <c r="I399" s="42" t="s">
        <v>479</v>
      </c>
      <c r="J399" s="43" t="s">
        <v>475</v>
      </c>
      <c r="K399" s="44">
        <v>1</v>
      </c>
      <c r="L399" s="49">
        <v>12310</v>
      </c>
      <c r="M399" s="49">
        <v>4490</v>
      </c>
      <c r="N399" s="49">
        <v>7820</v>
      </c>
      <c r="O399" s="49">
        <v>5</v>
      </c>
      <c r="P399" s="49">
        <v>391</v>
      </c>
      <c r="Q399" s="49">
        <v>7429</v>
      </c>
      <c r="R399" s="49">
        <v>2800</v>
      </c>
      <c r="S399" s="49">
        <v>20801200</v>
      </c>
      <c r="T399" s="49">
        <v>14.07</v>
      </c>
      <c r="U399" s="49">
        <v>2814.07</v>
      </c>
      <c r="V399" s="49">
        <v>20905726</v>
      </c>
      <c r="W399" s="49">
        <v>104529</v>
      </c>
      <c r="X399" s="49">
        <v>20801197</v>
      </c>
      <c r="Y399" s="530" t="str">
        <f>IFERROR(IF(FIND("/KM",KB[[#This Row],[SUPPLIER]])&gt;0,"LAUT"),"DARAT")</f>
        <v>DARAT</v>
      </c>
    </row>
    <row r="400" spans="2:25">
      <c r="B400" s="140" t="str">
        <f>IFERROR(LEFT(KB[[#This Row],[SUPPLIER]],FIND("/",KB[[#This Row],[SUPPLIER]])-1),KB[[#This Row],[SUPPLIER]])</f>
        <v>SAIRI</v>
      </c>
      <c r="C400" s="141" t="str">
        <f>TEXT(VLOOKUP(KB[[#This Row],[RELASI]],DBRELASI[[RELASI]:[DOCKB]],10,0)+COUNTIFS($B$2:B400,KB[[#This Row],[RELASI]],$D$2:D400,1),"000")</f>
        <v>022</v>
      </c>
      <c r="D400" s="141">
        <f>IF(COUNTIFS($B$3:B400,KB[[#This Row],[RELASI]],$F$3:F400,KB[[#This Row],[TANGGAL]])&lt;&gt;1,0,1)</f>
        <v>1</v>
      </c>
      <c r="E400" s="141" t="str">
        <f>TEXT(IF(KB[[#This Row],[DOC]]&lt;&gt;"",KB[[#This Row],[DOC]],E399),"000")</f>
        <v>022</v>
      </c>
      <c r="F400" s="40">
        <v>43876</v>
      </c>
      <c r="G400" s="40" t="str">
        <f>TYPE</f>
        <v>A</v>
      </c>
      <c r="H400" s="153" t="s">
        <v>837</v>
      </c>
      <c r="I400" s="42" t="s">
        <v>84</v>
      </c>
      <c r="J400" s="43" t="s">
        <v>85</v>
      </c>
      <c r="K400" s="44">
        <v>1</v>
      </c>
      <c r="L400" s="49">
        <v>4740</v>
      </c>
      <c r="M400" s="49">
        <v>1510</v>
      </c>
      <c r="N400" s="49">
        <v>3230</v>
      </c>
      <c r="O400" s="49">
        <v>5</v>
      </c>
      <c r="P400" s="49">
        <v>161.5</v>
      </c>
      <c r="Q400" s="49">
        <v>3068.5</v>
      </c>
      <c r="R400" s="49">
        <v>2850</v>
      </c>
      <c r="S400" s="49">
        <v>8745225</v>
      </c>
      <c r="T400" s="49">
        <v>14.32</v>
      </c>
      <c r="U400" s="49">
        <v>2864.32</v>
      </c>
      <c r="V400" s="49">
        <v>8789166</v>
      </c>
      <c r="W400" s="49">
        <v>43946</v>
      </c>
      <c r="X400" s="49">
        <v>8745220</v>
      </c>
      <c r="Y400" s="530" t="str">
        <f>IFERROR(IF(FIND("/KM",KB[[#This Row],[SUPPLIER]])&gt;0,"LAUT"),"DARAT")</f>
        <v>DARAT</v>
      </c>
    </row>
    <row r="401" spans="2:25">
      <c r="B401" s="140" t="str">
        <f>IFERROR(LEFT(KB[[#This Row],[SUPPLIER]],FIND("/",KB[[#This Row],[SUPPLIER]])-1),KB[[#This Row],[SUPPLIER]])</f>
        <v>DINI CHAIRANI</v>
      </c>
      <c r="C401" s="141" t="str">
        <f>TEXT(VLOOKUP(KB[[#This Row],[RELASI]],DBRELASI[[RELASI]:[DOCKB]],10,0)+COUNTIFS($B$2:B401,KB[[#This Row],[RELASI]],$D$2:D401,1),"000")</f>
        <v>024</v>
      </c>
      <c r="D401" s="141">
        <f>IF(COUNTIFS($B$3:B401,KB[[#This Row],[RELASI]],$F$3:F401,KB[[#This Row],[TANGGAL]])&lt;&gt;1,0,1)</f>
        <v>1</v>
      </c>
      <c r="E401" s="141" t="str">
        <f>TEXT(IF(KB[[#This Row],[DOC]]&lt;&gt;"",KB[[#This Row],[DOC]],E400),"000")</f>
        <v>024</v>
      </c>
      <c r="F401" s="40">
        <v>43876</v>
      </c>
      <c r="G401" s="40" t="str">
        <f>TYPE</f>
        <v>A</v>
      </c>
      <c r="H401" s="153" t="s">
        <v>844</v>
      </c>
      <c r="I401" s="42" t="s">
        <v>772</v>
      </c>
      <c r="J401" s="43" t="s">
        <v>95</v>
      </c>
      <c r="K401" s="44">
        <v>2</v>
      </c>
      <c r="L401" s="49">
        <v>15850</v>
      </c>
      <c r="M401" s="49">
        <v>7710</v>
      </c>
      <c r="N401" s="49">
        <v>8140</v>
      </c>
      <c r="O401" s="49">
        <v>5.9999999999999991</v>
      </c>
      <c r="P401" s="49">
        <v>488.4</v>
      </c>
      <c r="Q401" s="49">
        <v>7651.6</v>
      </c>
      <c r="R401" s="49">
        <v>2750</v>
      </c>
      <c r="S401" s="49">
        <v>21041900</v>
      </c>
      <c r="T401" s="49">
        <v>13.82</v>
      </c>
      <c r="U401" s="49">
        <v>2763.82</v>
      </c>
      <c r="V401" s="49">
        <v>21147645</v>
      </c>
      <c r="W401" s="49">
        <v>105738</v>
      </c>
      <c r="X401" s="49">
        <v>21041907</v>
      </c>
      <c r="Y401" s="530" t="str">
        <f>IFERROR(IF(FIND("/KM",KB[[#This Row],[SUPPLIER]])&gt;0,"LAUT"),"DARAT")</f>
        <v>LAUT</v>
      </c>
    </row>
    <row r="402" spans="2:25">
      <c r="B402" s="140" t="str">
        <f>IFERROR(LEFT(KB[[#This Row],[SUPPLIER]],FIND("/",KB[[#This Row],[SUPPLIER]])-1),KB[[#This Row],[SUPPLIER]])</f>
        <v>DINI CHAIRANI</v>
      </c>
      <c r="C402" s="141" t="str">
        <f>TEXT(VLOOKUP(KB[[#This Row],[RELASI]],DBRELASI[[RELASI]:[DOCKB]],10,0)+COUNTIFS($B$2:B402,KB[[#This Row],[RELASI]],$D$2:D402,1),"000")</f>
        <v>024</v>
      </c>
      <c r="D402" s="141">
        <f>IF(COUNTIFS($B$3:B402,KB[[#This Row],[RELASI]],$F$3:F402,KB[[#This Row],[TANGGAL]])&lt;&gt;1,0,1)</f>
        <v>0</v>
      </c>
      <c r="E402" s="141" t="str">
        <f>TEXT(IF(KB[[#This Row],[DOC]]&lt;&gt;"",KB[[#This Row],[DOC]],E401),"000")</f>
        <v>024</v>
      </c>
      <c r="F402" s="40">
        <v>43876</v>
      </c>
      <c r="G402" s="40" t="str">
        <f>TYPE</f>
        <v>A</v>
      </c>
      <c r="H402"/>
      <c r="I402" s="42" t="s">
        <v>864</v>
      </c>
      <c r="J402" s="43" t="s">
        <v>95</v>
      </c>
      <c r="K402" s="44">
        <v>1</v>
      </c>
      <c r="L402" s="49">
        <v>7600</v>
      </c>
      <c r="M402" s="49">
        <v>3880</v>
      </c>
      <c r="N402" s="49">
        <v>3720</v>
      </c>
      <c r="O402" s="49">
        <v>5.9999999999999991</v>
      </c>
      <c r="P402" s="49">
        <v>223.2</v>
      </c>
      <c r="Q402" s="49">
        <v>3496.8</v>
      </c>
      <c r="R402" s="49">
        <v>2750</v>
      </c>
      <c r="S402" s="49">
        <v>9616200</v>
      </c>
      <c r="T402" s="49">
        <v>13.82</v>
      </c>
      <c r="U402" s="49">
        <v>2763.82</v>
      </c>
      <c r="V402" s="49">
        <v>9664526</v>
      </c>
      <c r="W402" s="49">
        <v>48323</v>
      </c>
      <c r="X402" s="49">
        <v>9616203</v>
      </c>
      <c r="Y402" s="530" t="str">
        <f>IFERROR(IF(FIND("/KM",KB[[#This Row],[SUPPLIER]])&gt;0,"LAUT"),"DARAT")</f>
        <v>LAUT</v>
      </c>
    </row>
    <row r="403" spans="2:25">
      <c r="B403" s="140" t="str">
        <f>IFERROR(LEFT(KB[[#This Row],[SUPPLIER]],FIND("/",KB[[#This Row],[SUPPLIER]])-1),KB[[#This Row],[SUPPLIER]])</f>
        <v>HELMANSYAH</v>
      </c>
      <c r="C403" s="141" t="str">
        <f>TEXT(VLOOKUP(KB[[#This Row],[RELASI]],DBRELASI[[RELASI]:[DOCKB]],10,0)+COUNTIFS($B$2:B403,KB[[#This Row],[RELASI]],$D$2:D403,1),"000")</f>
        <v>003</v>
      </c>
      <c r="D403" s="141">
        <f>IF(COUNTIFS($B$3:B403,KB[[#This Row],[RELASI]],$F$3:F403,KB[[#This Row],[TANGGAL]])&lt;&gt;1,0,1)</f>
        <v>1</v>
      </c>
      <c r="E403" s="141" t="str">
        <f>TEXT(IF(KB[[#This Row],[DOC]]&lt;&gt;"",KB[[#This Row],[DOC]],E402),"000")</f>
        <v>003</v>
      </c>
      <c r="F403" s="40">
        <v>43876</v>
      </c>
      <c r="G403" s="40" t="str">
        <f>TYPE</f>
        <v>A</v>
      </c>
      <c r="H403" s="153" t="s">
        <v>521</v>
      </c>
      <c r="I403" s="42" t="s">
        <v>867</v>
      </c>
      <c r="J403" s="43" t="s">
        <v>866</v>
      </c>
      <c r="K403" s="44">
        <v>2</v>
      </c>
      <c r="L403" s="49">
        <v>15180</v>
      </c>
      <c r="M403" s="49">
        <v>7740</v>
      </c>
      <c r="N403" s="49">
        <v>7440</v>
      </c>
      <c r="O403" s="49">
        <v>5.9999999999999991</v>
      </c>
      <c r="P403" s="49">
        <v>446.4</v>
      </c>
      <c r="Q403" s="49">
        <v>6993.6</v>
      </c>
      <c r="R403" s="49">
        <v>2850</v>
      </c>
      <c r="S403" s="49">
        <v>19931760</v>
      </c>
      <c r="T403" s="49">
        <v>14.32</v>
      </c>
      <c r="U403" s="49">
        <v>2864.32</v>
      </c>
      <c r="V403" s="49">
        <v>20031908</v>
      </c>
      <c r="W403" s="49">
        <v>100160</v>
      </c>
      <c r="X403" s="49">
        <v>19931748</v>
      </c>
      <c r="Y403" s="530" t="str">
        <f>IFERROR(IF(FIND("/KM",KB[[#This Row],[SUPPLIER]])&gt;0,"LAUT"),"DARAT")</f>
        <v>LAUT</v>
      </c>
    </row>
    <row r="404" spans="2:25">
      <c r="B404" s="140" t="str">
        <f>IFERROR(LEFT(KB[[#This Row],[SUPPLIER]],FIND("/",KB[[#This Row],[SUPPLIER]])-1),KB[[#This Row],[SUPPLIER]])</f>
        <v>HELMANSYAH</v>
      </c>
      <c r="C404" s="141" t="str">
        <f>TEXT(VLOOKUP(KB[[#This Row],[RELASI]],DBRELASI[[RELASI]:[DOCKB]],10,0)+COUNTIFS($B$2:B404,KB[[#This Row],[RELASI]],$D$2:D404,1),"000")</f>
        <v>003</v>
      </c>
      <c r="D404" s="141">
        <f>IF(COUNTIFS($B$3:B404,KB[[#This Row],[RELASI]],$F$3:F404,KB[[#This Row],[TANGGAL]])&lt;&gt;1,0,1)</f>
        <v>0</v>
      </c>
      <c r="E404" s="141" t="str">
        <f>TEXT(IF(KB[[#This Row],[DOC]]&lt;&gt;"",KB[[#This Row],[DOC]],E403),"000")</f>
        <v>003</v>
      </c>
      <c r="F404" s="40">
        <v>43876</v>
      </c>
      <c r="G404" s="40" t="str">
        <f>TYPE</f>
        <v>A</v>
      </c>
      <c r="H404"/>
      <c r="I404" s="42" t="s">
        <v>881</v>
      </c>
      <c r="J404" s="43" t="s">
        <v>866</v>
      </c>
      <c r="K404" s="44">
        <v>2</v>
      </c>
      <c r="L404" s="49">
        <v>15260</v>
      </c>
      <c r="M404" s="49">
        <v>7750</v>
      </c>
      <c r="N404" s="49">
        <v>7510</v>
      </c>
      <c r="O404" s="49">
        <v>6.0000000000000009</v>
      </c>
      <c r="P404" s="49">
        <v>450.6</v>
      </c>
      <c r="Q404" s="49">
        <v>7059.4</v>
      </c>
      <c r="R404" s="49">
        <v>2850</v>
      </c>
      <c r="S404" s="49">
        <v>20119290</v>
      </c>
      <c r="T404" s="49">
        <v>14.32</v>
      </c>
      <c r="U404" s="49">
        <v>2864.32</v>
      </c>
      <c r="V404" s="49">
        <v>20220380</v>
      </c>
      <c r="W404" s="49">
        <v>101101</v>
      </c>
      <c r="X404" s="49">
        <v>20119279</v>
      </c>
      <c r="Y404" s="530" t="str">
        <f>IFERROR(IF(FIND("/KM",KB[[#This Row],[SUPPLIER]])&gt;0,"LAUT"),"DARAT")</f>
        <v>LAUT</v>
      </c>
    </row>
    <row r="405" spans="2:25">
      <c r="B405" s="140" t="str">
        <f>IFERROR(LEFT(KB[[#This Row],[SUPPLIER]],FIND("/",KB[[#This Row],[SUPPLIER]])-1),KB[[#This Row],[SUPPLIER]])</f>
        <v>HELMANSYAH</v>
      </c>
      <c r="C405" s="141" t="str">
        <f>TEXT(VLOOKUP(KB[[#This Row],[RELASI]],DBRELASI[[RELASI]:[DOCKB]],10,0)+COUNTIFS($B$2:B405,KB[[#This Row],[RELASI]],$D$2:D405,1),"000")</f>
        <v>003</v>
      </c>
      <c r="D405" s="141">
        <f>IF(COUNTIFS($B$3:B405,KB[[#This Row],[RELASI]],$F$3:F405,KB[[#This Row],[TANGGAL]])&lt;&gt;1,0,1)</f>
        <v>0</v>
      </c>
      <c r="E405" s="141" t="str">
        <f>TEXT(IF(KB[[#This Row],[DOC]]&lt;&gt;"",KB[[#This Row],[DOC]],E404),"000")</f>
        <v>003</v>
      </c>
      <c r="F405" s="40">
        <v>43876</v>
      </c>
      <c r="G405" s="40" t="str">
        <f>TYPE</f>
        <v>A</v>
      </c>
      <c r="H405"/>
      <c r="I405" s="42" t="s">
        <v>882</v>
      </c>
      <c r="J405" s="43" t="s">
        <v>866</v>
      </c>
      <c r="K405" s="44">
        <v>5</v>
      </c>
      <c r="L405" s="49">
        <v>39250</v>
      </c>
      <c r="M405" s="49">
        <v>19400</v>
      </c>
      <c r="N405" s="49">
        <v>19850</v>
      </c>
      <c r="O405" s="49">
        <v>6</v>
      </c>
      <c r="P405" s="49">
        <v>1191</v>
      </c>
      <c r="Q405" s="49">
        <v>18659</v>
      </c>
      <c r="R405" s="49">
        <v>3000</v>
      </c>
      <c r="S405" s="49">
        <v>55977000</v>
      </c>
      <c r="T405" s="49">
        <v>15.08</v>
      </c>
      <c r="U405" s="49">
        <v>3015.08</v>
      </c>
      <c r="V405" s="49">
        <v>56258377</v>
      </c>
      <c r="W405" s="49">
        <v>281292</v>
      </c>
      <c r="X405" s="49">
        <v>55977085</v>
      </c>
      <c r="Y405" s="530" t="str">
        <f>IFERROR(IF(FIND("/KM",KB[[#This Row],[SUPPLIER]])&gt;0,"LAUT"),"DARAT")</f>
        <v>LAUT</v>
      </c>
    </row>
    <row r="406" spans="2:25">
      <c r="B406" s="140" t="str">
        <f>IFERROR(LEFT(KB[[#This Row],[SUPPLIER]],FIND("/",KB[[#This Row],[SUPPLIER]])-1),KB[[#This Row],[SUPPLIER]])</f>
        <v>HELMANSYAH</v>
      </c>
      <c r="C406" s="141" t="str">
        <f>TEXT(VLOOKUP(KB[[#This Row],[RELASI]],DBRELASI[[RELASI]:[DOCKB]],10,0)+COUNTIFS($B$2:B406,KB[[#This Row],[RELASI]],$D$2:D406,1),"000")</f>
        <v>003</v>
      </c>
      <c r="D406" s="141">
        <f>IF(COUNTIFS($B$3:B406,KB[[#This Row],[RELASI]],$F$3:F406,KB[[#This Row],[TANGGAL]])&lt;&gt;1,0,1)</f>
        <v>0</v>
      </c>
      <c r="E406" s="141" t="str">
        <f>TEXT(IF(KB[[#This Row],[DOC]]&lt;&gt;"",KB[[#This Row],[DOC]],E405),"000")</f>
        <v>003</v>
      </c>
      <c r="F406" s="40">
        <v>43876</v>
      </c>
      <c r="G406" s="40" t="str">
        <f>TYPE</f>
        <v>A</v>
      </c>
      <c r="H406"/>
      <c r="I406" s="42" t="s">
        <v>883</v>
      </c>
      <c r="J406" s="43" t="s">
        <v>866</v>
      </c>
      <c r="K406" s="44">
        <v>5</v>
      </c>
      <c r="L406" s="49">
        <v>44120</v>
      </c>
      <c r="M406" s="49">
        <v>19520</v>
      </c>
      <c r="N406" s="49">
        <v>24600</v>
      </c>
      <c r="O406" s="49">
        <v>6</v>
      </c>
      <c r="P406" s="49">
        <v>1476</v>
      </c>
      <c r="Q406" s="49">
        <v>23124</v>
      </c>
      <c r="R406" s="49">
        <v>3000</v>
      </c>
      <c r="S406" s="49">
        <v>69372000</v>
      </c>
      <c r="T406" s="49">
        <v>15.08</v>
      </c>
      <c r="U406" s="49">
        <v>3015.08</v>
      </c>
      <c r="V406" s="49">
        <v>69720710</v>
      </c>
      <c r="W406" s="49">
        <v>348604</v>
      </c>
      <c r="X406" s="49">
        <v>69372106</v>
      </c>
      <c r="Y406" s="530" t="str">
        <f>IFERROR(IF(FIND("/KM",KB[[#This Row],[SUPPLIER]])&gt;0,"LAUT"),"DARAT")</f>
        <v>LAUT</v>
      </c>
    </row>
    <row r="407" spans="2:25">
      <c r="B407" s="140" t="str">
        <f>IFERROR(LEFT(KB[[#This Row],[SUPPLIER]],FIND("/",KB[[#This Row],[SUPPLIER]])-1),KB[[#This Row],[SUPPLIER]])</f>
        <v>HELMANSYAH</v>
      </c>
      <c r="C407" s="141" t="str">
        <f>TEXT(VLOOKUP(KB[[#This Row],[RELASI]],DBRELASI[[RELASI]:[DOCKB]],10,0)+COUNTIFS($B$2:B407,KB[[#This Row],[RELASI]],$D$2:D407,1),"000")</f>
        <v>003</v>
      </c>
      <c r="D407" s="141">
        <f>IF(COUNTIFS($B$3:B407,KB[[#This Row],[RELASI]],$F$3:F407,KB[[#This Row],[TANGGAL]])&lt;&gt;1,0,1)</f>
        <v>0</v>
      </c>
      <c r="E407" s="141" t="str">
        <f>TEXT(IF(KB[[#This Row],[DOC]]&lt;&gt;"",KB[[#This Row],[DOC]],E406),"000")</f>
        <v>003</v>
      </c>
      <c r="F407" s="40">
        <v>43876</v>
      </c>
      <c r="G407" s="40" t="str">
        <f>TYPE</f>
        <v>A</v>
      </c>
      <c r="H407"/>
      <c r="I407" s="42" t="s">
        <v>870</v>
      </c>
      <c r="J407" s="43" t="s">
        <v>866</v>
      </c>
      <c r="K407" s="44">
        <v>2</v>
      </c>
      <c r="L407" s="49">
        <v>15820</v>
      </c>
      <c r="M407" s="49">
        <v>7720</v>
      </c>
      <c r="N407" s="49">
        <v>8100</v>
      </c>
      <c r="O407" s="49">
        <v>6</v>
      </c>
      <c r="P407" s="49">
        <v>486</v>
      </c>
      <c r="Q407" s="49">
        <v>7614</v>
      </c>
      <c r="R407" s="49">
        <v>2850</v>
      </c>
      <c r="S407" s="49">
        <v>21699900</v>
      </c>
      <c r="T407" s="49">
        <v>14.32</v>
      </c>
      <c r="U407" s="49">
        <v>2864.32</v>
      </c>
      <c r="V407" s="49">
        <v>21808933</v>
      </c>
      <c r="W407" s="49">
        <v>109044</v>
      </c>
      <c r="X407" s="49">
        <v>21699889</v>
      </c>
      <c r="Y407" s="530" t="str">
        <f>IFERROR(IF(FIND("/KM",KB[[#This Row],[SUPPLIER]])&gt;0,"LAUT"),"DARAT")</f>
        <v>LAUT</v>
      </c>
    </row>
    <row r="408" spans="2:25">
      <c r="B408" s="140" t="str">
        <f>IFERROR(LEFT(KB[[#This Row],[SUPPLIER]],FIND("/",KB[[#This Row],[SUPPLIER]])-1),KB[[#This Row],[SUPPLIER]])</f>
        <v>MARTONO</v>
      </c>
      <c r="C408" s="141" t="str">
        <f>TEXT(VLOOKUP(KB[[#This Row],[RELASI]],DBRELASI[[RELASI]:[DOCKB]],10,0)+COUNTIFS($B$2:B408,KB[[#This Row],[RELASI]],$D$2:D408,1),"000")</f>
        <v>027</v>
      </c>
      <c r="D408" s="141">
        <f>IF(COUNTIFS($B$3:B408,KB[[#This Row],[RELASI]],$F$3:F408,KB[[#This Row],[TANGGAL]])&lt;&gt;1,0,1)</f>
        <v>1</v>
      </c>
      <c r="E408" s="141" t="str">
        <f>TEXT(IF(KB[[#This Row],[DOC]]&lt;&gt;"",KB[[#This Row],[DOC]],E407),"000")</f>
        <v>027</v>
      </c>
      <c r="F408" s="40">
        <v>43876</v>
      </c>
      <c r="G408" s="40" t="str">
        <f>TYPE</f>
        <v>A</v>
      </c>
      <c r="H408" s="153" t="s">
        <v>853</v>
      </c>
      <c r="I408" s="42" t="s">
        <v>884</v>
      </c>
      <c r="J408" s="43" t="s">
        <v>83</v>
      </c>
      <c r="K408" s="44">
        <v>1</v>
      </c>
      <c r="L408" s="49">
        <v>7120</v>
      </c>
      <c r="M408" s="49">
        <v>3900</v>
      </c>
      <c r="N408" s="49">
        <v>3220</v>
      </c>
      <c r="O408" s="49">
        <v>5.9999999999999991</v>
      </c>
      <c r="P408" s="49">
        <v>193.2</v>
      </c>
      <c r="Q408" s="49">
        <v>3026.8</v>
      </c>
      <c r="R408" s="49">
        <v>2750</v>
      </c>
      <c r="S408" s="49">
        <v>8323700</v>
      </c>
      <c r="T408" s="49">
        <v>13.82</v>
      </c>
      <c r="U408" s="49">
        <v>2763.82</v>
      </c>
      <c r="V408" s="49">
        <v>8365530</v>
      </c>
      <c r="W408" s="49">
        <v>41828</v>
      </c>
      <c r="X408" s="49">
        <v>8323702</v>
      </c>
      <c r="Y408" s="530" t="str">
        <f>IFERROR(IF(FIND("/KM",KB[[#This Row],[SUPPLIER]])&gt;0,"LAUT"),"DARAT")</f>
        <v>LAUT</v>
      </c>
    </row>
    <row r="409" spans="2:25">
      <c r="B409" s="140" t="str">
        <f>IFERROR(LEFT(KB[[#This Row],[SUPPLIER]],FIND("/",KB[[#This Row],[SUPPLIER]])-1),KB[[#This Row],[SUPPLIER]])</f>
        <v>MASRI</v>
      </c>
      <c r="C409" s="141" t="str">
        <f>TEXT(VLOOKUP(KB[[#This Row],[RELASI]],DBRELASI[[RELASI]:[DOCKB]],10,0)+COUNTIFS($B$2:B409,KB[[#This Row],[RELASI]],$D$2:D409,1),"000")</f>
        <v>022</v>
      </c>
      <c r="D409" s="141">
        <f>IF(COUNTIFS($B$3:B409,KB[[#This Row],[RELASI]],$F$3:F409,KB[[#This Row],[TANGGAL]])&lt;&gt;1,0,1)</f>
        <v>1</v>
      </c>
      <c r="E409" s="141" t="str">
        <f>TEXT(IF(KB[[#This Row],[DOC]]&lt;&gt;"",KB[[#This Row],[DOC]],E408),"000")</f>
        <v>022</v>
      </c>
      <c r="F409" s="40">
        <v>43876</v>
      </c>
      <c r="G409" s="40" t="str">
        <f>TYPE</f>
        <v>A</v>
      </c>
      <c r="H409" s="153" t="s">
        <v>837</v>
      </c>
      <c r="I409" s="42" t="s">
        <v>775</v>
      </c>
      <c r="J409" s="43" t="s">
        <v>511</v>
      </c>
      <c r="K409" s="44">
        <v>8</v>
      </c>
      <c r="L409" s="49">
        <v>69500</v>
      </c>
      <c r="M409" s="49">
        <v>30790</v>
      </c>
      <c r="N409" s="49">
        <v>38710</v>
      </c>
      <c r="O409" s="49">
        <v>5.9999999999999991</v>
      </c>
      <c r="P409" s="49">
        <v>2322.6</v>
      </c>
      <c r="Q409" s="49">
        <v>36387.4</v>
      </c>
      <c r="R409" s="49">
        <v>3050</v>
      </c>
      <c r="S409" s="49">
        <v>110981570</v>
      </c>
      <c r="T409" s="49">
        <v>15.33</v>
      </c>
      <c r="U409" s="49">
        <v>3065.33</v>
      </c>
      <c r="V409" s="49">
        <v>111539388</v>
      </c>
      <c r="W409" s="49">
        <v>557699</v>
      </c>
      <c r="X409" s="49">
        <v>110981689</v>
      </c>
      <c r="Y409" s="530" t="str">
        <f>IFERROR(IF(FIND("/KM",KB[[#This Row],[SUPPLIER]])&gt;0,"LAUT"),"DARAT")</f>
        <v>LAUT</v>
      </c>
    </row>
    <row r="410" spans="2:25">
      <c r="B410" s="140" t="str">
        <f>IFERROR(LEFT(KB[[#This Row],[SUPPLIER]],FIND("/",KB[[#This Row],[SUPPLIER]])-1),KB[[#This Row],[SUPPLIER]])</f>
        <v>YANADI</v>
      </c>
      <c r="C410" s="141" t="str">
        <f>TEXT(VLOOKUP(KB[[#This Row],[RELASI]],DBRELASI[[RELASI]:[DOCKB]],10,0)+COUNTIFS($B$2:B410,KB[[#This Row],[RELASI]],$D$2:D410,1),"000")</f>
        <v>022</v>
      </c>
      <c r="D410" s="141">
        <f>IF(COUNTIFS($B$3:B410,KB[[#This Row],[RELASI]],$F$3:F410,KB[[#This Row],[TANGGAL]])&lt;&gt;1,0,1)</f>
        <v>1</v>
      </c>
      <c r="E410" s="141" t="str">
        <f>TEXT(IF(KB[[#This Row],[DOC]]&lt;&gt;"",KB[[#This Row],[DOC]],E409),"000")</f>
        <v>022</v>
      </c>
      <c r="F410" s="40">
        <v>43876</v>
      </c>
      <c r="G410" s="40" t="str">
        <f>TYPE</f>
        <v>A</v>
      </c>
      <c r="H410" s="154" t="s">
        <v>837</v>
      </c>
      <c r="I410" s="46" t="s">
        <v>875</v>
      </c>
      <c r="J410" s="47" t="s">
        <v>74</v>
      </c>
      <c r="K410" s="48">
        <v>1</v>
      </c>
      <c r="L410" s="49">
        <v>6910</v>
      </c>
      <c r="M410" s="49">
        <v>3860</v>
      </c>
      <c r="N410" s="49">
        <v>3050</v>
      </c>
      <c r="O410" s="49">
        <v>6</v>
      </c>
      <c r="P410" s="49">
        <v>183</v>
      </c>
      <c r="Q410" s="49">
        <v>2867</v>
      </c>
      <c r="R410" s="49">
        <v>2750</v>
      </c>
      <c r="S410" s="49">
        <v>7884250</v>
      </c>
      <c r="T410" s="49">
        <v>13.82</v>
      </c>
      <c r="U410" s="49">
        <v>2763.82</v>
      </c>
      <c r="V410" s="49">
        <v>7923872</v>
      </c>
      <c r="W410" s="49">
        <v>39619</v>
      </c>
      <c r="X410" s="49">
        <v>7884253</v>
      </c>
      <c r="Y410" s="574" t="str">
        <f>IFERROR(IF(FIND("/KM",KB[[#This Row],[SUPPLIER]])&gt;0,"LAUT"),"DARAT")</f>
        <v>LAUT</v>
      </c>
    </row>
    <row r="411" spans="2:25">
      <c r="B411" s="140" t="str">
        <f>IFERROR(LEFT(KB[[#This Row],[SUPPLIER]],FIND("/",KB[[#This Row],[SUPPLIER]])-1),KB[[#This Row],[SUPPLIER]])</f>
        <v>ERAWATI</v>
      </c>
      <c r="C411" s="141" t="str">
        <f>TEXT(VLOOKUP(KB[[#This Row],[RELASI]],DBRELASI[[RELASI]:[DOCKB]],10,0)+COUNTIFS($B$2:B411,KB[[#This Row],[RELASI]],$D$2:D411,1),"000")</f>
        <v>034</v>
      </c>
      <c r="D411" s="141">
        <f>IF(COUNTIFS($B$3:B411,KB[[#This Row],[RELASI]],$F$3:F411,KB[[#This Row],[TANGGAL]])&lt;&gt;1,0,1)</f>
        <v>1</v>
      </c>
      <c r="E411" s="141" t="str">
        <f>TEXT(IF(KB[[#This Row],[DOC]]&lt;&gt;"",KB[[#This Row],[DOC]],E410),"000")</f>
        <v>034</v>
      </c>
      <c r="F411" s="40">
        <v>43878</v>
      </c>
      <c r="G411" s="40" t="str">
        <f>TYPE</f>
        <v>A</v>
      </c>
      <c r="H411" s="153" t="s">
        <v>885</v>
      </c>
      <c r="I411" s="42" t="s">
        <v>155</v>
      </c>
      <c r="J411" s="43" t="s">
        <v>77</v>
      </c>
      <c r="K411" s="44">
        <v>4</v>
      </c>
      <c r="L411" s="49">
        <v>30900</v>
      </c>
      <c r="M411" s="49">
        <v>13120</v>
      </c>
      <c r="N411" s="49">
        <v>17780</v>
      </c>
      <c r="O411" s="49">
        <v>5</v>
      </c>
      <c r="P411" s="49">
        <v>889</v>
      </c>
      <c r="Q411" s="49">
        <v>16891</v>
      </c>
      <c r="R411" s="49">
        <v>2800</v>
      </c>
      <c r="S411" s="49">
        <v>47294800</v>
      </c>
      <c r="T411" s="49">
        <v>14.07</v>
      </c>
      <c r="U411" s="49">
        <v>2814.07</v>
      </c>
      <c r="V411" s="49">
        <v>47532457</v>
      </c>
      <c r="W411" s="49">
        <v>237662</v>
      </c>
      <c r="X411" s="49">
        <v>47294795</v>
      </c>
      <c r="Y411" s="530" t="str">
        <f>IFERROR(IF(FIND("/KM",KB[[#This Row],[SUPPLIER]])&gt;0,"LAUT"),"DARAT")</f>
        <v>DARAT</v>
      </c>
    </row>
    <row r="412" spans="2:25">
      <c r="B412" s="140" t="str">
        <f>IFERROR(LEFT(KB[[#This Row],[SUPPLIER]],FIND("/",KB[[#This Row],[SUPPLIER]])-1),KB[[#This Row],[SUPPLIER]])</f>
        <v>ERAWATI</v>
      </c>
      <c r="C412" s="141" t="str">
        <f>TEXT(VLOOKUP(KB[[#This Row],[RELASI]],DBRELASI[[RELASI]:[DOCKB]],10,0)+COUNTIFS($B$2:B412,KB[[#This Row],[RELASI]],$D$2:D412,1),"000")</f>
        <v>034</v>
      </c>
      <c r="D412" s="141">
        <f>IF(COUNTIFS($B$3:B412,KB[[#This Row],[RELASI]],$F$3:F412,KB[[#This Row],[TANGGAL]])&lt;&gt;1,0,1)</f>
        <v>0</v>
      </c>
      <c r="E412" s="141" t="str">
        <f>TEXT(IF(KB[[#This Row],[DOC]]&lt;&gt;"",KB[[#This Row],[DOC]],E411),"000")</f>
        <v>034</v>
      </c>
      <c r="F412" s="40">
        <v>43878</v>
      </c>
      <c r="G412" s="40" t="str">
        <f>TYPE</f>
        <v>A</v>
      </c>
      <c r="H412"/>
      <c r="I412" s="42" t="s">
        <v>760</v>
      </c>
      <c r="J412" s="43" t="s">
        <v>77</v>
      </c>
      <c r="K412" s="44">
        <v>1</v>
      </c>
      <c r="L412" s="49">
        <v>7580</v>
      </c>
      <c r="M412" s="49">
        <v>3950</v>
      </c>
      <c r="N412" s="49">
        <v>3630</v>
      </c>
      <c r="O412" s="49">
        <v>6</v>
      </c>
      <c r="P412" s="49">
        <v>217.79999999999998</v>
      </c>
      <c r="Q412" s="49">
        <v>3412.2</v>
      </c>
      <c r="R412" s="49">
        <v>2750</v>
      </c>
      <c r="S412" s="49">
        <v>9383550</v>
      </c>
      <c r="T412" s="49">
        <v>13.82</v>
      </c>
      <c r="U412" s="49">
        <v>2763.82</v>
      </c>
      <c r="V412" s="49">
        <v>9430707</v>
      </c>
      <c r="W412" s="49">
        <v>47154</v>
      </c>
      <c r="X412" s="49">
        <v>9383553</v>
      </c>
      <c r="Y412" s="530" t="str">
        <f>IFERROR(IF(FIND("/KM",KB[[#This Row],[SUPPLIER]])&gt;0,"LAUT"),"DARAT")</f>
        <v>LAUT</v>
      </c>
    </row>
    <row r="413" spans="2:25">
      <c r="B413" s="140" t="str">
        <f>IFERROR(LEFT(KB[[#This Row],[SUPPLIER]],FIND("/",KB[[#This Row],[SUPPLIER]])-1),KB[[#This Row],[SUPPLIER]])</f>
        <v>INDRAYANI</v>
      </c>
      <c r="C413" s="141" t="str">
        <f>TEXT(VLOOKUP(KB[[#This Row],[RELASI]],DBRELASI[[RELASI]:[DOCKB]],10,0)+COUNTIFS($B$2:B413,KB[[#This Row],[RELASI]],$D$2:D413,1),"000")</f>
        <v>030</v>
      </c>
      <c r="D413" s="141">
        <f>IF(COUNTIFS($B$3:B413,KB[[#This Row],[RELASI]],$F$3:F413,KB[[#This Row],[TANGGAL]])&lt;&gt;1,0,1)</f>
        <v>1</v>
      </c>
      <c r="E413" s="141" t="str">
        <f>TEXT(IF(KB[[#This Row],[DOC]]&lt;&gt;"",KB[[#This Row],[DOC]],E412),"000")</f>
        <v>030</v>
      </c>
      <c r="F413" s="40">
        <v>43878</v>
      </c>
      <c r="G413" s="40" t="str">
        <f>TYPE</f>
        <v>A</v>
      </c>
      <c r="H413" s="153" t="s">
        <v>860</v>
      </c>
      <c r="I413" s="42" t="s">
        <v>79</v>
      </c>
      <c r="J413" s="43" t="s">
        <v>77</v>
      </c>
      <c r="K413" s="44">
        <v>4</v>
      </c>
      <c r="L413" s="49">
        <v>46220</v>
      </c>
      <c r="M413" s="49">
        <v>16890</v>
      </c>
      <c r="N413" s="49">
        <v>29330</v>
      </c>
      <c r="O413" s="49">
        <v>5</v>
      </c>
      <c r="P413" s="49">
        <v>1466.5</v>
      </c>
      <c r="Q413" s="49">
        <v>27863.5</v>
      </c>
      <c r="R413" s="49">
        <v>2900</v>
      </c>
      <c r="S413" s="49">
        <v>80804150</v>
      </c>
      <c r="T413" s="49">
        <v>14.57</v>
      </c>
      <c r="U413" s="49">
        <v>2914.57</v>
      </c>
      <c r="V413" s="49">
        <v>81210122</v>
      </c>
      <c r="W413" s="49">
        <v>406050</v>
      </c>
      <c r="X413" s="49">
        <v>80804072</v>
      </c>
      <c r="Y413" s="530" t="str">
        <f>IFERROR(IF(FIND("/KM",KB[[#This Row],[SUPPLIER]])&gt;0,"LAUT"),"DARAT")</f>
        <v>DARAT</v>
      </c>
    </row>
    <row r="414" spans="2:25">
      <c r="B414" s="140" t="str">
        <f>IFERROR(LEFT(KB[[#This Row],[SUPPLIER]],FIND("/",KB[[#This Row],[SUPPLIER]])-1),KB[[#This Row],[SUPPLIER]])</f>
        <v>RUSLAN JAYA, SH</v>
      </c>
      <c r="C414" s="141" t="str">
        <f>TEXT(VLOOKUP(KB[[#This Row],[RELASI]],DBRELASI[[RELASI]:[DOCKB]],10,0)+COUNTIFS($B$2:B414,KB[[#This Row],[RELASI]],$D$2:D414,1),"000")</f>
        <v>021</v>
      </c>
      <c r="D414" s="141">
        <f>IF(COUNTIFS($B$3:B414,KB[[#This Row],[RELASI]],$F$3:F414,KB[[#This Row],[TANGGAL]])&lt;&gt;1,0,1)</f>
        <v>1</v>
      </c>
      <c r="E414" s="141" t="str">
        <f>TEXT(IF(KB[[#This Row],[DOC]]&lt;&gt;"",KB[[#This Row],[DOC]],E413),"000")</f>
        <v>021</v>
      </c>
      <c r="F414" s="40">
        <v>43878</v>
      </c>
      <c r="G414" s="40" t="str">
        <f>TYPE</f>
        <v>A</v>
      </c>
      <c r="H414" s="153" t="s">
        <v>823</v>
      </c>
      <c r="I414" s="42" t="s">
        <v>479</v>
      </c>
      <c r="J414" s="43" t="s">
        <v>475</v>
      </c>
      <c r="K414" s="44">
        <v>3</v>
      </c>
      <c r="L414" s="49">
        <v>32760</v>
      </c>
      <c r="M414" s="49">
        <v>12860</v>
      </c>
      <c r="N414" s="49">
        <v>19900</v>
      </c>
      <c r="O414" s="49">
        <v>5</v>
      </c>
      <c r="P414" s="49">
        <v>995</v>
      </c>
      <c r="Q414" s="49">
        <v>18905</v>
      </c>
      <c r="R414" s="49">
        <v>2800</v>
      </c>
      <c r="S414" s="49">
        <v>52934000</v>
      </c>
      <c r="T414" s="49">
        <v>14.07</v>
      </c>
      <c r="U414" s="49">
        <v>2814.07</v>
      </c>
      <c r="V414" s="49">
        <v>53199993</v>
      </c>
      <c r="W414" s="49">
        <v>266000</v>
      </c>
      <c r="X414" s="49">
        <v>52933993</v>
      </c>
      <c r="Y414" s="530" t="str">
        <f>IFERROR(IF(FIND("/KM",KB[[#This Row],[SUPPLIER]])&gt;0,"LAUT"),"DARAT")</f>
        <v>DARAT</v>
      </c>
    </row>
    <row r="415" spans="2:25">
      <c r="B415" s="140" t="str">
        <f>IFERROR(LEFT(KB[[#This Row],[SUPPLIER]],FIND("/",KB[[#This Row],[SUPPLIER]])-1),KB[[#This Row],[SUPPLIER]])</f>
        <v>SAIRI</v>
      </c>
      <c r="C415" s="141" t="str">
        <f>TEXT(VLOOKUP(KB[[#This Row],[RELASI]],DBRELASI[[RELASI]:[DOCKB]],10,0)+COUNTIFS($B$2:B415,KB[[#This Row],[RELASI]],$D$2:D415,1),"000")</f>
        <v>023</v>
      </c>
      <c r="D415" s="141">
        <f>IF(COUNTIFS($B$3:B415,KB[[#This Row],[RELASI]],$F$3:F415,KB[[#This Row],[TANGGAL]])&lt;&gt;1,0,1)</f>
        <v>1</v>
      </c>
      <c r="E415" s="141" t="str">
        <f>TEXT(IF(KB[[#This Row],[DOC]]&lt;&gt;"",KB[[#This Row],[DOC]],E414),"000")</f>
        <v>023</v>
      </c>
      <c r="F415" s="40">
        <v>43878</v>
      </c>
      <c r="G415" s="40" t="str">
        <f>TYPE</f>
        <v>A</v>
      </c>
      <c r="H415" s="153" t="s">
        <v>843</v>
      </c>
      <c r="I415" s="42" t="s">
        <v>84</v>
      </c>
      <c r="J415" s="43" t="s">
        <v>85</v>
      </c>
      <c r="K415" s="44">
        <v>1</v>
      </c>
      <c r="L415" s="49">
        <v>3830</v>
      </c>
      <c r="M415" s="49">
        <v>1570</v>
      </c>
      <c r="N415" s="49">
        <v>2260</v>
      </c>
      <c r="O415" s="49">
        <v>5</v>
      </c>
      <c r="P415" s="49">
        <v>113</v>
      </c>
      <c r="Q415" s="49">
        <v>2147</v>
      </c>
      <c r="R415" s="49">
        <v>2850</v>
      </c>
      <c r="S415" s="49">
        <v>6118950</v>
      </c>
      <c r="T415" s="49">
        <v>14.32</v>
      </c>
      <c r="U415" s="49">
        <v>2864.32</v>
      </c>
      <c r="V415" s="49">
        <v>6149695</v>
      </c>
      <c r="W415" s="49">
        <v>30748</v>
      </c>
      <c r="X415" s="49">
        <v>6118947</v>
      </c>
      <c r="Y415" s="530" t="str">
        <f>IFERROR(IF(FIND("/KM",KB[[#This Row],[SUPPLIER]])&gt;0,"LAUT"),"DARAT")</f>
        <v>DARAT</v>
      </c>
    </row>
    <row r="416" spans="2:25">
      <c r="B416" s="140" t="str">
        <f>IFERROR(LEFT(KB[[#This Row],[SUPPLIER]],FIND("/",KB[[#This Row],[SUPPLIER]])-1),KB[[#This Row],[SUPPLIER]])</f>
        <v>YANADI</v>
      </c>
      <c r="C416" s="141" t="str">
        <f>TEXT(VLOOKUP(KB[[#This Row],[RELASI]],DBRELASI[[RELASI]:[DOCKB]],10,0)+COUNTIFS($B$2:B416,KB[[#This Row],[RELASI]],$D$2:D416,1),"000")</f>
        <v>023</v>
      </c>
      <c r="D416" s="141">
        <f>IF(COUNTIFS($B$3:B416,KB[[#This Row],[RELASI]],$F$3:F416,KB[[#This Row],[TANGGAL]])&lt;&gt;1,0,1)</f>
        <v>1</v>
      </c>
      <c r="E416" s="141" t="str">
        <f>TEXT(IF(KB[[#This Row],[DOC]]&lt;&gt;"",KB[[#This Row],[DOC]],E415),"000")</f>
        <v>023</v>
      </c>
      <c r="F416" s="40">
        <v>43878</v>
      </c>
      <c r="G416" s="40" t="str">
        <f>TYPE</f>
        <v>A</v>
      </c>
      <c r="H416" s="153" t="s">
        <v>843</v>
      </c>
      <c r="I416" s="42" t="s">
        <v>137</v>
      </c>
      <c r="J416" s="43" t="s">
        <v>74</v>
      </c>
      <c r="K416" s="44">
        <v>1</v>
      </c>
      <c r="L416" s="49">
        <v>15230</v>
      </c>
      <c r="M416" s="49">
        <v>5390</v>
      </c>
      <c r="N416" s="49">
        <v>9840</v>
      </c>
      <c r="O416" s="49">
        <v>5</v>
      </c>
      <c r="P416" s="49">
        <v>492</v>
      </c>
      <c r="Q416" s="49">
        <v>9348</v>
      </c>
      <c r="R416" s="49">
        <v>2800</v>
      </c>
      <c r="S416" s="49">
        <v>26174400</v>
      </c>
      <c r="T416" s="49">
        <v>14.07</v>
      </c>
      <c r="U416" s="49">
        <v>2814.07</v>
      </c>
      <c r="V416" s="49">
        <v>26305926</v>
      </c>
      <c r="W416" s="49">
        <v>131530</v>
      </c>
      <c r="X416" s="49">
        <v>26174396</v>
      </c>
      <c r="Y416" s="530" t="str">
        <f>IFERROR(IF(FIND("/KM",KB[[#This Row],[SUPPLIER]])&gt;0,"LAUT"),"DARAT")</f>
        <v>DARAT</v>
      </c>
    </row>
    <row r="417" spans="2:25">
      <c r="B417" s="140" t="str">
        <f>IFERROR(LEFT(KB[[#This Row],[SUPPLIER]],FIND("/",KB[[#This Row],[SUPPLIER]])-1),KB[[#This Row],[SUPPLIER]])</f>
        <v>YANADI</v>
      </c>
      <c r="C417" s="141" t="str">
        <f>TEXT(VLOOKUP(KB[[#This Row],[RELASI]],DBRELASI[[RELASI]:[DOCKB]],10,0)+COUNTIFS($B$2:B417,KB[[#This Row],[RELASI]],$D$2:D417,1),"000")</f>
        <v>023</v>
      </c>
      <c r="D417" s="141">
        <f>IF(COUNTIFS($B$3:B417,KB[[#This Row],[RELASI]],$F$3:F417,KB[[#This Row],[TANGGAL]])&lt;&gt;1,0,1)</f>
        <v>0</v>
      </c>
      <c r="E417" s="141" t="str">
        <f>TEXT(IF(KB[[#This Row],[DOC]]&lt;&gt;"",KB[[#This Row],[DOC]],E416),"000")</f>
        <v>023</v>
      </c>
      <c r="F417" s="40">
        <v>43878</v>
      </c>
      <c r="G417" s="40" t="str">
        <f>TYPE</f>
        <v>A</v>
      </c>
      <c r="H417"/>
      <c r="I417" s="42" t="s">
        <v>824</v>
      </c>
      <c r="J417" s="43" t="s">
        <v>74</v>
      </c>
      <c r="K417" s="44">
        <v>3</v>
      </c>
      <c r="L417" s="49">
        <v>22760</v>
      </c>
      <c r="M417" s="49">
        <v>11660</v>
      </c>
      <c r="N417" s="49">
        <v>11100</v>
      </c>
      <c r="O417" s="49">
        <v>6</v>
      </c>
      <c r="P417" s="49">
        <v>666</v>
      </c>
      <c r="Q417" s="49">
        <v>10434</v>
      </c>
      <c r="R417" s="49">
        <v>2750</v>
      </c>
      <c r="S417" s="49">
        <v>28693500</v>
      </c>
      <c r="T417" s="49">
        <v>13.82</v>
      </c>
      <c r="U417" s="49">
        <v>2763.82</v>
      </c>
      <c r="V417" s="49">
        <v>28837698</v>
      </c>
      <c r="W417" s="49">
        <v>144189</v>
      </c>
      <c r="X417" s="49">
        <v>28693509</v>
      </c>
      <c r="Y417" s="530" t="str">
        <f>IFERROR(IF(FIND("/KM",KB[[#This Row],[SUPPLIER]])&gt;0,"LAUT"),"DARAT")</f>
        <v>LAUT</v>
      </c>
    </row>
    <row r="418" spans="2:25">
      <c r="B418" s="140" t="str">
        <f>IFERROR(LEFT(KB[[#This Row],[SUPPLIER]],FIND("/",KB[[#This Row],[SUPPLIER]])-1),KB[[#This Row],[SUPPLIER]])</f>
        <v>DINI CHAIRANI</v>
      </c>
      <c r="C418" s="141" t="str">
        <f>TEXT(VLOOKUP(KB[[#This Row],[RELASI]],DBRELASI[[RELASI]:[DOCKB]],10,0)+COUNTIFS($B$2:B418,KB[[#This Row],[RELASI]],$D$2:D418,1),"000")</f>
        <v>025</v>
      </c>
      <c r="D418" s="141">
        <f>IF(COUNTIFS($B$3:B418,KB[[#This Row],[RELASI]],$F$3:F418,KB[[#This Row],[TANGGAL]])&lt;&gt;1,0,1)</f>
        <v>1</v>
      </c>
      <c r="E418" s="141" t="str">
        <f>TEXT(IF(KB[[#This Row],[DOC]]&lt;&gt;"",KB[[#This Row],[DOC]],E417),"000")</f>
        <v>025</v>
      </c>
      <c r="F418" s="40">
        <v>43878</v>
      </c>
      <c r="G418" s="40" t="str">
        <f>TYPE</f>
        <v>A</v>
      </c>
      <c r="H418" s="153" t="s">
        <v>850</v>
      </c>
      <c r="I418" s="42" t="s">
        <v>864</v>
      </c>
      <c r="J418" s="43" t="s">
        <v>95</v>
      </c>
      <c r="K418" s="44">
        <v>1</v>
      </c>
      <c r="L418" s="49">
        <v>6700</v>
      </c>
      <c r="M418" s="49">
        <v>3890</v>
      </c>
      <c r="N418" s="49">
        <v>2810</v>
      </c>
      <c r="O418" s="49">
        <v>5.9999999999999991</v>
      </c>
      <c r="P418" s="49">
        <v>168.6</v>
      </c>
      <c r="Q418" s="49">
        <v>2641.4</v>
      </c>
      <c r="R418" s="49">
        <v>2750</v>
      </c>
      <c r="S418" s="49">
        <v>7263850</v>
      </c>
      <c r="T418" s="49">
        <v>13.82</v>
      </c>
      <c r="U418" s="49">
        <v>2763.82</v>
      </c>
      <c r="V418" s="49">
        <v>7300354</v>
      </c>
      <c r="W418" s="49">
        <v>36502</v>
      </c>
      <c r="X418" s="49">
        <v>7263852</v>
      </c>
      <c r="Y418" s="530" t="str">
        <f>IFERROR(IF(FIND("/KM",KB[[#This Row],[SUPPLIER]])&gt;0,"LAUT"),"DARAT")</f>
        <v>LAUT</v>
      </c>
    </row>
    <row r="419" spans="2:25">
      <c r="B419" s="140" t="str">
        <f>IFERROR(LEFT(KB[[#This Row],[SUPPLIER]],FIND("/",KB[[#This Row],[SUPPLIER]])-1),KB[[#This Row],[SUPPLIER]])</f>
        <v>HELMANSYAH</v>
      </c>
      <c r="C419" s="141" t="str">
        <f>TEXT(VLOOKUP(KB[[#This Row],[RELASI]],DBRELASI[[RELASI]:[DOCKB]],10,0)+COUNTIFS($B$2:B419,KB[[#This Row],[RELASI]],$D$2:D419,1),"000")</f>
        <v>004</v>
      </c>
      <c r="D419" s="141">
        <f>IF(COUNTIFS($B$3:B419,KB[[#This Row],[RELASI]],$F$3:F419,KB[[#This Row],[TANGGAL]])&lt;&gt;1,0,1)</f>
        <v>1</v>
      </c>
      <c r="E419" s="141" t="str">
        <f>TEXT(IF(KB[[#This Row],[DOC]]&lt;&gt;"",KB[[#This Row],[DOC]],E418),"000")</f>
        <v>004</v>
      </c>
      <c r="F419" s="40">
        <v>43878</v>
      </c>
      <c r="G419" s="40" t="str">
        <f>TYPE</f>
        <v>A</v>
      </c>
      <c r="H419" s="153" t="s">
        <v>526</v>
      </c>
      <c r="I419" s="42" t="s">
        <v>878</v>
      </c>
      <c r="J419" s="43" t="s">
        <v>866</v>
      </c>
      <c r="K419" s="44">
        <v>1</v>
      </c>
      <c r="L419" s="49">
        <v>9040</v>
      </c>
      <c r="M419" s="49">
        <v>3800</v>
      </c>
      <c r="N419" s="49">
        <v>5240</v>
      </c>
      <c r="O419" s="49">
        <v>6</v>
      </c>
      <c r="P419" s="49">
        <v>314.39999999999998</v>
      </c>
      <c r="Q419" s="49">
        <v>4925.6000000000004</v>
      </c>
      <c r="R419" s="49">
        <v>2850</v>
      </c>
      <c r="S419" s="49">
        <v>14037960</v>
      </c>
      <c r="T419" s="49">
        <v>14.32</v>
      </c>
      <c r="U419" s="49">
        <v>2864.32</v>
      </c>
      <c r="V419" s="49">
        <v>14108495</v>
      </c>
      <c r="W419" s="49">
        <v>70542</v>
      </c>
      <c r="X419" s="49">
        <v>14037953</v>
      </c>
      <c r="Y419" s="530" t="str">
        <f>IFERROR(IF(FIND("/KM",KB[[#This Row],[SUPPLIER]])&gt;0,"LAUT"),"DARAT")</f>
        <v>LAUT</v>
      </c>
    </row>
    <row r="420" spans="2:25">
      <c r="B420" s="140" t="str">
        <f>IFERROR(LEFT(KB[[#This Row],[SUPPLIER]],FIND("/",KB[[#This Row],[SUPPLIER]])-1),KB[[#This Row],[SUPPLIER]])</f>
        <v>HELMANSYAH</v>
      </c>
      <c r="C420" s="141" t="str">
        <f>TEXT(VLOOKUP(KB[[#This Row],[RELASI]],DBRELASI[[RELASI]:[DOCKB]],10,0)+COUNTIFS($B$2:B420,KB[[#This Row],[RELASI]],$D$2:D420,1),"000")</f>
        <v>004</v>
      </c>
      <c r="D420" s="141">
        <f>IF(COUNTIFS($B$3:B420,KB[[#This Row],[RELASI]],$F$3:F420,KB[[#This Row],[TANGGAL]])&lt;&gt;1,0,1)</f>
        <v>0</v>
      </c>
      <c r="E420" s="141" t="str">
        <f>TEXT(IF(KB[[#This Row],[DOC]]&lt;&gt;"",KB[[#This Row],[DOC]],E419),"000")</f>
        <v>004</v>
      </c>
      <c r="F420" s="40">
        <v>43878</v>
      </c>
      <c r="G420" s="40" t="str">
        <f>TYPE</f>
        <v>A</v>
      </c>
      <c r="H420"/>
      <c r="I420" s="42" t="s">
        <v>881</v>
      </c>
      <c r="J420" s="43" t="s">
        <v>866</v>
      </c>
      <c r="K420" s="44">
        <v>2</v>
      </c>
      <c r="L420" s="49">
        <v>16010</v>
      </c>
      <c r="M420" s="49">
        <v>7830</v>
      </c>
      <c r="N420" s="49">
        <v>8180</v>
      </c>
      <c r="O420" s="49">
        <v>6</v>
      </c>
      <c r="P420" s="49">
        <v>490.79999999999995</v>
      </c>
      <c r="Q420" s="49">
        <v>7689.2</v>
      </c>
      <c r="R420" s="49">
        <v>2850</v>
      </c>
      <c r="S420" s="49">
        <v>21914220</v>
      </c>
      <c r="T420" s="49">
        <v>14.32</v>
      </c>
      <c r="U420" s="49">
        <v>2864.32</v>
      </c>
      <c r="V420" s="49">
        <v>22024329</v>
      </c>
      <c r="W420" s="49">
        <v>110122</v>
      </c>
      <c r="X420" s="49">
        <v>21914207</v>
      </c>
      <c r="Y420" s="530" t="str">
        <f>IFERROR(IF(FIND("/KM",KB[[#This Row],[SUPPLIER]])&gt;0,"LAUT"),"DARAT")</f>
        <v>LAUT</v>
      </c>
    </row>
    <row r="421" spans="2:25">
      <c r="B421" s="140" t="str">
        <f>IFERROR(LEFT(KB[[#This Row],[SUPPLIER]],FIND("/",KB[[#This Row],[SUPPLIER]])-1),KB[[#This Row],[SUPPLIER]])</f>
        <v>HELMANSYAH</v>
      </c>
      <c r="C421" s="141" t="str">
        <f>TEXT(VLOOKUP(KB[[#This Row],[RELASI]],DBRELASI[[RELASI]:[DOCKB]],10,0)+COUNTIFS($B$2:B421,KB[[#This Row],[RELASI]],$D$2:D421,1),"000")</f>
        <v>004</v>
      </c>
      <c r="D421" s="141">
        <f>IF(COUNTIFS($B$3:B421,KB[[#This Row],[RELASI]],$F$3:F421,KB[[#This Row],[TANGGAL]])&lt;&gt;1,0,1)</f>
        <v>0</v>
      </c>
      <c r="E421" s="141" t="str">
        <f>TEXT(IF(KB[[#This Row],[DOC]]&lt;&gt;"",KB[[#This Row],[DOC]],E420),"000")</f>
        <v>004</v>
      </c>
      <c r="F421" s="40">
        <v>43878</v>
      </c>
      <c r="G421" s="40" t="str">
        <f>TYPE</f>
        <v>A</v>
      </c>
      <c r="H421"/>
      <c r="I421" s="42" t="s">
        <v>886</v>
      </c>
      <c r="J421" s="43" t="s">
        <v>866</v>
      </c>
      <c r="K421" s="44">
        <v>2</v>
      </c>
      <c r="L421" s="49">
        <v>15300</v>
      </c>
      <c r="M421" s="49">
        <v>7660</v>
      </c>
      <c r="N421" s="49">
        <v>7640</v>
      </c>
      <c r="O421" s="49">
        <v>5.9999999999999991</v>
      </c>
      <c r="P421" s="49">
        <v>458.4</v>
      </c>
      <c r="Q421" s="49">
        <v>7181.6</v>
      </c>
      <c r="R421" s="49">
        <v>2850</v>
      </c>
      <c r="S421" s="49">
        <v>20467560</v>
      </c>
      <c r="T421" s="49">
        <v>14.32</v>
      </c>
      <c r="U421" s="49">
        <v>2864.32</v>
      </c>
      <c r="V421" s="49">
        <v>20570400</v>
      </c>
      <c r="W421" s="49">
        <v>102852</v>
      </c>
      <c r="X421" s="49">
        <v>20467548</v>
      </c>
      <c r="Y421" s="530" t="str">
        <f>IFERROR(IF(FIND("/KM",KB[[#This Row],[SUPPLIER]])&gt;0,"LAUT"),"DARAT")</f>
        <v>LAUT</v>
      </c>
    </row>
    <row r="422" spans="2:25">
      <c r="B422" s="140" t="str">
        <f>IFERROR(LEFT(KB[[#This Row],[SUPPLIER]],FIND("/",KB[[#This Row],[SUPPLIER]])-1),KB[[#This Row],[SUPPLIER]])</f>
        <v>HELMANSYAH</v>
      </c>
      <c r="C422" s="141" t="str">
        <f>TEXT(VLOOKUP(KB[[#This Row],[RELASI]],DBRELASI[[RELASI]:[DOCKB]],10,0)+COUNTIFS($B$2:B422,KB[[#This Row],[RELASI]],$D$2:D422,1),"000")</f>
        <v>004</v>
      </c>
      <c r="D422" s="141">
        <f>IF(COUNTIFS($B$3:B422,KB[[#This Row],[RELASI]],$F$3:F422,KB[[#This Row],[TANGGAL]])&lt;&gt;1,0,1)</f>
        <v>0</v>
      </c>
      <c r="E422" s="141" t="str">
        <f>TEXT(IF(KB[[#This Row],[DOC]]&lt;&gt;"",KB[[#This Row],[DOC]],E421),"000")</f>
        <v>004</v>
      </c>
      <c r="F422" s="40">
        <v>43878</v>
      </c>
      <c r="G422" s="40" t="str">
        <f>TYPE</f>
        <v>A</v>
      </c>
      <c r="H422"/>
      <c r="I422" s="42" t="s">
        <v>869</v>
      </c>
      <c r="J422" s="43" t="s">
        <v>866</v>
      </c>
      <c r="K422" s="44">
        <v>2</v>
      </c>
      <c r="L422" s="49">
        <v>16700</v>
      </c>
      <c r="M422" s="49">
        <v>7830</v>
      </c>
      <c r="N422" s="49">
        <v>8870</v>
      </c>
      <c r="O422" s="49">
        <v>5.9999999999999991</v>
      </c>
      <c r="P422" s="49">
        <v>532.19999999999993</v>
      </c>
      <c r="Q422" s="49">
        <v>8337.7999999999993</v>
      </c>
      <c r="R422" s="49">
        <v>2850.0000000000005</v>
      </c>
      <c r="S422" s="49">
        <v>23762730</v>
      </c>
      <c r="T422" s="49">
        <v>14.32</v>
      </c>
      <c r="U422" s="49">
        <v>2864.3200000000006</v>
      </c>
      <c r="V422" s="49">
        <v>23882127</v>
      </c>
      <c r="W422" s="49">
        <v>119411</v>
      </c>
      <c r="X422" s="49">
        <v>23762716</v>
      </c>
      <c r="Y422" s="530" t="str">
        <f>IFERROR(IF(FIND("/KM",KB[[#This Row],[SUPPLIER]])&gt;0,"LAUT"),"DARAT")</f>
        <v>LAUT</v>
      </c>
    </row>
    <row r="423" spans="2:25">
      <c r="B423" s="140" t="str">
        <f>IFERROR(LEFT(KB[[#This Row],[SUPPLIER]],FIND("/",KB[[#This Row],[SUPPLIER]])-1),KB[[#This Row],[SUPPLIER]])</f>
        <v>HELMANSYAH</v>
      </c>
      <c r="C423" s="141" t="str">
        <f>TEXT(VLOOKUP(KB[[#This Row],[RELASI]],DBRELASI[[RELASI]:[DOCKB]],10,0)+COUNTIFS($B$2:B423,KB[[#This Row],[RELASI]],$D$2:D423,1),"000")</f>
        <v>004</v>
      </c>
      <c r="D423" s="141">
        <f>IF(COUNTIFS($B$3:B423,KB[[#This Row],[RELASI]],$F$3:F423,KB[[#This Row],[TANGGAL]])&lt;&gt;1,0,1)</f>
        <v>0</v>
      </c>
      <c r="E423" s="141" t="str">
        <f>TEXT(IF(KB[[#This Row],[DOC]]&lt;&gt;"",KB[[#This Row],[DOC]],E422),"000")</f>
        <v>004</v>
      </c>
      <c r="F423" s="40">
        <v>43878</v>
      </c>
      <c r="G423" s="40" t="str">
        <f>TYPE</f>
        <v>A</v>
      </c>
      <c r="H423"/>
      <c r="I423" s="42" t="s">
        <v>870</v>
      </c>
      <c r="J423" s="43" t="s">
        <v>866</v>
      </c>
      <c r="K423" s="44">
        <v>2</v>
      </c>
      <c r="L423" s="49">
        <v>15260</v>
      </c>
      <c r="M423" s="49">
        <v>7810</v>
      </c>
      <c r="N423" s="49">
        <v>7450</v>
      </c>
      <c r="O423" s="49">
        <v>6</v>
      </c>
      <c r="P423" s="49">
        <v>447</v>
      </c>
      <c r="Q423" s="49">
        <v>7003</v>
      </c>
      <c r="R423" s="49">
        <v>2850</v>
      </c>
      <c r="S423" s="49">
        <v>19958550</v>
      </c>
      <c r="T423" s="49">
        <v>14.32</v>
      </c>
      <c r="U423" s="49">
        <v>2864.32</v>
      </c>
      <c r="V423" s="49">
        <v>20058833</v>
      </c>
      <c r="W423" s="49">
        <v>100294</v>
      </c>
      <c r="X423" s="49">
        <v>19958539</v>
      </c>
      <c r="Y423" s="530" t="str">
        <f>IFERROR(IF(FIND("/KM",KB[[#This Row],[SUPPLIER]])&gt;0,"LAUT"),"DARAT")</f>
        <v>LAUT</v>
      </c>
    </row>
    <row r="424" spans="2:25">
      <c r="B424" s="140" t="str">
        <f>IFERROR(LEFT(KB[[#This Row],[SUPPLIER]],FIND("/",KB[[#This Row],[SUPPLIER]])-1),KB[[#This Row],[SUPPLIER]])</f>
        <v>HENDRY JOHANES</v>
      </c>
      <c r="C424" s="141" t="str">
        <f>TEXT(VLOOKUP(KB[[#This Row],[RELASI]],DBRELASI[[RELASI]:[DOCKB]],10,0)+COUNTIFS($B$2:B424,KB[[#This Row],[RELASI]],$D$2:D424,1),"000")</f>
        <v>004</v>
      </c>
      <c r="D424" s="141">
        <f>IF(COUNTIFS($B$3:B424,KB[[#This Row],[RELASI]],$F$3:F424,KB[[#This Row],[TANGGAL]])&lt;&gt;1,0,1)</f>
        <v>1</v>
      </c>
      <c r="E424" s="141" t="str">
        <f>TEXT(IF(KB[[#This Row],[DOC]]&lt;&gt;"",KB[[#This Row],[DOC]],E423),"000")</f>
        <v>004</v>
      </c>
      <c r="F424" s="40">
        <v>43878</v>
      </c>
      <c r="G424" s="40" t="str">
        <f>TYPE</f>
        <v>A</v>
      </c>
      <c r="H424" s="153" t="s">
        <v>526</v>
      </c>
      <c r="I424" s="42" t="s">
        <v>839</v>
      </c>
      <c r="J424" s="43" t="s">
        <v>783</v>
      </c>
      <c r="K424" s="44">
        <v>6</v>
      </c>
      <c r="L424" s="49">
        <v>51420</v>
      </c>
      <c r="M424" s="49">
        <v>23240</v>
      </c>
      <c r="N424" s="49">
        <v>28180</v>
      </c>
      <c r="O424" s="49">
        <v>5.9999999999999991</v>
      </c>
      <c r="P424" s="49">
        <v>1690.7999999999997</v>
      </c>
      <c r="Q424" s="49">
        <v>26489.199999999997</v>
      </c>
      <c r="R424" s="49">
        <v>2800.0000000000005</v>
      </c>
      <c r="S424" s="49">
        <v>74169760</v>
      </c>
      <c r="T424" s="49">
        <v>14.07</v>
      </c>
      <c r="U424" s="49">
        <v>2814.0700000000006</v>
      </c>
      <c r="V424" s="49">
        <v>74542464</v>
      </c>
      <c r="W424" s="49">
        <v>372713</v>
      </c>
      <c r="X424" s="49">
        <v>74169751</v>
      </c>
      <c r="Y424" s="530" t="str">
        <f>IFERROR(IF(FIND("/KM",KB[[#This Row],[SUPPLIER]])&gt;0,"LAUT"),"DARAT")</f>
        <v>LAUT</v>
      </c>
    </row>
    <row r="425" spans="2:25">
      <c r="B425" s="140" t="str">
        <f>IFERROR(LEFT(KB[[#This Row],[SUPPLIER]],FIND("/",KB[[#This Row],[SUPPLIER]])-1),KB[[#This Row],[SUPPLIER]])</f>
        <v>MARTONO</v>
      </c>
      <c r="C425" s="141" t="str">
        <f>TEXT(VLOOKUP(KB[[#This Row],[RELASI]],DBRELASI[[RELASI]:[DOCKB]],10,0)+COUNTIFS($B$2:B425,KB[[#This Row],[RELASI]],$D$2:D425,1),"000")</f>
        <v>028</v>
      </c>
      <c r="D425" s="141">
        <f>IF(COUNTIFS($B$3:B425,KB[[#This Row],[RELASI]],$F$3:F425,KB[[#This Row],[TANGGAL]])&lt;&gt;1,0,1)</f>
        <v>1</v>
      </c>
      <c r="E425" s="141" t="str">
        <f>TEXT(IF(KB[[#This Row],[DOC]]&lt;&gt;"",KB[[#This Row],[DOC]],E424),"000")</f>
        <v>028</v>
      </c>
      <c r="F425" s="40">
        <v>43878</v>
      </c>
      <c r="G425" s="40" t="str">
        <f>TYPE</f>
        <v>A</v>
      </c>
      <c r="H425" s="153" t="s">
        <v>854</v>
      </c>
      <c r="I425" s="42" t="s">
        <v>761</v>
      </c>
      <c r="J425" s="43" t="s">
        <v>83</v>
      </c>
      <c r="K425" s="44">
        <v>3</v>
      </c>
      <c r="L425" s="49">
        <v>22480</v>
      </c>
      <c r="M425" s="49">
        <v>11550</v>
      </c>
      <c r="N425" s="49">
        <v>10930</v>
      </c>
      <c r="O425" s="49">
        <v>6</v>
      </c>
      <c r="P425" s="49">
        <v>655.8</v>
      </c>
      <c r="Q425" s="49">
        <v>10274.200000000001</v>
      </c>
      <c r="R425" s="49">
        <v>2800</v>
      </c>
      <c r="S425" s="49">
        <v>28767760</v>
      </c>
      <c r="T425" s="49">
        <v>14.07</v>
      </c>
      <c r="U425" s="49">
        <v>2814.07</v>
      </c>
      <c r="V425" s="49">
        <v>28912318</v>
      </c>
      <c r="W425" s="49">
        <v>144561</v>
      </c>
      <c r="X425" s="49">
        <v>28767757</v>
      </c>
      <c r="Y425" s="530" t="str">
        <f>IFERROR(IF(FIND("/KM",KB[[#This Row],[SUPPLIER]])&gt;0,"LAUT"),"DARAT")</f>
        <v>LAUT</v>
      </c>
    </row>
    <row r="426" spans="2:25">
      <c r="B426" s="140" t="str">
        <f>IFERROR(LEFT(KB[[#This Row],[SUPPLIER]],FIND("/",KB[[#This Row],[SUPPLIER]])-1),KB[[#This Row],[SUPPLIER]])</f>
        <v>SUKAMTO</v>
      </c>
      <c r="C426" s="141" t="str">
        <f>TEXT(VLOOKUP(KB[[#This Row],[RELASI]],DBRELASI[[RELASI]:[DOCKB]],10,0)+COUNTIFS($B$2:B426,KB[[#This Row],[RELASI]],$D$2:D426,1),"000")</f>
        <v>012</v>
      </c>
      <c r="D426" s="141">
        <f>IF(COUNTIFS($B$3:B426,KB[[#This Row],[RELASI]],$F$3:F426,KB[[#This Row],[TANGGAL]])&lt;&gt;1,0,1)</f>
        <v>1</v>
      </c>
      <c r="E426" s="141" t="str">
        <f>TEXT(IF(KB[[#This Row],[DOC]]&lt;&gt;"",KB[[#This Row],[DOC]],E425),"000")</f>
        <v>012</v>
      </c>
      <c r="F426" s="40">
        <v>43878</v>
      </c>
      <c r="G426" s="40" t="str">
        <f>TYPE</f>
        <v>A</v>
      </c>
      <c r="H426" s="153" t="s">
        <v>778</v>
      </c>
      <c r="I426" s="42" t="s">
        <v>848</v>
      </c>
      <c r="J426" s="43" t="s">
        <v>524</v>
      </c>
      <c r="K426" s="44">
        <v>1</v>
      </c>
      <c r="L426" s="49">
        <v>8110</v>
      </c>
      <c r="M426" s="49">
        <v>3890</v>
      </c>
      <c r="N426" s="49">
        <v>4220</v>
      </c>
      <c r="O426" s="49">
        <v>5.9999999999999991</v>
      </c>
      <c r="P426" s="49">
        <v>253.2</v>
      </c>
      <c r="Q426" s="49">
        <v>3966.8</v>
      </c>
      <c r="R426" s="49">
        <v>2750</v>
      </c>
      <c r="S426" s="49">
        <v>10908700</v>
      </c>
      <c r="T426" s="49">
        <v>13.82</v>
      </c>
      <c r="U426" s="49">
        <v>2763.82</v>
      </c>
      <c r="V426" s="49">
        <v>10963521</v>
      </c>
      <c r="W426" s="49">
        <v>54818</v>
      </c>
      <c r="X426" s="49">
        <v>10908703</v>
      </c>
      <c r="Y426" s="530" t="str">
        <f>IFERROR(IF(FIND("/KM",KB[[#This Row],[SUPPLIER]])&gt;0,"LAUT"),"DARAT")</f>
        <v>LAUT</v>
      </c>
    </row>
    <row r="427" spans="2:25">
      <c r="B427" s="140" t="str">
        <f>IFERROR(LEFT(KB[[#This Row],[SUPPLIER]],FIND("/",KB[[#This Row],[SUPPLIER]])-1),KB[[#This Row],[SUPPLIER]])</f>
        <v>ZAINAL ABIDIN</v>
      </c>
      <c r="C427" s="141" t="str">
        <f>TEXT(VLOOKUP(KB[[#This Row],[RELASI]],DBRELASI[[RELASI]:[DOCKB]],10,0)+COUNTIFS($B$2:B427,KB[[#This Row],[RELASI]],$D$2:D427,1),"000")</f>
        <v>004</v>
      </c>
      <c r="D427" s="141">
        <f>IF(COUNTIFS($B$3:B427,KB[[#This Row],[RELASI]],$F$3:F427,KB[[#This Row],[TANGGAL]])&lt;&gt;1,0,1)</f>
        <v>1</v>
      </c>
      <c r="E427" s="141" t="str">
        <f>TEXT(IF(KB[[#This Row],[DOC]]&lt;&gt;"",KB[[#This Row],[DOC]],E426),"000")</f>
        <v>004</v>
      </c>
      <c r="F427" s="40">
        <v>43878</v>
      </c>
      <c r="G427" s="40" t="str">
        <f>TYPE</f>
        <v>A</v>
      </c>
      <c r="H427" s="154" t="s">
        <v>526</v>
      </c>
      <c r="I427" s="46" t="s">
        <v>534</v>
      </c>
      <c r="J427" s="47" t="s">
        <v>524</v>
      </c>
      <c r="K427" s="48">
        <v>3</v>
      </c>
      <c r="L427" s="49">
        <v>24790</v>
      </c>
      <c r="M427" s="49">
        <v>11610</v>
      </c>
      <c r="N427" s="49">
        <v>13180</v>
      </c>
      <c r="O427" s="49">
        <v>5.9999999999999991</v>
      </c>
      <c r="P427" s="49">
        <v>790.8</v>
      </c>
      <c r="Q427" s="49">
        <v>12389.2</v>
      </c>
      <c r="R427" s="49">
        <v>2700</v>
      </c>
      <c r="S427" s="49">
        <v>33450840</v>
      </c>
      <c r="T427" s="49">
        <v>13.57</v>
      </c>
      <c r="U427" s="49">
        <v>2713.57</v>
      </c>
      <c r="V427" s="49">
        <v>33618962</v>
      </c>
      <c r="W427" s="49">
        <v>168094</v>
      </c>
      <c r="X427" s="49">
        <v>33450868</v>
      </c>
      <c r="Y427" s="574" t="str">
        <f>IFERROR(IF(FIND("/KM",KB[[#This Row],[SUPPLIER]])&gt;0,"LAUT"),"DARAT")</f>
        <v>LAUT</v>
      </c>
    </row>
    <row r="428" spans="2:25">
      <c r="B428" s="140" t="str">
        <f>IFERROR(LEFT(KB[[#This Row],[SUPPLIER]],FIND("/",KB[[#This Row],[SUPPLIER]])-1),KB[[#This Row],[SUPPLIER]])</f>
        <v>ERAWATI</v>
      </c>
      <c r="C428" s="141" t="str">
        <f>TEXT(VLOOKUP(KB[[#This Row],[RELASI]],DBRELASI[[RELASI]:[DOCKB]],10,0)+COUNTIFS($B$2:B428,KB[[#This Row],[RELASI]],$D$2:D428,1),"000")</f>
        <v>035</v>
      </c>
      <c r="D428" s="141">
        <f>IF(COUNTIFS($B$3:B428,KB[[#This Row],[RELASI]],$F$3:F428,KB[[#This Row],[TANGGAL]])&lt;&gt;1,0,1)</f>
        <v>1</v>
      </c>
      <c r="E428" s="141" t="str">
        <f>TEXT(IF(KB[[#This Row],[DOC]]&lt;&gt;"",KB[[#This Row],[DOC]],E427),"000")</f>
        <v>035</v>
      </c>
      <c r="F428" s="40">
        <v>43879</v>
      </c>
      <c r="G428" s="40" t="str">
        <f>TYPE</f>
        <v>A</v>
      </c>
      <c r="H428" s="153" t="s">
        <v>887</v>
      </c>
      <c r="I428" s="42" t="s">
        <v>155</v>
      </c>
      <c r="J428" s="43" t="s">
        <v>77</v>
      </c>
      <c r="K428" s="44">
        <v>5</v>
      </c>
      <c r="L428" s="49">
        <v>40400</v>
      </c>
      <c r="M428" s="49">
        <v>21970</v>
      </c>
      <c r="N428" s="49">
        <v>18430</v>
      </c>
      <c r="O428" s="49">
        <v>5</v>
      </c>
      <c r="P428" s="49">
        <v>921.5</v>
      </c>
      <c r="Q428" s="49">
        <v>17508.5</v>
      </c>
      <c r="R428" s="49">
        <v>2800</v>
      </c>
      <c r="S428" s="49">
        <v>49023800</v>
      </c>
      <c r="T428" s="49">
        <v>14.07</v>
      </c>
      <c r="U428" s="49">
        <v>2814.07</v>
      </c>
      <c r="V428" s="49">
        <v>49270145</v>
      </c>
      <c r="W428" s="49">
        <v>246350</v>
      </c>
      <c r="X428" s="49">
        <v>49023795</v>
      </c>
      <c r="Y428" s="530" t="str">
        <f>IFERROR(IF(FIND("/KM",KB[[#This Row],[SUPPLIER]])&gt;0,"LAUT"),"DARAT")</f>
        <v>DARAT</v>
      </c>
    </row>
    <row r="429" spans="2:25">
      <c r="B429" s="140" t="str">
        <f>IFERROR(LEFT(KB[[#This Row],[SUPPLIER]],FIND("/",KB[[#This Row],[SUPPLIER]])-1),KB[[#This Row],[SUPPLIER]])</f>
        <v>INDRAYANI</v>
      </c>
      <c r="C429" s="141" t="str">
        <f>TEXT(VLOOKUP(KB[[#This Row],[RELASI]],DBRELASI[[RELASI]:[DOCKB]],10,0)+COUNTIFS($B$2:B429,KB[[#This Row],[RELASI]],$D$2:D429,1),"000")</f>
        <v>031</v>
      </c>
      <c r="D429" s="141">
        <f>IF(COUNTIFS($B$3:B429,KB[[#This Row],[RELASI]],$F$3:F429,KB[[#This Row],[TANGGAL]])&lt;&gt;1,0,1)</f>
        <v>1</v>
      </c>
      <c r="E429" s="141" t="str">
        <f>TEXT(IF(KB[[#This Row],[DOC]]&lt;&gt;"",KB[[#This Row],[DOC]],E428),"000")</f>
        <v>031</v>
      </c>
      <c r="F429" s="40">
        <v>43879</v>
      </c>
      <c r="G429" s="40" t="str">
        <f>TYPE</f>
        <v>A</v>
      </c>
      <c r="H429" s="153" t="s">
        <v>863</v>
      </c>
      <c r="I429" s="42" t="s">
        <v>79</v>
      </c>
      <c r="J429" s="43" t="s">
        <v>77</v>
      </c>
      <c r="K429" s="44">
        <v>1</v>
      </c>
      <c r="L429" s="49">
        <v>10870</v>
      </c>
      <c r="M429" s="49">
        <v>4530</v>
      </c>
      <c r="N429" s="49">
        <v>6340</v>
      </c>
      <c r="O429" s="49">
        <v>6</v>
      </c>
      <c r="P429" s="49">
        <v>380.4</v>
      </c>
      <c r="Q429" s="49">
        <v>5959.6</v>
      </c>
      <c r="R429" s="49">
        <v>2900</v>
      </c>
      <c r="S429" s="49">
        <v>17282840</v>
      </c>
      <c r="T429" s="49">
        <v>14.57</v>
      </c>
      <c r="U429" s="49">
        <v>2914.57</v>
      </c>
      <c r="V429" s="49">
        <v>17369671</v>
      </c>
      <c r="W429" s="49">
        <v>86848</v>
      </c>
      <c r="X429" s="49">
        <v>17282823</v>
      </c>
      <c r="Y429" s="530" t="str">
        <f>IFERROR(IF(FIND("/KM",KB[[#This Row],[SUPPLIER]])&gt;0,"LAUT"),"DARAT")</f>
        <v>DARAT</v>
      </c>
    </row>
    <row r="430" spans="2:25">
      <c r="B430" s="140" t="str">
        <f>IFERROR(LEFT(KB[[#This Row],[SUPPLIER]],FIND("/",KB[[#This Row],[SUPPLIER]])-1),KB[[#This Row],[SUPPLIER]])</f>
        <v>SAIRI</v>
      </c>
      <c r="C430" s="141" t="str">
        <f>TEXT(VLOOKUP(KB[[#This Row],[RELASI]],DBRELASI[[RELASI]:[DOCKB]],10,0)+COUNTIFS($B$2:B430,KB[[#This Row],[RELASI]],$D$2:D430,1),"000")</f>
        <v>024</v>
      </c>
      <c r="D430" s="141">
        <f>IF(COUNTIFS($B$3:B430,KB[[#This Row],[RELASI]],$F$3:F430,KB[[#This Row],[TANGGAL]])&lt;&gt;1,0,1)</f>
        <v>1</v>
      </c>
      <c r="E430" s="141" t="str">
        <f>TEXT(IF(KB[[#This Row],[DOC]]&lt;&gt;"",KB[[#This Row],[DOC]],E429),"000")</f>
        <v>024</v>
      </c>
      <c r="F430" s="40">
        <v>43879</v>
      </c>
      <c r="G430" s="40" t="str">
        <f>TYPE</f>
        <v>A</v>
      </c>
      <c r="H430" s="153" t="s">
        <v>844</v>
      </c>
      <c r="I430" s="42" t="s">
        <v>84</v>
      </c>
      <c r="J430" s="43" t="s">
        <v>85</v>
      </c>
      <c r="K430" s="44">
        <v>1</v>
      </c>
      <c r="L430" s="49">
        <v>4250</v>
      </c>
      <c r="M430" s="49">
        <v>1490</v>
      </c>
      <c r="N430" s="49">
        <v>2760</v>
      </c>
      <c r="O430" s="49">
        <v>5</v>
      </c>
      <c r="P430" s="49">
        <v>138</v>
      </c>
      <c r="Q430" s="49">
        <v>2622</v>
      </c>
      <c r="R430" s="49">
        <v>2850</v>
      </c>
      <c r="S430" s="49">
        <v>7472700</v>
      </c>
      <c r="T430" s="49">
        <v>14.32</v>
      </c>
      <c r="U430" s="49">
        <v>2864.32</v>
      </c>
      <c r="V430" s="49">
        <v>7510247</v>
      </c>
      <c r="W430" s="49">
        <v>37551</v>
      </c>
      <c r="X430" s="49">
        <v>7472696</v>
      </c>
      <c r="Y430" s="530" t="str">
        <f>IFERROR(IF(FIND("/KM",KB[[#This Row],[SUPPLIER]])&gt;0,"LAUT"),"DARAT")</f>
        <v>DARAT</v>
      </c>
    </row>
    <row r="431" spans="2:25">
      <c r="B431" s="140" t="str">
        <f>IFERROR(LEFT(KB[[#This Row],[SUPPLIER]],FIND("/",KB[[#This Row],[SUPPLIER]])-1),KB[[#This Row],[SUPPLIER]])</f>
        <v>YANADI</v>
      </c>
      <c r="C431" s="141" t="str">
        <f>TEXT(VLOOKUP(KB[[#This Row],[RELASI]],DBRELASI[[RELASI]:[DOCKB]],10,0)+COUNTIFS($B$2:B431,KB[[#This Row],[RELASI]],$D$2:D431,1),"000")</f>
        <v>024</v>
      </c>
      <c r="D431" s="141">
        <f>IF(COUNTIFS($B$3:B431,KB[[#This Row],[RELASI]],$F$3:F431,KB[[#This Row],[TANGGAL]])&lt;&gt;1,0,1)</f>
        <v>1</v>
      </c>
      <c r="E431" s="141" t="str">
        <f>TEXT(IF(KB[[#This Row],[DOC]]&lt;&gt;"",KB[[#This Row],[DOC]],E430),"000")</f>
        <v>024</v>
      </c>
      <c r="F431" s="40">
        <v>43879</v>
      </c>
      <c r="G431" s="40" t="str">
        <f>TYPE</f>
        <v>A</v>
      </c>
      <c r="H431" s="153" t="s">
        <v>844</v>
      </c>
      <c r="I431" s="42" t="s">
        <v>137</v>
      </c>
      <c r="J431" s="43" t="s">
        <v>74</v>
      </c>
      <c r="K431" s="44">
        <v>3</v>
      </c>
      <c r="L431" s="49">
        <v>32850</v>
      </c>
      <c r="M431" s="49">
        <v>12700</v>
      </c>
      <c r="N431" s="49">
        <v>20150</v>
      </c>
      <c r="O431" s="49">
        <v>5</v>
      </c>
      <c r="P431" s="49">
        <v>1007.5</v>
      </c>
      <c r="Q431" s="49">
        <v>19142.5</v>
      </c>
      <c r="R431" s="49">
        <v>2800</v>
      </c>
      <c r="S431" s="49">
        <v>53599000</v>
      </c>
      <c r="T431" s="49">
        <v>14.07</v>
      </c>
      <c r="U431" s="49">
        <v>2814.07</v>
      </c>
      <c r="V431" s="49">
        <v>53868336</v>
      </c>
      <c r="W431" s="49">
        <v>269342</v>
      </c>
      <c r="X431" s="49">
        <v>53598994</v>
      </c>
      <c r="Y431" s="530" t="str">
        <f>IFERROR(IF(FIND("/KM",KB[[#This Row],[SUPPLIER]])&gt;0,"LAUT"),"DARAT")</f>
        <v>DARAT</v>
      </c>
    </row>
    <row r="432" spans="2:25">
      <c r="B432" s="140" t="str">
        <f>IFERROR(LEFT(KB[[#This Row],[SUPPLIER]],FIND("/",KB[[#This Row],[SUPPLIER]])-1),KB[[#This Row],[SUPPLIER]])</f>
        <v>DINI CHAIRANI</v>
      </c>
      <c r="C432" s="141" t="str">
        <f>TEXT(VLOOKUP(KB[[#This Row],[RELASI]],DBRELASI[[RELASI]:[DOCKB]],10,0)+COUNTIFS($B$2:B432,KB[[#This Row],[RELASI]],$D$2:D432,1),"000")</f>
        <v>026</v>
      </c>
      <c r="D432" s="141">
        <f>IF(COUNTIFS($B$3:B432,KB[[#This Row],[RELASI]],$F$3:F432,KB[[#This Row],[TANGGAL]])&lt;&gt;1,0,1)</f>
        <v>1</v>
      </c>
      <c r="E432" s="141" t="str">
        <f>TEXT(IF(KB[[#This Row],[DOC]]&lt;&gt;"",KB[[#This Row],[DOC]],E431),"000")</f>
        <v>026</v>
      </c>
      <c r="F432" s="40">
        <v>43879</v>
      </c>
      <c r="G432" s="40" t="str">
        <f>TYPE</f>
        <v>A</v>
      </c>
      <c r="H432" s="153" t="s">
        <v>852</v>
      </c>
      <c r="I432" s="42" t="s">
        <v>517</v>
      </c>
      <c r="J432" s="43" t="s">
        <v>95</v>
      </c>
      <c r="K432" s="44">
        <v>3</v>
      </c>
      <c r="L432" s="49">
        <v>25760</v>
      </c>
      <c r="M432" s="49">
        <v>11590</v>
      </c>
      <c r="N432" s="49">
        <v>14170</v>
      </c>
      <c r="O432" s="49">
        <v>6</v>
      </c>
      <c r="P432" s="49">
        <v>850.19999999999993</v>
      </c>
      <c r="Q432" s="49">
        <v>13319.800000000001</v>
      </c>
      <c r="R432" s="49">
        <v>2799.9999999999995</v>
      </c>
      <c r="S432" s="49">
        <v>37295440</v>
      </c>
      <c r="T432" s="49">
        <v>14.07</v>
      </c>
      <c r="U432" s="49">
        <v>2814.0699999999997</v>
      </c>
      <c r="V432" s="49">
        <v>37482849</v>
      </c>
      <c r="W432" s="49">
        <v>187415</v>
      </c>
      <c r="X432" s="49">
        <v>37295434</v>
      </c>
      <c r="Y432" s="530" t="str">
        <f>IFERROR(IF(FIND("/KM",KB[[#This Row],[SUPPLIER]])&gt;0,"LAUT"),"DARAT")</f>
        <v>LAUT</v>
      </c>
    </row>
    <row r="433" spans="2:25">
      <c r="B433" s="140" t="str">
        <f>IFERROR(LEFT(KB[[#This Row],[SUPPLIER]],FIND("/",KB[[#This Row],[SUPPLIER]])-1),KB[[#This Row],[SUPPLIER]])</f>
        <v>DINI CHAIRANI</v>
      </c>
      <c r="C433" s="141" t="str">
        <f>TEXT(VLOOKUP(KB[[#This Row],[RELASI]],DBRELASI[[RELASI]:[DOCKB]],10,0)+COUNTIFS($B$2:B433,KB[[#This Row],[RELASI]],$D$2:D433,1),"000")</f>
        <v>026</v>
      </c>
      <c r="D433" s="141">
        <f>IF(COUNTIFS($B$3:B433,KB[[#This Row],[RELASI]],$F$3:F433,KB[[#This Row],[TANGGAL]])&lt;&gt;1,0,1)</f>
        <v>0</v>
      </c>
      <c r="E433" s="141" t="str">
        <f>TEXT(IF(KB[[#This Row],[DOC]]&lt;&gt;"",KB[[#This Row],[DOC]],E432),"000")</f>
        <v>026</v>
      </c>
      <c r="F433" s="40">
        <v>43879</v>
      </c>
      <c r="G433" s="40" t="str">
        <f>TYPE</f>
        <v>A</v>
      </c>
      <c r="H433"/>
      <c r="I433" s="42" t="s">
        <v>772</v>
      </c>
      <c r="J433" s="43" t="s">
        <v>95</v>
      </c>
      <c r="K433" s="44">
        <v>2</v>
      </c>
      <c r="L433" s="49">
        <v>13700</v>
      </c>
      <c r="M433" s="49">
        <v>7730</v>
      </c>
      <c r="N433" s="49">
        <v>5970</v>
      </c>
      <c r="O433" s="49">
        <v>5.9999999999999991</v>
      </c>
      <c r="P433" s="49">
        <v>358.2</v>
      </c>
      <c r="Q433" s="49">
        <v>5611.8</v>
      </c>
      <c r="R433" s="49">
        <v>2750</v>
      </c>
      <c r="S433" s="49">
        <v>15432450</v>
      </c>
      <c r="T433" s="49">
        <v>13.82</v>
      </c>
      <c r="U433" s="49">
        <v>2763.82</v>
      </c>
      <c r="V433" s="49">
        <v>15510005</v>
      </c>
      <c r="W433" s="49">
        <v>77550</v>
      </c>
      <c r="X433" s="49">
        <v>15432455</v>
      </c>
      <c r="Y433" s="530" t="str">
        <f>IFERROR(IF(FIND("/KM",KB[[#This Row],[SUPPLIER]])&gt;0,"LAUT"),"DARAT")</f>
        <v>LAUT</v>
      </c>
    </row>
    <row r="434" spans="2:25">
      <c r="B434" s="140" t="str">
        <f>IFERROR(LEFT(KB[[#This Row],[SUPPLIER]],FIND("/",KB[[#This Row],[SUPPLIER]])-1),KB[[#This Row],[SUPPLIER]])</f>
        <v>MARTONO</v>
      </c>
      <c r="C434" s="141" t="str">
        <f>TEXT(VLOOKUP(KB[[#This Row],[RELASI]],DBRELASI[[RELASI]:[DOCKB]],10,0)+COUNTIFS($B$2:B434,KB[[#This Row],[RELASI]],$D$2:D434,1),"000")</f>
        <v>029</v>
      </c>
      <c r="D434" s="141">
        <f>IF(COUNTIFS($B$3:B434,KB[[#This Row],[RELASI]],$F$3:F434,KB[[#This Row],[TANGGAL]])&lt;&gt;1,0,1)</f>
        <v>1</v>
      </c>
      <c r="E434" s="141" t="str">
        <f>TEXT(IF(KB[[#This Row],[DOC]]&lt;&gt;"",KB[[#This Row],[DOC]],E433),"000")</f>
        <v>029</v>
      </c>
      <c r="F434" s="40">
        <v>43879</v>
      </c>
      <c r="G434" s="40" t="str">
        <f>TYPE</f>
        <v>A</v>
      </c>
      <c r="H434" s="154" t="s">
        <v>857</v>
      </c>
      <c r="I434" s="46" t="s">
        <v>508</v>
      </c>
      <c r="J434" s="47" t="s">
        <v>83</v>
      </c>
      <c r="K434" s="48">
        <v>1</v>
      </c>
      <c r="L434" s="49">
        <v>8090</v>
      </c>
      <c r="M434" s="49">
        <v>3890</v>
      </c>
      <c r="N434" s="49">
        <v>4200</v>
      </c>
      <c r="O434" s="49">
        <v>6</v>
      </c>
      <c r="P434" s="49">
        <v>252</v>
      </c>
      <c r="Q434" s="49">
        <v>3948</v>
      </c>
      <c r="R434" s="49">
        <v>2750</v>
      </c>
      <c r="S434" s="49">
        <v>10857000</v>
      </c>
      <c r="T434" s="49">
        <v>13.82</v>
      </c>
      <c r="U434" s="49">
        <v>2763.82</v>
      </c>
      <c r="V434" s="49">
        <v>10911561</v>
      </c>
      <c r="W434" s="49">
        <v>54558</v>
      </c>
      <c r="X434" s="49">
        <v>10857003</v>
      </c>
      <c r="Y434" s="574" t="str">
        <f>IFERROR(IF(FIND("/KM",KB[[#This Row],[SUPPLIER]])&gt;0,"LAUT"),"DARAT")</f>
        <v>LAUT</v>
      </c>
    </row>
    <row r="435" spans="2:25">
      <c r="B435" s="140" t="str">
        <f>IFERROR(LEFT(KB[[#This Row],[SUPPLIER]],FIND("/",KB[[#This Row],[SUPPLIER]])-1),KB[[#This Row],[SUPPLIER]])</f>
        <v>ERAWATI</v>
      </c>
      <c r="C435" s="141" t="str">
        <f>TEXT(VLOOKUP(KB[[#This Row],[RELASI]],DBRELASI[[RELASI]:[DOCKB]],10,0)+COUNTIFS($B$2:B435,KB[[#This Row],[RELASI]],$D$2:D435,1),"000")</f>
        <v>036</v>
      </c>
      <c r="D435" s="141">
        <f>IF(COUNTIFS($B$3:B435,KB[[#This Row],[RELASI]],$F$3:F435,KB[[#This Row],[TANGGAL]])&lt;&gt;1,0,1)</f>
        <v>1</v>
      </c>
      <c r="E435" s="141" t="str">
        <f>TEXT(IF(KB[[#This Row],[DOC]]&lt;&gt;"",KB[[#This Row],[DOC]],E434),"000")</f>
        <v>036</v>
      </c>
      <c r="F435" s="40">
        <v>43880</v>
      </c>
      <c r="G435" s="40" t="str">
        <f>TYPE</f>
        <v>A</v>
      </c>
      <c r="H435" s="153" t="s">
        <v>888</v>
      </c>
      <c r="I435" s="42" t="s">
        <v>155</v>
      </c>
      <c r="J435" s="43" t="s">
        <v>77</v>
      </c>
      <c r="K435" s="44">
        <v>3</v>
      </c>
      <c r="L435" s="49">
        <v>31470</v>
      </c>
      <c r="M435" s="49">
        <v>13220</v>
      </c>
      <c r="N435" s="49">
        <v>18250</v>
      </c>
      <c r="O435" s="49">
        <v>5</v>
      </c>
      <c r="P435" s="49">
        <v>912.5</v>
      </c>
      <c r="Q435" s="49">
        <v>17337.5</v>
      </c>
      <c r="R435" s="49">
        <v>2800</v>
      </c>
      <c r="S435" s="49">
        <v>48545000</v>
      </c>
      <c r="T435" s="49">
        <v>14.07</v>
      </c>
      <c r="U435" s="49">
        <v>2814.07</v>
      </c>
      <c r="V435" s="49">
        <v>48788939</v>
      </c>
      <c r="W435" s="49">
        <v>243945</v>
      </c>
      <c r="X435" s="49">
        <v>48544994</v>
      </c>
      <c r="Y435" s="530" t="str">
        <f>IFERROR(IF(FIND("/KM",KB[[#This Row],[SUPPLIER]])&gt;0,"LAUT"),"DARAT")</f>
        <v>DARAT</v>
      </c>
    </row>
    <row r="436" spans="2:25">
      <c r="B436" s="140" t="str">
        <f>IFERROR(LEFT(KB[[#This Row],[SUPPLIER]],FIND("/",KB[[#This Row],[SUPPLIER]])-1),KB[[#This Row],[SUPPLIER]])</f>
        <v>INDRAYANI</v>
      </c>
      <c r="C436" s="141" t="str">
        <f>TEXT(VLOOKUP(KB[[#This Row],[RELASI]],DBRELASI[[RELASI]:[DOCKB]],10,0)+COUNTIFS($B$2:B436,KB[[#This Row],[RELASI]],$D$2:D436,1),"000")</f>
        <v>032</v>
      </c>
      <c r="D436" s="141">
        <f>IF(COUNTIFS($B$3:B436,KB[[#This Row],[RELASI]],$F$3:F436,KB[[#This Row],[TANGGAL]])&lt;&gt;1,0,1)</f>
        <v>1</v>
      </c>
      <c r="E436" s="141" t="str">
        <f>TEXT(IF(KB[[#This Row],[DOC]]&lt;&gt;"",KB[[#This Row],[DOC]],E435),"000")</f>
        <v>032</v>
      </c>
      <c r="F436" s="40">
        <v>43880</v>
      </c>
      <c r="G436" s="40" t="str">
        <f>TYPE</f>
        <v>A</v>
      </c>
      <c r="H436" s="153" t="s">
        <v>874</v>
      </c>
      <c r="I436" s="42" t="s">
        <v>79</v>
      </c>
      <c r="J436" s="43" t="s">
        <v>77</v>
      </c>
      <c r="K436" s="44">
        <v>3</v>
      </c>
      <c r="L436" s="49">
        <v>37860</v>
      </c>
      <c r="M436" s="49">
        <v>14200</v>
      </c>
      <c r="N436" s="49">
        <v>23660</v>
      </c>
      <c r="O436" s="49">
        <v>5</v>
      </c>
      <c r="P436" s="49">
        <v>1183</v>
      </c>
      <c r="Q436" s="49">
        <v>22477</v>
      </c>
      <c r="R436" s="49">
        <v>2900</v>
      </c>
      <c r="S436" s="49">
        <v>65183300</v>
      </c>
      <c r="T436" s="49">
        <v>14.57</v>
      </c>
      <c r="U436" s="49">
        <v>2914.57</v>
      </c>
      <c r="V436" s="49">
        <v>65510790</v>
      </c>
      <c r="W436" s="49">
        <v>327554</v>
      </c>
      <c r="X436" s="49">
        <v>65183236</v>
      </c>
      <c r="Y436" s="530" t="str">
        <f>IFERROR(IF(FIND("/KM",KB[[#This Row],[SUPPLIER]])&gt;0,"LAUT"),"DARAT")</f>
        <v>DARAT</v>
      </c>
    </row>
    <row r="437" spans="2:25">
      <c r="B437" s="140" t="str">
        <f>IFERROR(LEFT(KB[[#This Row],[SUPPLIER]],FIND("/",KB[[#This Row],[SUPPLIER]])-1),KB[[#This Row],[SUPPLIER]])</f>
        <v>RUSLAN JAYA, SH</v>
      </c>
      <c r="C437" s="141" t="str">
        <f>TEXT(VLOOKUP(KB[[#This Row],[RELASI]],DBRELASI[[RELASI]:[DOCKB]],10,0)+COUNTIFS($B$2:B437,KB[[#This Row],[RELASI]],$D$2:D437,1),"000")</f>
        <v>022</v>
      </c>
      <c r="D437" s="141">
        <f>IF(COUNTIFS($B$3:B437,KB[[#This Row],[RELASI]],$F$3:F437,KB[[#This Row],[TANGGAL]])&lt;&gt;1,0,1)</f>
        <v>1</v>
      </c>
      <c r="E437" s="141" t="str">
        <f>TEXT(IF(KB[[#This Row],[DOC]]&lt;&gt;"",KB[[#This Row],[DOC]],E436),"000")</f>
        <v>022</v>
      </c>
      <c r="F437" s="40">
        <v>43880</v>
      </c>
      <c r="G437" s="40" t="str">
        <f>TYPE</f>
        <v>A</v>
      </c>
      <c r="H437" s="153" t="s">
        <v>837</v>
      </c>
      <c r="I437" s="42" t="s">
        <v>479</v>
      </c>
      <c r="J437" s="43" t="s">
        <v>475</v>
      </c>
      <c r="K437" s="44">
        <v>1</v>
      </c>
      <c r="L437" s="49">
        <v>9510</v>
      </c>
      <c r="M437" s="49">
        <v>4210</v>
      </c>
      <c r="N437" s="49">
        <v>5300</v>
      </c>
      <c r="O437" s="49">
        <v>5</v>
      </c>
      <c r="P437" s="49">
        <v>265</v>
      </c>
      <c r="Q437" s="49">
        <v>5035</v>
      </c>
      <c r="R437" s="49">
        <v>2800</v>
      </c>
      <c r="S437" s="49">
        <v>14098000</v>
      </c>
      <c r="T437" s="49">
        <v>14.07</v>
      </c>
      <c r="U437" s="49">
        <v>2814.07</v>
      </c>
      <c r="V437" s="49">
        <v>14168842</v>
      </c>
      <c r="W437" s="49">
        <v>70844</v>
      </c>
      <c r="X437" s="49">
        <v>14097998</v>
      </c>
      <c r="Y437" s="530" t="str">
        <f>IFERROR(IF(FIND("/KM",KB[[#This Row],[SUPPLIER]])&gt;0,"LAUT"),"DARAT")</f>
        <v>DARAT</v>
      </c>
    </row>
    <row r="438" spans="2:25">
      <c r="B438" s="140" t="str">
        <f>IFERROR(LEFT(KB[[#This Row],[SUPPLIER]],FIND("/",KB[[#This Row],[SUPPLIER]])-1),KB[[#This Row],[SUPPLIER]])</f>
        <v>RITA ERNITA</v>
      </c>
      <c r="C438" s="141" t="str">
        <f>TEXT(VLOOKUP(KB[[#This Row],[RELASI]],DBRELASI[[RELASI]:[DOCKB]],10,0)+COUNTIFS($B$2:B438,KB[[#This Row],[RELASI]],$D$2:D438,1),"000")</f>
        <v>007</v>
      </c>
      <c r="D438" s="141">
        <f>IF(COUNTIFS($B$3:B438,KB[[#This Row],[RELASI]],$F$3:F438,KB[[#This Row],[TANGGAL]])&lt;&gt;1,0,1)</f>
        <v>1</v>
      </c>
      <c r="E438" s="141" t="str">
        <f>TEXT(IF(KB[[#This Row],[DOC]]&lt;&gt;"",KB[[#This Row],[DOC]],E437),"000")</f>
        <v>007</v>
      </c>
      <c r="F438" s="40">
        <v>43880</v>
      </c>
      <c r="G438" s="40" t="str">
        <f>TYPE</f>
        <v>A</v>
      </c>
      <c r="H438" s="154" t="s">
        <v>763</v>
      </c>
      <c r="I438" s="46" t="s">
        <v>793</v>
      </c>
      <c r="J438" s="47" t="s">
        <v>96</v>
      </c>
      <c r="K438" s="48">
        <v>7</v>
      </c>
      <c r="L438" s="49">
        <v>56650</v>
      </c>
      <c r="M438" s="49">
        <v>26920</v>
      </c>
      <c r="N438" s="49">
        <v>29730</v>
      </c>
      <c r="O438" s="49">
        <v>6.2152707702657235</v>
      </c>
      <c r="P438" s="49">
        <v>1847.7999999999997</v>
      </c>
      <c r="Q438" s="49">
        <v>27882.200000000004</v>
      </c>
      <c r="R438" s="49">
        <v>2849.9999999999995</v>
      </c>
      <c r="S438" s="49">
        <v>79464270</v>
      </c>
      <c r="T438" s="49">
        <v>14.32</v>
      </c>
      <c r="U438" s="49">
        <v>2864.3199999999997</v>
      </c>
      <c r="V438" s="49">
        <v>79863542</v>
      </c>
      <c r="W438" s="49">
        <v>399317</v>
      </c>
      <c r="X438" s="49">
        <v>79464225</v>
      </c>
      <c r="Y438" s="574" t="str">
        <f>IFERROR(IF(FIND("/KM",KB[[#This Row],[SUPPLIER]])&gt;0,"LAUT"),"DARAT")</f>
        <v>LAUT</v>
      </c>
    </row>
    <row r="439" spans="2:25">
      <c r="B439" s="140" t="str">
        <f>IFERROR(LEFT(KB[[#This Row],[SUPPLIER]],FIND("/",KB[[#This Row],[SUPPLIER]])-1),KB[[#This Row],[SUPPLIER]])</f>
        <v>ERAWATI</v>
      </c>
      <c r="C439" s="141" t="str">
        <f>TEXT(VLOOKUP(KB[[#This Row],[RELASI]],DBRELASI[[RELASI]:[DOCKB]],10,0)+COUNTIFS($B$2:B439,KB[[#This Row],[RELASI]],$D$2:D439,1),"000")</f>
        <v>037</v>
      </c>
      <c r="D439" s="141">
        <f>IF(COUNTIFS($B$3:B439,KB[[#This Row],[RELASI]],$F$3:F439,KB[[#This Row],[TANGGAL]])&lt;&gt;1,0,1)</f>
        <v>1</v>
      </c>
      <c r="E439" s="141" t="str">
        <f>TEXT(IF(KB[[#This Row],[DOC]]&lt;&gt;"",KB[[#This Row],[DOC]],E438),"000")</f>
        <v>037</v>
      </c>
      <c r="F439" s="40">
        <v>43881</v>
      </c>
      <c r="G439" s="40" t="str">
        <f>TYPE</f>
        <v>A</v>
      </c>
      <c r="H439" s="153" t="s">
        <v>889</v>
      </c>
      <c r="I439" s="42" t="s">
        <v>155</v>
      </c>
      <c r="J439" s="43" t="s">
        <v>77</v>
      </c>
      <c r="K439" s="44">
        <v>2</v>
      </c>
      <c r="L439" s="49">
        <v>22160</v>
      </c>
      <c r="M439" s="49">
        <v>8260</v>
      </c>
      <c r="N439" s="49">
        <v>13900</v>
      </c>
      <c r="O439" s="49">
        <v>5</v>
      </c>
      <c r="P439" s="49">
        <v>695</v>
      </c>
      <c r="Q439" s="49">
        <v>13205</v>
      </c>
      <c r="R439" s="49">
        <v>2900</v>
      </c>
      <c r="S439" s="49">
        <v>38294500</v>
      </c>
      <c r="T439" s="49">
        <v>14.57</v>
      </c>
      <c r="U439" s="49">
        <v>2914.57</v>
      </c>
      <c r="V439" s="49">
        <v>38486897</v>
      </c>
      <c r="W439" s="49">
        <v>192434</v>
      </c>
      <c r="X439" s="49">
        <v>38294463</v>
      </c>
      <c r="Y439" s="530" t="str">
        <f>IFERROR(IF(FIND("/KM",KB[[#This Row],[SUPPLIER]])&gt;0,"LAUT"),"DARAT")</f>
        <v>DARAT</v>
      </c>
    </row>
    <row r="440" spans="2:25">
      <c r="B440" s="140" t="str">
        <f>IFERROR(LEFT(KB[[#This Row],[SUPPLIER]],FIND("/",KB[[#This Row],[SUPPLIER]])-1),KB[[#This Row],[SUPPLIER]])</f>
        <v>INDRAYANI</v>
      </c>
      <c r="C440" s="141" t="str">
        <f>TEXT(VLOOKUP(KB[[#This Row],[RELASI]],DBRELASI[[RELASI]:[DOCKB]],10,0)+COUNTIFS($B$2:B440,KB[[#This Row],[RELASI]],$D$2:D440,1),"000")</f>
        <v>033</v>
      </c>
      <c r="D440" s="141">
        <f>IF(COUNTIFS($B$3:B440,KB[[#This Row],[RELASI]],$F$3:F440,KB[[#This Row],[TANGGAL]])&lt;&gt;1,0,1)</f>
        <v>1</v>
      </c>
      <c r="E440" s="141" t="str">
        <f>TEXT(IF(KB[[#This Row],[DOC]]&lt;&gt;"",KB[[#This Row],[DOC]],E439),"000")</f>
        <v>033</v>
      </c>
      <c r="F440" s="40">
        <v>43881</v>
      </c>
      <c r="G440" s="40" t="str">
        <f>TYPE</f>
        <v>A</v>
      </c>
      <c r="H440" s="153" t="s">
        <v>880</v>
      </c>
      <c r="I440" s="42" t="s">
        <v>79</v>
      </c>
      <c r="J440" s="43" t="s">
        <v>77</v>
      </c>
      <c r="K440" s="44">
        <v>1</v>
      </c>
      <c r="L440" s="49">
        <v>11180</v>
      </c>
      <c r="M440" s="49">
        <v>3810</v>
      </c>
      <c r="N440" s="49">
        <v>7370</v>
      </c>
      <c r="O440" s="49">
        <v>5</v>
      </c>
      <c r="P440" s="49">
        <v>368.5</v>
      </c>
      <c r="Q440" s="49">
        <v>7001.5</v>
      </c>
      <c r="R440" s="49">
        <v>3000</v>
      </c>
      <c r="S440" s="49">
        <v>21004500</v>
      </c>
      <c r="T440" s="49">
        <v>15.08</v>
      </c>
      <c r="U440" s="49">
        <v>3015.08</v>
      </c>
      <c r="V440" s="49">
        <v>21110083</v>
      </c>
      <c r="W440" s="49">
        <v>105550</v>
      </c>
      <c r="X440" s="49">
        <v>21004533</v>
      </c>
      <c r="Y440" s="530" t="str">
        <f>IFERROR(IF(FIND("/KM",KB[[#This Row],[SUPPLIER]])&gt;0,"LAUT"),"DARAT")</f>
        <v>DARAT</v>
      </c>
    </row>
    <row r="441" spans="2:25">
      <c r="B441" s="140" t="str">
        <f>IFERROR(LEFT(KB[[#This Row],[SUPPLIER]],FIND("/",KB[[#This Row],[SUPPLIER]])-1),KB[[#This Row],[SUPPLIER]])</f>
        <v>RUSLAN JAYA, SH</v>
      </c>
      <c r="C441" s="141" t="str">
        <f>TEXT(VLOOKUP(KB[[#This Row],[RELASI]],DBRELASI[[RELASI]:[DOCKB]],10,0)+COUNTIFS($B$2:B441,KB[[#This Row],[RELASI]],$D$2:D441,1),"000")</f>
        <v>023</v>
      </c>
      <c r="D441" s="141">
        <f>IF(COUNTIFS($B$3:B441,KB[[#This Row],[RELASI]],$F$3:F441,KB[[#This Row],[TANGGAL]])&lt;&gt;1,0,1)</f>
        <v>1</v>
      </c>
      <c r="E441" s="141" t="str">
        <f>TEXT(IF(KB[[#This Row],[DOC]]&lt;&gt;"",KB[[#This Row],[DOC]],E440),"000")</f>
        <v>023</v>
      </c>
      <c r="F441" s="40">
        <v>43881</v>
      </c>
      <c r="G441" s="40" t="str">
        <f>TYPE</f>
        <v>A</v>
      </c>
      <c r="H441" s="153" t="s">
        <v>843</v>
      </c>
      <c r="I441" s="42" t="s">
        <v>479</v>
      </c>
      <c r="J441" s="43" t="s">
        <v>475</v>
      </c>
      <c r="K441" s="44">
        <v>5</v>
      </c>
      <c r="L441" s="49">
        <v>44280</v>
      </c>
      <c r="M441" s="49">
        <v>16110</v>
      </c>
      <c r="N441" s="49">
        <v>28170</v>
      </c>
      <c r="O441" s="49">
        <v>5</v>
      </c>
      <c r="P441" s="49">
        <v>1408.5</v>
      </c>
      <c r="Q441" s="49">
        <v>26761.5</v>
      </c>
      <c r="R441" s="49">
        <v>2900</v>
      </c>
      <c r="S441" s="49">
        <v>77608350</v>
      </c>
      <c r="T441" s="49">
        <v>14.57</v>
      </c>
      <c r="U441" s="49">
        <v>2914.57</v>
      </c>
      <c r="V441" s="49">
        <v>77998266</v>
      </c>
      <c r="W441" s="49">
        <v>389992</v>
      </c>
      <c r="X441" s="49">
        <v>77608274</v>
      </c>
      <c r="Y441" s="530" t="str">
        <f>IFERROR(IF(FIND("/KM",KB[[#This Row],[SUPPLIER]])&gt;0,"LAUT"),"DARAT")</f>
        <v>DARAT</v>
      </c>
    </row>
    <row r="442" spans="2:25">
      <c r="B442" s="140" t="str">
        <f>IFERROR(LEFT(KB[[#This Row],[SUPPLIER]],FIND("/",KB[[#This Row],[SUPPLIER]])-1),KB[[#This Row],[SUPPLIER]])</f>
        <v>SAIRI</v>
      </c>
      <c r="C442" s="141" t="str">
        <f>TEXT(VLOOKUP(KB[[#This Row],[RELASI]],DBRELASI[[RELASI]:[DOCKB]],10,0)+COUNTIFS($B$2:B442,KB[[#This Row],[RELASI]],$D$2:D442,1),"000")</f>
        <v>025</v>
      </c>
      <c r="D442" s="141">
        <f>IF(COUNTIFS($B$3:B442,KB[[#This Row],[RELASI]],$F$3:F442,KB[[#This Row],[TANGGAL]])&lt;&gt;1,0,1)</f>
        <v>1</v>
      </c>
      <c r="E442" s="141" t="str">
        <f>TEXT(IF(KB[[#This Row],[DOC]]&lt;&gt;"",KB[[#This Row],[DOC]],E441),"000")</f>
        <v>025</v>
      </c>
      <c r="F442" s="40">
        <v>43881</v>
      </c>
      <c r="G442" s="40" t="str">
        <f>TYPE</f>
        <v>A</v>
      </c>
      <c r="H442" s="153" t="s">
        <v>850</v>
      </c>
      <c r="I442" s="42" t="s">
        <v>84</v>
      </c>
      <c r="J442" s="43" t="s">
        <v>85</v>
      </c>
      <c r="K442" s="44">
        <v>2</v>
      </c>
      <c r="L442" s="49">
        <v>25220</v>
      </c>
      <c r="M442" s="49">
        <v>8740</v>
      </c>
      <c r="N442" s="49">
        <v>16480</v>
      </c>
      <c r="O442" s="49">
        <v>5</v>
      </c>
      <c r="P442" s="49">
        <v>824</v>
      </c>
      <c r="Q442" s="49">
        <v>15656</v>
      </c>
      <c r="R442" s="49">
        <v>2950</v>
      </c>
      <c r="S442" s="49">
        <v>46185200</v>
      </c>
      <c r="T442" s="49">
        <v>14.82</v>
      </c>
      <c r="U442" s="49">
        <v>2964.82</v>
      </c>
      <c r="V442" s="49">
        <v>46417222</v>
      </c>
      <c r="W442" s="49">
        <v>232086</v>
      </c>
      <c r="X442" s="49">
        <v>46185136</v>
      </c>
      <c r="Y442" s="530" t="str">
        <f>IFERROR(IF(FIND("/KM",KB[[#This Row],[SUPPLIER]])&gt;0,"LAUT"),"DARAT")</f>
        <v>DARAT</v>
      </c>
    </row>
    <row r="443" spans="2:25">
      <c r="B443" s="140" t="str">
        <f>IFERROR(LEFT(KB[[#This Row],[SUPPLIER]],FIND("/",KB[[#This Row],[SUPPLIER]])-1),KB[[#This Row],[SUPPLIER]])</f>
        <v>YANADI</v>
      </c>
      <c r="C443" s="141" t="str">
        <f>TEXT(VLOOKUP(KB[[#This Row],[RELASI]],DBRELASI[[RELASI]:[DOCKB]],10,0)+COUNTIFS($B$2:B443,KB[[#This Row],[RELASI]],$D$2:D443,1),"000")</f>
        <v>025</v>
      </c>
      <c r="D443" s="141">
        <f>IF(COUNTIFS($B$3:B443,KB[[#This Row],[RELASI]],$F$3:F443,KB[[#This Row],[TANGGAL]])&lt;&gt;1,0,1)</f>
        <v>1</v>
      </c>
      <c r="E443" s="141" t="str">
        <f>TEXT(IF(KB[[#This Row],[DOC]]&lt;&gt;"",KB[[#This Row],[DOC]],E442),"000")</f>
        <v>025</v>
      </c>
      <c r="F443" s="40">
        <v>43881</v>
      </c>
      <c r="G443" s="40" t="str">
        <f>TYPE</f>
        <v>A</v>
      </c>
      <c r="H443" s="153" t="s">
        <v>850</v>
      </c>
      <c r="I443" s="42" t="s">
        <v>137</v>
      </c>
      <c r="J443" s="43" t="s">
        <v>74</v>
      </c>
      <c r="K443" s="44">
        <v>1</v>
      </c>
      <c r="L443" s="49">
        <v>11790</v>
      </c>
      <c r="M443" s="49">
        <v>4260</v>
      </c>
      <c r="N443" s="49">
        <v>7530</v>
      </c>
      <c r="O443" s="49">
        <v>5</v>
      </c>
      <c r="P443" s="49">
        <v>376.5</v>
      </c>
      <c r="Q443" s="49">
        <v>7153.5</v>
      </c>
      <c r="R443" s="49">
        <v>2900</v>
      </c>
      <c r="S443" s="49">
        <v>20745150</v>
      </c>
      <c r="T443" s="49">
        <v>14.57</v>
      </c>
      <c r="U443" s="49">
        <v>2914.57</v>
      </c>
      <c r="V443" s="49">
        <v>20849376</v>
      </c>
      <c r="W443" s="49">
        <v>104247</v>
      </c>
      <c r="X443" s="49">
        <v>20745129</v>
      </c>
      <c r="Y443" s="530" t="str">
        <f>IFERROR(IF(FIND("/KM",KB[[#This Row],[SUPPLIER]])&gt;0,"LAUT"),"DARAT")</f>
        <v>DARAT</v>
      </c>
    </row>
    <row r="444" spans="2:25">
      <c r="B444" s="140" t="str">
        <f>IFERROR(LEFT(KB[[#This Row],[SUPPLIER]],FIND("/",KB[[#This Row],[SUPPLIER]])-1),KB[[#This Row],[SUPPLIER]])</f>
        <v>DINI CHAIRANI</v>
      </c>
      <c r="C444" s="141" t="str">
        <f>TEXT(VLOOKUP(KB[[#This Row],[RELASI]],DBRELASI[[RELASI]:[DOCKB]],10,0)+COUNTIFS($B$2:B444,KB[[#This Row],[RELASI]],$D$2:D444,1),"000")</f>
        <v>027</v>
      </c>
      <c r="D444" s="141">
        <f>IF(COUNTIFS($B$3:B444,KB[[#This Row],[RELASI]],$F$3:F444,KB[[#This Row],[TANGGAL]])&lt;&gt;1,0,1)</f>
        <v>1</v>
      </c>
      <c r="E444" s="141" t="str">
        <f>TEXT(IF(KB[[#This Row],[DOC]]&lt;&gt;"",KB[[#This Row],[DOC]],E443),"000")</f>
        <v>027</v>
      </c>
      <c r="F444" s="40">
        <v>43881</v>
      </c>
      <c r="G444" s="40" t="str">
        <f>TYPE</f>
        <v>A</v>
      </c>
      <c r="H444" s="153" t="s">
        <v>853</v>
      </c>
      <c r="I444" s="42" t="s">
        <v>516</v>
      </c>
      <c r="J444" s="43" t="s">
        <v>95</v>
      </c>
      <c r="K444" s="44">
        <v>1</v>
      </c>
      <c r="L444" s="49">
        <v>8680</v>
      </c>
      <c r="M444" s="49">
        <v>3890</v>
      </c>
      <c r="N444" s="49">
        <v>4790</v>
      </c>
      <c r="O444" s="49">
        <v>6</v>
      </c>
      <c r="P444" s="49">
        <v>287.39999999999998</v>
      </c>
      <c r="Q444" s="49">
        <v>4502.6000000000004</v>
      </c>
      <c r="R444" s="49">
        <v>2849.9999999999995</v>
      </c>
      <c r="S444" s="49">
        <v>12832410</v>
      </c>
      <c r="T444" s="49">
        <v>14.32</v>
      </c>
      <c r="U444" s="49">
        <v>2864.3199999999997</v>
      </c>
      <c r="V444" s="49">
        <v>12896887</v>
      </c>
      <c r="W444" s="49">
        <v>64484</v>
      </c>
      <c r="X444" s="49">
        <v>12832403</v>
      </c>
      <c r="Y444" s="530" t="str">
        <f>IFERROR(IF(FIND("/KM",KB[[#This Row],[SUPPLIER]])&gt;0,"LAUT"),"DARAT")</f>
        <v>LAUT</v>
      </c>
    </row>
    <row r="445" spans="2:25">
      <c r="B445" s="140" t="str">
        <f>IFERROR(LEFT(KB[[#This Row],[SUPPLIER]],FIND("/",KB[[#This Row],[SUPPLIER]])-1),KB[[#This Row],[SUPPLIER]])</f>
        <v>DINI CHAIRANI</v>
      </c>
      <c r="C445" s="141" t="str">
        <f>TEXT(VLOOKUP(KB[[#This Row],[RELASI]],DBRELASI[[RELASI]:[DOCKB]],10,0)+COUNTIFS($B$2:B445,KB[[#This Row],[RELASI]],$D$2:D445,1),"000")</f>
        <v>027</v>
      </c>
      <c r="D445" s="141">
        <f>IF(COUNTIFS($B$3:B445,KB[[#This Row],[RELASI]],$F$3:F445,KB[[#This Row],[TANGGAL]])&lt;&gt;1,0,1)</f>
        <v>0</v>
      </c>
      <c r="E445" s="141" t="str">
        <f>TEXT(IF(KB[[#This Row],[DOC]]&lt;&gt;"",KB[[#This Row],[DOC]],E444),"000")</f>
        <v>027</v>
      </c>
      <c r="F445" s="40">
        <v>43881</v>
      </c>
      <c r="G445" s="40" t="str">
        <f>TYPE</f>
        <v>A</v>
      </c>
      <c r="H445"/>
      <c r="I445" s="42" t="s">
        <v>525</v>
      </c>
      <c r="J445" s="43" t="s">
        <v>95</v>
      </c>
      <c r="K445" s="44">
        <v>1</v>
      </c>
      <c r="L445" s="49">
        <v>6760</v>
      </c>
      <c r="M445" s="49">
        <v>3880</v>
      </c>
      <c r="N445" s="49">
        <v>2880</v>
      </c>
      <c r="O445" s="49">
        <v>5.9999999999999991</v>
      </c>
      <c r="P445" s="49">
        <v>172.79999999999998</v>
      </c>
      <c r="Q445" s="49">
        <v>2707.2</v>
      </c>
      <c r="R445" s="49">
        <v>2850</v>
      </c>
      <c r="S445" s="49">
        <v>7715520</v>
      </c>
      <c r="T445" s="49">
        <v>14.32</v>
      </c>
      <c r="U445" s="49">
        <v>2864.32</v>
      </c>
      <c r="V445" s="49">
        <v>7754287</v>
      </c>
      <c r="W445" s="49">
        <v>38771</v>
      </c>
      <c r="X445" s="49">
        <v>7715516</v>
      </c>
      <c r="Y445" s="530" t="str">
        <f>IFERROR(IF(FIND("/KM",KB[[#This Row],[SUPPLIER]])&gt;0,"LAUT"),"DARAT")</f>
        <v>LAUT</v>
      </c>
    </row>
    <row r="446" spans="2:25">
      <c r="B446" s="140" t="str">
        <f>IFERROR(LEFT(KB[[#This Row],[SUPPLIER]],FIND("/",KB[[#This Row],[SUPPLIER]])-1),KB[[#This Row],[SUPPLIER]])</f>
        <v>DINI CHAIRANI</v>
      </c>
      <c r="C446" s="141" t="str">
        <f>TEXT(VLOOKUP(KB[[#This Row],[RELASI]],DBRELASI[[RELASI]:[DOCKB]],10,0)+COUNTIFS($B$2:B446,KB[[#This Row],[RELASI]],$D$2:D446,1),"000")</f>
        <v>027</v>
      </c>
      <c r="D446" s="141">
        <f>IF(COUNTIFS($B$3:B446,KB[[#This Row],[RELASI]],$F$3:F446,KB[[#This Row],[TANGGAL]])&lt;&gt;1,0,1)</f>
        <v>0</v>
      </c>
      <c r="E446" s="141" t="str">
        <f>TEXT(IF(KB[[#This Row],[DOC]]&lt;&gt;"",KB[[#This Row],[DOC]],E445),"000")</f>
        <v>027</v>
      </c>
      <c r="F446" s="40">
        <v>43881</v>
      </c>
      <c r="G446" s="40" t="str">
        <f>TYPE</f>
        <v>A</v>
      </c>
      <c r="H446"/>
      <c r="I446" s="42" t="s">
        <v>779</v>
      </c>
      <c r="J446" s="43" t="s">
        <v>95</v>
      </c>
      <c r="K446" s="44">
        <v>1</v>
      </c>
      <c r="L446" s="49">
        <v>8230</v>
      </c>
      <c r="M446" s="49">
        <v>3940</v>
      </c>
      <c r="N446" s="49">
        <v>4290</v>
      </c>
      <c r="O446" s="49">
        <v>6</v>
      </c>
      <c r="P446" s="49">
        <v>257.39999999999998</v>
      </c>
      <c r="Q446" s="49">
        <v>4032.6</v>
      </c>
      <c r="R446" s="49">
        <v>2850</v>
      </c>
      <c r="S446" s="49">
        <v>11492910</v>
      </c>
      <c r="T446" s="49">
        <v>14.32</v>
      </c>
      <c r="U446" s="49">
        <v>2864.32</v>
      </c>
      <c r="V446" s="49">
        <v>11550657</v>
      </c>
      <c r="W446" s="49">
        <v>57753</v>
      </c>
      <c r="X446" s="49">
        <v>11492904</v>
      </c>
      <c r="Y446" s="530" t="str">
        <f>IFERROR(IF(FIND("/KM",KB[[#This Row],[SUPPLIER]])&gt;0,"LAUT"),"DARAT")</f>
        <v>LAUT</v>
      </c>
    </row>
    <row r="447" spans="2:25">
      <c r="B447" s="140" t="str">
        <f>IFERROR(LEFT(KB[[#This Row],[SUPPLIER]],FIND("/",KB[[#This Row],[SUPPLIER]])-1),KB[[#This Row],[SUPPLIER]])</f>
        <v>DINI CHAIRANI</v>
      </c>
      <c r="C447" s="141" t="str">
        <f>TEXT(VLOOKUP(KB[[#This Row],[RELASI]],DBRELASI[[RELASI]:[DOCKB]],10,0)+COUNTIFS($B$2:B447,KB[[#This Row],[RELASI]],$D$2:D447,1),"000")</f>
        <v>027</v>
      </c>
      <c r="D447" s="141">
        <f>IF(COUNTIFS($B$3:B447,KB[[#This Row],[RELASI]],$F$3:F447,KB[[#This Row],[TANGGAL]])&lt;&gt;1,0,1)</f>
        <v>0</v>
      </c>
      <c r="E447" s="141" t="str">
        <f>TEXT(IF(KB[[#This Row],[DOC]]&lt;&gt;"",KB[[#This Row],[DOC]],E446),"000")</f>
        <v>027</v>
      </c>
      <c r="F447" s="40">
        <v>43881</v>
      </c>
      <c r="G447" s="40" t="str">
        <f>TYPE</f>
        <v>A</v>
      </c>
      <c r="H447"/>
      <c r="I447" s="42" t="s">
        <v>864</v>
      </c>
      <c r="J447" s="43" t="s">
        <v>95</v>
      </c>
      <c r="K447" s="44">
        <v>1</v>
      </c>
      <c r="L447" s="49">
        <v>6630</v>
      </c>
      <c r="M447" s="49">
        <v>3890</v>
      </c>
      <c r="N447" s="49">
        <v>2740</v>
      </c>
      <c r="O447" s="49">
        <v>6.0000000000000009</v>
      </c>
      <c r="P447" s="49">
        <v>164.4</v>
      </c>
      <c r="Q447" s="49">
        <v>2575.6</v>
      </c>
      <c r="R447" s="49">
        <v>2850</v>
      </c>
      <c r="S447" s="49">
        <v>7340460</v>
      </c>
      <c r="T447" s="49">
        <v>14.32</v>
      </c>
      <c r="U447" s="49">
        <v>2864.32</v>
      </c>
      <c r="V447" s="49">
        <v>7377343</v>
      </c>
      <c r="W447" s="49">
        <v>36887</v>
      </c>
      <c r="X447" s="49">
        <v>7340456</v>
      </c>
      <c r="Y447" s="530" t="str">
        <f>IFERROR(IF(FIND("/KM",KB[[#This Row],[SUPPLIER]])&gt;0,"LAUT"),"DARAT")</f>
        <v>LAUT</v>
      </c>
    </row>
    <row r="448" spans="2:25">
      <c r="B448" s="140" t="str">
        <f>IFERROR(LEFT(KB[[#This Row],[SUPPLIER]],FIND("/",KB[[#This Row],[SUPPLIER]])-1),KB[[#This Row],[SUPPLIER]])</f>
        <v>HENDRI</v>
      </c>
      <c r="C448" s="141" t="str">
        <f>TEXT(VLOOKUP(KB[[#This Row],[RELASI]],DBRELASI[[RELASI]:[DOCKB]],10,0)+COUNTIFS($B$2:B448,KB[[#This Row],[RELASI]],$D$2:D448,1),"000")</f>
        <v>020</v>
      </c>
      <c r="D448" s="141">
        <f>IF(COUNTIFS($B$3:B448,KB[[#This Row],[RELASI]],$F$3:F448,KB[[#This Row],[TANGGAL]])&lt;&gt;1,0,1)</f>
        <v>1</v>
      </c>
      <c r="E448" s="141" t="str">
        <f>TEXT(IF(KB[[#This Row],[DOC]]&lt;&gt;"",KB[[#This Row],[DOC]],E447),"000")</f>
        <v>020</v>
      </c>
      <c r="F448" s="40">
        <v>43881</v>
      </c>
      <c r="G448" s="40" t="str">
        <f>TYPE</f>
        <v>A</v>
      </c>
      <c r="H448" s="153" t="s">
        <v>818</v>
      </c>
      <c r="I448" s="42" t="s">
        <v>785</v>
      </c>
      <c r="J448" s="43" t="s">
        <v>475</v>
      </c>
      <c r="K448" s="44">
        <v>4</v>
      </c>
      <c r="L448" s="49">
        <v>36150</v>
      </c>
      <c r="M448" s="49">
        <v>15460</v>
      </c>
      <c r="N448" s="49">
        <v>20690</v>
      </c>
      <c r="O448" s="49">
        <v>5.9999999999999991</v>
      </c>
      <c r="P448" s="49">
        <v>1241.3999999999999</v>
      </c>
      <c r="Q448" s="49">
        <v>19448.600000000002</v>
      </c>
      <c r="R448" s="49">
        <v>2899.9999999999995</v>
      </c>
      <c r="S448" s="49">
        <v>56400940</v>
      </c>
      <c r="T448" s="49">
        <v>14.57</v>
      </c>
      <c r="U448" s="49">
        <v>2914.5699999999997</v>
      </c>
      <c r="V448" s="49">
        <v>56684306</v>
      </c>
      <c r="W448" s="49">
        <v>283421</v>
      </c>
      <c r="X448" s="49">
        <v>56400885</v>
      </c>
      <c r="Y448" s="530" t="str">
        <f>IFERROR(IF(FIND("/KM",KB[[#This Row],[SUPPLIER]])&gt;0,"LAUT"),"DARAT")</f>
        <v>LAUT</v>
      </c>
    </row>
    <row r="449" spans="2:25">
      <c r="B449" s="140" t="str">
        <f>IFERROR(LEFT(KB[[#This Row],[SUPPLIER]],FIND("/",KB[[#This Row],[SUPPLIER]])-1),KB[[#This Row],[SUPPLIER]])</f>
        <v>HENDRI</v>
      </c>
      <c r="C449" s="141" t="str">
        <f>TEXT(VLOOKUP(KB[[#This Row],[RELASI]],DBRELASI[[RELASI]:[DOCKB]],10,0)+COUNTIFS($B$2:B449,KB[[#This Row],[RELASI]],$D$2:D449,1),"000")</f>
        <v>020</v>
      </c>
      <c r="D449" s="141">
        <f>IF(COUNTIFS($B$3:B449,KB[[#This Row],[RELASI]],$F$3:F449,KB[[#This Row],[TANGGAL]])&lt;&gt;1,0,1)</f>
        <v>0</v>
      </c>
      <c r="E449" s="141" t="str">
        <f>TEXT(IF(KB[[#This Row],[DOC]]&lt;&gt;"",KB[[#This Row],[DOC]],E448),"000")</f>
        <v>020</v>
      </c>
      <c r="F449" s="40">
        <v>43881</v>
      </c>
      <c r="G449" s="40" t="str">
        <f>TYPE</f>
        <v>A</v>
      </c>
      <c r="H449"/>
      <c r="I449" s="42" t="s">
        <v>774</v>
      </c>
      <c r="J449" s="43" t="s">
        <v>475</v>
      </c>
      <c r="K449" s="44">
        <v>4</v>
      </c>
      <c r="L449" s="49">
        <v>33360</v>
      </c>
      <c r="M449" s="49">
        <v>15450</v>
      </c>
      <c r="N449" s="49">
        <v>17910</v>
      </c>
      <c r="O449" s="49">
        <v>6</v>
      </c>
      <c r="P449" s="49">
        <v>1074.5999999999999</v>
      </c>
      <c r="Q449" s="49">
        <v>16835.400000000001</v>
      </c>
      <c r="R449" s="49">
        <v>2899.9999999999995</v>
      </c>
      <c r="S449" s="49">
        <v>48822660</v>
      </c>
      <c r="T449" s="49">
        <v>14.57</v>
      </c>
      <c r="U449" s="49">
        <v>2914.5699999999997</v>
      </c>
      <c r="V449" s="49">
        <v>49067951</v>
      </c>
      <c r="W449" s="49">
        <v>245339</v>
      </c>
      <c r="X449" s="49">
        <v>48822612</v>
      </c>
      <c r="Y449" s="530" t="str">
        <f>IFERROR(IF(FIND("/KM",KB[[#This Row],[SUPPLIER]])&gt;0,"LAUT"),"DARAT")</f>
        <v>LAUT</v>
      </c>
    </row>
    <row r="450" spans="2:25">
      <c r="B450" s="140" t="str">
        <f>IFERROR(LEFT(KB[[#This Row],[SUPPLIER]],FIND("/",KB[[#This Row],[SUPPLIER]])-1),KB[[#This Row],[SUPPLIER]])</f>
        <v>MARTONO</v>
      </c>
      <c r="C450" s="141" t="str">
        <f>TEXT(VLOOKUP(KB[[#This Row],[RELASI]],DBRELASI[[RELASI]:[DOCKB]],10,0)+COUNTIFS($B$2:B450,KB[[#This Row],[RELASI]],$D$2:D450,1),"000")</f>
        <v>030</v>
      </c>
      <c r="D450" s="141">
        <f>IF(COUNTIFS($B$3:B450,KB[[#This Row],[RELASI]],$F$3:F450,KB[[#This Row],[TANGGAL]])&lt;&gt;1,0,1)</f>
        <v>1</v>
      </c>
      <c r="E450" s="141" t="str">
        <f>TEXT(IF(KB[[#This Row],[DOC]]&lt;&gt;"",KB[[#This Row],[DOC]],E449),"000")</f>
        <v>030</v>
      </c>
      <c r="F450" s="40">
        <v>43881</v>
      </c>
      <c r="G450" s="40" t="str">
        <f>TYPE</f>
        <v>A</v>
      </c>
      <c r="H450" s="153" t="s">
        <v>860</v>
      </c>
      <c r="I450" s="42" t="s">
        <v>528</v>
      </c>
      <c r="J450" s="43" t="s">
        <v>83</v>
      </c>
      <c r="K450" s="44">
        <v>1</v>
      </c>
      <c r="L450" s="49">
        <v>8800</v>
      </c>
      <c r="M450" s="49">
        <v>3950</v>
      </c>
      <c r="N450" s="49">
        <v>4850</v>
      </c>
      <c r="O450" s="49">
        <v>6</v>
      </c>
      <c r="P450" s="49">
        <v>291</v>
      </c>
      <c r="Q450" s="49">
        <v>4559</v>
      </c>
      <c r="R450" s="49">
        <v>2850</v>
      </c>
      <c r="S450" s="49">
        <v>12993150</v>
      </c>
      <c r="T450" s="49">
        <v>14.32</v>
      </c>
      <c r="U450" s="49">
        <v>2864.32</v>
      </c>
      <c r="V450" s="49">
        <v>13058435</v>
      </c>
      <c r="W450" s="49">
        <v>65292</v>
      </c>
      <c r="X450" s="49">
        <v>12993143</v>
      </c>
      <c r="Y450" s="530" t="str">
        <f>IFERROR(IF(FIND("/KM",KB[[#This Row],[SUPPLIER]])&gt;0,"LAUT"),"DARAT")</f>
        <v>LAUT</v>
      </c>
    </row>
    <row r="451" spans="2:25">
      <c r="B451" s="140" t="str">
        <f>IFERROR(LEFT(KB[[#This Row],[SUPPLIER]],FIND("/",KB[[#This Row],[SUPPLIER]])-1),KB[[#This Row],[SUPPLIER]])</f>
        <v>MASRI</v>
      </c>
      <c r="C451" s="141" t="str">
        <f>TEXT(VLOOKUP(KB[[#This Row],[RELASI]],DBRELASI[[RELASI]:[DOCKB]],10,0)+COUNTIFS($B$2:B451,KB[[#This Row],[RELASI]],$D$2:D451,1),"000")</f>
        <v>023</v>
      </c>
      <c r="D451" s="141">
        <f>IF(COUNTIFS($B$3:B451,KB[[#This Row],[RELASI]],$F$3:F451,KB[[#This Row],[TANGGAL]])&lt;&gt;1,0,1)</f>
        <v>1</v>
      </c>
      <c r="E451" s="141" t="str">
        <f>TEXT(IF(KB[[#This Row],[DOC]]&lt;&gt;"",KB[[#This Row],[DOC]],E450),"000")</f>
        <v>023</v>
      </c>
      <c r="F451" s="40">
        <v>43881</v>
      </c>
      <c r="G451" s="40" t="str">
        <f>TYPE</f>
        <v>A</v>
      </c>
      <c r="H451" s="153" t="s">
        <v>843</v>
      </c>
      <c r="I451" s="42" t="s">
        <v>771</v>
      </c>
      <c r="J451" s="43" t="s">
        <v>511</v>
      </c>
      <c r="K451" s="44">
        <v>3</v>
      </c>
      <c r="L451" s="49">
        <v>26090</v>
      </c>
      <c r="M451" s="49">
        <v>11530</v>
      </c>
      <c r="N451" s="49">
        <v>14560</v>
      </c>
      <c r="O451" s="49">
        <v>6</v>
      </c>
      <c r="P451" s="49">
        <v>873.59999999999991</v>
      </c>
      <c r="Q451" s="49">
        <v>13686.4</v>
      </c>
      <c r="R451" s="49">
        <v>3150</v>
      </c>
      <c r="S451" s="49">
        <v>43112160</v>
      </c>
      <c r="T451" s="49">
        <v>15.83</v>
      </c>
      <c r="U451" s="49">
        <v>3165.83</v>
      </c>
      <c r="V451" s="49">
        <v>43328816</v>
      </c>
      <c r="W451" s="49">
        <v>216644</v>
      </c>
      <c r="X451" s="49">
        <v>43112172</v>
      </c>
      <c r="Y451" s="530" t="str">
        <f>IFERROR(IF(FIND("/KM",KB[[#This Row],[SUPPLIER]])&gt;0,"LAUT"),"DARAT")</f>
        <v>LAUT</v>
      </c>
    </row>
    <row r="452" spans="2:25">
      <c r="B452" s="140" t="str">
        <f>IFERROR(LEFT(KB[[#This Row],[SUPPLIER]],FIND("/",KB[[#This Row],[SUPPLIER]])-1),KB[[#This Row],[SUPPLIER]])</f>
        <v>SUKAMTO</v>
      </c>
      <c r="C452" s="141" t="str">
        <f>TEXT(VLOOKUP(KB[[#This Row],[RELASI]],DBRELASI[[RELASI]:[DOCKB]],10,0)+COUNTIFS($B$2:B452,KB[[#This Row],[RELASI]],$D$2:D452,1),"000")</f>
        <v>013</v>
      </c>
      <c r="D452" s="141">
        <f>IF(COUNTIFS($B$3:B452,KB[[#This Row],[RELASI]],$F$3:F452,KB[[#This Row],[TANGGAL]])&lt;&gt;1,0,1)</f>
        <v>1</v>
      </c>
      <c r="E452" s="141" t="str">
        <f>TEXT(IF(KB[[#This Row],[DOC]]&lt;&gt;"",KB[[#This Row],[DOC]],E451),"000")</f>
        <v>013</v>
      </c>
      <c r="F452" s="40">
        <v>43881</v>
      </c>
      <c r="G452" s="40" t="str">
        <f>TYPE</f>
        <v>A</v>
      </c>
      <c r="H452" s="154" t="s">
        <v>780</v>
      </c>
      <c r="I452" s="46" t="s">
        <v>848</v>
      </c>
      <c r="J452" s="47" t="s">
        <v>524</v>
      </c>
      <c r="K452" s="48">
        <v>1</v>
      </c>
      <c r="L452" s="49">
        <v>6500</v>
      </c>
      <c r="M452" s="49">
        <v>3940</v>
      </c>
      <c r="N452" s="49">
        <v>2560</v>
      </c>
      <c r="O452" s="49">
        <v>5.9999999999999991</v>
      </c>
      <c r="P452" s="49">
        <v>153.6</v>
      </c>
      <c r="Q452" s="49">
        <v>2406.4</v>
      </c>
      <c r="R452" s="49">
        <v>2850</v>
      </c>
      <c r="S452" s="49">
        <v>6858240</v>
      </c>
      <c r="T452" s="49">
        <v>14.32</v>
      </c>
      <c r="U452" s="49">
        <v>2864.32</v>
      </c>
      <c r="V452" s="49">
        <v>6892700</v>
      </c>
      <c r="W452" s="49">
        <v>34464</v>
      </c>
      <c r="X452" s="49">
        <v>6858236</v>
      </c>
      <c r="Y452" s="574" t="str">
        <f>IFERROR(IF(FIND("/KM",KB[[#This Row],[SUPPLIER]])&gt;0,"LAUT"),"DARAT")</f>
        <v>LAUT</v>
      </c>
    </row>
    <row r="453" spans="2:25">
      <c r="B453" s="140" t="str">
        <f>IFERROR(LEFT(KB[[#This Row],[SUPPLIER]],FIND("/",KB[[#This Row],[SUPPLIER]])-1),KB[[#This Row],[SUPPLIER]])</f>
        <v>ERAWATI</v>
      </c>
      <c r="C453" s="141" t="str">
        <f>TEXT(VLOOKUP(KB[[#This Row],[RELASI]],DBRELASI[[RELASI]:[DOCKB]],10,0)+COUNTIFS($B$2:B453,KB[[#This Row],[RELASI]],$D$2:D453,1),"000")</f>
        <v>038</v>
      </c>
      <c r="D453" s="141">
        <f>IF(COUNTIFS($B$3:B453,KB[[#This Row],[RELASI]],$F$3:F453,KB[[#This Row],[TANGGAL]])&lt;&gt;1,0,1)</f>
        <v>1</v>
      </c>
      <c r="E453" s="141" t="str">
        <f>TEXT(IF(KB[[#This Row],[DOC]]&lt;&gt;"",KB[[#This Row],[DOC]],E452),"000")</f>
        <v>038</v>
      </c>
      <c r="F453" s="40">
        <v>43882</v>
      </c>
      <c r="G453" s="40" t="str">
        <f>TYPE</f>
        <v>A</v>
      </c>
      <c r="H453" s="153" t="s">
        <v>890</v>
      </c>
      <c r="I453" s="42" t="s">
        <v>155</v>
      </c>
      <c r="J453" s="43" t="s">
        <v>77</v>
      </c>
      <c r="K453" s="44">
        <v>4</v>
      </c>
      <c r="L453" s="49">
        <v>34700</v>
      </c>
      <c r="M453" s="49">
        <v>14450</v>
      </c>
      <c r="N453" s="49">
        <v>20250</v>
      </c>
      <c r="O453" s="49">
        <v>5</v>
      </c>
      <c r="P453" s="49">
        <v>1012.5</v>
      </c>
      <c r="Q453" s="49">
        <v>19237.5</v>
      </c>
      <c r="R453" s="49">
        <v>2900</v>
      </c>
      <c r="S453" s="49">
        <v>55788750</v>
      </c>
      <c r="T453" s="49">
        <v>14.57</v>
      </c>
      <c r="U453" s="49">
        <v>2914.57</v>
      </c>
      <c r="V453" s="49">
        <v>56069040</v>
      </c>
      <c r="W453" s="49">
        <v>280346</v>
      </c>
      <c r="X453" s="49">
        <v>55788694</v>
      </c>
      <c r="Y453" s="530" t="str">
        <f>IFERROR(IF(FIND("/KM",KB[[#This Row],[SUPPLIER]])&gt;0,"LAUT"),"DARAT")</f>
        <v>DARAT</v>
      </c>
    </row>
    <row r="454" spans="2:25">
      <c r="B454" s="140" t="str">
        <f>IFERROR(LEFT(KB[[#This Row],[SUPPLIER]],FIND("/",KB[[#This Row],[SUPPLIER]])-1),KB[[#This Row],[SUPPLIER]])</f>
        <v>INDRAYANI</v>
      </c>
      <c r="C454" s="141" t="str">
        <f>TEXT(VLOOKUP(KB[[#This Row],[RELASI]],DBRELASI[[RELASI]:[DOCKB]],10,0)+COUNTIFS($B$2:B454,KB[[#This Row],[RELASI]],$D$2:D454,1),"000")</f>
        <v>034</v>
      </c>
      <c r="D454" s="141">
        <f>IF(COUNTIFS($B$3:B454,KB[[#This Row],[RELASI]],$F$3:F454,KB[[#This Row],[TANGGAL]])&lt;&gt;1,0,1)</f>
        <v>1</v>
      </c>
      <c r="E454" s="141" t="str">
        <f>TEXT(IF(KB[[#This Row],[DOC]]&lt;&gt;"",KB[[#This Row],[DOC]],E453),"000")</f>
        <v>034</v>
      </c>
      <c r="F454" s="40">
        <v>43882</v>
      </c>
      <c r="G454" s="40" t="str">
        <f>TYPE</f>
        <v>A</v>
      </c>
      <c r="H454" s="153" t="s">
        <v>885</v>
      </c>
      <c r="I454" s="42" t="s">
        <v>79</v>
      </c>
      <c r="J454" s="43" t="s">
        <v>77</v>
      </c>
      <c r="K454" s="44">
        <v>3</v>
      </c>
      <c r="L454" s="49">
        <v>34610</v>
      </c>
      <c r="M454" s="49">
        <v>12740</v>
      </c>
      <c r="N454" s="49">
        <v>21870</v>
      </c>
      <c r="O454" s="49">
        <v>5</v>
      </c>
      <c r="P454" s="49">
        <v>1093.5</v>
      </c>
      <c r="Q454" s="49">
        <v>20776.5</v>
      </c>
      <c r="R454" s="49">
        <v>3000</v>
      </c>
      <c r="S454" s="49">
        <v>62329500</v>
      </c>
      <c r="T454" s="49">
        <v>15.08</v>
      </c>
      <c r="U454" s="49">
        <v>3015.08</v>
      </c>
      <c r="V454" s="49">
        <v>62642809</v>
      </c>
      <c r="W454" s="49">
        <v>313214</v>
      </c>
      <c r="X454" s="49">
        <v>62329595</v>
      </c>
      <c r="Y454" s="530" t="str">
        <f>IFERROR(IF(FIND("/KM",KB[[#This Row],[SUPPLIER]])&gt;0,"LAUT"),"DARAT")</f>
        <v>DARAT</v>
      </c>
    </row>
    <row r="455" spans="2:25">
      <c r="B455" s="140" t="str">
        <f>IFERROR(LEFT(KB[[#This Row],[SUPPLIER]],FIND("/",KB[[#This Row],[SUPPLIER]])-1),KB[[#This Row],[SUPPLIER]])</f>
        <v>RUSLAN JAYA, SH</v>
      </c>
      <c r="C455" s="141" t="str">
        <f>TEXT(VLOOKUP(KB[[#This Row],[RELASI]],DBRELASI[[RELASI]:[DOCKB]],10,0)+COUNTIFS($B$2:B455,KB[[#This Row],[RELASI]],$D$2:D455,1),"000")</f>
        <v>024</v>
      </c>
      <c r="D455" s="141">
        <f>IF(COUNTIFS($B$3:B455,KB[[#This Row],[RELASI]],$F$3:F455,KB[[#This Row],[TANGGAL]])&lt;&gt;1,0,1)</f>
        <v>1</v>
      </c>
      <c r="E455" s="141" t="str">
        <f>TEXT(IF(KB[[#This Row],[DOC]]&lt;&gt;"",KB[[#This Row],[DOC]],E454),"000")</f>
        <v>024</v>
      </c>
      <c r="F455" s="40">
        <v>43882</v>
      </c>
      <c r="G455" s="40" t="str">
        <f>TYPE</f>
        <v>A</v>
      </c>
      <c r="H455" s="153" t="s">
        <v>844</v>
      </c>
      <c r="I455" s="42" t="s">
        <v>479</v>
      </c>
      <c r="J455" s="43" t="s">
        <v>475</v>
      </c>
      <c r="K455" s="44">
        <v>3</v>
      </c>
      <c r="L455" s="49">
        <v>31290</v>
      </c>
      <c r="M455" s="49">
        <v>13080</v>
      </c>
      <c r="N455" s="49">
        <v>18210</v>
      </c>
      <c r="O455" s="49">
        <v>5</v>
      </c>
      <c r="P455" s="49">
        <v>910.5</v>
      </c>
      <c r="Q455" s="49">
        <v>17299.5</v>
      </c>
      <c r="R455" s="49">
        <v>2900</v>
      </c>
      <c r="S455" s="49">
        <v>50168550</v>
      </c>
      <c r="T455" s="49">
        <v>14.57</v>
      </c>
      <c r="U455" s="49">
        <v>2914.57</v>
      </c>
      <c r="V455" s="49">
        <v>50420604</v>
      </c>
      <c r="W455" s="49">
        <v>252103</v>
      </c>
      <c r="X455" s="49">
        <v>50168501</v>
      </c>
      <c r="Y455" s="530" t="str">
        <f>IFERROR(IF(FIND("/KM",KB[[#This Row],[SUPPLIER]])&gt;0,"LAUT"),"DARAT")</f>
        <v>DARAT</v>
      </c>
    </row>
    <row r="456" spans="2:25">
      <c r="B456" s="140" t="str">
        <f>IFERROR(LEFT(KB[[#This Row],[SUPPLIER]],FIND("/",KB[[#This Row],[SUPPLIER]])-1),KB[[#This Row],[SUPPLIER]])</f>
        <v>YANADI</v>
      </c>
      <c r="C456" s="141" t="str">
        <f>TEXT(VLOOKUP(KB[[#This Row],[RELASI]],DBRELASI[[RELASI]:[DOCKB]],10,0)+COUNTIFS($B$2:B456,KB[[#This Row],[RELASI]],$D$2:D456,1),"000")</f>
        <v>026</v>
      </c>
      <c r="D456" s="141">
        <f>IF(COUNTIFS($B$3:B456,KB[[#This Row],[RELASI]],$F$3:F456,KB[[#This Row],[TANGGAL]])&lt;&gt;1,0,1)</f>
        <v>1</v>
      </c>
      <c r="E456" s="141" t="str">
        <f>TEXT(IF(KB[[#This Row],[DOC]]&lt;&gt;"",KB[[#This Row],[DOC]],E455),"000")</f>
        <v>026</v>
      </c>
      <c r="F456" s="40">
        <v>43882</v>
      </c>
      <c r="G456" s="40" t="str">
        <f>TYPE</f>
        <v>A</v>
      </c>
      <c r="H456" s="153" t="s">
        <v>852</v>
      </c>
      <c r="I456" s="42" t="s">
        <v>137</v>
      </c>
      <c r="J456" s="43" t="s">
        <v>74</v>
      </c>
      <c r="K456" s="44">
        <v>4</v>
      </c>
      <c r="L456" s="49">
        <v>38030</v>
      </c>
      <c r="M456" s="49">
        <v>17030</v>
      </c>
      <c r="N456" s="49">
        <v>21000</v>
      </c>
      <c r="O456" s="49">
        <v>5</v>
      </c>
      <c r="P456" s="49">
        <v>1050</v>
      </c>
      <c r="Q456" s="49">
        <v>19950</v>
      </c>
      <c r="R456" s="49">
        <v>2900</v>
      </c>
      <c r="S456" s="49">
        <v>57855000</v>
      </c>
      <c r="T456" s="49">
        <v>14.57</v>
      </c>
      <c r="U456" s="49">
        <v>2914.57</v>
      </c>
      <c r="V456" s="49">
        <v>58145673</v>
      </c>
      <c r="W456" s="49">
        <v>290729</v>
      </c>
      <c r="X456" s="49">
        <v>57854944</v>
      </c>
      <c r="Y456" s="530" t="str">
        <f>IFERROR(IF(FIND("/KM",KB[[#This Row],[SUPPLIER]])&gt;0,"LAUT"),"DARAT")</f>
        <v>DARAT</v>
      </c>
    </row>
    <row r="457" spans="2:25">
      <c r="B457" s="140" t="str">
        <f>IFERROR(LEFT(KB[[#This Row],[SUPPLIER]],FIND("/",KB[[#This Row],[SUPPLIER]])-1),KB[[#This Row],[SUPPLIER]])</f>
        <v>YANADI</v>
      </c>
      <c r="C457" s="141" t="str">
        <f>TEXT(VLOOKUP(KB[[#This Row],[RELASI]],DBRELASI[[RELASI]:[DOCKB]],10,0)+COUNTIFS($B$2:B457,KB[[#This Row],[RELASI]],$D$2:D457,1),"000")</f>
        <v>026</v>
      </c>
      <c r="D457" s="141">
        <f>IF(COUNTIFS($B$3:B457,KB[[#This Row],[RELASI]],$F$3:F457,KB[[#This Row],[TANGGAL]])&lt;&gt;1,0,1)</f>
        <v>0</v>
      </c>
      <c r="E457" s="141" t="str">
        <f>TEXT(IF(KB[[#This Row],[DOC]]&lt;&gt;"",KB[[#This Row],[DOC]],E456),"000")</f>
        <v>026</v>
      </c>
      <c r="F457" s="40">
        <v>43882</v>
      </c>
      <c r="G457" s="40" t="str">
        <f>TYPE</f>
        <v>A</v>
      </c>
      <c r="H457"/>
      <c r="I457" s="42" t="s">
        <v>891</v>
      </c>
      <c r="J457" s="43" t="s">
        <v>74</v>
      </c>
      <c r="K457" s="44">
        <v>2</v>
      </c>
      <c r="L457" s="49">
        <v>15260</v>
      </c>
      <c r="M457" s="49">
        <v>7740</v>
      </c>
      <c r="N457" s="49">
        <v>7520</v>
      </c>
      <c r="O457" s="49">
        <v>5.9999999999999991</v>
      </c>
      <c r="P457" s="49">
        <v>451.19999999999993</v>
      </c>
      <c r="Q457" s="49">
        <v>7068.7999999999993</v>
      </c>
      <c r="R457" s="49">
        <v>2850.0000000000005</v>
      </c>
      <c r="S457" s="49">
        <v>20146080</v>
      </c>
      <c r="T457" s="49">
        <v>14.32</v>
      </c>
      <c r="U457" s="49">
        <v>2864.3200000000006</v>
      </c>
      <c r="V457" s="49">
        <v>20247305</v>
      </c>
      <c r="W457" s="49">
        <v>101236</v>
      </c>
      <c r="X457" s="49">
        <v>20146069</v>
      </c>
      <c r="Y457" s="530" t="str">
        <f>IFERROR(IF(FIND("/KM",KB[[#This Row],[SUPPLIER]])&gt;0,"LAUT"),"DARAT")</f>
        <v>LAUT</v>
      </c>
    </row>
    <row r="458" spans="2:25">
      <c r="B458" s="140" t="str">
        <f>IFERROR(LEFT(KB[[#This Row],[SUPPLIER]],FIND("/",KB[[#This Row],[SUPPLIER]])-1),KB[[#This Row],[SUPPLIER]])</f>
        <v>YANADI</v>
      </c>
      <c r="C458" s="141" t="str">
        <f>TEXT(VLOOKUP(KB[[#This Row],[RELASI]],DBRELASI[[RELASI]:[DOCKB]],10,0)+COUNTIFS($B$2:B458,KB[[#This Row],[RELASI]],$D$2:D458,1),"000")</f>
        <v>026</v>
      </c>
      <c r="D458" s="141">
        <f>IF(COUNTIFS($B$3:B458,KB[[#This Row],[RELASI]],$F$3:F458,KB[[#This Row],[TANGGAL]])&lt;&gt;1,0,1)</f>
        <v>0</v>
      </c>
      <c r="E458" s="141" t="str">
        <f>TEXT(IF(KB[[#This Row],[DOC]]&lt;&gt;"",KB[[#This Row],[DOC]],E457),"000")</f>
        <v>026</v>
      </c>
      <c r="F458" s="40">
        <v>43882</v>
      </c>
      <c r="G458" s="40" t="str">
        <f>TYPE</f>
        <v>A</v>
      </c>
      <c r="H458"/>
      <c r="I458" s="42" t="s">
        <v>892</v>
      </c>
      <c r="J458" s="43" t="s">
        <v>74</v>
      </c>
      <c r="K458" s="44">
        <v>5</v>
      </c>
      <c r="L458" s="49">
        <v>38170</v>
      </c>
      <c r="M458" s="49">
        <v>19650</v>
      </c>
      <c r="N458" s="49">
        <v>18520</v>
      </c>
      <c r="O458" s="49">
        <v>6.0000000000000009</v>
      </c>
      <c r="P458" s="49">
        <v>1111.2</v>
      </c>
      <c r="Q458" s="49">
        <v>17408.8</v>
      </c>
      <c r="R458" s="49">
        <v>2850</v>
      </c>
      <c r="S458" s="49">
        <v>49615080</v>
      </c>
      <c r="T458" s="49">
        <v>14.32</v>
      </c>
      <c r="U458" s="49">
        <v>2864.32</v>
      </c>
      <c r="V458" s="49">
        <v>49864374</v>
      </c>
      <c r="W458" s="49">
        <v>249322</v>
      </c>
      <c r="X458" s="49">
        <v>49615052</v>
      </c>
      <c r="Y458" s="530" t="str">
        <f>IFERROR(IF(FIND("/KM",KB[[#This Row],[SUPPLIER]])&gt;0,"LAUT"),"DARAT")</f>
        <v>LAUT</v>
      </c>
    </row>
    <row r="459" spans="2:25">
      <c r="B459" s="140" t="str">
        <f>IFERROR(LEFT(KB[[#This Row],[SUPPLIER]],FIND("/",KB[[#This Row],[SUPPLIER]])-1),KB[[#This Row],[SUPPLIER]])</f>
        <v>YANADI</v>
      </c>
      <c r="C459" s="141" t="str">
        <f>TEXT(VLOOKUP(KB[[#This Row],[RELASI]],DBRELASI[[RELASI]:[DOCKB]],10,0)+COUNTIFS($B$2:B459,KB[[#This Row],[RELASI]],$D$2:D459,1),"000")</f>
        <v>026</v>
      </c>
      <c r="D459" s="141">
        <f>IF(COUNTIFS($B$3:B459,KB[[#This Row],[RELASI]],$F$3:F459,KB[[#This Row],[TANGGAL]])&lt;&gt;1,0,1)</f>
        <v>0</v>
      </c>
      <c r="E459" s="141" t="str">
        <f>TEXT(IF(KB[[#This Row],[DOC]]&lt;&gt;"",KB[[#This Row],[DOC]],E458),"000")</f>
        <v>026</v>
      </c>
      <c r="F459" s="40">
        <v>43882</v>
      </c>
      <c r="G459" s="40" t="str">
        <f>TYPE</f>
        <v>A</v>
      </c>
      <c r="H459"/>
      <c r="I459" s="42" t="s">
        <v>531</v>
      </c>
      <c r="J459" s="43" t="s">
        <v>74</v>
      </c>
      <c r="K459" s="44">
        <v>2</v>
      </c>
      <c r="L459" s="49">
        <v>15240</v>
      </c>
      <c r="M459" s="49">
        <v>7820</v>
      </c>
      <c r="N459" s="49">
        <v>7420</v>
      </c>
      <c r="O459" s="49">
        <v>5.9999999999999991</v>
      </c>
      <c r="P459" s="49">
        <v>445.19999999999993</v>
      </c>
      <c r="Q459" s="49">
        <v>6974.8</v>
      </c>
      <c r="R459" s="49">
        <v>2850</v>
      </c>
      <c r="S459" s="49">
        <v>19878180</v>
      </c>
      <c r="T459" s="49">
        <v>14.32</v>
      </c>
      <c r="U459" s="49">
        <v>2864.32</v>
      </c>
      <c r="V459" s="49">
        <v>19978059</v>
      </c>
      <c r="W459" s="49">
        <v>99891</v>
      </c>
      <c r="X459" s="49">
        <v>19878168</v>
      </c>
      <c r="Y459" s="530" t="str">
        <f>IFERROR(IF(FIND("/KM",KB[[#This Row],[SUPPLIER]])&gt;0,"LAUT"),"DARAT")</f>
        <v>LAUT</v>
      </c>
    </row>
    <row r="460" spans="2:25">
      <c r="B460" s="140" t="str">
        <f>IFERROR(LEFT(KB[[#This Row],[SUPPLIER]],FIND("/",KB[[#This Row],[SUPPLIER]])-1),KB[[#This Row],[SUPPLIER]])</f>
        <v>MASRI</v>
      </c>
      <c r="C460" s="141" t="str">
        <f>TEXT(VLOOKUP(KB[[#This Row],[RELASI]],DBRELASI[[RELASI]:[DOCKB]],10,0)+COUNTIFS($B$2:B460,KB[[#This Row],[RELASI]],$D$2:D460,1),"000")</f>
        <v>024</v>
      </c>
      <c r="D460" s="141">
        <f>IF(COUNTIFS($B$3:B460,KB[[#This Row],[RELASI]],$F$3:F460,KB[[#This Row],[TANGGAL]])&lt;&gt;1,0,1)</f>
        <v>1</v>
      </c>
      <c r="E460" s="141" t="str">
        <f>TEXT(IF(KB[[#This Row],[DOC]]&lt;&gt;"",KB[[#This Row],[DOC]],E459),"000")</f>
        <v>024</v>
      </c>
      <c r="F460" s="40">
        <v>43882</v>
      </c>
      <c r="G460" s="40" t="str">
        <f>TYPE</f>
        <v>A</v>
      </c>
      <c r="H460" s="154" t="s">
        <v>844</v>
      </c>
      <c r="I460" s="46" t="s">
        <v>771</v>
      </c>
      <c r="J460" s="47" t="s">
        <v>511</v>
      </c>
      <c r="K460" s="48">
        <v>23</v>
      </c>
      <c r="L460" s="49">
        <v>193740</v>
      </c>
      <c r="M460" s="49">
        <v>89080</v>
      </c>
      <c r="N460" s="49">
        <v>104660</v>
      </c>
      <c r="O460" s="49">
        <v>6</v>
      </c>
      <c r="P460" s="49">
        <v>6279.5999999999995</v>
      </c>
      <c r="Q460" s="49">
        <v>98380.4</v>
      </c>
      <c r="R460" s="49">
        <v>3150</v>
      </c>
      <c r="S460" s="49">
        <v>309898260</v>
      </c>
      <c r="T460" s="49">
        <v>15.83</v>
      </c>
      <c r="U460" s="49">
        <v>3165.83</v>
      </c>
      <c r="V460" s="49">
        <v>311455621</v>
      </c>
      <c r="W460" s="49">
        <v>1557279</v>
      </c>
      <c r="X460" s="49">
        <v>309898342</v>
      </c>
      <c r="Y460" s="574" t="str">
        <f>IFERROR(IF(FIND("/KM",KB[[#This Row],[SUPPLIER]])&gt;0,"LAUT"),"DARAT")</f>
        <v>LAUT</v>
      </c>
    </row>
    <row r="461" spans="2:25">
      <c r="B461" s="140" t="str">
        <f>IFERROR(LEFT(KB[[#This Row],[SUPPLIER]],FIND("/",KB[[#This Row],[SUPPLIER]])-1),KB[[#This Row],[SUPPLIER]])</f>
        <v>ERAWATI</v>
      </c>
      <c r="C461" s="141" t="str">
        <f>TEXT(VLOOKUP(KB[[#This Row],[RELASI]],DBRELASI[[RELASI]:[DOCKB]],10,0)+COUNTIFS($B$2:B461,KB[[#This Row],[RELASI]],$D$2:D461,1),"000")</f>
        <v>039</v>
      </c>
      <c r="D461" s="141">
        <f>IF(COUNTIFS($B$3:B461,KB[[#This Row],[RELASI]],$F$3:F461,KB[[#This Row],[TANGGAL]])&lt;&gt;1,0,1)</f>
        <v>1</v>
      </c>
      <c r="E461" s="141" t="str">
        <f>TEXT(IF(KB[[#This Row],[DOC]]&lt;&gt;"",KB[[#This Row],[DOC]],E460),"000")</f>
        <v>039</v>
      </c>
      <c r="F461" s="40">
        <v>43883</v>
      </c>
      <c r="G461" s="40" t="str">
        <f>TYPE</f>
        <v>A</v>
      </c>
      <c r="H461" s="153" t="s">
        <v>893</v>
      </c>
      <c r="I461" s="42" t="s">
        <v>155</v>
      </c>
      <c r="J461" s="43" t="s">
        <v>77</v>
      </c>
      <c r="K461" s="44">
        <v>2</v>
      </c>
      <c r="L461" s="49">
        <v>25420</v>
      </c>
      <c r="M461" s="49">
        <v>9680</v>
      </c>
      <c r="N461" s="49">
        <v>15740</v>
      </c>
      <c r="O461" s="49">
        <v>5</v>
      </c>
      <c r="P461" s="49">
        <v>787</v>
      </c>
      <c r="Q461" s="49">
        <v>14953</v>
      </c>
      <c r="R461" s="49">
        <v>2900</v>
      </c>
      <c r="S461" s="49">
        <v>43363700</v>
      </c>
      <c r="T461" s="49">
        <v>14.57</v>
      </c>
      <c r="U461" s="49">
        <v>2914.57</v>
      </c>
      <c r="V461" s="49">
        <v>43581565</v>
      </c>
      <c r="W461" s="49">
        <v>217908</v>
      </c>
      <c r="X461" s="49">
        <v>43363657</v>
      </c>
      <c r="Y461" s="530" t="str">
        <f>IFERROR(IF(FIND("/KM",KB[[#This Row],[SUPPLIER]])&gt;0,"LAUT"),"DARAT")</f>
        <v>DARAT</v>
      </c>
    </row>
    <row r="462" spans="2:25">
      <c r="B462" s="140" t="str">
        <f>IFERROR(LEFT(KB[[#This Row],[SUPPLIER]],FIND("/",KB[[#This Row],[SUPPLIER]])-1),KB[[#This Row],[SUPPLIER]])</f>
        <v>INDRAYANI</v>
      </c>
      <c r="C462" s="141" t="str">
        <f>TEXT(VLOOKUP(KB[[#This Row],[RELASI]],DBRELASI[[RELASI]:[DOCKB]],10,0)+COUNTIFS($B$2:B462,KB[[#This Row],[RELASI]],$D$2:D462,1),"000")</f>
        <v>035</v>
      </c>
      <c r="D462" s="141">
        <f>IF(COUNTIFS($B$3:B462,KB[[#This Row],[RELASI]],$F$3:F462,KB[[#This Row],[TANGGAL]])&lt;&gt;1,0,1)</f>
        <v>1</v>
      </c>
      <c r="E462" s="141" t="str">
        <f>TEXT(IF(KB[[#This Row],[DOC]]&lt;&gt;"",KB[[#This Row],[DOC]],E461),"000")</f>
        <v>035</v>
      </c>
      <c r="F462" s="40">
        <v>43883</v>
      </c>
      <c r="G462" s="40" t="str">
        <f>TYPE</f>
        <v>A</v>
      </c>
      <c r="H462" s="153" t="s">
        <v>887</v>
      </c>
      <c r="I462" s="42" t="s">
        <v>79</v>
      </c>
      <c r="J462" s="43" t="s">
        <v>77</v>
      </c>
      <c r="K462" s="44">
        <v>3</v>
      </c>
      <c r="L462" s="49">
        <v>30550</v>
      </c>
      <c r="M462" s="49">
        <v>12100</v>
      </c>
      <c r="N462" s="49">
        <v>18450</v>
      </c>
      <c r="O462" s="49">
        <v>5</v>
      </c>
      <c r="P462" s="49">
        <v>922.5</v>
      </c>
      <c r="Q462" s="49">
        <v>17527.5</v>
      </c>
      <c r="R462" s="49">
        <v>3000</v>
      </c>
      <c r="S462" s="49">
        <v>52582500</v>
      </c>
      <c r="T462" s="49">
        <v>15.08</v>
      </c>
      <c r="U462" s="49">
        <v>3015.08</v>
      </c>
      <c r="V462" s="49">
        <v>52846815</v>
      </c>
      <c r="W462" s="49">
        <v>264233</v>
      </c>
      <c r="X462" s="49">
        <v>52582582</v>
      </c>
      <c r="Y462" s="530" t="str">
        <f>IFERROR(IF(FIND("/KM",KB[[#This Row],[SUPPLIER]])&gt;0,"LAUT"),"DARAT")</f>
        <v>DARAT</v>
      </c>
    </row>
    <row r="463" spans="2:25">
      <c r="B463" s="140" t="str">
        <f>IFERROR(LEFT(KB[[#This Row],[SUPPLIER]],FIND("/",KB[[#This Row],[SUPPLIER]])-1),KB[[#This Row],[SUPPLIER]])</f>
        <v>RUSLAN JAYA, SH</v>
      </c>
      <c r="C463" s="141" t="str">
        <f>TEXT(VLOOKUP(KB[[#This Row],[RELASI]],DBRELASI[[RELASI]:[DOCKB]],10,0)+COUNTIFS($B$2:B463,KB[[#This Row],[RELASI]],$D$2:D463,1),"000")</f>
        <v>025</v>
      </c>
      <c r="D463" s="141">
        <f>IF(COUNTIFS($B$3:B463,KB[[#This Row],[RELASI]],$F$3:F463,KB[[#This Row],[TANGGAL]])&lt;&gt;1,0,1)</f>
        <v>1</v>
      </c>
      <c r="E463" s="141" t="str">
        <f>TEXT(IF(KB[[#This Row],[DOC]]&lt;&gt;"",KB[[#This Row],[DOC]],E462),"000")</f>
        <v>025</v>
      </c>
      <c r="F463" s="40">
        <v>43883</v>
      </c>
      <c r="G463" s="40" t="str">
        <f>TYPE</f>
        <v>A</v>
      </c>
      <c r="H463" s="153" t="s">
        <v>850</v>
      </c>
      <c r="I463" s="42" t="s">
        <v>479</v>
      </c>
      <c r="J463" s="43" t="s">
        <v>475</v>
      </c>
      <c r="K463" s="44">
        <v>2</v>
      </c>
      <c r="L463" s="49">
        <v>20800</v>
      </c>
      <c r="M463" s="49">
        <v>8470</v>
      </c>
      <c r="N463" s="49">
        <v>12330</v>
      </c>
      <c r="O463" s="49">
        <v>5</v>
      </c>
      <c r="P463" s="49">
        <v>616.5</v>
      </c>
      <c r="Q463" s="49">
        <v>11713.5</v>
      </c>
      <c r="R463" s="49">
        <v>2900</v>
      </c>
      <c r="S463" s="49">
        <v>33969150</v>
      </c>
      <c r="T463" s="49">
        <v>14.57</v>
      </c>
      <c r="U463" s="49">
        <v>2914.57</v>
      </c>
      <c r="V463" s="49">
        <v>34139816</v>
      </c>
      <c r="W463" s="49">
        <v>170699</v>
      </c>
      <c r="X463" s="49">
        <v>33969117</v>
      </c>
      <c r="Y463" s="530" t="str">
        <f>IFERROR(IF(FIND("/KM",KB[[#This Row],[SUPPLIER]])&gt;0,"LAUT"),"DARAT")</f>
        <v>DARAT</v>
      </c>
    </row>
    <row r="464" spans="2:25">
      <c r="B464" s="140" t="str">
        <f>IFERROR(LEFT(KB[[#This Row],[SUPPLIER]],FIND("/",KB[[#This Row],[SUPPLIER]])-1),KB[[#This Row],[SUPPLIER]])</f>
        <v>SAIRI</v>
      </c>
      <c r="C464" s="141" t="str">
        <f>TEXT(VLOOKUP(KB[[#This Row],[RELASI]],DBRELASI[[RELASI]:[DOCKB]],10,0)+COUNTIFS($B$2:B464,KB[[#This Row],[RELASI]],$D$2:D464,1),"000")</f>
        <v>026</v>
      </c>
      <c r="D464" s="141">
        <f>IF(COUNTIFS($B$3:B464,KB[[#This Row],[RELASI]],$F$3:F464,KB[[#This Row],[TANGGAL]])&lt;&gt;1,0,1)</f>
        <v>1</v>
      </c>
      <c r="E464" s="141" t="str">
        <f>TEXT(IF(KB[[#This Row],[DOC]]&lt;&gt;"",KB[[#This Row],[DOC]],E463),"000")</f>
        <v>026</v>
      </c>
      <c r="F464" s="40">
        <v>43883</v>
      </c>
      <c r="G464" s="40" t="str">
        <f>TYPE</f>
        <v>A</v>
      </c>
      <c r="H464" s="153" t="s">
        <v>852</v>
      </c>
      <c r="I464" s="42" t="s">
        <v>84</v>
      </c>
      <c r="J464" s="43" t="s">
        <v>85</v>
      </c>
      <c r="K464" s="44">
        <v>1</v>
      </c>
      <c r="L464" s="49">
        <v>3910</v>
      </c>
      <c r="M464" s="49">
        <v>1570</v>
      </c>
      <c r="N464" s="49">
        <v>2340</v>
      </c>
      <c r="O464" s="49">
        <v>5</v>
      </c>
      <c r="P464" s="49">
        <v>117</v>
      </c>
      <c r="Q464" s="49">
        <v>2223</v>
      </c>
      <c r="R464" s="49">
        <v>2950</v>
      </c>
      <c r="S464" s="49">
        <v>6557850</v>
      </c>
      <c r="T464" s="49">
        <v>14.82</v>
      </c>
      <c r="U464" s="49">
        <v>2964.82</v>
      </c>
      <c r="V464" s="49">
        <v>6590795</v>
      </c>
      <c r="W464" s="49">
        <v>32954</v>
      </c>
      <c r="X464" s="49">
        <v>6557841</v>
      </c>
      <c r="Y464" s="530" t="str">
        <f>IFERROR(IF(FIND("/KM",KB[[#This Row],[SUPPLIER]])&gt;0,"LAUT"),"DARAT")</f>
        <v>DARAT</v>
      </c>
    </row>
    <row r="465" spans="2:25">
      <c r="B465" s="140" t="str">
        <f>IFERROR(LEFT(KB[[#This Row],[SUPPLIER]],FIND("/",KB[[#This Row],[SUPPLIER]])-1),KB[[#This Row],[SUPPLIER]])</f>
        <v>YANADI</v>
      </c>
      <c r="C465" s="141" t="str">
        <f>TEXT(VLOOKUP(KB[[#This Row],[RELASI]],DBRELASI[[RELASI]:[DOCKB]],10,0)+COUNTIFS($B$2:B465,KB[[#This Row],[RELASI]],$D$2:D465,1),"000")</f>
        <v>027</v>
      </c>
      <c r="D465" s="141">
        <f>IF(COUNTIFS($B$3:B465,KB[[#This Row],[RELASI]],$F$3:F465,KB[[#This Row],[TANGGAL]])&lt;&gt;1,0,1)</f>
        <v>1</v>
      </c>
      <c r="E465" s="141" t="str">
        <f>TEXT(IF(KB[[#This Row],[DOC]]&lt;&gt;"",KB[[#This Row],[DOC]],E464),"000")</f>
        <v>027</v>
      </c>
      <c r="F465" s="40">
        <v>43883</v>
      </c>
      <c r="G465" s="40" t="str">
        <f>TYPE</f>
        <v>A</v>
      </c>
      <c r="H465" s="153" t="s">
        <v>853</v>
      </c>
      <c r="I465" s="42" t="s">
        <v>137</v>
      </c>
      <c r="J465" s="43" t="s">
        <v>74</v>
      </c>
      <c r="K465" s="44">
        <v>2</v>
      </c>
      <c r="L465" s="49">
        <v>24110</v>
      </c>
      <c r="M465" s="49">
        <v>8260</v>
      </c>
      <c r="N465" s="49">
        <v>15850</v>
      </c>
      <c r="O465" s="49">
        <v>5</v>
      </c>
      <c r="P465" s="49">
        <v>792.5</v>
      </c>
      <c r="Q465" s="49">
        <v>15057.5</v>
      </c>
      <c r="R465" s="49">
        <v>2900</v>
      </c>
      <c r="S465" s="49">
        <v>43666750</v>
      </c>
      <c r="T465" s="49">
        <v>14.57</v>
      </c>
      <c r="U465" s="49">
        <v>2914.57</v>
      </c>
      <c r="V465" s="49">
        <v>43886138</v>
      </c>
      <c r="W465" s="49">
        <v>219430</v>
      </c>
      <c r="X465" s="49">
        <v>43666708</v>
      </c>
      <c r="Y465" s="530" t="str">
        <f>IFERROR(IF(FIND("/KM",KB[[#This Row],[SUPPLIER]])&gt;0,"LAUT"),"DARAT")</f>
        <v>DARAT</v>
      </c>
    </row>
    <row r="466" spans="2:25">
      <c r="B466" s="140" t="str">
        <f>IFERROR(LEFT(KB[[#This Row],[SUPPLIER]],FIND("/",KB[[#This Row],[SUPPLIER]])-1),KB[[#This Row],[SUPPLIER]])</f>
        <v>YANADI</v>
      </c>
      <c r="C466" s="141" t="str">
        <f>TEXT(VLOOKUP(KB[[#This Row],[RELASI]],DBRELASI[[RELASI]:[DOCKB]],10,0)+COUNTIFS($B$2:B466,KB[[#This Row],[RELASI]],$D$2:D466,1),"000")</f>
        <v>027</v>
      </c>
      <c r="D466" s="141">
        <f>IF(COUNTIFS($B$3:B466,KB[[#This Row],[RELASI]],$F$3:F466,KB[[#This Row],[TANGGAL]])&lt;&gt;1,0,1)</f>
        <v>0</v>
      </c>
      <c r="E466" s="141" t="str">
        <f>TEXT(IF(KB[[#This Row],[DOC]]&lt;&gt;"",KB[[#This Row],[DOC]],E465),"000")</f>
        <v>027</v>
      </c>
      <c r="F466" s="40">
        <v>43883</v>
      </c>
      <c r="G466" s="40" t="str">
        <f>TYPE</f>
        <v>A</v>
      </c>
      <c r="H466"/>
      <c r="I466" s="42" t="s">
        <v>824</v>
      </c>
      <c r="J466" s="43" t="s">
        <v>74</v>
      </c>
      <c r="K466" s="44">
        <v>2</v>
      </c>
      <c r="L466" s="49">
        <v>18120</v>
      </c>
      <c r="M466" s="49">
        <v>7770</v>
      </c>
      <c r="N466" s="49">
        <v>10350</v>
      </c>
      <c r="O466" s="49">
        <v>6</v>
      </c>
      <c r="P466" s="49">
        <v>621</v>
      </c>
      <c r="Q466" s="49">
        <v>9729</v>
      </c>
      <c r="R466" s="49">
        <v>2850</v>
      </c>
      <c r="S466" s="49">
        <v>27727650</v>
      </c>
      <c r="T466" s="49">
        <v>14.32</v>
      </c>
      <c r="U466" s="49">
        <v>2864.32</v>
      </c>
      <c r="V466" s="49">
        <v>27866970</v>
      </c>
      <c r="W466" s="49">
        <v>139335</v>
      </c>
      <c r="X466" s="49">
        <v>27727635</v>
      </c>
      <c r="Y466" s="530" t="str">
        <f>IFERROR(IF(FIND("/KM",KB[[#This Row],[SUPPLIER]])&gt;0,"LAUT"),"DARAT")</f>
        <v>LAUT</v>
      </c>
    </row>
    <row r="467" spans="2:25">
      <c r="B467" s="140" t="str">
        <f>IFERROR(LEFT(KB[[#This Row],[SUPPLIER]],FIND("/",KB[[#This Row],[SUPPLIER]])-1),KB[[#This Row],[SUPPLIER]])</f>
        <v>DINI CHAIRANI</v>
      </c>
      <c r="C467" s="141" t="str">
        <f>TEXT(VLOOKUP(KB[[#This Row],[RELASI]],DBRELASI[[RELASI]:[DOCKB]],10,0)+COUNTIFS($B$2:B467,KB[[#This Row],[RELASI]],$D$2:D467,1),"000")</f>
        <v>028</v>
      </c>
      <c r="D467" s="141">
        <f>IF(COUNTIFS($B$3:B467,KB[[#This Row],[RELASI]],$F$3:F467,KB[[#This Row],[TANGGAL]])&lt;&gt;1,0,1)</f>
        <v>1</v>
      </c>
      <c r="E467" s="141" t="str">
        <f>TEXT(IF(KB[[#This Row],[DOC]]&lt;&gt;"",KB[[#This Row],[DOC]],E466),"000")</f>
        <v>028</v>
      </c>
      <c r="F467" s="40">
        <v>43883</v>
      </c>
      <c r="G467" s="40" t="str">
        <f>TYPE</f>
        <v>A</v>
      </c>
      <c r="H467" s="153" t="s">
        <v>854</v>
      </c>
      <c r="I467" s="42" t="s">
        <v>772</v>
      </c>
      <c r="J467" s="43" t="s">
        <v>95</v>
      </c>
      <c r="K467" s="44">
        <v>1</v>
      </c>
      <c r="L467" s="49">
        <v>8220</v>
      </c>
      <c r="M467" s="49">
        <v>3800</v>
      </c>
      <c r="N467" s="49">
        <v>4420</v>
      </c>
      <c r="O467" s="49">
        <v>5.9999999999999991</v>
      </c>
      <c r="P467" s="49">
        <v>265.2</v>
      </c>
      <c r="Q467" s="49">
        <v>4154.8</v>
      </c>
      <c r="R467" s="49">
        <v>2850</v>
      </c>
      <c r="S467" s="49">
        <v>11841180</v>
      </c>
      <c r="T467" s="49">
        <v>14.32</v>
      </c>
      <c r="U467" s="49">
        <v>2864.32</v>
      </c>
      <c r="V467" s="49">
        <v>11900677</v>
      </c>
      <c r="W467" s="49">
        <v>59503</v>
      </c>
      <c r="X467" s="49">
        <v>11841174</v>
      </c>
      <c r="Y467" s="530" t="str">
        <f>IFERROR(IF(FIND("/KM",KB[[#This Row],[SUPPLIER]])&gt;0,"LAUT"),"DARAT")</f>
        <v>LAUT</v>
      </c>
    </row>
    <row r="468" spans="2:25">
      <c r="B468" s="140" t="str">
        <f>IFERROR(LEFT(KB[[#This Row],[SUPPLIER]],FIND("/",KB[[#This Row],[SUPPLIER]])-1),KB[[#This Row],[SUPPLIER]])</f>
        <v>HENDRI</v>
      </c>
      <c r="C468" s="141" t="str">
        <f>TEXT(VLOOKUP(KB[[#This Row],[RELASI]],DBRELASI[[RELASI]:[DOCKB]],10,0)+COUNTIFS($B$2:B468,KB[[#This Row],[RELASI]],$D$2:D468,1),"000")</f>
        <v>021</v>
      </c>
      <c r="D468" s="141">
        <f>IF(COUNTIFS($B$3:B468,KB[[#This Row],[RELASI]],$F$3:F468,KB[[#This Row],[TANGGAL]])&lt;&gt;1,0,1)</f>
        <v>1</v>
      </c>
      <c r="E468" s="141" t="str">
        <f>TEXT(IF(KB[[#This Row],[DOC]]&lt;&gt;"",KB[[#This Row],[DOC]],E467),"000")</f>
        <v>021</v>
      </c>
      <c r="F468" s="40">
        <v>43883</v>
      </c>
      <c r="G468" s="40" t="str">
        <f>TYPE</f>
        <v>A</v>
      </c>
      <c r="H468" s="153" t="s">
        <v>823</v>
      </c>
      <c r="I468" s="42" t="s">
        <v>800</v>
      </c>
      <c r="J468" s="43" t="s">
        <v>475</v>
      </c>
      <c r="K468" s="44">
        <v>2</v>
      </c>
      <c r="L468" s="49">
        <v>17630</v>
      </c>
      <c r="M468" s="49">
        <v>7830</v>
      </c>
      <c r="N468" s="49">
        <v>9800</v>
      </c>
      <c r="O468" s="49">
        <v>6</v>
      </c>
      <c r="P468" s="49">
        <v>588</v>
      </c>
      <c r="Q468" s="49">
        <v>9212</v>
      </c>
      <c r="R468" s="49">
        <v>2850</v>
      </c>
      <c r="S468" s="49">
        <v>26254200</v>
      </c>
      <c r="T468" s="49">
        <v>14.32</v>
      </c>
      <c r="U468" s="49">
        <v>2864.32</v>
      </c>
      <c r="V468" s="49">
        <v>26386116</v>
      </c>
      <c r="W468" s="49">
        <v>131931</v>
      </c>
      <c r="X468" s="49">
        <v>26254185</v>
      </c>
      <c r="Y468" s="530" t="str">
        <f>IFERROR(IF(FIND("/KM",KB[[#This Row],[SUPPLIER]])&gt;0,"LAUT"),"DARAT")</f>
        <v>LAUT</v>
      </c>
    </row>
    <row r="469" spans="2:25">
      <c r="B469" s="140" t="str">
        <f>IFERROR(LEFT(KB[[#This Row],[SUPPLIER]],FIND("/",KB[[#This Row],[SUPPLIER]])-1),KB[[#This Row],[SUPPLIER]])</f>
        <v>MARTONO</v>
      </c>
      <c r="C469" s="141" t="str">
        <f>TEXT(VLOOKUP(KB[[#This Row],[RELASI]],DBRELASI[[RELASI]:[DOCKB]],10,0)+COUNTIFS($B$2:B469,KB[[#This Row],[RELASI]],$D$2:D469,1),"000")</f>
        <v>031</v>
      </c>
      <c r="D469" s="141">
        <f>IF(COUNTIFS($B$3:B469,KB[[#This Row],[RELASI]],$F$3:F469,KB[[#This Row],[TANGGAL]])&lt;&gt;1,0,1)</f>
        <v>1</v>
      </c>
      <c r="E469" s="141" t="str">
        <f>TEXT(IF(KB[[#This Row],[DOC]]&lt;&gt;"",KB[[#This Row],[DOC]],E468),"000")</f>
        <v>031</v>
      </c>
      <c r="F469" s="40">
        <v>43883</v>
      </c>
      <c r="G469" s="40" t="str">
        <f>TYPE</f>
        <v>A</v>
      </c>
      <c r="H469" s="153" t="s">
        <v>863</v>
      </c>
      <c r="I469" s="42" t="s">
        <v>528</v>
      </c>
      <c r="J469" s="43" t="s">
        <v>83</v>
      </c>
      <c r="K469" s="44">
        <v>1</v>
      </c>
      <c r="L469" s="49">
        <v>5840</v>
      </c>
      <c r="M469" s="49">
        <v>3940</v>
      </c>
      <c r="N469" s="49">
        <v>1900</v>
      </c>
      <c r="O469" s="49">
        <v>6</v>
      </c>
      <c r="P469" s="49">
        <v>114</v>
      </c>
      <c r="Q469" s="49">
        <v>1786</v>
      </c>
      <c r="R469" s="49">
        <v>2850</v>
      </c>
      <c r="S469" s="49">
        <v>5090100</v>
      </c>
      <c r="T469" s="49">
        <v>14.32</v>
      </c>
      <c r="U469" s="49">
        <v>2864.32</v>
      </c>
      <c r="V469" s="49">
        <v>5115676</v>
      </c>
      <c r="W469" s="49">
        <v>25578</v>
      </c>
      <c r="X469" s="49">
        <v>5090098</v>
      </c>
      <c r="Y469" s="530" t="str">
        <f>IFERROR(IF(FIND("/KM",KB[[#This Row],[SUPPLIER]])&gt;0,"LAUT"),"DARAT")</f>
        <v>LAUT</v>
      </c>
    </row>
    <row r="470" spans="2:25">
      <c r="B470" s="140" t="str">
        <f>IFERROR(LEFT(KB[[#This Row],[SUPPLIER]],FIND("/",KB[[#This Row],[SUPPLIER]])-1),KB[[#This Row],[SUPPLIER]])</f>
        <v>MARTONO</v>
      </c>
      <c r="C470" s="141" t="str">
        <f>TEXT(VLOOKUP(KB[[#This Row],[RELASI]],DBRELASI[[RELASI]:[DOCKB]],10,0)+COUNTIFS($B$2:B470,KB[[#This Row],[RELASI]],$D$2:D470,1),"000")</f>
        <v>031</v>
      </c>
      <c r="D470" s="141">
        <f>IF(COUNTIFS($B$3:B470,KB[[#This Row],[RELASI]],$F$3:F470,KB[[#This Row],[TANGGAL]])&lt;&gt;1,0,1)</f>
        <v>0</v>
      </c>
      <c r="E470" s="141" t="str">
        <f>TEXT(IF(KB[[#This Row],[DOC]]&lt;&gt;"",KB[[#This Row],[DOC]],E469),"000")</f>
        <v>031</v>
      </c>
      <c r="F470" s="40">
        <v>43883</v>
      </c>
      <c r="G470" s="40" t="str">
        <f>TYPE</f>
        <v>A</v>
      </c>
      <c r="H470"/>
      <c r="I470" s="46" t="s">
        <v>529</v>
      </c>
      <c r="J470" s="47" t="s">
        <v>83</v>
      </c>
      <c r="K470" s="48">
        <v>3</v>
      </c>
      <c r="L470" s="49">
        <v>26760</v>
      </c>
      <c r="M470" s="49">
        <v>11720</v>
      </c>
      <c r="N470" s="49">
        <v>15040</v>
      </c>
      <c r="O470" s="49">
        <v>6</v>
      </c>
      <c r="P470" s="49">
        <v>902.40000000000009</v>
      </c>
      <c r="Q470" s="49">
        <v>14137.599999999999</v>
      </c>
      <c r="R470" s="49">
        <v>2850.0000000000005</v>
      </c>
      <c r="S470" s="49">
        <v>40292160</v>
      </c>
      <c r="T470" s="49">
        <v>14.32</v>
      </c>
      <c r="U470" s="49">
        <v>2864.3200000000006</v>
      </c>
      <c r="V470" s="49">
        <v>40494611</v>
      </c>
      <c r="W470" s="49">
        <v>202473</v>
      </c>
      <c r="X470" s="49">
        <v>40292138</v>
      </c>
      <c r="Y470" s="574" t="str">
        <f>IFERROR(IF(FIND("/KM",KB[[#This Row],[SUPPLIER]])&gt;0,"LAUT"),"DARAT")</f>
        <v>LAUT</v>
      </c>
    </row>
    <row r="471" spans="2:25">
      <c r="B471" s="140" t="str">
        <f>IFERROR(LEFT(KB[[#This Row],[SUPPLIER]],FIND("/",KB[[#This Row],[SUPPLIER]])-1),KB[[#This Row],[SUPPLIER]])</f>
        <v>ERAWATI</v>
      </c>
      <c r="C471" s="141" t="str">
        <f>TEXT(VLOOKUP(KB[[#This Row],[RELASI]],DBRELASI[[RELASI]:[DOCKB]],10,0)+COUNTIFS($B$2:B471,KB[[#This Row],[RELASI]],$D$2:D471,1),"000")</f>
        <v>040</v>
      </c>
      <c r="D471" s="141">
        <f>IF(COUNTIFS($B$3:B471,KB[[#This Row],[RELASI]],$F$3:F471,KB[[#This Row],[TANGGAL]])&lt;&gt;1,0,1)</f>
        <v>1</v>
      </c>
      <c r="E471" s="141" t="str">
        <f>TEXT(IF(KB[[#This Row],[DOC]]&lt;&gt;"",KB[[#This Row],[DOC]],E470),"000")</f>
        <v>040</v>
      </c>
      <c r="F471" s="40">
        <v>43885</v>
      </c>
      <c r="G471" s="40" t="str">
        <f>TYPE</f>
        <v>A</v>
      </c>
      <c r="H471" s="153" t="s">
        <v>894</v>
      </c>
      <c r="I471" s="42" t="s">
        <v>155</v>
      </c>
      <c r="J471" s="43" t="s">
        <v>77</v>
      </c>
      <c r="K471" s="44">
        <v>2</v>
      </c>
      <c r="L471" s="49">
        <v>24990</v>
      </c>
      <c r="M471" s="49">
        <v>10510</v>
      </c>
      <c r="N471" s="49">
        <v>14480</v>
      </c>
      <c r="O471" s="49">
        <v>5</v>
      </c>
      <c r="P471" s="49">
        <v>724</v>
      </c>
      <c r="Q471" s="49">
        <v>13756</v>
      </c>
      <c r="R471" s="49">
        <v>2900</v>
      </c>
      <c r="S471" s="49">
        <v>39892400</v>
      </c>
      <c r="T471" s="49">
        <v>14.57</v>
      </c>
      <c r="U471" s="49">
        <v>2914.57</v>
      </c>
      <c r="V471" s="49">
        <v>40092825</v>
      </c>
      <c r="W471" s="49">
        <v>200464</v>
      </c>
      <c r="X471" s="49">
        <v>39892361</v>
      </c>
      <c r="Y471" s="530" t="str">
        <f>IFERROR(IF(FIND("/KM",KB[[#This Row],[SUPPLIER]])&gt;0,"LAUT"),"DARAT")</f>
        <v>DARAT</v>
      </c>
    </row>
    <row r="472" spans="2:25">
      <c r="B472" s="140" t="str">
        <f>IFERROR(LEFT(KB[[#This Row],[SUPPLIER]],FIND("/",KB[[#This Row],[SUPPLIER]])-1),KB[[#This Row],[SUPPLIER]])</f>
        <v>INDRAYANI</v>
      </c>
      <c r="C472" s="141" t="str">
        <f>TEXT(VLOOKUP(KB[[#This Row],[RELASI]],DBRELASI[[RELASI]:[DOCKB]],10,0)+COUNTIFS($B$2:B472,KB[[#This Row],[RELASI]],$D$2:D472,1),"000")</f>
        <v>036</v>
      </c>
      <c r="D472" s="141">
        <f>IF(COUNTIFS($B$3:B472,KB[[#This Row],[RELASI]],$F$3:F472,KB[[#This Row],[TANGGAL]])&lt;&gt;1,0,1)</f>
        <v>1</v>
      </c>
      <c r="E472" s="141" t="str">
        <f>TEXT(IF(KB[[#This Row],[DOC]]&lt;&gt;"",KB[[#This Row],[DOC]],E471),"000")</f>
        <v>036</v>
      </c>
      <c r="F472" s="40">
        <v>43885</v>
      </c>
      <c r="G472" s="40" t="str">
        <f>TYPE</f>
        <v>A</v>
      </c>
      <c r="H472" s="153" t="s">
        <v>888</v>
      </c>
      <c r="I472" s="42" t="s">
        <v>79</v>
      </c>
      <c r="J472" s="43" t="s">
        <v>77</v>
      </c>
      <c r="K472" s="44">
        <v>3</v>
      </c>
      <c r="L472" s="49">
        <v>30010</v>
      </c>
      <c r="M472" s="49">
        <v>10430</v>
      </c>
      <c r="N472" s="49">
        <v>19580</v>
      </c>
      <c r="O472" s="49">
        <v>5</v>
      </c>
      <c r="P472" s="49">
        <v>979</v>
      </c>
      <c r="Q472" s="49">
        <v>18601</v>
      </c>
      <c r="R472" s="49">
        <v>3000</v>
      </c>
      <c r="S472" s="49">
        <v>55803000</v>
      </c>
      <c r="T472" s="49">
        <v>15.08</v>
      </c>
      <c r="U472" s="49">
        <v>3015.08</v>
      </c>
      <c r="V472" s="49">
        <v>56083503</v>
      </c>
      <c r="W472" s="49">
        <v>280417</v>
      </c>
      <c r="X472" s="49">
        <v>55803086</v>
      </c>
      <c r="Y472" s="530" t="str">
        <f>IFERROR(IF(FIND("/KM",KB[[#This Row],[SUPPLIER]])&gt;0,"LAUT"),"DARAT")</f>
        <v>DARAT</v>
      </c>
    </row>
    <row r="473" spans="2:25">
      <c r="B473" s="140" t="str">
        <f>IFERROR(LEFT(KB[[#This Row],[SUPPLIER]],FIND("/",KB[[#This Row],[SUPPLIER]])-1),KB[[#This Row],[SUPPLIER]])</f>
        <v>RUSLAN JAYA, SH</v>
      </c>
      <c r="C473" s="141" t="str">
        <f>TEXT(VLOOKUP(KB[[#This Row],[RELASI]],DBRELASI[[RELASI]:[DOCKB]],10,0)+COUNTIFS($B$2:B473,KB[[#This Row],[RELASI]],$D$2:D473,1),"000")</f>
        <v>026</v>
      </c>
      <c r="D473" s="141">
        <f>IF(COUNTIFS($B$3:B473,KB[[#This Row],[RELASI]],$F$3:F473,KB[[#This Row],[TANGGAL]])&lt;&gt;1,0,1)</f>
        <v>1</v>
      </c>
      <c r="E473" s="141" t="str">
        <f>TEXT(IF(KB[[#This Row],[DOC]]&lt;&gt;"",KB[[#This Row],[DOC]],E472),"000")</f>
        <v>026</v>
      </c>
      <c r="F473" s="40">
        <v>43885</v>
      </c>
      <c r="G473" s="40" t="str">
        <f>TYPE</f>
        <v>A</v>
      </c>
      <c r="H473" s="153" t="s">
        <v>852</v>
      </c>
      <c r="I473" s="42" t="s">
        <v>479</v>
      </c>
      <c r="J473" s="43" t="s">
        <v>475</v>
      </c>
      <c r="K473" s="44">
        <v>7</v>
      </c>
      <c r="L473" s="49">
        <v>56090</v>
      </c>
      <c r="M473" s="49">
        <v>22090</v>
      </c>
      <c r="N473" s="49">
        <v>34000</v>
      </c>
      <c r="O473" s="49">
        <v>5.1652941176470586</v>
      </c>
      <c r="P473" s="49">
        <v>1756.2</v>
      </c>
      <c r="Q473" s="49">
        <v>32243.8</v>
      </c>
      <c r="R473" s="49">
        <v>2900</v>
      </c>
      <c r="S473" s="49">
        <v>93507020</v>
      </c>
      <c r="T473" s="49">
        <v>14.57</v>
      </c>
      <c r="U473" s="49">
        <v>2914.57</v>
      </c>
      <c r="V473" s="49">
        <v>93976811</v>
      </c>
      <c r="W473" s="49">
        <v>469885</v>
      </c>
      <c r="X473" s="49">
        <v>93506926</v>
      </c>
      <c r="Y473" s="530" t="str">
        <f>IFERROR(IF(FIND("/KM",KB[[#This Row],[SUPPLIER]])&gt;0,"LAUT"),"DARAT")</f>
        <v>DARAT</v>
      </c>
    </row>
    <row r="474" spans="2:25">
      <c r="B474" s="140" t="str">
        <f>IFERROR(LEFT(KB[[#This Row],[SUPPLIER]],FIND("/",KB[[#This Row],[SUPPLIER]])-1),KB[[#This Row],[SUPPLIER]])</f>
        <v>YANADI</v>
      </c>
      <c r="C474" s="141" t="str">
        <f>TEXT(VLOOKUP(KB[[#This Row],[RELASI]],DBRELASI[[RELASI]:[DOCKB]],10,0)+COUNTIFS($B$2:B474,KB[[#This Row],[RELASI]],$D$2:D474,1),"000")</f>
        <v>028</v>
      </c>
      <c r="D474" s="141">
        <f>IF(COUNTIFS($B$3:B474,KB[[#This Row],[RELASI]],$F$3:F474,KB[[#This Row],[TANGGAL]])&lt;&gt;1,0,1)</f>
        <v>1</v>
      </c>
      <c r="E474" s="141" t="str">
        <f>TEXT(IF(KB[[#This Row],[DOC]]&lt;&gt;"",KB[[#This Row],[DOC]],E473),"000")</f>
        <v>028</v>
      </c>
      <c r="F474" s="40">
        <v>43885</v>
      </c>
      <c r="G474" s="40" t="str">
        <f>TYPE</f>
        <v>A</v>
      </c>
      <c r="H474" s="153" t="s">
        <v>854</v>
      </c>
      <c r="I474" s="42" t="s">
        <v>137</v>
      </c>
      <c r="J474" s="43" t="s">
        <v>74</v>
      </c>
      <c r="K474" s="44">
        <v>2</v>
      </c>
      <c r="L474" s="49">
        <v>31440</v>
      </c>
      <c r="M474" s="49">
        <v>9500</v>
      </c>
      <c r="N474" s="49">
        <v>21940</v>
      </c>
      <c r="O474" s="49">
        <v>5</v>
      </c>
      <c r="P474" s="49">
        <v>1097</v>
      </c>
      <c r="Q474" s="49">
        <v>20843</v>
      </c>
      <c r="R474" s="49">
        <v>2900</v>
      </c>
      <c r="S474" s="49">
        <v>60444700</v>
      </c>
      <c r="T474" s="49">
        <v>14.57</v>
      </c>
      <c r="U474" s="49">
        <v>2914.57</v>
      </c>
      <c r="V474" s="49">
        <v>60748382</v>
      </c>
      <c r="W474" s="49">
        <v>303742</v>
      </c>
      <c r="X474" s="49">
        <v>60444640</v>
      </c>
      <c r="Y474" s="530" t="str">
        <f>IFERROR(IF(FIND("/KM",KB[[#This Row],[SUPPLIER]])&gt;0,"LAUT"),"DARAT")</f>
        <v>DARAT</v>
      </c>
    </row>
    <row r="475" spans="2:25">
      <c r="B475" s="140" t="str">
        <f>IFERROR(LEFT(KB[[#This Row],[SUPPLIER]],FIND("/",KB[[#This Row],[SUPPLIER]])-1),KB[[#This Row],[SUPPLIER]])</f>
        <v>DINI CHAIRANI</v>
      </c>
      <c r="C475" s="141" t="str">
        <f>TEXT(VLOOKUP(KB[[#This Row],[RELASI]],DBRELASI[[RELASI]:[DOCKB]],10,0)+COUNTIFS($B$2:B475,KB[[#This Row],[RELASI]],$D$2:D475,1),"000")</f>
        <v>029</v>
      </c>
      <c r="D475" s="141">
        <f>IF(COUNTIFS($B$3:B475,KB[[#This Row],[RELASI]],$F$3:F475,KB[[#This Row],[TANGGAL]])&lt;&gt;1,0,1)</f>
        <v>1</v>
      </c>
      <c r="E475" s="141" t="str">
        <f>TEXT(IF(KB[[#This Row],[DOC]]&lt;&gt;"",KB[[#This Row],[DOC]],E474),"000")</f>
        <v>029</v>
      </c>
      <c r="F475" s="40">
        <v>43885</v>
      </c>
      <c r="G475" s="40" t="str">
        <f>TYPE</f>
        <v>A</v>
      </c>
      <c r="H475" s="153" t="s">
        <v>857</v>
      </c>
      <c r="I475" s="42" t="s">
        <v>517</v>
      </c>
      <c r="J475" s="43" t="s">
        <v>95</v>
      </c>
      <c r="K475" s="44">
        <v>5</v>
      </c>
      <c r="L475" s="49">
        <v>39300</v>
      </c>
      <c r="M475" s="49">
        <v>19130</v>
      </c>
      <c r="N475" s="49">
        <v>20170</v>
      </c>
      <c r="O475" s="49">
        <v>6.0000000000000009</v>
      </c>
      <c r="P475" s="49">
        <v>1210.2</v>
      </c>
      <c r="Q475" s="49">
        <v>18959.8</v>
      </c>
      <c r="R475" s="49">
        <v>2900</v>
      </c>
      <c r="S475" s="49">
        <v>54983420</v>
      </c>
      <c r="T475" s="49">
        <v>14.57</v>
      </c>
      <c r="U475" s="49">
        <v>2914.57</v>
      </c>
      <c r="V475" s="49">
        <v>55259665</v>
      </c>
      <c r="W475" s="49">
        <v>276299</v>
      </c>
      <c r="X475" s="49">
        <v>54983366</v>
      </c>
      <c r="Y475" s="530" t="str">
        <f>IFERROR(IF(FIND("/KM",KB[[#This Row],[SUPPLIER]])&gt;0,"LAUT"),"DARAT")</f>
        <v>LAUT</v>
      </c>
    </row>
    <row r="476" spans="2:25">
      <c r="B476" s="140" t="str">
        <f>IFERROR(LEFT(KB[[#This Row],[SUPPLIER]],FIND("/",KB[[#This Row],[SUPPLIER]])-1),KB[[#This Row],[SUPPLIER]])</f>
        <v>MARTONO</v>
      </c>
      <c r="C476" s="141" t="str">
        <f>TEXT(VLOOKUP(KB[[#This Row],[RELASI]],DBRELASI[[RELASI]:[DOCKB]],10,0)+COUNTIFS($B$2:B476,KB[[#This Row],[RELASI]],$D$2:D476,1),"000")</f>
        <v>032</v>
      </c>
      <c r="D476" s="141">
        <f>IF(COUNTIFS($B$3:B476,KB[[#This Row],[RELASI]],$F$3:F476,KB[[#This Row],[TANGGAL]])&lt;&gt;1,0,1)</f>
        <v>1</v>
      </c>
      <c r="E476" s="141" t="str">
        <f>TEXT(IF(KB[[#This Row],[DOC]]&lt;&gt;"",KB[[#This Row],[DOC]],E475),"000")</f>
        <v>032</v>
      </c>
      <c r="F476" s="40">
        <v>43885</v>
      </c>
      <c r="G476" s="40" t="str">
        <f>TYPE</f>
        <v>A</v>
      </c>
      <c r="H476" s="154" t="s">
        <v>874</v>
      </c>
      <c r="I476" s="46" t="s">
        <v>801</v>
      </c>
      <c r="J476" s="47" t="s">
        <v>83</v>
      </c>
      <c r="K476" s="48">
        <v>2</v>
      </c>
      <c r="L476" s="49">
        <v>13810</v>
      </c>
      <c r="M476" s="49">
        <v>7760</v>
      </c>
      <c r="N476" s="49">
        <v>6050</v>
      </c>
      <c r="O476" s="49">
        <v>6</v>
      </c>
      <c r="P476" s="49">
        <v>363</v>
      </c>
      <c r="Q476" s="49">
        <v>5687</v>
      </c>
      <c r="R476" s="49">
        <v>2850</v>
      </c>
      <c r="S476" s="49">
        <v>16207950</v>
      </c>
      <c r="T476" s="49">
        <v>14.32</v>
      </c>
      <c r="U476" s="49">
        <v>2864.32</v>
      </c>
      <c r="V476" s="49">
        <v>16289388</v>
      </c>
      <c r="W476" s="49">
        <v>81447</v>
      </c>
      <c r="X476" s="49">
        <v>16207941</v>
      </c>
      <c r="Y476" s="574" t="str">
        <f>IFERROR(IF(FIND("/KM",KB[[#This Row],[SUPPLIER]])&gt;0,"LAUT"),"DARAT")</f>
        <v>LAUT</v>
      </c>
    </row>
    <row r="477" spans="2:25">
      <c r="B477" s="140" t="str">
        <f>IFERROR(LEFT(KB[[#This Row],[SUPPLIER]],FIND("/",KB[[#This Row],[SUPPLIER]])-1),KB[[#This Row],[SUPPLIER]])</f>
        <v>ERAWATI</v>
      </c>
      <c r="C477" s="141" t="str">
        <f>TEXT(VLOOKUP(KB[[#This Row],[RELASI]],DBRELASI[[RELASI]:[DOCKB]],10,0)+COUNTIFS($B$2:B477,KB[[#This Row],[RELASI]],$D$2:D477,1),"000")</f>
        <v>041</v>
      </c>
      <c r="D477" s="141">
        <f>IF(COUNTIFS($B$3:B477,KB[[#This Row],[RELASI]],$F$3:F477,KB[[#This Row],[TANGGAL]])&lt;&gt;1,0,1)</f>
        <v>1</v>
      </c>
      <c r="E477" s="141" t="str">
        <f>TEXT(IF(KB[[#This Row],[DOC]]&lt;&gt;"",KB[[#This Row],[DOC]],E476),"000")</f>
        <v>041</v>
      </c>
      <c r="F477" s="40">
        <v>43886</v>
      </c>
      <c r="G477" s="40" t="str">
        <f>TYPE</f>
        <v>A</v>
      </c>
      <c r="H477" s="153" t="s">
        <v>895</v>
      </c>
      <c r="I477" s="42" t="s">
        <v>155</v>
      </c>
      <c r="J477" s="43" t="s">
        <v>77</v>
      </c>
      <c r="K477" s="44">
        <v>2</v>
      </c>
      <c r="L477" s="49">
        <v>22490</v>
      </c>
      <c r="M477" s="49">
        <v>9150</v>
      </c>
      <c r="N477" s="49">
        <v>13340</v>
      </c>
      <c r="O477" s="49">
        <v>5</v>
      </c>
      <c r="P477" s="49">
        <v>667</v>
      </c>
      <c r="Q477" s="49">
        <v>12673</v>
      </c>
      <c r="R477" s="49">
        <v>2900</v>
      </c>
      <c r="S477" s="49">
        <v>36751700</v>
      </c>
      <c r="T477" s="49">
        <v>14.57</v>
      </c>
      <c r="U477" s="49">
        <v>2914.57</v>
      </c>
      <c r="V477" s="49">
        <v>36936346</v>
      </c>
      <c r="W477" s="49">
        <v>184681</v>
      </c>
      <c r="X477" s="49">
        <v>36751665</v>
      </c>
      <c r="Y477" s="530" t="str">
        <f>IFERROR(IF(FIND("/KM",KB[[#This Row],[SUPPLIER]])&gt;0,"LAUT"),"DARAT")</f>
        <v>DARAT</v>
      </c>
    </row>
    <row r="478" spans="2:25">
      <c r="B478" s="140" t="str">
        <f>IFERROR(LEFT(KB[[#This Row],[SUPPLIER]],FIND("/",KB[[#This Row],[SUPPLIER]])-1),KB[[#This Row],[SUPPLIER]])</f>
        <v>ERAWATI</v>
      </c>
      <c r="C478" s="141" t="str">
        <f>TEXT(VLOOKUP(KB[[#This Row],[RELASI]],DBRELASI[[RELASI]:[DOCKB]],10,0)+COUNTIFS($B$2:B478,KB[[#This Row],[RELASI]],$D$2:D478,1),"000")</f>
        <v>041</v>
      </c>
      <c r="D478" s="141">
        <f>IF(COUNTIFS($B$3:B478,KB[[#This Row],[RELASI]],$F$3:F478,KB[[#This Row],[TANGGAL]])&lt;&gt;1,0,1)</f>
        <v>0</v>
      </c>
      <c r="E478" s="141" t="str">
        <f>TEXT(IF(KB[[#This Row],[DOC]]&lt;&gt;"",KB[[#This Row],[DOC]],E477),"000")</f>
        <v>041</v>
      </c>
      <c r="F478" s="40">
        <v>43886</v>
      </c>
      <c r="G478" s="40" t="str">
        <f>TYPE</f>
        <v>A</v>
      </c>
      <c r="H478"/>
      <c r="I478" s="42" t="s">
        <v>760</v>
      </c>
      <c r="J478" s="43" t="s">
        <v>77</v>
      </c>
      <c r="K478" s="44">
        <v>1</v>
      </c>
      <c r="L478" s="49">
        <v>7780</v>
      </c>
      <c r="M478" s="49">
        <v>3920</v>
      </c>
      <c r="N478" s="49">
        <v>3860</v>
      </c>
      <c r="O478" s="49">
        <v>6</v>
      </c>
      <c r="P478" s="49">
        <v>231.6</v>
      </c>
      <c r="Q478" s="49">
        <v>3628.4</v>
      </c>
      <c r="R478" s="49">
        <v>2850</v>
      </c>
      <c r="S478" s="49">
        <v>10340940</v>
      </c>
      <c r="T478" s="49">
        <v>14.32</v>
      </c>
      <c r="U478" s="49">
        <v>2864.32</v>
      </c>
      <c r="V478" s="49">
        <v>10392899</v>
      </c>
      <c r="W478" s="49">
        <v>51964</v>
      </c>
      <c r="X478" s="49">
        <v>10340935</v>
      </c>
      <c r="Y478" s="530" t="str">
        <f>IFERROR(IF(FIND("/KM",KB[[#This Row],[SUPPLIER]])&gt;0,"LAUT"),"DARAT")</f>
        <v>LAUT</v>
      </c>
    </row>
    <row r="479" spans="2:25">
      <c r="B479" s="140" t="str">
        <f>IFERROR(LEFT(KB[[#This Row],[SUPPLIER]],FIND("/",KB[[#This Row],[SUPPLIER]])-1),KB[[#This Row],[SUPPLIER]])</f>
        <v>INDRAYANI</v>
      </c>
      <c r="C479" s="141" t="str">
        <f>TEXT(VLOOKUP(KB[[#This Row],[RELASI]],DBRELASI[[RELASI]:[DOCKB]],10,0)+COUNTIFS($B$2:B479,KB[[#This Row],[RELASI]],$D$2:D479,1),"000")</f>
        <v>037</v>
      </c>
      <c r="D479" s="141">
        <f>IF(COUNTIFS($B$3:B479,KB[[#This Row],[RELASI]],$F$3:F479,KB[[#This Row],[TANGGAL]])&lt;&gt;1,0,1)</f>
        <v>1</v>
      </c>
      <c r="E479" s="141" t="str">
        <f>TEXT(IF(KB[[#This Row],[DOC]]&lt;&gt;"",KB[[#This Row],[DOC]],E478),"000")</f>
        <v>037</v>
      </c>
      <c r="F479" s="40">
        <v>43886</v>
      </c>
      <c r="G479" s="40" t="str">
        <f>TYPE</f>
        <v>A</v>
      </c>
      <c r="H479" s="153" t="s">
        <v>889</v>
      </c>
      <c r="I479" s="42" t="s">
        <v>79</v>
      </c>
      <c r="J479" s="43" t="s">
        <v>77</v>
      </c>
      <c r="K479" s="44">
        <v>3</v>
      </c>
      <c r="L479" s="49">
        <v>31870</v>
      </c>
      <c r="M479" s="49">
        <v>12960</v>
      </c>
      <c r="N479" s="49">
        <v>18910</v>
      </c>
      <c r="O479" s="49">
        <v>5.6404019037546265</v>
      </c>
      <c r="P479" s="49">
        <v>1066.5999999999999</v>
      </c>
      <c r="Q479" s="49">
        <v>17843.400000000001</v>
      </c>
      <c r="R479" s="49">
        <v>2999.9999999999995</v>
      </c>
      <c r="S479" s="49">
        <v>53530200</v>
      </c>
      <c r="T479" s="49">
        <v>15.08</v>
      </c>
      <c r="U479" s="49">
        <v>3015.0799999999995</v>
      </c>
      <c r="V479" s="49">
        <v>53799279</v>
      </c>
      <c r="W479" s="49">
        <v>268996</v>
      </c>
      <c r="X479" s="49">
        <v>53530283</v>
      </c>
      <c r="Y479" s="530" t="str">
        <f>IFERROR(IF(FIND("/KM",KB[[#This Row],[SUPPLIER]])&gt;0,"LAUT"),"DARAT")</f>
        <v>DARAT</v>
      </c>
    </row>
    <row r="480" spans="2:25">
      <c r="B480" s="140" t="str">
        <f>IFERROR(LEFT(KB[[#This Row],[SUPPLIER]],FIND("/",KB[[#This Row],[SUPPLIER]])-1),KB[[#This Row],[SUPPLIER]])</f>
        <v>RUSLAN JAYA, SH</v>
      </c>
      <c r="C480" s="141" t="str">
        <f>TEXT(VLOOKUP(KB[[#This Row],[RELASI]],DBRELASI[[RELASI]:[DOCKB]],10,0)+COUNTIFS($B$2:B480,KB[[#This Row],[RELASI]],$D$2:D480,1),"000")</f>
        <v>027</v>
      </c>
      <c r="D480" s="141">
        <f>IF(COUNTIFS($B$3:B480,KB[[#This Row],[RELASI]],$F$3:F480,KB[[#This Row],[TANGGAL]])&lt;&gt;1,0,1)</f>
        <v>1</v>
      </c>
      <c r="E480" s="141" t="str">
        <f>TEXT(IF(KB[[#This Row],[DOC]]&lt;&gt;"",KB[[#This Row],[DOC]],E479),"000")</f>
        <v>027</v>
      </c>
      <c r="F480" s="40">
        <v>43886</v>
      </c>
      <c r="G480" s="40" t="str">
        <f>TYPE</f>
        <v>A</v>
      </c>
      <c r="H480" s="153" t="s">
        <v>853</v>
      </c>
      <c r="I480" s="42" t="s">
        <v>479</v>
      </c>
      <c r="J480" s="43" t="s">
        <v>475</v>
      </c>
      <c r="K480" s="44">
        <v>2</v>
      </c>
      <c r="L480" s="49">
        <v>14340</v>
      </c>
      <c r="M480" s="49">
        <v>6080</v>
      </c>
      <c r="N480" s="49">
        <v>8260</v>
      </c>
      <c r="O480" s="49">
        <v>5.7384987893462478</v>
      </c>
      <c r="P480" s="49">
        <v>474</v>
      </c>
      <c r="Q480" s="49">
        <v>7786</v>
      </c>
      <c r="R480" s="49">
        <v>2900</v>
      </c>
      <c r="S480" s="49">
        <v>22579400</v>
      </c>
      <c r="T480" s="49">
        <v>14.57</v>
      </c>
      <c r="U480" s="49">
        <v>2914.57</v>
      </c>
      <c r="V480" s="49">
        <v>22692842</v>
      </c>
      <c r="W480" s="49">
        <v>113464</v>
      </c>
      <c r="X480" s="49">
        <v>22579378</v>
      </c>
      <c r="Y480" s="530" t="str">
        <f>IFERROR(IF(FIND("/KM",KB[[#This Row],[SUPPLIER]])&gt;0,"LAUT"),"DARAT")</f>
        <v>DARAT</v>
      </c>
    </row>
    <row r="481" spans="2:25">
      <c r="B481" s="140" t="str">
        <f>IFERROR(LEFT(KB[[#This Row],[SUPPLIER]],FIND("/",KB[[#This Row],[SUPPLIER]])-1),KB[[#This Row],[SUPPLIER]])</f>
        <v>YANADI</v>
      </c>
      <c r="C481" s="141" t="str">
        <f>TEXT(VLOOKUP(KB[[#This Row],[RELASI]],DBRELASI[[RELASI]:[DOCKB]],10,0)+COUNTIFS($B$2:B481,KB[[#This Row],[RELASI]],$D$2:D481,1),"000")</f>
        <v>029</v>
      </c>
      <c r="D481" s="141">
        <f>IF(COUNTIFS($B$3:B481,KB[[#This Row],[RELASI]],$F$3:F481,KB[[#This Row],[TANGGAL]])&lt;&gt;1,0,1)</f>
        <v>1</v>
      </c>
      <c r="E481" s="141" t="str">
        <f>TEXT(IF(KB[[#This Row],[DOC]]&lt;&gt;"",KB[[#This Row],[DOC]],E480),"000")</f>
        <v>029</v>
      </c>
      <c r="F481" s="40">
        <v>43886</v>
      </c>
      <c r="G481" s="40" t="str">
        <f>TYPE</f>
        <v>A</v>
      </c>
      <c r="H481" s="153" t="s">
        <v>857</v>
      </c>
      <c r="I481" s="42" t="s">
        <v>137</v>
      </c>
      <c r="J481" s="43" t="s">
        <v>74</v>
      </c>
      <c r="K481" s="44">
        <v>2</v>
      </c>
      <c r="L481" s="49">
        <v>18030</v>
      </c>
      <c r="M481" s="49">
        <v>6070</v>
      </c>
      <c r="N481" s="49">
        <v>11960</v>
      </c>
      <c r="O481" s="49">
        <v>5</v>
      </c>
      <c r="P481" s="49">
        <v>598</v>
      </c>
      <c r="Q481" s="49">
        <v>11362</v>
      </c>
      <c r="R481" s="49">
        <v>2900</v>
      </c>
      <c r="S481" s="49">
        <v>32949800</v>
      </c>
      <c r="T481" s="49">
        <v>14.57</v>
      </c>
      <c r="U481" s="49">
        <v>2914.57</v>
      </c>
      <c r="V481" s="49">
        <v>33115345</v>
      </c>
      <c r="W481" s="49">
        <v>165577</v>
      </c>
      <c r="X481" s="49">
        <v>32949768</v>
      </c>
      <c r="Y481" s="530" t="str">
        <f>IFERROR(IF(FIND("/KM",KB[[#This Row],[SUPPLIER]])&gt;0,"LAUT"),"DARAT")</f>
        <v>DARAT</v>
      </c>
    </row>
    <row r="482" spans="2:25">
      <c r="B482" s="140" t="str">
        <f>IFERROR(LEFT(KB[[#This Row],[SUPPLIER]],FIND("/",KB[[#This Row],[SUPPLIER]])-1),KB[[#This Row],[SUPPLIER]])</f>
        <v>DINI CHAIRANI</v>
      </c>
      <c r="C482" s="141" t="str">
        <f>TEXT(VLOOKUP(KB[[#This Row],[RELASI]],DBRELASI[[RELASI]:[DOCKB]],10,0)+COUNTIFS($B$2:B482,KB[[#This Row],[RELASI]],$D$2:D482,1),"000")</f>
        <v>030</v>
      </c>
      <c r="D482" s="141">
        <f>IF(COUNTIFS($B$3:B482,KB[[#This Row],[RELASI]],$F$3:F482,KB[[#This Row],[TANGGAL]])&lt;&gt;1,0,1)</f>
        <v>1</v>
      </c>
      <c r="E482" s="141" t="str">
        <f>TEXT(IF(KB[[#This Row],[DOC]]&lt;&gt;"",KB[[#This Row],[DOC]],E481),"000")</f>
        <v>030</v>
      </c>
      <c r="F482" s="40">
        <v>43886</v>
      </c>
      <c r="G482" s="40" t="str">
        <f>TYPE</f>
        <v>A</v>
      </c>
      <c r="H482" s="153" t="s">
        <v>860</v>
      </c>
      <c r="I482" s="42" t="s">
        <v>772</v>
      </c>
      <c r="J482" s="43" t="s">
        <v>95</v>
      </c>
      <c r="K482" s="44">
        <v>2</v>
      </c>
      <c r="L482" s="49">
        <v>13710</v>
      </c>
      <c r="M482" s="49">
        <v>7760</v>
      </c>
      <c r="N482" s="49">
        <v>5950</v>
      </c>
      <c r="O482" s="49">
        <v>6</v>
      </c>
      <c r="P482" s="49">
        <v>357</v>
      </c>
      <c r="Q482" s="49">
        <v>5593</v>
      </c>
      <c r="R482" s="49">
        <v>2850</v>
      </c>
      <c r="S482" s="49">
        <v>15940050</v>
      </c>
      <c r="T482" s="49">
        <v>14.32</v>
      </c>
      <c r="U482" s="49">
        <v>2864.32</v>
      </c>
      <c r="V482" s="49">
        <v>16020142</v>
      </c>
      <c r="W482" s="49">
        <v>80101</v>
      </c>
      <c r="X482" s="49">
        <v>15940041</v>
      </c>
      <c r="Y482" s="530" t="str">
        <f>IFERROR(IF(FIND("/KM",KB[[#This Row],[SUPPLIER]])&gt;0,"LAUT"),"DARAT")</f>
        <v>LAUT</v>
      </c>
    </row>
    <row r="483" spans="2:25">
      <c r="B483" s="140" t="str">
        <f>IFERROR(LEFT(KB[[#This Row],[SUPPLIER]],FIND("/",KB[[#This Row],[SUPPLIER]])-1),KB[[#This Row],[SUPPLIER]])</f>
        <v>DINI CHAIRANI</v>
      </c>
      <c r="C483" s="141" t="str">
        <f>TEXT(VLOOKUP(KB[[#This Row],[RELASI]],DBRELASI[[RELASI]:[DOCKB]],10,0)+COUNTIFS($B$2:B483,KB[[#This Row],[RELASI]],$D$2:D483,1),"000")</f>
        <v>030</v>
      </c>
      <c r="D483" s="141">
        <f>IF(COUNTIFS($B$3:B483,KB[[#This Row],[RELASI]],$F$3:F483,KB[[#This Row],[TANGGAL]])&lt;&gt;1,0,1)</f>
        <v>0</v>
      </c>
      <c r="E483" s="141" t="str">
        <f>TEXT(IF(KB[[#This Row],[DOC]]&lt;&gt;"",KB[[#This Row],[DOC]],E482),"000")</f>
        <v>030</v>
      </c>
      <c r="F483" s="40">
        <v>43886</v>
      </c>
      <c r="G483" s="40" t="str">
        <f>TYPE</f>
        <v>A</v>
      </c>
      <c r="H483"/>
      <c r="I483" s="42" t="s">
        <v>864</v>
      </c>
      <c r="J483" s="43" t="s">
        <v>95</v>
      </c>
      <c r="K483" s="44">
        <v>1</v>
      </c>
      <c r="L483" s="49">
        <v>7670</v>
      </c>
      <c r="M483" s="49">
        <v>3890</v>
      </c>
      <c r="N483" s="49">
        <v>3780</v>
      </c>
      <c r="O483" s="49">
        <v>6</v>
      </c>
      <c r="P483" s="49">
        <v>226.79999999999998</v>
      </c>
      <c r="Q483" s="49">
        <v>3553.2</v>
      </c>
      <c r="R483" s="49">
        <v>2850</v>
      </c>
      <c r="S483" s="49">
        <v>10126620</v>
      </c>
      <c r="T483" s="49">
        <v>14.32</v>
      </c>
      <c r="U483" s="49">
        <v>2864.32</v>
      </c>
      <c r="V483" s="49">
        <v>10177502</v>
      </c>
      <c r="W483" s="49">
        <v>50888</v>
      </c>
      <c r="X483" s="49">
        <v>10126614</v>
      </c>
      <c r="Y483" s="530" t="str">
        <f>IFERROR(IF(FIND("/KM",KB[[#This Row],[SUPPLIER]])&gt;0,"LAUT"),"DARAT")</f>
        <v>LAUT</v>
      </c>
    </row>
    <row r="484" spans="2:25">
      <c r="B484" s="140" t="str">
        <f>IFERROR(LEFT(KB[[#This Row],[SUPPLIER]],FIND("/",KB[[#This Row],[SUPPLIER]])-1),KB[[#This Row],[SUPPLIER]])</f>
        <v>HENDRI</v>
      </c>
      <c r="C484" s="141" t="str">
        <f>TEXT(VLOOKUP(KB[[#This Row],[RELASI]],DBRELASI[[RELASI]:[DOCKB]],10,0)+COUNTIFS($B$2:B484,KB[[#This Row],[RELASI]],$D$2:D484,1),"000")</f>
        <v>022</v>
      </c>
      <c r="D484" s="141">
        <f>IF(COUNTIFS($B$3:B484,KB[[#This Row],[RELASI]],$F$3:F484,KB[[#This Row],[TANGGAL]])&lt;&gt;1,0,1)</f>
        <v>1</v>
      </c>
      <c r="E484" s="141" t="str">
        <f>TEXT(IF(KB[[#This Row],[DOC]]&lt;&gt;"",KB[[#This Row],[DOC]],E483),"000")</f>
        <v>022</v>
      </c>
      <c r="F484" s="40">
        <v>43886</v>
      </c>
      <c r="G484" s="40" t="str">
        <f>TYPE</f>
        <v>A</v>
      </c>
      <c r="H484" s="153" t="s">
        <v>837</v>
      </c>
      <c r="I484" s="42" t="s">
        <v>785</v>
      </c>
      <c r="J484" s="43" t="s">
        <v>475</v>
      </c>
      <c r="K484" s="44">
        <v>4</v>
      </c>
      <c r="L484" s="49">
        <v>34930</v>
      </c>
      <c r="M484" s="49">
        <v>15550</v>
      </c>
      <c r="N484" s="49">
        <v>19380</v>
      </c>
      <c r="O484" s="49">
        <v>5.9999999999999991</v>
      </c>
      <c r="P484" s="49">
        <v>1162.8</v>
      </c>
      <c r="Q484" s="49">
        <v>18217.2</v>
      </c>
      <c r="R484" s="49">
        <v>2900</v>
      </c>
      <c r="S484" s="49">
        <v>52829880</v>
      </c>
      <c r="T484" s="49">
        <v>14.57</v>
      </c>
      <c r="U484" s="49">
        <v>2914.57</v>
      </c>
      <c r="V484" s="49">
        <v>53095304</v>
      </c>
      <c r="W484" s="49">
        <v>265477</v>
      </c>
      <c r="X484" s="49">
        <v>52829827</v>
      </c>
      <c r="Y484" s="530" t="str">
        <f>IFERROR(IF(FIND("/KM",KB[[#This Row],[SUPPLIER]])&gt;0,"LAUT"),"DARAT")</f>
        <v>LAUT</v>
      </c>
    </row>
    <row r="485" spans="2:25">
      <c r="B485" s="140" t="str">
        <f>IFERROR(LEFT(KB[[#This Row],[SUPPLIER]],FIND("/",KB[[#This Row],[SUPPLIER]])-1),KB[[#This Row],[SUPPLIER]])</f>
        <v>MARTONO</v>
      </c>
      <c r="C485" s="141" t="str">
        <f>TEXT(VLOOKUP(KB[[#This Row],[RELASI]],DBRELASI[[RELASI]:[DOCKB]],10,0)+COUNTIFS($B$2:B485,KB[[#This Row],[RELASI]],$D$2:D485,1),"000")</f>
        <v>033</v>
      </c>
      <c r="D485" s="141">
        <f>IF(COUNTIFS($B$3:B485,KB[[#This Row],[RELASI]],$F$3:F485,KB[[#This Row],[TANGGAL]])&lt;&gt;1,0,1)</f>
        <v>1</v>
      </c>
      <c r="E485" s="141" t="str">
        <f>TEXT(IF(KB[[#This Row],[DOC]]&lt;&gt;"",KB[[#This Row],[DOC]],E484),"000")</f>
        <v>033</v>
      </c>
      <c r="F485" s="40">
        <v>43886</v>
      </c>
      <c r="G485" s="40" t="str">
        <f>TYPE</f>
        <v>A</v>
      </c>
      <c r="H485" s="153" t="s">
        <v>880</v>
      </c>
      <c r="I485" s="42" t="s">
        <v>896</v>
      </c>
      <c r="J485" s="43" t="s">
        <v>83</v>
      </c>
      <c r="K485" s="44">
        <v>5</v>
      </c>
      <c r="L485" s="49">
        <v>37730</v>
      </c>
      <c r="M485" s="49">
        <v>19240</v>
      </c>
      <c r="N485" s="49">
        <v>18490</v>
      </c>
      <c r="O485" s="49">
        <v>5.9999999999999991</v>
      </c>
      <c r="P485" s="49">
        <v>1109.3999999999999</v>
      </c>
      <c r="Q485" s="49">
        <v>17380.599999999999</v>
      </c>
      <c r="R485" s="49">
        <v>2950.0000000000005</v>
      </c>
      <c r="S485" s="49">
        <v>51272770</v>
      </c>
      <c r="T485" s="49">
        <v>14.82</v>
      </c>
      <c r="U485" s="49">
        <v>2964.8200000000006</v>
      </c>
      <c r="V485" s="49">
        <v>51530350</v>
      </c>
      <c r="W485" s="49">
        <v>257653</v>
      </c>
      <c r="X485" s="49">
        <v>51272697</v>
      </c>
      <c r="Y485" s="530" t="str">
        <f>IFERROR(IF(FIND("/KM",KB[[#This Row],[SUPPLIER]])&gt;0,"LAUT"),"DARAT")</f>
        <v>LAUT</v>
      </c>
    </row>
    <row r="486" spans="2:25">
      <c r="B486" s="140" t="str">
        <f>IFERROR(LEFT(KB[[#This Row],[SUPPLIER]],FIND("/",KB[[#This Row],[SUPPLIER]])-1),KB[[#This Row],[SUPPLIER]])</f>
        <v>MARTONO</v>
      </c>
      <c r="C486" s="141" t="str">
        <f>TEXT(VLOOKUP(KB[[#This Row],[RELASI]],DBRELASI[[RELASI]:[DOCKB]],10,0)+COUNTIFS($B$2:B486,KB[[#This Row],[RELASI]],$D$2:D486,1),"000")</f>
        <v>033</v>
      </c>
      <c r="D486" s="141">
        <f>IF(COUNTIFS($B$3:B486,KB[[#This Row],[RELASI]],$F$3:F486,KB[[#This Row],[TANGGAL]])&lt;&gt;1,0,1)</f>
        <v>0</v>
      </c>
      <c r="E486" s="141" t="str">
        <f>TEXT(IF(KB[[#This Row],[DOC]]&lt;&gt;"",KB[[#This Row],[DOC]],E485),"000")</f>
        <v>033</v>
      </c>
      <c r="F486" s="40">
        <v>43886</v>
      </c>
      <c r="G486" s="40" t="str">
        <f>TYPE</f>
        <v>A</v>
      </c>
      <c r="H486"/>
      <c r="I486" s="42" t="s">
        <v>528</v>
      </c>
      <c r="J486" s="43" t="s">
        <v>83</v>
      </c>
      <c r="K486" s="44">
        <v>1</v>
      </c>
      <c r="L486" s="49">
        <v>5420</v>
      </c>
      <c r="M486" s="49">
        <v>3890</v>
      </c>
      <c r="N486" s="49">
        <v>1530</v>
      </c>
      <c r="O486" s="49">
        <v>5.9999999999999991</v>
      </c>
      <c r="P486" s="49">
        <v>91.8</v>
      </c>
      <c r="Q486" s="49">
        <v>1438.2</v>
      </c>
      <c r="R486" s="49">
        <v>2850</v>
      </c>
      <c r="S486" s="49">
        <v>4098870</v>
      </c>
      <c r="T486" s="49">
        <v>14.32</v>
      </c>
      <c r="U486" s="49">
        <v>2864.32</v>
      </c>
      <c r="V486" s="49">
        <v>4119465</v>
      </c>
      <c r="W486" s="49">
        <v>20597</v>
      </c>
      <c r="X486" s="49">
        <v>4098868</v>
      </c>
      <c r="Y486" s="530" t="str">
        <f>IFERROR(IF(FIND("/KM",KB[[#This Row],[SUPPLIER]])&gt;0,"LAUT"),"DARAT")</f>
        <v>LAUT</v>
      </c>
    </row>
    <row r="487" spans="2:25">
      <c r="B487" s="140" t="str">
        <f>IFERROR(LEFT(KB[[#This Row],[SUPPLIER]],FIND("/",KB[[#This Row],[SUPPLIER]])-1),KB[[#This Row],[SUPPLIER]])</f>
        <v>MARTONO</v>
      </c>
      <c r="C487" s="141" t="str">
        <f>TEXT(VLOOKUP(KB[[#This Row],[RELASI]],DBRELASI[[RELASI]:[DOCKB]],10,0)+COUNTIFS($B$2:B487,KB[[#This Row],[RELASI]],$D$2:D487,1),"000")</f>
        <v>033</v>
      </c>
      <c r="D487" s="141">
        <f>IF(COUNTIFS($B$3:B487,KB[[#This Row],[RELASI]],$F$3:F487,KB[[#This Row],[TANGGAL]])&lt;&gt;1,0,1)</f>
        <v>0</v>
      </c>
      <c r="E487" s="141" t="str">
        <f>TEXT(IF(KB[[#This Row],[DOC]]&lt;&gt;"",KB[[#This Row],[DOC]],E486),"000")</f>
        <v>033</v>
      </c>
      <c r="F487" s="40">
        <v>43886</v>
      </c>
      <c r="G487" s="40" t="str">
        <f>TYPE</f>
        <v>A</v>
      </c>
      <c r="H487"/>
      <c r="I487" s="42" t="s">
        <v>897</v>
      </c>
      <c r="J487" s="43" t="s">
        <v>83</v>
      </c>
      <c r="K487" s="44">
        <v>1</v>
      </c>
      <c r="L487" s="49">
        <v>7730</v>
      </c>
      <c r="M487" s="49">
        <v>3880</v>
      </c>
      <c r="N487" s="49">
        <v>3850</v>
      </c>
      <c r="O487" s="49">
        <v>6</v>
      </c>
      <c r="P487" s="49">
        <v>231</v>
      </c>
      <c r="Q487" s="49">
        <v>3619</v>
      </c>
      <c r="R487" s="49">
        <v>2850</v>
      </c>
      <c r="S487" s="49">
        <v>10314150</v>
      </c>
      <c r="T487" s="49">
        <v>14.32</v>
      </c>
      <c r="U487" s="49">
        <v>2864.32</v>
      </c>
      <c r="V487" s="49">
        <v>10365974</v>
      </c>
      <c r="W487" s="49">
        <v>51830</v>
      </c>
      <c r="X487" s="49">
        <v>10314144</v>
      </c>
      <c r="Y487" s="530" t="str">
        <f>IFERROR(IF(FIND("/KM",KB[[#This Row],[SUPPLIER]])&gt;0,"LAUT"),"DARAT")</f>
        <v>LAUT</v>
      </c>
    </row>
    <row r="488" spans="2:25">
      <c r="B488" s="140" t="str">
        <f>IFERROR(LEFT(KB[[#This Row],[SUPPLIER]],FIND("/",KB[[#This Row],[SUPPLIER]])-1),KB[[#This Row],[SUPPLIER]])</f>
        <v>MARTONO</v>
      </c>
      <c r="C488" s="141" t="str">
        <f>TEXT(VLOOKUP(KB[[#This Row],[RELASI]],DBRELASI[[RELASI]:[DOCKB]],10,0)+COUNTIFS($B$2:B488,KB[[#This Row],[RELASI]],$D$2:D488,1),"000")</f>
        <v>033</v>
      </c>
      <c r="D488" s="141">
        <f>IF(COUNTIFS($B$3:B488,KB[[#This Row],[RELASI]],$F$3:F488,KB[[#This Row],[TANGGAL]])&lt;&gt;1,0,1)</f>
        <v>0</v>
      </c>
      <c r="E488" s="141" t="str">
        <f>TEXT(IF(KB[[#This Row],[DOC]]&lt;&gt;"",KB[[#This Row],[DOC]],E487),"000")</f>
        <v>033</v>
      </c>
      <c r="F488" s="40">
        <v>43886</v>
      </c>
      <c r="G488" s="40" t="str">
        <f>TYPE</f>
        <v>A</v>
      </c>
      <c r="H488"/>
      <c r="I488" s="46" t="s">
        <v>519</v>
      </c>
      <c r="J488" s="47" t="s">
        <v>83</v>
      </c>
      <c r="K488" s="48">
        <v>2</v>
      </c>
      <c r="L488" s="49">
        <v>17400</v>
      </c>
      <c r="M488" s="49">
        <v>7780</v>
      </c>
      <c r="N488" s="49">
        <v>9620</v>
      </c>
      <c r="O488" s="49">
        <v>6</v>
      </c>
      <c r="P488" s="49">
        <v>577.20000000000005</v>
      </c>
      <c r="Q488" s="49">
        <v>9042.7999999999993</v>
      </c>
      <c r="R488" s="49">
        <v>2850.0000000000005</v>
      </c>
      <c r="S488" s="49">
        <v>25771980</v>
      </c>
      <c r="T488" s="49">
        <v>14.32</v>
      </c>
      <c r="U488" s="49">
        <v>2864.3200000000006</v>
      </c>
      <c r="V488" s="49">
        <v>25901473</v>
      </c>
      <c r="W488" s="49">
        <v>129507</v>
      </c>
      <c r="X488" s="49">
        <v>25771966</v>
      </c>
      <c r="Y488" s="574" t="str">
        <f>IFERROR(IF(FIND("/KM",KB[[#This Row],[SUPPLIER]])&gt;0,"LAUT"),"DARAT")</f>
        <v>LAUT</v>
      </c>
    </row>
    <row r="489" spans="2:25">
      <c r="B489" s="140" t="str">
        <f>IFERROR(LEFT(KB[[#This Row],[SUPPLIER]],FIND("/",KB[[#This Row],[SUPPLIER]])-1),KB[[#This Row],[SUPPLIER]])</f>
        <v>ERAWATI</v>
      </c>
      <c r="C489" s="141" t="str">
        <f>TEXT(VLOOKUP(KB[[#This Row],[RELASI]],DBRELASI[[RELASI]:[DOCKB]],10,0)+COUNTIFS($B$2:B489,KB[[#This Row],[RELASI]],$D$2:D489,1),"000")</f>
        <v>042</v>
      </c>
      <c r="D489" s="141">
        <f>IF(COUNTIFS($B$3:B489,KB[[#This Row],[RELASI]],$F$3:F489,KB[[#This Row],[TANGGAL]])&lt;&gt;1,0,1)</f>
        <v>1</v>
      </c>
      <c r="E489" s="141" t="str">
        <f>TEXT(IF(KB[[#This Row],[DOC]]&lt;&gt;"",KB[[#This Row],[DOC]],E488),"000")</f>
        <v>042</v>
      </c>
      <c r="F489" s="40">
        <v>43887</v>
      </c>
      <c r="G489" s="40" t="str">
        <f>TYPE</f>
        <v>A</v>
      </c>
      <c r="H489" s="153" t="s">
        <v>898</v>
      </c>
      <c r="I489" s="42" t="s">
        <v>155</v>
      </c>
      <c r="J489" s="43" t="s">
        <v>77</v>
      </c>
      <c r="K489" s="44">
        <v>4</v>
      </c>
      <c r="L489" s="49">
        <v>36740</v>
      </c>
      <c r="M489" s="49">
        <v>14580</v>
      </c>
      <c r="N489" s="49">
        <v>22160</v>
      </c>
      <c r="O489" s="49">
        <v>5</v>
      </c>
      <c r="P489" s="49">
        <v>1108</v>
      </c>
      <c r="Q489" s="49">
        <v>21052</v>
      </c>
      <c r="R489" s="49">
        <v>2900</v>
      </c>
      <c r="S489" s="49">
        <v>61050800</v>
      </c>
      <c r="T489" s="49">
        <v>14.57</v>
      </c>
      <c r="U489" s="49">
        <v>2914.57</v>
      </c>
      <c r="V489" s="49">
        <v>61357528</v>
      </c>
      <c r="W489" s="49">
        <v>306788</v>
      </c>
      <c r="X489" s="49">
        <v>61050740</v>
      </c>
      <c r="Y489" s="530" t="str">
        <f>IFERROR(IF(FIND("/KM",KB[[#This Row],[SUPPLIER]])&gt;0,"LAUT"),"DARAT")</f>
        <v>DARAT</v>
      </c>
    </row>
    <row r="490" spans="2:25">
      <c r="B490" s="140" t="str">
        <f>IFERROR(LEFT(KB[[#This Row],[SUPPLIER]],FIND("/",KB[[#This Row],[SUPPLIER]])-1),KB[[#This Row],[SUPPLIER]])</f>
        <v>INDRAYANI</v>
      </c>
      <c r="C490" s="141" t="str">
        <f>TEXT(VLOOKUP(KB[[#This Row],[RELASI]],DBRELASI[[RELASI]:[DOCKB]],10,0)+COUNTIFS($B$2:B490,KB[[#This Row],[RELASI]],$D$2:D490,1),"000")</f>
        <v>038</v>
      </c>
      <c r="D490" s="141">
        <f>IF(COUNTIFS($B$3:B490,KB[[#This Row],[RELASI]],$F$3:F490,KB[[#This Row],[TANGGAL]])&lt;&gt;1,0,1)</f>
        <v>1</v>
      </c>
      <c r="E490" s="141" t="str">
        <f>TEXT(IF(KB[[#This Row],[DOC]]&lt;&gt;"",KB[[#This Row],[DOC]],E489),"000")</f>
        <v>038</v>
      </c>
      <c r="F490" s="40">
        <v>43887</v>
      </c>
      <c r="G490" s="40" t="str">
        <f>TYPE</f>
        <v>A</v>
      </c>
      <c r="H490" s="153" t="s">
        <v>890</v>
      </c>
      <c r="I490" s="42" t="s">
        <v>79</v>
      </c>
      <c r="J490" s="43" t="s">
        <v>77</v>
      </c>
      <c r="K490" s="44">
        <v>4</v>
      </c>
      <c r="L490" s="49">
        <v>47000</v>
      </c>
      <c r="M490" s="49">
        <v>15620</v>
      </c>
      <c r="N490" s="49">
        <v>31380</v>
      </c>
      <c r="O490" s="49">
        <v>5</v>
      </c>
      <c r="P490" s="49">
        <v>1569</v>
      </c>
      <c r="Q490" s="49">
        <v>29811</v>
      </c>
      <c r="R490" s="49">
        <v>3000</v>
      </c>
      <c r="S490" s="49">
        <v>89433000</v>
      </c>
      <c r="T490" s="49">
        <v>15.08</v>
      </c>
      <c r="U490" s="49">
        <v>3015.08</v>
      </c>
      <c r="V490" s="49">
        <v>89882550</v>
      </c>
      <c r="W490" s="49">
        <v>449412</v>
      </c>
      <c r="X490" s="49">
        <v>89433138</v>
      </c>
      <c r="Y490" s="530" t="str">
        <f>IFERROR(IF(FIND("/KM",KB[[#This Row],[SUPPLIER]])&gt;0,"LAUT"),"DARAT")</f>
        <v>DARAT</v>
      </c>
    </row>
    <row r="491" spans="2:25">
      <c r="B491" s="140" t="str">
        <f>IFERROR(LEFT(KB[[#This Row],[SUPPLIER]],FIND("/",KB[[#This Row],[SUPPLIER]])-1),KB[[#This Row],[SUPPLIER]])</f>
        <v>RUSLAN JAYA, SH</v>
      </c>
      <c r="C491" s="141" t="str">
        <f>TEXT(VLOOKUP(KB[[#This Row],[RELASI]],DBRELASI[[RELASI]:[DOCKB]],10,0)+COUNTIFS($B$2:B491,KB[[#This Row],[RELASI]],$D$2:D491,1),"000")</f>
        <v>028</v>
      </c>
      <c r="D491" s="141">
        <f>IF(COUNTIFS($B$3:B491,KB[[#This Row],[RELASI]],$F$3:F491,KB[[#This Row],[TANGGAL]])&lt;&gt;1,0,1)</f>
        <v>1</v>
      </c>
      <c r="E491" s="141" t="str">
        <f>TEXT(IF(KB[[#This Row],[DOC]]&lt;&gt;"",KB[[#This Row],[DOC]],E490),"000")</f>
        <v>028</v>
      </c>
      <c r="F491" s="40">
        <v>43887</v>
      </c>
      <c r="G491" s="40" t="str">
        <f>TYPE</f>
        <v>A</v>
      </c>
      <c r="H491" s="153" t="s">
        <v>854</v>
      </c>
      <c r="I491" s="42" t="s">
        <v>479</v>
      </c>
      <c r="J491" s="43" t="s">
        <v>475</v>
      </c>
      <c r="K491" s="44">
        <v>4</v>
      </c>
      <c r="L491" s="49">
        <v>32550</v>
      </c>
      <c r="M491" s="49">
        <v>14150</v>
      </c>
      <c r="N491" s="49">
        <v>18400</v>
      </c>
      <c r="O491" s="49">
        <v>5</v>
      </c>
      <c r="P491" s="49">
        <v>920</v>
      </c>
      <c r="Q491" s="49">
        <v>17480</v>
      </c>
      <c r="R491" s="49">
        <v>2900</v>
      </c>
      <c r="S491" s="49">
        <v>50692000</v>
      </c>
      <c r="T491" s="49">
        <v>14.57</v>
      </c>
      <c r="U491" s="49">
        <v>2914.57</v>
      </c>
      <c r="V491" s="49">
        <v>50946684</v>
      </c>
      <c r="W491" s="49">
        <v>254733</v>
      </c>
      <c r="X491" s="49">
        <v>50691951</v>
      </c>
      <c r="Y491" s="530" t="str">
        <f>IFERROR(IF(FIND("/KM",KB[[#This Row],[SUPPLIER]])&gt;0,"LAUT"),"DARAT")</f>
        <v>DARAT</v>
      </c>
    </row>
    <row r="492" spans="2:25">
      <c r="B492" s="140" t="str">
        <f>IFERROR(LEFT(KB[[#This Row],[SUPPLIER]],FIND("/",KB[[#This Row],[SUPPLIER]])-1),KB[[#This Row],[SUPPLIER]])</f>
        <v>YANADI</v>
      </c>
      <c r="C492" s="141" t="str">
        <f>TEXT(VLOOKUP(KB[[#This Row],[RELASI]],DBRELASI[[RELASI]:[DOCKB]],10,0)+COUNTIFS($B$2:B492,KB[[#This Row],[RELASI]],$D$2:D492,1),"000")</f>
        <v>030</v>
      </c>
      <c r="D492" s="141">
        <f>IF(COUNTIFS($B$3:B492,KB[[#This Row],[RELASI]],$F$3:F492,KB[[#This Row],[TANGGAL]])&lt;&gt;1,0,1)</f>
        <v>1</v>
      </c>
      <c r="E492" s="141" t="str">
        <f>TEXT(IF(KB[[#This Row],[DOC]]&lt;&gt;"",KB[[#This Row],[DOC]],E491),"000")</f>
        <v>030</v>
      </c>
      <c r="F492" s="40">
        <v>43887</v>
      </c>
      <c r="G492" s="40" t="str">
        <f>TYPE</f>
        <v>A</v>
      </c>
      <c r="H492" s="153" t="s">
        <v>860</v>
      </c>
      <c r="I492" s="42" t="s">
        <v>137</v>
      </c>
      <c r="J492" s="43" t="s">
        <v>74</v>
      </c>
      <c r="K492" s="44">
        <v>2</v>
      </c>
      <c r="L492" s="49">
        <v>17920</v>
      </c>
      <c r="M492" s="49">
        <v>5940</v>
      </c>
      <c r="N492" s="49">
        <v>11980</v>
      </c>
      <c r="O492" s="49">
        <v>5</v>
      </c>
      <c r="P492" s="49">
        <v>599</v>
      </c>
      <c r="Q492" s="49">
        <v>11381</v>
      </c>
      <c r="R492" s="49">
        <v>2900</v>
      </c>
      <c r="S492" s="49">
        <v>33004900</v>
      </c>
      <c r="T492" s="49">
        <v>14.57</v>
      </c>
      <c r="U492" s="49">
        <v>2914.57</v>
      </c>
      <c r="V492" s="49">
        <v>33170722</v>
      </c>
      <c r="W492" s="49">
        <v>165854</v>
      </c>
      <c r="X492" s="49">
        <v>33004868</v>
      </c>
      <c r="Y492" s="530" t="str">
        <f>IFERROR(IF(FIND("/KM",KB[[#This Row],[SUPPLIER]])&gt;0,"LAUT"),"DARAT")</f>
        <v>DARAT</v>
      </c>
    </row>
    <row r="493" spans="2:25">
      <c r="B493" s="140" t="str">
        <f>IFERROR(LEFT(KB[[#This Row],[SUPPLIER]],FIND("/",KB[[#This Row],[SUPPLIER]])-1),KB[[#This Row],[SUPPLIER]])</f>
        <v>YANADI</v>
      </c>
      <c r="C493" s="141" t="str">
        <f>TEXT(VLOOKUP(KB[[#This Row],[RELASI]],DBRELASI[[RELASI]:[DOCKB]],10,0)+COUNTIFS($B$2:B493,KB[[#This Row],[RELASI]],$D$2:D493,1),"000")</f>
        <v>030</v>
      </c>
      <c r="D493" s="141">
        <f>IF(COUNTIFS($B$3:B493,KB[[#This Row],[RELASI]],$F$3:F493,KB[[#This Row],[TANGGAL]])&lt;&gt;1,0,1)</f>
        <v>0</v>
      </c>
      <c r="E493" s="141" t="str">
        <f>TEXT(IF(KB[[#This Row],[DOC]]&lt;&gt;"",KB[[#This Row],[DOC]],E492),"000")</f>
        <v>030</v>
      </c>
      <c r="F493" s="40">
        <v>43887</v>
      </c>
      <c r="G493" s="40" t="str">
        <f>TYPE</f>
        <v>A</v>
      </c>
      <c r="H493"/>
      <c r="I493" s="42" t="s">
        <v>824</v>
      </c>
      <c r="J493" s="43" t="s">
        <v>74</v>
      </c>
      <c r="K493" s="44">
        <v>3</v>
      </c>
      <c r="L493" s="49">
        <v>25090</v>
      </c>
      <c r="M493" s="49">
        <v>11660</v>
      </c>
      <c r="N493" s="49">
        <v>13430</v>
      </c>
      <c r="O493" s="49">
        <v>5.9999999999999991</v>
      </c>
      <c r="P493" s="49">
        <v>805.8</v>
      </c>
      <c r="Q493" s="49">
        <v>12624.2</v>
      </c>
      <c r="R493" s="49">
        <v>2850</v>
      </c>
      <c r="S493" s="49">
        <v>35978970</v>
      </c>
      <c r="T493" s="49">
        <v>14.32</v>
      </c>
      <c r="U493" s="49">
        <v>2864.32</v>
      </c>
      <c r="V493" s="49">
        <v>36159749</v>
      </c>
      <c r="W493" s="49">
        <v>180799</v>
      </c>
      <c r="X493" s="49">
        <v>35978950</v>
      </c>
      <c r="Y493" s="530" t="str">
        <f>IFERROR(IF(FIND("/KM",KB[[#This Row],[SUPPLIER]])&gt;0,"LAUT"),"DARAT")</f>
        <v>LAUT</v>
      </c>
    </row>
    <row r="494" spans="2:25">
      <c r="B494" s="140" t="str">
        <f>IFERROR(LEFT(KB[[#This Row],[SUPPLIER]],FIND("/",KB[[#This Row],[SUPPLIER]])-1),KB[[#This Row],[SUPPLIER]])</f>
        <v>DINI CHAIRANI</v>
      </c>
      <c r="C494" s="141" t="str">
        <f>TEXT(VLOOKUP(KB[[#This Row],[RELASI]],DBRELASI[[RELASI]:[DOCKB]],10,0)+COUNTIFS($B$2:B494,KB[[#This Row],[RELASI]],$D$2:D494,1),"000")</f>
        <v>031</v>
      </c>
      <c r="D494" s="141">
        <f>IF(COUNTIFS($B$3:B494,KB[[#This Row],[RELASI]],$F$3:F494,KB[[#This Row],[TANGGAL]])&lt;&gt;1,0,1)</f>
        <v>1</v>
      </c>
      <c r="E494" s="141" t="str">
        <f>TEXT(IF(KB[[#This Row],[DOC]]&lt;&gt;"",KB[[#This Row],[DOC]],E493),"000")</f>
        <v>031</v>
      </c>
      <c r="F494" s="40">
        <v>43887</v>
      </c>
      <c r="G494" s="40" t="str">
        <f>TYPE</f>
        <v>A</v>
      </c>
      <c r="H494" s="153" t="s">
        <v>863</v>
      </c>
      <c r="I494" s="42" t="s">
        <v>516</v>
      </c>
      <c r="J494" s="43" t="s">
        <v>95</v>
      </c>
      <c r="K494" s="44">
        <v>2</v>
      </c>
      <c r="L494" s="49">
        <v>14870</v>
      </c>
      <c r="M494" s="49">
        <v>7770</v>
      </c>
      <c r="N494" s="49">
        <v>7100</v>
      </c>
      <c r="O494" s="49">
        <v>6</v>
      </c>
      <c r="P494" s="49">
        <v>426</v>
      </c>
      <c r="Q494" s="49">
        <v>6674</v>
      </c>
      <c r="R494" s="49">
        <v>2850</v>
      </c>
      <c r="S494" s="49">
        <v>19020900</v>
      </c>
      <c r="T494" s="49">
        <v>14.32</v>
      </c>
      <c r="U494" s="49">
        <v>2864.32</v>
      </c>
      <c r="V494" s="49">
        <v>19116472</v>
      </c>
      <c r="W494" s="49">
        <v>95582</v>
      </c>
      <c r="X494" s="49">
        <v>19020890</v>
      </c>
      <c r="Y494" s="530" t="str">
        <f>IFERROR(IF(FIND("/KM",KB[[#This Row],[SUPPLIER]])&gt;0,"LAUT"),"DARAT")</f>
        <v>LAUT</v>
      </c>
    </row>
    <row r="495" spans="2:25">
      <c r="B495" s="140" t="str">
        <f>IFERROR(LEFT(KB[[#This Row],[SUPPLIER]],FIND("/",KB[[#This Row],[SUPPLIER]])-1),KB[[#This Row],[SUPPLIER]])</f>
        <v>HENDRI</v>
      </c>
      <c r="C495" s="141" t="str">
        <f>TEXT(VLOOKUP(KB[[#This Row],[RELASI]],DBRELASI[[RELASI]:[DOCKB]],10,0)+COUNTIFS($B$2:B495,KB[[#This Row],[RELASI]],$D$2:D495,1),"000")</f>
        <v>023</v>
      </c>
      <c r="D495" s="141">
        <f>IF(COUNTIFS($B$3:B495,KB[[#This Row],[RELASI]],$F$3:F495,KB[[#This Row],[TANGGAL]])&lt;&gt;1,0,1)</f>
        <v>1</v>
      </c>
      <c r="E495" s="141" t="str">
        <f>TEXT(IF(KB[[#This Row],[DOC]]&lt;&gt;"",KB[[#This Row],[DOC]],E494),"000")</f>
        <v>023</v>
      </c>
      <c r="F495" s="40">
        <v>43887</v>
      </c>
      <c r="G495" s="40" t="str">
        <f>TYPE</f>
        <v>A</v>
      </c>
      <c r="H495" s="153" t="s">
        <v>843</v>
      </c>
      <c r="I495" s="42" t="s">
        <v>774</v>
      </c>
      <c r="J495" s="43" t="s">
        <v>475</v>
      </c>
      <c r="K495" s="44">
        <v>4</v>
      </c>
      <c r="L495" s="49">
        <v>33360</v>
      </c>
      <c r="M495" s="49">
        <v>15590</v>
      </c>
      <c r="N495" s="49">
        <v>17770</v>
      </c>
      <c r="O495" s="49">
        <v>6.0000000000000009</v>
      </c>
      <c r="P495" s="49">
        <v>1066.2</v>
      </c>
      <c r="Q495" s="49">
        <v>16703.8</v>
      </c>
      <c r="R495" s="49">
        <v>2900</v>
      </c>
      <c r="S495" s="49">
        <v>48441020</v>
      </c>
      <c r="T495" s="49">
        <v>14.57</v>
      </c>
      <c r="U495" s="49">
        <v>2914.57</v>
      </c>
      <c r="V495" s="49">
        <v>48684395</v>
      </c>
      <c r="W495" s="49">
        <v>243422</v>
      </c>
      <c r="X495" s="49">
        <v>48440973</v>
      </c>
      <c r="Y495" s="530" t="str">
        <f>IFERROR(IF(FIND("/KM",KB[[#This Row],[SUPPLIER]])&gt;0,"LAUT"),"DARAT")</f>
        <v>LAUT</v>
      </c>
    </row>
    <row r="496" spans="2:25">
      <c r="B496" s="140" t="str">
        <f>IFERROR(LEFT(KB[[#This Row],[SUPPLIER]],FIND("/",KB[[#This Row],[SUPPLIER]])-1),KB[[#This Row],[SUPPLIER]])</f>
        <v>MARTONO</v>
      </c>
      <c r="C496" s="141" t="str">
        <f>TEXT(VLOOKUP(KB[[#This Row],[RELASI]],DBRELASI[[RELASI]:[DOCKB]],10,0)+COUNTIFS($B$2:B496,KB[[#This Row],[RELASI]],$D$2:D496,1),"000")</f>
        <v>034</v>
      </c>
      <c r="D496" s="141">
        <f>IF(COUNTIFS($B$3:B496,KB[[#This Row],[RELASI]],$F$3:F496,KB[[#This Row],[TANGGAL]])&lt;&gt;1,0,1)</f>
        <v>1</v>
      </c>
      <c r="E496" s="141" t="str">
        <f>TEXT(IF(KB[[#This Row],[DOC]]&lt;&gt;"",KB[[#This Row],[DOC]],E495),"000")</f>
        <v>034</v>
      </c>
      <c r="F496" s="40">
        <v>43887</v>
      </c>
      <c r="G496" s="40" t="str">
        <f>TYPE</f>
        <v>A</v>
      </c>
      <c r="H496" s="153" t="s">
        <v>885</v>
      </c>
      <c r="I496" s="42" t="s">
        <v>791</v>
      </c>
      <c r="J496" s="43" t="s">
        <v>83</v>
      </c>
      <c r="K496" s="44">
        <v>2</v>
      </c>
      <c r="L496" s="49">
        <v>17760</v>
      </c>
      <c r="M496" s="49">
        <v>7790</v>
      </c>
      <c r="N496" s="49">
        <v>9970</v>
      </c>
      <c r="O496" s="49">
        <v>6</v>
      </c>
      <c r="P496" s="49">
        <v>598.20000000000005</v>
      </c>
      <c r="Q496" s="49">
        <v>9371.7999999999993</v>
      </c>
      <c r="R496" s="49">
        <v>2850</v>
      </c>
      <c r="S496" s="49">
        <v>26709630</v>
      </c>
      <c r="T496" s="49">
        <v>14.32</v>
      </c>
      <c r="U496" s="49">
        <v>2864.32</v>
      </c>
      <c r="V496" s="49">
        <v>26843834</v>
      </c>
      <c r="W496" s="49">
        <v>134219</v>
      </c>
      <c r="X496" s="49">
        <v>26709615</v>
      </c>
      <c r="Y496" s="530" t="str">
        <f>IFERROR(IF(FIND("/KM",KB[[#This Row],[SUPPLIER]])&gt;0,"LAUT"),"DARAT")</f>
        <v>LAUT</v>
      </c>
    </row>
    <row r="497" spans="2:25">
      <c r="B497" s="140" t="str">
        <f>IFERROR(LEFT(KB[[#This Row],[SUPPLIER]],FIND("/",KB[[#This Row],[SUPPLIER]])-1),KB[[#This Row],[SUPPLIER]])</f>
        <v>MASRI</v>
      </c>
      <c r="C497" s="141" t="str">
        <f>TEXT(VLOOKUP(KB[[#This Row],[RELASI]],DBRELASI[[RELASI]:[DOCKB]],10,0)+COUNTIFS($B$2:B497,KB[[#This Row],[RELASI]],$D$2:D497,1),"000")</f>
        <v>025</v>
      </c>
      <c r="D497" s="141">
        <f>IF(COUNTIFS($B$3:B497,KB[[#This Row],[RELASI]],$F$3:F497,KB[[#This Row],[TANGGAL]])&lt;&gt;1,0,1)</f>
        <v>1</v>
      </c>
      <c r="E497" s="141" t="str">
        <f>TEXT(IF(KB[[#This Row],[DOC]]&lt;&gt;"",KB[[#This Row],[DOC]],E496),"000")</f>
        <v>025</v>
      </c>
      <c r="F497" s="40">
        <v>43887</v>
      </c>
      <c r="G497" s="40" t="str">
        <f>TYPE</f>
        <v>A</v>
      </c>
      <c r="H497" s="154" t="s">
        <v>850</v>
      </c>
      <c r="I497" s="46" t="s">
        <v>775</v>
      </c>
      <c r="J497" s="47" t="s">
        <v>511</v>
      </c>
      <c r="K497" s="48">
        <v>17</v>
      </c>
      <c r="L497" s="49">
        <v>146200</v>
      </c>
      <c r="M497" s="49">
        <v>66260</v>
      </c>
      <c r="N497" s="49">
        <v>79940</v>
      </c>
      <c r="O497" s="49">
        <v>6.0000000000000009</v>
      </c>
      <c r="P497" s="49">
        <v>4796.4000000000005</v>
      </c>
      <c r="Q497" s="49">
        <v>75143.599999999991</v>
      </c>
      <c r="R497" s="49">
        <v>3150.0000000000005</v>
      </c>
      <c r="S497" s="49">
        <v>236702340</v>
      </c>
      <c r="T497" s="49">
        <v>15.83</v>
      </c>
      <c r="U497" s="49">
        <v>3165.8300000000004</v>
      </c>
      <c r="V497" s="49">
        <v>237891861</v>
      </c>
      <c r="W497" s="49">
        <v>1189459</v>
      </c>
      <c r="X497" s="49">
        <v>236702402</v>
      </c>
      <c r="Y497" s="574" t="str">
        <f>IFERROR(IF(FIND("/KM",KB[[#This Row],[SUPPLIER]])&gt;0,"LAUT"),"DARAT")</f>
        <v>LAUT</v>
      </c>
    </row>
    <row r="498" spans="2:25">
      <c r="B498" s="140" t="str">
        <f>IFERROR(LEFT(KB[[#This Row],[SUPPLIER]],FIND("/",KB[[#This Row],[SUPPLIER]])-1),KB[[#This Row],[SUPPLIER]])</f>
        <v>ERAWATI</v>
      </c>
      <c r="C498" s="141" t="str">
        <f>TEXT(VLOOKUP(KB[[#This Row],[RELASI]],DBRELASI[[RELASI]:[DOCKB]],10,0)+COUNTIFS($B$2:B498,KB[[#This Row],[RELASI]],$D$2:D498,1),"000")</f>
        <v>043</v>
      </c>
      <c r="D498" s="141">
        <f>IF(COUNTIFS($B$3:B498,KB[[#This Row],[RELASI]],$F$3:F498,KB[[#This Row],[TANGGAL]])&lt;&gt;1,0,1)</f>
        <v>1</v>
      </c>
      <c r="E498" s="141" t="str">
        <f>TEXT(IF(KB[[#This Row],[DOC]]&lt;&gt;"",KB[[#This Row],[DOC]],E497),"000")</f>
        <v>043</v>
      </c>
      <c r="F498" s="40">
        <v>43888</v>
      </c>
      <c r="G498" s="40" t="str">
        <f>TYPE</f>
        <v>A</v>
      </c>
      <c r="H498" s="153" t="s">
        <v>899</v>
      </c>
      <c r="I498" s="42" t="s">
        <v>155</v>
      </c>
      <c r="J498" s="43" t="s">
        <v>77</v>
      </c>
      <c r="K498" s="44">
        <v>5</v>
      </c>
      <c r="L498" s="49">
        <v>45920</v>
      </c>
      <c r="M498" s="49">
        <v>21370</v>
      </c>
      <c r="N498" s="49">
        <v>24550</v>
      </c>
      <c r="O498" s="49">
        <v>5</v>
      </c>
      <c r="P498" s="49">
        <v>1227.5</v>
      </c>
      <c r="Q498" s="49">
        <v>23322.5</v>
      </c>
      <c r="R498" s="49">
        <v>2900</v>
      </c>
      <c r="S498" s="49">
        <v>67635250</v>
      </c>
      <c r="T498" s="49">
        <v>14.57</v>
      </c>
      <c r="U498" s="49">
        <v>2914.57</v>
      </c>
      <c r="V498" s="49">
        <v>67975058</v>
      </c>
      <c r="W498" s="49">
        <v>339875</v>
      </c>
      <c r="X498" s="49">
        <v>67635183</v>
      </c>
      <c r="Y498" s="530" t="str">
        <f>IFERROR(IF(FIND("/KM",KB[[#This Row],[SUPPLIER]])&gt;0,"LAUT"),"DARAT")</f>
        <v>DARAT</v>
      </c>
    </row>
    <row r="499" spans="2:25">
      <c r="B499" s="140" t="str">
        <f>IFERROR(LEFT(KB[[#This Row],[SUPPLIER]],FIND("/",KB[[#This Row],[SUPPLIER]])-1),KB[[#This Row],[SUPPLIER]])</f>
        <v>INDRAYANI</v>
      </c>
      <c r="C499" s="141" t="str">
        <f>TEXT(VLOOKUP(KB[[#This Row],[RELASI]],DBRELASI[[RELASI]:[DOCKB]],10,0)+COUNTIFS($B$2:B499,KB[[#This Row],[RELASI]],$D$2:D499,1),"000")</f>
        <v>039</v>
      </c>
      <c r="D499" s="141">
        <f>IF(COUNTIFS($B$3:B499,KB[[#This Row],[RELASI]],$F$3:F499,KB[[#This Row],[TANGGAL]])&lt;&gt;1,0,1)</f>
        <v>1</v>
      </c>
      <c r="E499" s="141" t="str">
        <f>TEXT(IF(KB[[#This Row],[DOC]]&lt;&gt;"",KB[[#This Row],[DOC]],E498),"000")</f>
        <v>039</v>
      </c>
      <c r="F499" s="40">
        <v>43888</v>
      </c>
      <c r="G499" s="40" t="str">
        <f>TYPE</f>
        <v>A</v>
      </c>
      <c r="H499" s="153" t="s">
        <v>893</v>
      </c>
      <c r="I499" s="42" t="s">
        <v>79</v>
      </c>
      <c r="J499" s="43" t="s">
        <v>77</v>
      </c>
      <c r="K499" s="44">
        <v>5</v>
      </c>
      <c r="L499" s="49">
        <v>56260</v>
      </c>
      <c r="M499" s="49">
        <v>28140</v>
      </c>
      <c r="N499" s="49">
        <v>28120</v>
      </c>
      <c r="O499" s="49">
        <v>5</v>
      </c>
      <c r="P499" s="49">
        <v>1406</v>
      </c>
      <c r="Q499" s="49">
        <v>26714</v>
      </c>
      <c r="R499" s="49">
        <v>3000</v>
      </c>
      <c r="S499" s="49">
        <v>80142000</v>
      </c>
      <c r="T499" s="49">
        <v>15.08</v>
      </c>
      <c r="U499" s="49">
        <v>3015.08</v>
      </c>
      <c r="V499" s="49">
        <v>80544847</v>
      </c>
      <c r="W499" s="49">
        <v>402725</v>
      </c>
      <c r="X499" s="49">
        <v>80142122</v>
      </c>
      <c r="Y499" s="530" t="str">
        <f>IFERROR(IF(FIND("/KM",KB[[#This Row],[SUPPLIER]])&gt;0,"LAUT"),"DARAT")</f>
        <v>DARAT</v>
      </c>
    </row>
    <row r="500" spans="2:25">
      <c r="B500" s="140" t="str">
        <f>IFERROR(LEFT(KB[[#This Row],[SUPPLIER]],FIND("/",KB[[#This Row],[SUPPLIER]])-1),KB[[#This Row],[SUPPLIER]])</f>
        <v>RUSLAN JAYA, SH</v>
      </c>
      <c r="C500" s="141" t="str">
        <f>TEXT(VLOOKUP(KB[[#This Row],[RELASI]],DBRELASI[[RELASI]:[DOCKB]],10,0)+COUNTIFS($B$2:B500,KB[[#This Row],[RELASI]],$D$2:D500,1),"000")</f>
        <v>029</v>
      </c>
      <c r="D500" s="141">
        <f>IF(COUNTIFS($B$3:B500,KB[[#This Row],[RELASI]],$F$3:F500,KB[[#This Row],[TANGGAL]])&lt;&gt;1,0,1)</f>
        <v>1</v>
      </c>
      <c r="E500" s="141" t="str">
        <f>TEXT(IF(KB[[#This Row],[DOC]]&lt;&gt;"",KB[[#This Row],[DOC]],E499),"000")</f>
        <v>029</v>
      </c>
      <c r="F500" s="40">
        <v>43888</v>
      </c>
      <c r="G500" s="40" t="str">
        <f>TYPE</f>
        <v>A</v>
      </c>
      <c r="H500" s="153" t="s">
        <v>857</v>
      </c>
      <c r="I500" s="42" t="s">
        <v>479</v>
      </c>
      <c r="J500" s="43" t="s">
        <v>475</v>
      </c>
      <c r="K500" s="44">
        <v>2</v>
      </c>
      <c r="L500" s="49">
        <v>15530</v>
      </c>
      <c r="M500" s="49">
        <v>9970</v>
      </c>
      <c r="N500" s="49">
        <v>5560</v>
      </c>
      <c r="O500" s="49">
        <v>5</v>
      </c>
      <c r="P500" s="49">
        <v>278</v>
      </c>
      <c r="Q500" s="49">
        <v>5282</v>
      </c>
      <c r="R500" s="49">
        <v>2900</v>
      </c>
      <c r="S500" s="49">
        <v>15317800</v>
      </c>
      <c r="T500" s="49">
        <v>14.57</v>
      </c>
      <c r="U500" s="49">
        <v>2914.57</v>
      </c>
      <c r="V500" s="49">
        <v>15394759</v>
      </c>
      <c r="W500" s="49">
        <v>76974</v>
      </c>
      <c r="X500" s="49">
        <v>15317785</v>
      </c>
      <c r="Y500" s="530" t="str">
        <f>IFERROR(IF(FIND("/KM",KB[[#This Row],[SUPPLIER]])&gt;0,"LAUT"),"DARAT")</f>
        <v>DARAT</v>
      </c>
    </row>
    <row r="501" spans="2:25">
      <c r="B501" s="140" t="str">
        <f>IFERROR(LEFT(KB[[#This Row],[SUPPLIER]],FIND("/",KB[[#This Row],[SUPPLIER]])-1),KB[[#This Row],[SUPPLIER]])</f>
        <v>YANADI</v>
      </c>
      <c r="C501" s="141" t="str">
        <f>TEXT(VLOOKUP(KB[[#This Row],[RELASI]],DBRELASI[[RELASI]:[DOCKB]],10,0)+COUNTIFS($B$2:B501,KB[[#This Row],[RELASI]],$D$2:D501,1),"000")</f>
        <v>031</v>
      </c>
      <c r="D501" s="141">
        <f>IF(COUNTIFS($B$3:B501,KB[[#This Row],[RELASI]],$F$3:F501,KB[[#This Row],[TANGGAL]])&lt;&gt;1,0,1)</f>
        <v>1</v>
      </c>
      <c r="E501" s="141" t="str">
        <f>TEXT(IF(KB[[#This Row],[DOC]]&lt;&gt;"",KB[[#This Row],[DOC]],E500),"000")</f>
        <v>031</v>
      </c>
      <c r="F501" s="40">
        <v>43888</v>
      </c>
      <c r="G501" s="40" t="str">
        <f>TYPE</f>
        <v>A</v>
      </c>
      <c r="H501" s="153" t="s">
        <v>863</v>
      </c>
      <c r="I501" s="42" t="s">
        <v>137</v>
      </c>
      <c r="J501" s="43" t="s">
        <v>74</v>
      </c>
      <c r="K501" s="44">
        <v>2</v>
      </c>
      <c r="L501" s="49">
        <v>18060</v>
      </c>
      <c r="M501" s="49">
        <v>6180</v>
      </c>
      <c r="N501" s="49">
        <v>11880</v>
      </c>
      <c r="O501" s="49">
        <v>5</v>
      </c>
      <c r="P501" s="49">
        <v>594</v>
      </c>
      <c r="Q501" s="49">
        <v>11286</v>
      </c>
      <c r="R501" s="49">
        <v>2900</v>
      </c>
      <c r="S501" s="49">
        <v>32729400</v>
      </c>
      <c r="T501" s="49">
        <v>14.57</v>
      </c>
      <c r="U501" s="49">
        <v>2914.57</v>
      </c>
      <c r="V501" s="49">
        <v>32893837</v>
      </c>
      <c r="W501" s="49">
        <v>164469</v>
      </c>
      <c r="X501" s="49">
        <v>32729368</v>
      </c>
      <c r="Y501" s="530" t="str">
        <f>IFERROR(IF(FIND("/KM",KB[[#This Row],[SUPPLIER]])&gt;0,"LAUT"),"DARAT")</f>
        <v>DARAT</v>
      </c>
    </row>
    <row r="502" spans="2:25">
      <c r="B502" s="140" t="str">
        <f>IFERROR(LEFT(KB[[#This Row],[SUPPLIER]],FIND("/",KB[[#This Row],[SUPPLIER]])-1),KB[[#This Row],[SUPPLIER]])</f>
        <v>YANADI</v>
      </c>
      <c r="C502" s="141" t="str">
        <f>TEXT(VLOOKUP(KB[[#This Row],[RELASI]],DBRELASI[[RELASI]:[DOCKB]],10,0)+COUNTIFS($B$2:B502,KB[[#This Row],[RELASI]],$D$2:D502,1),"000")</f>
        <v>031</v>
      </c>
      <c r="D502" s="141">
        <f>IF(COUNTIFS($B$3:B502,KB[[#This Row],[RELASI]],$F$3:F502,KB[[#This Row],[TANGGAL]])&lt;&gt;1,0,1)</f>
        <v>0</v>
      </c>
      <c r="E502" s="141" t="str">
        <f>TEXT(IF(KB[[#This Row],[DOC]]&lt;&gt;"",KB[[#This Row],[DOC]],E501),"000")</f>
        <v>031</v>
      </c>
      <c r="F502" s="40">
        <v>43888</v>
      </c>
      <c r="G502" s="40" t="str">
        <f>TYPE</f>
        <v>A</v>
      </c>
      <c r="H502"/>
      <c r="I502" s="42" t="s">
        <v>900</v>
      </c>
      <c r="J502" s="43" t="s">
        <v>74</v>
      </c>
      <c r="K502" s="44">
        <v>1</v>
      </c>
      <c r="L502" s="49">
        <v>8930</v>
      </c>
      <c r="M502" s="49">
        <v>3870</v>
      </c>
      <c r="N502" s="49">
        <v>5060</v>
      </c>
      <c r="O502" s="49">
        <v>5.9999999999999991</v>
      </c>
      <c r="P502" s="49">
        <v>303.59999999999997</v>
      </c>
      <c r="Q502" s="49">
        <v>4756.3999999999996</v>
      </c>
      <c r="R502" s="49">
        <v>2850</v>
      </c>
      <c r="S502" s="49">
        <v>13555740</v>
      </c>
      <c r="T502" s="49">
        <v>14.32</v>
      </c>
      <c r="U502" s="49">
        <v>2864.32</v>
      </c>
      <c r="V502" s="49">
        <v>13623852</v>
      </c>
      <c r="W502" s="49">
        <v>68119</v>
      </c>
      <c r="X502" s="49">
        <v>13555733</v>
      </c>
      <c r="Y502" s="530" t="str">
        <f>IFERROR(IF(FIND("/KM",KB[[#This Row],[SUPPLIER]])&gt;0,"LAUT"),"DARAT")</f>
        <v>LAUT</v>
      </c>
    </row>
    <row r="503" spans="2:25">
      <c r="B503" s="140" t="str">
        <f>IFERROR(LEFT(KB[[#This Row],[SUPPLIER]],FIND("/",KB[[#This Row],[SUPPLIER]])-1),KB[[#This Row],[SUPPLIER]])</f>
        <v>DINI CHAIRANI</v>
      </c>
      <c r="C503" s="141" t="str">
        <f>TEXT(VLOOKUP(KB[[#This Row],[RELASI]],DBRELASI[[RELASI]:[DOCKB]],10,0)+COUNTIFS($B$2:B503,KB[[#This Row],[RELASI]],$D$2:D503,1),"000")</f>
        <v>032</v>
      </c>
      <c r="D503" s="141">
        <f>IF(COUNTIFS($B$3:B503,KB[[#This Row],[RELASI]],$F$3:F503,KB[[#This Row],[TANGGAL]])&lt;&gt;1,0,1)</f>
        <v>1</v>
      </c>
      <c r="E503" s="141" t="str">
        <f>TEXT(IF(KB[[#This Row],[DOC]]&lt;&gt;"",KB[[#This Row],[DOC]],E502),"000")</f>
        <v>032</v>
      </c>
      <c r="F503" s="40">
        <v>43888</v>
      </c>
      <c r="G503" s="40" t="str">
        <f>TYPE</f>
        <v>A</v>
      </c>
      <c r="H503" s="153" t="s">
        <v>874</v>
      </c>
      <c r="I503" s="42" t="s">
        <v>772</v>
      </c>
      <c r="J503" s="43" t="s">
        <v>95</v>
      </c>
      <c r="K503" s="44">
        <v>2</v>
      </c>
      <c r="L503" s="49">
        <v>17520</v>
      </c>
      <c r="M503" s="49">
        <v>7770</v>
      </c>
      <c r="N503" s="49">
        <v>9750</v>
      </c>
      <c r="O503" s="49">
        <v>6</v>
      </c>
      <c r="P503" s="49">
        <v>585</v>
      </c>
      <c r="Q503" s="49">
        <v>9165</v>
      </c>
      <c r="R503" s="49">
        <v>2850</v>
      </c>
      <c r="S503" s="49">
        <v>26120250</v>
      </c>
      <c r="T503" s="49">
        <v>14.32</v>
      </c>
      <c r="U503" s="49">
        <v>2864.32</v>
      </c>
      <c r="V503" s="49">
        <v>26251493</v>
      </c>
      <c r="W503" s="49">
        <v>131258</v>
      </c>
      <c r="X503" s="49">
        <v>26120235</v>
      </c>
      <c r="Y503" s="530" t="str">
        <f>IFERROR(IF(FIND("/KM",KB[[#This Row],[SUPPLIER]])&gt;0,"LAUT"),"DARAT")</f>
        <v>LAUT</v>
      </c>
    </row>
    <row r="504" spans="2:25">
      <c r="B504" s="140" t="str">
        <f>IFERROR(LEFT(KB[[#This Row],[SUPPLIER]],FIND("/",KB[[#This Row],[SUPPLIER]])-1),KB[[#This Row],[SUPPLIER]])</f>
        <v>DINI CHAIRANI</v>
      </c>
      <c r="C504" s="141" t="str">
        <f>TEXT(VLOOKUP(KB[[#This Row],[RELASI]],DBRELASI[[RELASI]:[DOCKB]],10,0)+COUNTIFS($B$2:B504,KB[[#This Row],[RELASI]],$D$2:D504,1),"000")</f>
        <v>032</v>
      </c>
      <c r="D504" s="141">
        <f>IF(COUNTIFS($B$3:B504,KB[[#This Row],[RELASI]],$F$3:F504,KB[[#This Row],[TANGGAL]])&lt;&gt;1,0,1)</f>
        <v>0</v>
      </c>
      <c r="E504" s="141" t="str">
        <f>TEXT(IF(KB[[#This Row],[DOC]]&lt;&gt;"",KB[[#This Row],[DOC]],E503),"000")</f>
        <v>032</v>
      </c>
      <c r="F504" s="40">
        <v>43888</v>
      </c>
      <c r="G504" s="40" t="str">
        <f>TYPE</f>
        <v>A</v>
      </c>
      <c r="H504"/>
      <c r="I504" s="42" t="s">
        <v>525</v>
      </c>
      <c r="J504" s="43" t="s">
        <v>95</v>
      </c>
      <c r="K504" s="44">
        <v>1</v>
      </c>
      <c r="L504" s="49">
        <v>7730</v>
      </c>
      <c r="M504" s="49">
        <v>3870</v>
      </c>
      <c r="N504" s="49">
        <v>3860</v>
      </c>
      <c r="O504" s="49">
        <v>6</v>
      </c>
      <c r="P504" s="49">
        <v>231.6</v>
      </c>
      <c r="Q504" s="49">
        <v>3628.4</v>
      </c>
      <c r="R504" s="49">
        <v>2850</v>
      </c>
      <c r="S504" s="49">
        <v>10340940</v>
      </c>
      <c r="T504" s="49">
        <v>14.32</v>
      </c>
      <c r="U504" s="49">
        <v>2864.32</v>
      </c>
      <c r="V504" s="49">
        <v>10392899</v>
      </c>
      <c r="W504" s="49">
        <v>51964</v>
      </c>
      <c r="X504" s="49">
        <v>10340935</v>
      </c>
      <c r="Y504" s="530" t="str">
        <f>IFERROR(IF(FIND("/KM",KB[[#This Row],[SUPPLIER]])&gt;0,"LAUT"),"DARAT")</f>
        <v>LAUT</v>
      </c>
    </row>
    <row r="505" spans="2:25">
      <c r="B505" s="140" t="str">
        <f>IFERROR(LEFT(KB[[#This Row],[SUPPLIER]],FIND("/",KB[[#This Row],[SUPPLIER]])-1),KB[[#This Row],[SUPPLIER]])</f>
        <v>MARTONO</v>
      </c>
      <c r="C505" s="141" t="str">
        <f>TEXT(VLOOKUP(KB[[#This Row],[RELASI]],DBRELASI[[RELASI]:[DOCKB]],10,0)+COUNTIFS($B$2:B505,KB[[#This Row],[RELASI]],$D$2:D505,1),"000")</f>
        <v>035</v>
      </c>
      <c r="D505" s="141">
        <f>IF(COUNTIFS($B$3:B505,KB[[#This Row],[RELASI]],$F$3:F505,KB[[#This Row],[TANGGAL]])&lt;&gt;1,0,1)</f>
        <v>1</v>
      </c>
      <c r="E505" s="141" t="str">
        <f>TEXT(IF(KB[[#This Row],[DOC]]&lt;&gt;"",KB[[#This Row],[DOC]],E504),"000")</f>
        <v>035</v>
      </c>
      <c r="F505" s="40">
        <v>43888</v>
      </c>
      <c r="G505" s="40" t="str">
        <f>TYPE</f>
        <v>A</v>
      </c>
      <c r="H505" s="153" t="s">
        <v>887</v>
      </c>
      <c r="I505" s="42" t="s">
        <v>901</v>
      </c>
      <c r="J505" s="43" t="s">
        <v>83</v>
      </c>
      <c r="K505" s="44">
        <v>1</v>
      </c>
      <c r="L505" s="49">
        <v>7000</v>
      </c>
      <c r="M505" s="49">
        <v>3870</v>
      </c>
      <c r="N505" s="49">
        <v>3130</v>
      </c>
      <c r="O505" s="49">
        <v>5.9999999999999991</v>
      </c>
      <c r="P505" s="49">
        <v>187.79999999999998</v>
      </c>
      <c r="Q505" s="49">
        <v>2942.2</v>
      </c>
      <c r="R505" s="49">
        <v>2850</v>
      </c>
      <c r="S505" s="49">
        <v>8385270</v>
      </c>
      <c r="T505" s="49">
        <v>14.32</v>
      </c>
      <c r="U505" s="49">
        <v>2864.32</v>
      </c>
      <c r="V505" s="49">
        <v>8427402</v>
      </c>
      <c r="W505" s="49">
        <v>42137</v>
      </c>
      <c r="X505" s="49">
        <v>8385265</v>
      </c>
      <c r="Y505" s="530" t="str">
        <f>IFERROR(IF(FIND("/KM",KB[[#This Row],[SUPPLIER]])&gt;0,"LAUT"),"DARAT")</f>
        <v>LAUT</v>
      </c>
    </row>
    <row r="506" spans="2:25">
      <c r="B506" s="140" t="str">
        <f>IFERROR(LEFT(KB[[#This Row],[SUPPLIER]],FIND("/",KB[[#This Row],[SUPPLIER]])-1),KB[[#This Row],[SUPPLIER]])</f>
        <v>MARTONO</v>
      </c>
      <c r="C506" s="141" t="str">
        <f>TEXT(VLOOKUP(KB[[#This Row],[RELASI]],DBRELASI[[RELASI]:[DOCKB]],10,0)+COUNTIFS($B$2:B506,KB[[#This Row],[RELASI]],$D$2:D506,1),"000")</f>
        <v>035</v>
      </c>
      <c r="D506" s="141">
        <f>IF(COUNTIFS($B$3:B506,KB[[#This Row],[RELASI]],$F$3:F506,KB[[#This Row],[TANGGAL]])&lt;&gt;1,0,1)</f>
        <v>0</v>
      </c>
      <c r="E506" s="141" t="str">
        <f>TEXT(IF(KB[[#This Row],[DOC]]&lt;&gt;"",KB[[#This Row],[DOC]],E505),"000")</f>
        <v>035</v>
      </c>
      <c r="F506" s="40">
        <v>43888</v>
      </c>
      <c r="G506" s="40" t="str">
        <f>TYPE</f>
        <v>A</v>
      </c>
      <c r="H506"/>
      <c r="I506" s="42" t="s">
        <v>845</v>
      </c>
      <c r="J506" s="43" t="s">
        <v>83</v>
      </c>
      <c r="K506" s="44">
        <v>3</v>
      </c>
      <c r="L506" s="49">
        <v>23720</v>
      </c>
      <c r="M506" s="49">
        <v>11730</v>
      </c>
      <c r="N506" s="49">
        <v>11990</v>
      </c>
      <c r="O506" s="49">
        <v>5.9999999999999982</v>
      </c>
      <c r="P506" s="49">
        <v>719.39999999999986</v>
      </c>
      <c r="Q506" s="49">
        <v>11270.599999999999</v>
      </c>
      <c r="R506" s="49">
        <v>2950.0000000000005</v>
      </c>
      <c r="S506" s="49">
        <v>33248270</v>
      </c>
      <c r="T506" s="49">
        <v>14.82</v>
      </c>
      <c r="U506" s="49">
        <v>2964.8200000000006</v>
      </c>
      <c r="V506" s="49">
        <v>33415300</v>
      </c>
      <c r="W506" s="49">
        <v>167077</v>
      </c>
      <c r="X506" s="49">
        <v>33248223</v>
      </c>
      <c r="Y506" s="530" t="str">
        <f>IFERROR(IF(FIND("/KM",KB[[#This Row],[SUPPLIER]])&gt;0,"LAUT"),"DARAT")</f>
        <v>LAUT</v>
      </c>
    </row>
    <row r="507" spans="2:25">
      <c r="B507" s="140" t="str">
        <f>IFERROR(LEFT(KB[[#This Row],[SUPPLIER]],FIND("/",KB[[#This Row],[SUPPLIER]])-1),KB[[#This Row],[SUPPLIER]])</f>
        <v>MARTONO</v>
      </c>
      <c r="C507" s="141" t="str">
        <f>TEXT(VLOOKUP(KB[[#This Row],[RELASI]],DBRELASI[[RELASI]:[DOCKB]],10,0)+COUNTIFS($B$2:B507,KB[[#This Row],[RELASI]],$D$2:D507,1),"000")</f>
        <v>035</v>
      </c>
      <c r="D507" s="141">
        <f>IF(COUNTIFS($B$3:B507,KB[[#This Row],[RELASI]],$F$3:F507,KB[[#This Row],[TANGGAL]])&lt;&gt;1,0,1)</f>
        <v>0</v>
      </c>
      <c r="E507" s="141" t="str">
        <f>TEXT(IF(KB[[#This Row],[DOC]]&lt;&gt;"",KB[[#This Row],[DOC]],E506),"000")</f>
        <v>035</v>
      </c>
      <c r="F507" s="40">
        <v>43888</v>
      </c>
      <c r="G507" s="40" t="str">
        <f>TYPE</f>
        <v>A</v>
      </c>
      <c r="H507"/>
      <c r="I507" s="46" t="s">
        <v>529</v>
      </c>
      <c r="J507" s="47" t="s">
        <v>83</v>
      </c>
      <c r="K507" s="48">
        <v>3</v>
      </c>
      <c r="L507" s="49">
        <v>22340</v>
      </c>
      <c r="M507" s="49">
        <v>11650</v>
      </c>
      <c r="N507" s="49">
        <v>10690</v>
      </c>
      <c r="O507" s="49">
        <v>5.9999999999999991</v>
      </c>
      <c r="P507" s="49">
        <v>641.4</v>
      </c>
      <c r="Q507" s="49">
        <v>10048.6</v>
      </c>
      <c r="R507" s="49">
        <v>2850</v>
      </c>
      <c r="S507" s="49">
        <v>28638510</v>
      </c>
      <c r="T507" s="49">
        <v>14.32</v>
      </c>
      <c r="U507" s="49">
        <v>2864.32</v>
      </c>
      <c r="V507" s="49">
        <v>28782407</v>
      </c>
      <c r="W507" s="49">
        <v>143913</v>
      </c>
      <c r="X507" s="49">
        <v>28638494</v>
      </c>
      <c r="Y507" s="574" t="str">
        <f>IFERROR(IF(FIND("/KM",KB[[#This Row],[SUPPLIER]])&gt;0,"LAUT"),"DARAT")</f>
        <v>LAUT</v>
      </c>
    </row>
    <row r="508" spans="2:25">
      <c r="B508" s="140" t="str">
        <f>IFERROR(LEFT(KB[[#This Row],[SUPPLIER]],FIND("/",KB[[#This Row],[SUPPLIER]])-1),KB[[#This Row],[SUPPLIER]])</f>
        <v>INDRAYANI</v>
      </c>
      <c r="C508" s="141" t="str">
        <f>TEXT(VLOOKUP(KB[[#This Row],[RELASI]],DBRELASI[[RELASI]:[DOCKB]],10,0)+COUNTIFS($B$2:B508,KB[[#This Row],[RELASI]],$D$2:D508,1),"000")</f>
        <v>040</v>
      </c>
      <c r="D508" s="141">
        <f>IF(COUNTIFS($B$3:B508,KB[[#This Row],[RELASI]],$F$3:F508,KB[[#This Row],[TANGGAL]])&lt;&gt;1,0,1)</f>
        <v>1</v>
      </c>
      <c r="E508" s="141" t="str">
        <f>TEXT(IF(KB[[#This Row],[DOC]]&lt;&gt;"",KB[[#This Row],[DOC]],E507),"000")</f>
        <v>040</v>
      </c>
      <c r="F508" s="40">
        <v>43889</v>
      </c>
      <c r="G508" s="40" t="str">
        <f>TYPE</f>
        <v>A</v>
      </c>
      <c r="H508" s="153" t="s">
        <v>894</v>
      </c>
      <c r="I508" s="42" t="s">
        <v>79</v>
      </c>
      <c r="J508" s="43" t="s">
        <v>77</v>
      </c>
      <c r="K508" s="44">
        <v>3</v>
      </c>
      <c r="L508" s="49">
        <v>35190</v>
      </c>
      <c r="M508" s="49">
        <v>12410</v>
      </c>
      <c r="N508" s="49">
        <v>22780</v>
      </c>
      <c r="O508" s="49">
        <v>5</v>
      </c>
      <c r="P508" s="49">
        <v>1139</v>
      </c>
      <c r="Q508" s="49">
        <v>21641</v>
      </c>
      <c r="R508" s="49">
        <v>3000</v>
      </c>
      <c r="S508" s="49">
        <v>64923000</v>
      </c>
      <c r="T508" s="49">
        <v>15.08</v>
      </c>
      <c r="U508" s="49">
        <v>3015.08</v>
      </c>
      <c r="V508" s="49">
        <v>65249347</v>
      </c>
      <c r="W508" s="49">
        <v>326247</v>
      </c>
      <c r="X508" s="49">
        <v>64923100</v>
      </c>
      <c r="Y508" s="530" t="str">
        <f>IFERROR(IF(FIND("/KM",KB[[#This Row],[SUPPLIER]])&gt;0,"LAUT"),"DARAT")</f>
        <v>DARAT</v>
      </c>
    </row>
    <row r="509" spans="2:25">
      <c r="B509" s="140" t="str">
        <f>IFERROR(LEFT(KB[[#This Row],[SUPPLIER]],FIND("/",KB[[#This Row],[SUPPLIER]])-1),KB[[#This Row],[SUPPLIER]])</f>
        <v>RUSLAN JAYA, SH</v>
      </c>
      <c r="C509" s="141" t="str">
        <f>TEXT(VLOOKUP(KB[[#This Row],[RELASI]],DBRELASI[[RELASI]:[DOCKB]],10,0)+COUNTIFS($B$2:B509,KB[[#This Row],[RELASI]],$D$2:D509,1),"000")</f>
        <v>030</v>
      </c>
      <c r="D509" s="141">
        <f>IF(COUNTIFS($B$3:B509,KB[[#This Row],[RELASI]],$F$3:F509,KB[[#This Row],[TANGGAL]])&lt;&gt;1,0,1)</f>
        <v>1</v>
      </c>
      <c r="E509" s="141" t="str">
        <f>TEXT(IF(KB[[#This Row],[DOC]]&lt;&gt;"",KB[[#This Row],[DOC]],E508),"000")</f>
        <v>030</v>
      </c>
      <c r="F509" s="40">
        <v>43889</v>
      </c>
      <c r="G509" s="40" t="str">
        <f>TYPE</f>
        <v>A</v>
      </c>
      <c r="H509" s="153" t="s">
        <v>860</v>
      </c>
      <c r="I509" s="42" t="s">
        <v>479</v>
      </c>
      <c r="J509" s="43" t="s">
        <v>475</v>
      </c>
      <c r="K509" s="44">
        <v>6</v>
      </c>
      <c r="L509" s="49">
        <v>45240</v>
      </c>
      <c r="M509" s="49">
        <v>21790</v>
      </c>
      <c r="N509" s="49">
        <v>23450</v>
      </c>
      <c r="O509" s="49">
        <v>5</v>
      </c>
      <c r="P509" s="49">
        <v>1172.5</v>
      </c>
      <c r="Q509" s="49">
        <v>22277.5</v>
      </c>
      <c r="R509" s="49">
        <v>2900</v>
      </c>
      <c r="S509" s="49">
        <v>64604750</v>
      </c>
      <c r="T509" s="49">
        <v>14.57</v>
      </c>
      <c r="U509" s="49">
        <v>2914.57</v>
      </c>
      <c r="V509" s="49">
        <v>64929334</v>
      </c>
      <c r="W509" s="49">
        <v>324646</v>
      </c>
      <c r="X509" s="49">
        <v>64604688</v>
      </c>
      <c r="Y509" s="530" t="str">
        <f>IFERROR(IF(FIND("/KM",KB[[#This Row],[SUPPLIER]])&gt;0,"LAUT"),"DARAT")</f>
        <v>DARAT</v>
      </c>
    </row>
    <row r="510" spans="2:25">
      <c r="B510" s="140" t="str">
        <f>IFERROR(LEFT(KB[[#This Row],[SUPPLIER]],FIND("/",KB[[#This Row],[SUPPLIER]])-1),KB[[#This Row],[SUPPLIER]])</f>
        <v>YANADI</v>
      </c>
      <c r="C510" s="141" t="str">
        <f>TEXT(VLOOKUP(KB[[#This Row],[RELASI]],DBRELASI[[RELASI]:[DOCKB]],10,0)+COUNTIFS($B$2:B510,KB[[#This Row],[RELASI]],$D$2:D510,1),"000")</f>
        <v>032</v>
      </c>
      <c r="D510" s="141">
        <f>IF(COUNTIFS($B$3:B510,KB[[#This Row],[RELASI]],$F$3:F510,KB[[#This Row],[TANGGAL]])&lt;&gt;1,0,1)</f>
        <v>1</v>
      </c>
      <c r="E510" s="141" t="str">
        <f>TEXT(IF(KB[[#This Row],[DOC]]&lt;&gt;"",KB[[#This Row],[DOC]],E509),"000")</f>
        <v>032</v>
      </c>
      <c r="F510" s="40">
        <v>43889</v>
      </c>
      <c r="G510" s="40" t="str">
        <f>TYPE</f>
        <v>A</v>
      </c>
      <c r="H510" s="153" t="s">
        <v>874</v>
      </c>
      <c r="I510" s="42" t="s">
        <v>137</v>
      </c>
      <c r="J510" s="43" t="s">
        <v>74</v>
      </c>
      <c r="K510" s="44">
        <v>2</v>
      </c>
      <c r="L510" s="49">
        <v>17980</v>
      </c>
      <c r="M510" s="49">
        <v>6020</v>
      </c>
      <c r="N510" s="49">
        <v>11960</v>
      </c>
      <c r="O510" s="49">
        <v>5</v>
      </c>
      <c r="P510" s="49">
        <v>598</v>
      </c>
      <c r="Q510" s="49">
        <v>11362</v>
      </c>
      <c r="R510" s="49">
        <v>2900</v>
      </c>
      <c r="S510" s="49">
        <v>32949800</v>
      </c>
      <c r="T510" s="49">
        <v>14.57</v>
      </c>
      <c r="U510" s="49">
        <v>2914.57</v>
      </c>
      <c r="V510" s="49">
        <v>33115344</v>
      </c>
      <c r="W510" s="49">
        <v>165576</v>
      </c>
      <c r="X510" s="49">
        <v>32949768</v>
      </c>
      <c r="Y510" s="530" t="str">
        <f>IFERROR(IF(FIND("/KM",KB[[#This Row],[SUPPLIER]])&gt;0,"LAUT"),"DARAT")</f>
        <v>DARAT</v>
      </c>
    </row>
    <row r="511" spans="2:25">
      <c r="B511" s="140" t="str">
        <f>IFERROR(LEFT(KB[[#This Row],[SUPPLIER]],FIND("/",KB[[#This Row],[SUPPLIER]])-1),KB[[#This Row],[SUPPLIER]])</f>
        <v>DINI CHAIRANI</v>
      </c>
      <c r="C511" s="141" t="str">
        <f>TEXT(VLOOKUP(KB[[#This Row],[RELASI]],DBRELASI[[RELASI]:[DOCKB]],10,0)+COUNTIFS($B$2:B511,KB[[#This Row],[RELASI]],$D$2:D511,1),"000")</f>
        <v>033</v>
      </c>
      <c r="D511" s="141">
        <f>IF(COUNTIFS($B$3:B511,KB[[#This Row],[RELASI]],$F$3:F511,KB[[#This Row],[TANGGAL]])&lt;&gt;1,0,1)</f>
        <v>1</v>
      </c>
      <c r="E511" s="141" t="str">
        <f>TEXT(IF(KB[[#This Row],[DOC]]&lt;&gt;"",KB[[#This Row],[DOC]],E510),"000")</f>
        <v>033</v>
      </c>
      <c r="F511" s="40">
        <v>43889</v>
      </c>
      <c r="G511" s="40" t="str">
        <f>TYPE</f>
        <v>A</v>
      </c>
      <c r="H511" s="153" t="s">
        <v>880</v>
      </c>
      <c r="I511" s="42" t="s">
        <v>517</v>
      </c>
      <c r="J511" s="43" t="s">
        <v>95</v>
      </c>
      <c r="K511" s="44">
        <v>3</v>
      </c>
      <c r="L511" s="49">
        <v>21770</v>
      </c>
      <c r="M511" s="49">
        <v>11620</v>
      </c>
      <c r="N511" s="49">
        <v>10150</v>
      </c>
      <c r="O511" s="49">
        <v>6</v>
      </c>
      <c r="P511" s="49">
        <v>609</v>
      </c>
      <c r="Q511" s="49">
        <v>9541</v>
      </c>
      <c r="R511" s="49">
        <v>2900</v>
      </c>
      <c r="S511" s="49">
        <v>27668900</v>
      </c>
      <c r="T511" s="49">
        <v>14.57</v>
      </c>
      <c r="U511" s="49">
        <v>2914.57</v>
      </c>
      <c r="V511" s="49">
        <v>27807913</v>
      </c>
      <c r="W511" s="49">
        <v>139040</v>
      </c>
      <c r="X511" s="49">
        <v>27668873</v>
      </c>
      <c r="Y511" s="530" t="str">
        <f>IFERROR(IF(FIND("/KM",KB[[#This Row],[SUPPLIER]])&gt;0,"LAUT"),"DARAT")</f>
        <v>LAUT</v>
      </c>
    </row>
    <row r="512" spans="2:25">
      <c r="B512" s="140" t="str">
        <f>IFERROR(LEFT(KB[[#This Row],[SUPPLIER]],FIND("/",KB[[#This Row],[SUPPLIER]])-1),KB[[#This Row],[SUPPLIER]])</f>
        <v>MARTONO</v>
      </c>
      <c r="C512" s="141" t="str">
        <f>TEXT(VLOOKUP(KB[[#This Row],[RELASI]],DBRELASI[[RELASI]:[DOCKB]],10,0)+COUNTIFS($B$2:B512,KB[[#This Row],[RELASI]],$D$2:D512,1),"000")</f>
        <v>036</v>
      </c>
      <c r="D512" s="141">
        <f>IF(COUNTIFS($B$3:B512,KB[[#This Row],[RELASI]],$F$3:F512,KB[[#This Row],[TANGGAL]])&lt;&gt;1,0,1)</f>
        <v>1</v>
      </c>
      <c r="E512" s="141" t="str">
        <f>TEXT(IF(KB[[#This Row],[DOC]]&lt;&gt;"",KB[[#This Row],[DOC]],E511),"000")</f>
        <v>036</v>
      </c>
      <c r="F512" s="40">
        <v>43889</v>
      </c>
      <c r="G512" s="40" t="str">
        <f>TYPE</f>
        <v>A</v>
      </c>
      <c r="H512" s="153" t="s">
        <v>888</v>
      </c>
      <c r="I512" s="42" t="s">
        <v>528</v>
      </c>
      <c r="J512" s="43" t="s">
        <v>83</v>
      </c>
      <c r="K512" s="44">
        <v>1</v>
      </c>
      <c r="L512" s="49">
        <v>5590</v>
      </c>
      <c r="M512" s="49">
        <v>3860</v>
      </c>
      <c r="N512" s="49">
        <v>1730</v>
      </c>
      <c r="O512" s="49">
        <v>6</v>
      </c>
      <c r="P512" s="49">
        <v>103.8</v>
      </c>
      <c r="Q512" s="49">
        <v>1626.2</v>
      </c>
      <c r="R512" s="49">
        <v>2850</v>
      </c>
      <c r="S512" s="49">
        <v>4634670</v>
      </c>
      <c r="T512" s="49">
        <v>14.32</v>
      </c>
      <c r="U512" s="49">
        <v>2864.32</v>
      </c>
      <c r="V512" s="49">
        <v>4657957</v>
      </c>
      <c r="W512" s="49">
        <v>23290</v>
      </c>
      <c r="X512" s="49">
        <v>4634667</v>
      </c>
      <c r="Y512" s="530" t="str">
        <f>IFERROR(IF(FIND("/KM",KB[[#This Row],[SUPPLIER]])&gt;0,"LAUT"),"DARAT")</f>
        <v>LAUT</v>
      </c>
    </row>
    <row r="513" spans="2:25">
      <c r="B513" s="140" t="str">
        <f>IFERROR(LEFT(KB[[#This Row],[SUPPLIER]],FIND("/",KB[[#This Row],[SUPPLIER]])-1),KB[[#This Row],[SUPPLIER]])</f>
        <v>MARTONO</v>
      </c>
      <c r="C513" s="141" t="str">
        <f>TEXT(VLOOKUP(KB[[#This Row],[RELASI]],DBRELASI[[RELASI]:[DOCKB]],10,0)+COUNTIFS($B$2:B513,KB[[#This Row],[RELASI]],$D$2:D513,1),"000")</f>
        <v>036</v>
      </c>
      <c r="D513" s="141">
        <f>IF(COUNTIFS($B$3:B513,KB[[#This Row],[RELASI]],$F$3:F513,KB[[#This Row],[TANGGAL]])&lt;&gt;1,0,1)</f>
        <v>0</v>
      </c>
      <c r="E513" s="141" t="str">
        <f>TEXT(IF(KB[[#This Row],[DOC]]&lt;&gt;"",KB[[#This Row],[DOC]],E512),"000")</f>
        <v>036</v>
      </c>
      <c r="F513" s="40">
        <v>43889</v>
      </c>
      <c r="G513" s="40" t="str">
        <f>TYPE</f>
        <v>A</v>
      </c>
      <c r="H513"/>
      <c r="I513" s="42" t="s">
        <v>902</v>
      </c>
      <c r="J513" s="43" t="s">
        <v>83</v>
      </c>
      <c r="K513" s="44">
        <v>1</v>
      </c>
      <c r="L513" s="49">
        <v>5720</v>
      </c>
      <c r="M513" s="49">
        <v>3900</v>
      </c>
      <c r="N513" s="49">
        <v>1820</v>
      </c>
      <c r="O513" s="49">
        <v>6</v>
      </c>
      <c r="P513" s="49">
        <v>109.2</v>
      </c>
      <c r="Q513" s="49">
        <v>1710.8</v>
      </c>
      <c r="R513" s="49">
        <v>2850</v>
      </c>
      <c r="S513" s="49">
        <v>4875780</v>
      </c>
      <c r="T513" s="49">
        <v>14.32</v>
      </c>
      <c r="U513" s="49">
        <v>2864.32</v>
      </c>
      <c r="V513" s="49">
        <v>4900279</v>
      </c>
      <c r="W513" s="49">
        <v>24501</v>
      </c>
      <c r="X513" s="49">
        <v>4875778</v>
      </c>
      <c r="Y513" s="530" t="str">
        <f>IFERROR(IF(FIND("/KM",KB[[#This Row],[SUPPLIER]])&gt;0,"LAUT"),"DARAT")</f>
        <v>LAUT</v>
      </c>
    </row>
    <row r="514" spans="2:25">
      <c r="B514" s="140" t="str">
        <f>IFERROR(LEFT(KB[[#This Row],[SUPPLIER]],FIND("/",KB[[#This Row],[SUPPLIER]])-1),KB[[#This Row],[SUPPLIER]])</f>
        <v>MARTONO</v>
      </c>
      <c r="C514" s="141" t="str">
        <f>TEXT(VLOOKUP(KB[[#This Row],[RELASI]],DBRELASI[[RELASI]:[DOCKB]],10,0)+COUNTIFS($B$2:B514,KB[[#This Row],[RELASI]],$D$2:D514,1),"000")</f>
        <v>036</v>
      </c>
      <c r="D514" s="141">
        <f>IF(COUNTIFS($B$3:B514,KB[[#This Row],[RELASI]],$F$3:F514,KB[[#This Row],[TANGGAL]])&lt;&gt;1,0,1)</f>
        <v>0</v>
      </c>
      <c r="E514" s="141" t="str">
        <f>TEXT(IF(KB[[#This Row],[DOC]]&lt;&gt;"",KB[[#This Row],[DOC]],E513),"000")</f>
        <v>036</v>
      </c>
      <c r="F514" s="40">
        <v>43889</v>
      </c>
      <c r="G514" s="40" t="str">
        <f>TYPE</f>
        <v>A</v>
      </c>
      <c r="H514"/>
      <c r="I514" s="46" t="s">
        <v>903</v>
      </c>
      <c r="J514" s="47" t="s">
        <v>83</v>
      </c>
      <c r="K514" s="48">
        <v>1</v>
      </c>
      <c r="L514" s="49">
        <v>5180</v>
      </c>
      <c r="M514" s="49">
        <v>3890</v>
      </c>
      <c r="N514" s="49">
        <v>1290</v>
      </c>
      <c r="O514" s="49">
        <v>5.9999999999999991</v>
      </c>
      <c r="P514" s="49">
        <v>77.399999999999991</v>
      </c>
      <c r="Q514" s="49">
        <v>1212.5999999999999</v>
      </c>
      <c r="R514" s="49">
        <v>2850</v>
      </c>
      <c r="S514" s="49">
        <v>3455910</v>
      </c>
      <c r="T514" s="49">
        <v>14.32</v>
      </c>
      <c r="U514" s="49">
        <v>2864.32</v>
      </c>
      <c r="V514" s="49">
        <v>3473274</v>
      </c>
      <c r="W514" s="49">
        <v>17366</v>
      </c>
      <c r="X514" s="49">
        <v>3455908</v>
      </c>
      <c r="Y514" s="574" t="str">
        <f>IFERROR(IF(FIND("/KM",KB[[#This Row],[SUPPLIER]])&gt;0,"LAUT"),"DARAT")</f>
        <v>LAUT</v>
      </c>
    </row>
    <row r="515" spans="2:25">
      <c r="B515" s="140" t="str">
        <f>IFERROR(LEFT(KB[[#This Row],[SUPPLIER]],FIND("/",KB[[#This Row],[SUPPLIER]])-1),KB[[#This Row],[SUPPLIER]])</f>
        <v>INDRAYANI</v>
      </c>
      <c r="C515" s="141" t="str">
        <f>TEXT(VLOOKUP(KB[[#This Row],[RELASI]],DBRELASI[[RELASI]:[DOCKB]],10,0)+COUNTIFS($B$2:B515,KB[[#This Row],[RELASI]],$D$2:D515,1),"000")</f>
        <v>041</v>
      </c>
      <c r="D515" s="141">
        <f>IF(COUNTIFS($B$3:B515,KB[[#This Row],[RELASI]],$F$3:F515,KB[[#This Row],[TANGGAL]])&lt;&gt;1,0,1)</f>
        <v>1</v>
      </c>
      <c r="E515" s="141" t="str">
        <f>TEXT(IF(KB[[#This Row],[DOC]]&lt;&gt;"",KB[[#This Row],[DOC]],E514),"000")</f>
        <v>041</v>
      </c>
      <c r="F515" s="40">
        <v>43890</v>
      </c>
      <c r="G515" s="40" t="str">
        <f>TYPE</f>
        <v>A</v>
      </c>
      <c r="H515" s="153" t="s">
        <v>895</v>
      </c>
      <c r="I515" s="42" t="s">
        <v>79</v>
      </c>
      <c r="J515" s="43" t="s">
        <v>77</v>
      </c>
      <c r="K515" s="44">
        <v>1</v>
      </c>
      <c r="L515" s="49">
        <v>10730</v>
      </c>
      <c r="M515" s="49">
        <v>4590</v>
      </c>
      <c r="N515" s="49">
        <v>6140</v>
      </c>
      <c r="O515" s="49">
        <v>5</v>
      </c>
      <c r="P515" s="49">
        <v>307</v>
      </c>
      <c r="Q515" s="49">
        <v>5833</v>
      </c>
      <c r="R515" s="49">
        <v>3000</v>
      </c>
      <c r="S515" s="49">
        <v>17499000</v>
      </c>
      <c r="T515" s="49">
        <v>15.08</v>
      </c>
      <c r="U515" s="49">
        <v>3015.08</v>
      </c>
      <c r="V515" s="49">
        <v>17586962</v>
      </c>
      <c r="W515" s="49">
        <v>87935</v>
      </c>
      <c r="X515" s="49">
        <v>17499027</v>
      </c>
      <c r="Y515" s="530" t="str">
        <f>IFERROR(IF(FIND("/KM",KB[[#This Row],[SUPPLIER]])&gt;0,"LAUT"),"DARAT")</f>
        <v>DARAT</v>
      </c>
    </row>
    <row r="516" spans="2:25">
      <c r="B516" s="140" t="str">
        <f>IFERROR(LEFT(KB[[#This Row],[SUPPLIER]],FIND("/",KB[[#This Row],[SUPPLIER]])-1),KB[[#This Row],[SUPPLIER]])</f>
        <v>RUSLAN JAYA, SH</v>
      </c>
      <c r="C516" s="141" t="str">
        <f>TEXT(VLOOKUP(KB[[#This Row],[RELASI]],DBRELASI[[RELASI]:[DOCKB]],10,0)+COUNTIFS($B$2:B516,KB[[#This Row],[RELASI]],$D$2:D516,1),"000")</f>
        <v>031</v>
      </c>
      <c r="D516" s="141">
        <f>IF(COUNTIFS($B$3:B516,KB[[#This Row],[RELASI]],$F$3:F516,KB[[#This Row],[TANGGAL]])&lt;&gt;1,0,1)</f>
        <v>1</v>
      </c>
      <c r="E516" s="141" t="str">
        <f>TEXT(IF(KB[[#This Row],[DOC]]&lt;&gt;"",KB[[#This Row],[DOC]],E515),"000")</f>
        <v>031</v>
      </c>
      <c r="F516" s="40">
        <v>43890</v>
      </c>
      <c r="G516" s="40" t="str">
        <f>TYPE</f>
        <v>A</v>
      </c>
      <c r="H516" s="153" t="s">
        <v>863</v>
      </c>
      <c r="I516" s="42" t="s">
        <v>479</v>
      </c>
      <c r="J516" s="43" t="s">
        <v>475</v>
      </c>
      <c r="K516" s="44">
        <v>4</v>
      </c>
      <c r="L516" s="49">
        <v>37190</v>
      </c>
      <c r="M516" s="49">
        <v>17270</v>
      </c>
      <c r="N516" s="49">
        <v>19920</v>
      </c>
      <c r="O516" s="49">
        <v>5</v>
      </c>
      <c r="P516" s="49">
        <v>996</v>
      </c>
      <c r="Q516" s="49">
        <v>18924</v>
      </c>
      <c r="R516" s="49">
        <v>2900</v>
      </c>
      <c r="S516" s="49">
        <v>54879600</v>
      </c>
      <c r="T516" s="49">
        <v>14.57</v>
      </c>
      <c r="U516" s="49">
        <v>2914.57</v>
      </c>
      <c r="V516" s="49">
        <v>55155324</v>
      </c>
      <c r="W516" s="49">
        <v>275777</v>
      </c>
      <c r="X516" s="49">
        <v>54879547</v>
      </c>
      <c r="Y516" s="530" t="str">
        <f>IFERROR(IF(FIND("/KM",KB[[#This Row],[SUPPLIER]])&gt;0,"LAUT"),"DARAT")</f>
        <v>DARAT</v>
      </c>
    </row>
    <row r="517" spans="2:25">
      <c r="B517" s="140" t="str">
        <f>IFERROR(LEFT(KB[[#This Row],[SUPPLIER]],FIND("/",KB[[#This Row],[SUPPLIER]])-1),KB[[#This Row],[SUPPLIER]])</f>
        <v>YANADI</v>
      </c>
      <c r="C517" s="141" t="str">
        <f>TEXT(VLOOKUP(KB[[#This Row],[RELASI]],DBRELASI[[RELASI]:[DOCKB]],10,0)+COUNTIFS($B$2:B517,KB[[#This Row],[RELASI]],$D$2:D517,1),"000")</f>
        <v>033</v>
      </c>
      <c r="D517" s="141">
        <f>IF(COUNTIFS($B$3:B517,KB[[#This Row],[RELASI]],$F$3:F517,KB[[#This Row],[TANGGAL]])&lt;&gt;1,0,1)</f>
        <v>1</v>
      </c>
      <c r="E517" s="141" t="str">
        <f>TEXT(IF(KB[[#This Row],[DOC]]&lt;&gt;"",KB[[#This Row],[DOC]],E516),"000")</f>
        <v>033</v>
      </c>
      <c r="F517" s="40">
        <v>43890</v>
      </c>
      <c r="G517" s="40" t="str">
        <f>TYPE</f>
        <v>A</v>
      </c>
      <c r="H517" s="153" t="s">
        <v>880</v>
      </c>
      <c r="I517" s="42" t="s">
        <v>137</v>
      </c>
      <c r="J517" s="43" t="s">
        <v>74</v>
      </c>
      <c r="K517" s="44">
        <v>2</v>
      </c>
      <c r="L517" s="49">
        <v>26020</v>
      </c>
      <c r="M517" s="49">
        <v>8900</v>
      </c>
      <c r="N517" s="49">
        <v>17120</v>
      </c>
      <c r="O517" s="49">
        <v>5</v>
      </c>
      <c r="P517" s="49">
        <v>856</v>
      </c>
      <c r="Q517" s="49">
        <v>16264</v>
      </c>
      <c r="R517" s="49">
        <v>2900</v>
      </c>
      <c r="S517" s="49">
        <v>47165600</v>
      </c>
      <c r="T517" s="49">
        <v>14.57</v>
      </c>
      <c r="U517" s="49">
        <v>2914.57</v>
      </c>
      <c r="V517" s="49">
        <v>47402566</v>
      </c>
      <c r="W517" s="49">
        <v>237013</v>
      </c>
      <c r="X517" s="49">
        <v>47165553</v>
      </c>
      <c r="Y517" s="530" t="str">
        <f>IFERROR(IF(FIND("/KM",KB[[#This Row],[SUPPLIER]])&gt;0,"LAUT"),"DARAT")</f>
        <v>DARAT</v>
      </c>
    </row>
    <row r="518" spans="2:25">
      <c r="B518" s="140" t="str">
        <f>IFERROR(LEFT(KB[[#This Row],[SUPPLIER]],FIND("/",KB[[#This Row],[SUPPLIER]])-1),KB[[#This Row],[SUPPLIER]])</f>
        <v>DINI CHAIRANI</v>
      </c>
      <c r="C518" s="141" t="str">
        <f>TEXT(VLOOKUP(KB[[#This Row],[RELASI]],DBRELASI[[RELASI]:[DOCKB]],10,0)+COUNTIFS($B$2:B518,KB[[#This Row],[RELASI]],$D$2:D518,1),"000")</f>
        <v>034</v>
      </c>
      <c r="D518" s="141">
        <f>IF(COUNTIFS($B$3:B518,KB[[#This Row],[RELASI]],$F$3:F518,KB[[#This Row],[TANGGAL]])&lt;&gt;1,0,1)</f>
        <v>1</v>
      </c>
      <c r="E518" s="141" t="str">
        <f>TEXT(IF(KB[[#This Row],[DOC]]&lt;&gt;"",KB[[#This Row],[DOC]],E517),"000")</f>
        <v>034</v>
      </c>
      <c r="F518" s="40">
        <v>43890</v>
      </c>
      <c r="G518" s="40" t="str">
        <f>TYPE</f>
        <v>A</v>
      </c>
      <c r="H518" s="153" t="s">
        <v>885</v>
      </c>
      <c r="I518" s="42" t="s">
        <v>864</v>
      </c>
      <c r="J518" s="43" t="s">
        <v>95</v>
      </c>
      <c r="K518" s="44">
        <v>1</v>
      </c>
      <c r="L518" s="49">
        <v>7180</v>
      </c>
      <c r="M518" s="49">
        <v>3860</v>
      </c>
      <c r="N518" s="49">
        <v>3320</v>
      </c>
      <c r="O518" s="49">
        <v>5.9999999999999991</v>
      </c>
      <c r="P518" s="49">
        <v>199.2</v>
      </c>
      <c r="Q518" s="49">
        <v>3120.8</v>
      </c>
      <c r="R518" s="49">
        <v>2850</v>
      </c>
      <c r="S518" s="49">
        <v>8894280</v>
      </c>
      <c r="T518" s="49">
        <v>14.32</v>
      </c>
      <c r="U518" s="49">
        <v>2864.32</v>
      </c>
      <c r="V518" s="49">
        <v>8938970</v>
      </c>
      <c r="W518" s="49">
        <v>44695</v>
      </c>
      <c r="X518" s="49">
        <v>8894275</v>
      </c>
      <c r="Y518" s="530" t="str">
        <f>IFERROR(IF(FIND("/KM",KB[[#This Row],[SUPPLIER]])&gt;0,"LAUT"),"DARAT")</f>
        <v>LAUT</v>
      </c>
    </row>
    <row r="519" spans="2:25">
      <c r="B519" s="140" t="str">
        <f>IFERROR(LEFT(KB[[#This Row],[SUPPLIER]],FIND("/",KB[[#This Row],[SUPPLIER]])-1),KB[[#This Row],[SUPPLIER]])</f>
        <v>DINI CHAIRANI</v>
      </c>
      <c r="C519" s="141" t="str">
        <f>TEXT(VLOOKUP(KB[[#This Row],[RELASI]],DBRELASI[[RELASI]:[DOCKB]],10,0)+COUNTIFS($B$2:B519,KB[[#This Row],[RELASI]],$D$2:D519,1),"000")</f>
        <v>034</v>
      </c>
      <c r="D519" s="141">
        <f>IF(COUNTIFS($B$3:B519,KB[[#This Row],[RELASI]],$F$3:F519,KB[[#This Row],[TANGGAL]])&lt;&gt;1,0,1)</f>
        <v>0</v>
      </c>
      <c r="E519" s="141" t="str">
        <f>TEXT(IF(KB[[#This Row],[DOC]]&lt;&gt;"",KB[[#This Row],[DOC]],E518),"000")</f>
        <v>034</v>
      </c>
      <c r="F519" s="40">
        <v>43890</v>
      </c>
      <c r="G519" s="40" t="str">
        <f>TYPE</f>
        <v>A</v>
      </c>
      <c r="H519"/>
      <c r="I519" s="42" t="s">
        <v>904</v>
      </c>
      <c r="J519" s="43" t="s">
        <v>95</v>
      </c>
      <c r="K519" s="44">
        <v>1</v>
      </c>
      <c r="L519" s="49">
        <v>6530</v>
      </c>
      <c r="M519" s="49">
        <v>3900</v>
      </c>
      <c r="N519" s="49">
        <v>2630</v>
      </c>
      <c r="O519" s="49">
        <v>5.9999999999999991</v>
      </c>
      <c r="P519" s="49">
        <v>157.79999999999998</v>
      </c>
      <c r="Q519" s="49">
        <v>2472.1999999999998</v>
      </c>
      <c r="R519" s="49">
        <v>2850</v>
      </c>
      <c r="S519" s="49">
        <v>7045770</v>
      </c>
      <c r="T519" s="49">
        <v>14.32</v>
      </c>
      <c r="U519" s="49">
        <v>2864.32</v>
      </c>
      <c r="V519" s="49">
        <v>7081172</v>
      </c>
      <c r="W519" s="49">
        <v>35406</v>
      </c>
      <c r="X519" s="49">
        <v>7045766</v>
      </c>
      <c r="Y519" s="530" t="str">
        <f>IFERROR(IF(FIND("/KM",KB[[#This Row],[SUPPLIER]])&gt;0,"LAUT"),"DARAT")</f>
        <v>LAUT</v>
      </c>
    </row>
    <row r="520" spans="2:25">
      <c r="B520" s="140" t="str">
        <f>IFERROR(LEFT(KB[[#This Row],[SUPPLIER]],FIND("/",KB[[#This Row],[SUPPLIER]])-1),KB[[#This Row],[SUPPLIER]])</f>
        <v>HENDRI</v>
      </c>
      <c r="C520" s="141" t="str">
        <f>TEXT(VLOOKUP(KB[[#This Row],[RELASI]],DBRELASI[[RELASI]:[DOCKB]],10,0)+COUNTIFS($B$2:B520,KB[[#This Row],[RELASI]],$D$2:D520,1),"000")</f>
        <v>024</v>
      </c>
      <c r="D520" s="141">
        <f>IF(COUNTIFS($B$3:B520,KB[[#This Row],[RELASI]],$F$3:F520,KB[[#This Row],[TANGGAL]])&lt;&gt;1,0,1)</f>
        <v>1</v>
      </c>
      <c r="E520" s="141" t="str">
        <f>TEXT(IF(KB[[#This Row],[DOC]]&lt;&gt;"",KB[[#This Row],[DOC]],E519),"000")</f>
        <v>024</v>
      </c>
      <c r="F520" s="40">
        <v>43890</v>
      </c>
      <c r="G520" s="40" t="str">
        <f>TYPE</f>
        <v>A</v>
      </c>
      <c r="H520" s="153" t="s">
        <v>844</v>
      </c>
      <c r="I520" s="42" t="s">
        <v>774</v>
      </c>
      <c r="J520" s="43" t="s">
        <v>475</v>
      </c>
      <c r="K520" s="44">
        <v>2</v>
      </c>
      <c r="L520" s="49">
        <v>12870</v>
      </c>
      <c r="M520" s="49">
        <v>7770</v>
      </c>
      <c r="N520" s="49">
        <v>5100</v>
      </c>
      <c r="O520" s="49">
        <v>6</v>
      </c>
      <c r="P520" s="49">
        <v>306</v>
      </c>
      <c r="Q520" s="49">
        <v>4794</v>
      </c>
      <c r="R520" s="49">
        <v>2900</v>
      </c>
      <c r="S520" s="49">
        <v>13902600</v>
      </c>
      <c r="T520" s="49">
        <v>14.57</v>
      </c>
      <c r="U520" s="49">
        <v>2914.57</v>
      </c>
      <c r="V520" s="49">
        <v>13972449</v>
      </c>
      <c r="W520" s="49">
        <v>69862</v>
      </c>
      <c r="X520" s="49">
        <v>13902587</v>
      </c>
      <c r="Y520" s="530" t="str">
        <f>IFERROR(IF(FIND("/KM",KB[[#This Row],[SUPPLIER]])&gt;0,"LAUT"),"DARAT")</f>
        <v>LAUT</v>
      </c>
    </row>
    <row r="521" spans="2:25">
      <c r="B521" s="140" t="str">
        <f>IFERROR(LEFT(KB[[#This Row],[SUPPLIER]],FIND("/",KB[[#This Row],[SUPPLIER]])-1),KB[[#This Row],[SUPPLIER]])</f>
        <v>MARTONO</v>
      </c>
      <c r="C521" s="141" t="str">
        <f>TEXT(VLOOKUP(KB[[#This Row],[RELASI]],DBRELASI[[RELASI]:[DOCKB]],10,0)+COUNTIFS($B$2:B521,KB[[#This Row],[RELASI]],$D$2:D521,1),"000")</f>
        <v>037</v>
      </c>
      <c r="D521" s="141">
        <f>IF(COUNTIFS($B$3:B521,KB[[#This Row],[RELASI]],$F$3:F521,KB[[#This Row],[TANGGAL]])&lt;&gt;1,0,1)</f>
        <v>1</v>
      </c>
      <c r="E521" s="141" t="str">
        <f>TEXT(IF(KB[[#This Row],[DOC]]&lt;&gt;"",KB[[#This Row],[DOC]],E520),"000")</f>
        <v>037</v>
      </c>
      <c r="F521" s="40">
        <v>43890</v>
      </c>
      <c r="G521" s="40" t="str">
        <f>TYPE</f>
        <v>A</v>
      </c>
      <c r="H521" s="154" t="s">
        <v>889</v>
      </c>
      <c r="I521" s="46" t="s">
        <v>791</v>
      </c>
      <c r="J521" s="47" t="s">
        <v>83</v>
      </c>
      <c r="K521" s="48">
        <v>2</v>
      </c>
      <c r="L521" s="49">
        <v>17990</v>
      </c>
      <c r="M521" s="49">
        <v>7770</v>
      </c>
      <c r="N521" s="49">
        <v>10220</v>
      </c>
      <c r="O521" s="49">
        <v>6</v>
      </c>
      <c r="P521" s="49">
        <v>613.20000000000005</v>
      </c>
      <c r="Q521" s="49">
        <v>9606.7999999999993</v>
      </c>
      <c r="R521" s="49">
        <v>2850</v>
      </c>
      <c r="S521" s="49">
        <v>27379380</v>
      </c>
      <c r="T521" s="49">
        <v>14.32</v>
      </c>
      <c r="U521" s="49">
        <v>2864.32</v>
      </c>
      <c r="V521" s="49">
        <v>27516950</v>
      </c>
      <c r="W521" s="49">
        <v>137584</v>
      </c>
      <c r="X521" s="49">
        <v>27379366</v>
      </c>
      <c r="Y521" s="574" t="str">
        <f>IFERROR(IF(FIND("/KM",KB[[#This Row],[SUPPLIER]])&gt;0,"LAUT"),"DARAT")</f>
        <v>LAUT</v>
      </c>
    </row>
    <row r="522" spans="2:25">
      <c r="B522" s="140" t="str">
        <f>IFERROR(LEFT(KB[[#This Row],[SUPPLIER]],FIND("/",KB[[#This Row],[SUPPLIER]])-1),KB[[#This Row],[SUPPLIER]])</f>
        <v>ERAWATI</v>
      </c>
      <c r="C522" s="141" t="str">
        <f>TEXT(VLOOKUP(KB[[#This Row],[RELASI]],DBRELASI[[RELASI]:[DOCKB]],10,0)+COUNTIFS($B$2:B522,KB[[#This Row],[RELASI]],$D$2:D522,1),"000")</f>
        <v>044</v>
      </c>
      <c r="D522" s="141">
        <f>IF(COUNTIFS($B$3:B522,KB[[#This Row],[RELASI]],$F$3:F522,KB[[#This Row],[TANGGAL]])&lt;&gt;1,0,1)</f>
        <v>1</v>
      </c>
      <c r="E522" s="141" t="str">
        <f>TEXT(IF(KB[[#This Row],[DOC]]&lt;&gt;"",KB[[#This Row],[DOC]],E521),"000")</f>
        <v>044</v>
      </c>
      <c r="F522" s="40">
        <v>43892</v>
      </c>
      <c r="G522" s="40" t="str">
        <f>TYPE</f>
        <v>A</v>
      </c>
      <c r="H522" s="153" t="s">
        <v>905</v>
      </c>
      <c r="I522" s="42" t="s">
        <v>155</v>
      </c>
      <c r="J522" s="43" t="s">
        <v>77</v>
      </c>
      <c r="K522" s="44">
        <v>5</v>
      </c>
      <c r="L522" s="49">
        <v>40800</v>
      </c>
      <c r="M522" s="49">
        <v>16640</v>
      </c>
      <c r="N522" s="49">
        <v>24160</v>
      </c>
      <c r="O522" s="49">
        <v>5</v>
      </c>
      <c r="P522" s="49">
        <v>1208</v>
      </c>
      <c r="Q522" s="49">
        <v>22952</v>
      </c>
      <c r="R522" s="49">
        <v>2900</v>
      </c>
      <c r="S522" s="49">
        <v>66560800</v>
      </c>
      <c r="T522" s="49">
        <v>14.57</v>
      </c>
      <c r="U522" s="49">
        <v>2914.57</v>
      </c>
      <c r="V522" s="49">
        <v>66895212</v>
      </c>
      <c r="W522" s="49">
        <v>334477</v>
      </c>
      <c r="X522" s="49">
        <v>66560735</v>
      </c>
      <c r="Y522" s="530" t="str">
        <f>IFERROR(IF(FIND("/KM",KB[[#This Row],[SUPPLIER]])&gt;0,"LAUT"),"DARAT")</f>
        <v>DARAT</v>
      </c>
    </row>
    <row r="523" spans="2:25">
      <c r="B523" s="140" t="str">
        <f>IFERROR(LEFT(KB[[#This Row],[SUPPLIER]],FIND("/",KB[[#This Row],[SUPPLIER]])-1),KB[[#This Row],[SUPPLIER]])</f>
        <v>INDRAYANI</v>
      </c>
      <c r="C523" s="141" t="str">
        <f>TEXT(VLOOKUP(KB[[#This Row],[RELASI]],DBRELASI[[RELASI]:[DOCKB]],10,0)+COUNTIFS($B$2:B523,KB[[#This Row],[RELASI]],$D$2:D523,1),"000")</f>
        <v>042</v>
      </c>
      <c r="D523" s="141">
        <f>IF(COUNTIFS($B$3:B523,KB[[#This Row],[RELASI]],$F$3:F523,KB[[#This Row],[TANGGAL]])&lt;&gt;1,0,1)</f>
        <v>1</v>
      </c>
      <c r="E523" s="141" t="str">
        <f>TEXT(IF(KB[[#This Row],[DOC]]&lt;&gt;"",KB[[#This Row],[DOC]],E522),"000")</f>
        <v>042</v>
      </c>
      <c r="F523" s="40">
        <v>43892</v>
      </c>
      <c r="G523" s="40" t="str">
        <f>TYPE</f>
        <v>A</v>
      </c>
      <c r="H523" s="153" t="s">
        <v>898</v>
      </c>
      <c r="I523" s="42" t="s">
        <v>79</v>
      </c>
      <c r="J523" s="43" t="s">
        <v>77</v>
      </c>
      <c r="K523" s="44">
        <v>3</v>
      </c>
      <c r="L523" s="49">
        <v>30880</v>
      </c>
      <c r="M523" s="49">
        <v>12290</v>
      </c>
      <c r="N523" s="49">
        <v>18590</v>
      </c>
      <c r="O523" s="49">
        <v>5</v>
      </c>
      <c r="P523" s="49">
        <v>929.5</v>
      </c>
      <c r="Q523" s="49">
        <v>17660.5</v>
      </c>
      <c r="R523" s="49">
        <v>3000</v>
      </c>
      <c r="S523" s="49">
        <v>52981500</v>
      </c>
      <c r="T523" s="49">
        <v>15.08</v>
      </c>
      <c r="U523" s="49">
        <v>3015.08</v>
      </c>
      <c r="V523" s="49">
        <v>53247820</v>
      </c>
      <c r="W523" s="49">
        <v>266239</v>
      </c>
      <c r="X523" s="49">
        <v>52981581</v>
      </c>
      <c r="Y523" s="530" t="str">
        <f>IFERROR(IF(FIND("/KM",KB[[#This Row],[SUPPLIER]])&gt;0,"LAUT"),"DARAT")</f>
        <v>DARAT</v>
      </c>
    </row>
    <row r="524" spans="2:25">
      <c r="B524" s="140" t="str">
        <f>IFERROR(LEFT(KB[[#This Row],[SUPPLIER]],FIND("/",KB[[#This Row],[SUPPLIER]])-1),KB[[#This Row],[SUPPLIER]])</f>
        <v>RUSLAN JAYA, SH</v>
      </c>
      <c r="C524" s="141" t="str">
        <f>TEXT(VLOOKUP(KB[[#This Row],[RELASI]],DBRELASI[[RELASI]:[DOCKB]],10,0)+COUNTIFS($B$2:B524,KB[[#This Row],[RELASI]],$D$2:D524,1),"000")</f>
        <v>032</v>
      </c>
      <c r="D524" s="141">
        <f>IF(COUNTIFS($B$3:B524,KB[[#This Row],[RELASI]],$F$3:F524,KB[[#This Row],[TANGGAL]])&lt;&gt;1,0,1)</f>
        <v>1</v>
      </c>
      <c r="E524" s="141" t="str">
        <f>TEXT(IF(KB[[#This Row],[DOC]]&lt;&gt;"",KB[[#This Row],[DOC]],E523),"000")</f>
        <v>032</v>
      </c>
      <c r="F524" s="40">
        <v>43892</v>
      </c>
      <c r="G524" s="40" t="str">
        <f>TYPE</f>
        <v>A</v>
      </c>
      <c r="H524" s="153" t="s">
        <v>874</v>
      </c>
      <c r="I524" s="42" t="s">
        <v>479</v>
      </c>
      <c r="J524" s="43" t="s">
        <v>475</v>
      </c>
      <c r="K524" s="44">
        <v>6</v>
      </c>
      <c r="L524" s="49">
        <v>52610</v>
      </c>
      <c r="M524" s="49">
        <v>20390</v>
      </c>
      <c r="N524" s="49">
        <v>32220</v>
      </c>
      <c r="O524" s="49">
        <v>5</v>
      </c>
      <c r="P524" s="49">
        <v>1611</v>
      </c>
      <c r="Q524" s="49">
        <v>30609</v>
      </c>
      <c r="R524" s="49">
        <v>2900</v>
      </c>
      <c r="S524" s="49">
        <v>88766100</v>
      </c>
      <c r="T524" s="49">
        <v>14.57</v>
      </c>
      <c r="U524" s="49">
        <v>2914.57</v>
      </c>
      <c r="V524" s="49">
        <v>89212074</v>
      </c>
      <c r="W524" s="49">
        <v>446060</v>
      </c>
      <c r="X524" s="49">
        <v>88766014</v>
      </c>
      <c r="Y524" s="530" t="str">
        <f>IFERROR(IF(FIND("/KM",KB[[#This Row],[SUPPLIER]])&gt;0,"LAUT"),"DARAT")</f>
        <v>DARAT</v>
      </c>
    </row>
    <row r="525" spans="2:25">
      <c r="B525" s="140" t="str">
        <f>IFERROR(LEFT(KB[[#This Row],[SUPPLIER]],FIND("/",KB[[#This Row],[SUPPLIER]])-1),KB[[#This Row],[SUPPLIER]])</f>
        <v>SAIRI</v>
      </c>
      <c r="C525" s="141" t="str">
        <f>TEXT(VLOOKUP(KB[[#This Row],[RELASI]],DBRELASI[[RELASI]:[DOCKB]],10,0)+COUNTIFS($B$2:B525,KB[[#This Row],[RELASI]],$D$2:D525,1),"000")</f>
        <v>027</v>
      </c>
      <c r="D525" s="141">
        <f>IF(COUNTIFS($B$3:B525,KB[[#This Row],[RELASI]],$F$3:F525,KB[[#This Row],[TANGGAL]])&lt;&gt;1,0,1)</f>
        <v>1</v>
      </c>
      <c r="E525" s="141" t="str">
        <f>TEXT(IF(KB[[#This Row],[DOC]]&lt;&gt;"",KB[[#This Row],[DOC]],E524),"000")</f>
        <v>027</v>
      </c>
      <c r="F525" s="40">
        <v>43892</v>
      </c>
      <c r="G525" s="40" t="str">
        <f>TYPE</f>
        <v>A</v>
      </c>
      <c r="H525" s="153" t="s">
        <v>853</v>
      </c>
      <c r="I525" s="42" t="s">
        <v>84</v>
      </c>
      <c r="J525" s="43" t="s">
        <v>85</v>
      </c>
      <c r="K525" s="44">
        <v>1</v>
      </c>
      <c r="L525" s="49">
        <v>3990</v>
      </c>
      <c r="M525" s="49">
        <v>1580</v>
      </c>
      <c r="N525" s="49">
        <v>2410</v>
      </c>
      <c r="O525" s="49">
        <v>5</v>
      </c>
      <c r="P525" s="49">
        <v>120.5</v>
      </c>
      <c r="Q525" s="49">
        <v>2289.5</v>
      </c>
      <c r="R525" s="49">
        <v>2950</v>
      </c>
      <c r="S525" s="49">
        <v>6754025</v>
      </c>
      <c r="T525" s="49">
        <v>14.82</v>
      </c>
      <c r="U525" s="49">
        <v>2964.82</v>
      </c>
      <c r="V525" s="49">
        <v>6787955</v>
      </c>
      <c r="W525" s="49">
        <v>33940</v>
      </c>
      <c r="X525" s="49">
        <v>6754015</v>
      </c>
      <c r="Y525" s="530" t="str">
        <f>IFERROR(IF(FIND("/KM",KB[[#This Row],[SUPPLIER]])&gt;0,"LAUT"),"DARAT")</f>
        <v>DARAT</v>
      </c>
    </row>
    <row r="526" spans="2:25">
      <c r="B526" s="140" t="str">
        <f>IFERROR(LEFT(KB[[#This Row],[SUPPLIER]],FIND("/",KB[[#This Row],[SUPPLIER]])-1),KB[[#This Row],[SUPPLIER]])</f>
        <v>YANADI</v>
      </c>
      <c r="C526" s="141" t="str">
        <f>TEXT(VLOOKUP(KB[[#This Row],[RELASI]],DBRELASI[[RELASI]:[DOCKB]],10,0)+COUNTIFS($B$2:B526,KB[[#This Row],[RELASI]],$D$2:D526,1),"000")</f>
        <v>034</v>
      </c>
      <c r="D526" s="141">
        <f>IF(COUNTIFS($B$3:B526,KB[[#This Row],[RELASI]],$F$3:F526,KB[[#This Row],[TANGGAL]])&lt;&gt;1,0,1)</f>
        <v>1</v>
      </c>
      <c r="E526" s="141" t="str">
        <f>TEXT(IF(KB[[#This Row],[DOC]]&lt;&gt;"",KB[[#This Row],[DOC]],E525),"000")</f>
        <v>034</v>
      </c>
      <c r="F526" s="40">
        <v>43892</v>
      </c>
      <c r="G526" s="40" t="str">
        <f>TYPE</f>
        <v>A</v>
      </c>
      <c r="H526" s="153" t="s">
        <v>885</v>
      </c>
      <c r="I526" s="42" t="s">
        <v>137</v>
      </c>
      <c r="J526" s="43" t="s">
        <v>74</v>
      </c>
      <c r="K526" s="44">
        <v>2</v>
      </c>
      <c r="L526" s="49">
        <v>17700</v>
      </c>
      <c r="M526" s="49">
        <v>5960</v>
      </c>
      <c r="N526" s="49">
        <v>11740</v>
      </c>
      <c r="O526" s="49">
        <v>5</v>
      </c>
      <c r="P526" s="49">
        <v>587</v>
      </c>
      <c r="Q526" s="49">
        <v>11153</v>
      </c>
      <c r="R526" s="49">
        <v>2900</v>
      </c>
      <c r="S526" s="49">
        <v>32343700</v>
      </c>
      <c r="T526" s="49">
        <v>14.57</v>
      </c>
      <c r="U526" s="49">
        <v>2914.57</v>
      </c>
      <c r="V526" s="49">
        <v>32506199</v>
      </c>
      <c r="W526" s="49">
        <v>162531</v>
      </c>
      <c r="X526" s="49">
        <v>32343668</v>
      </c>
      <c r="Y526" s="530" t="str">
        <f>IFERROR(IF(FIND("/KM",KB[[#This Row],[SUPPLIER]])&gt;0,"LAUT"),"DARAT")</f>
        <v>DARAT</v>
      </c>
    </row>
    <row r="527" spans="2:25">
      <c r="B527" s="140" t="str">
        <f>IFERROR(LEFT(KB[[#This Row],[SUPPLIER]],FIND("/",KB[[#This Row],[SUPPLIER]])-1),KB[[#This Row],[SUPPLIER]])</f>
        <v>DINI CHAIRANI</v>
      </c>
      <c r="C527" s="141" t="str">
        <f>TEXT(VLOOKUP(KB[[#This Row],[RELASI]],DBRELASI[[RELASI]:[DOCKB]],10,0)+COUNTIFS($B$2:B527,KB[[#This Row],[RELASI]],$D$2:D527,1),"000")</f>
        <v>035</v>
      </c>
      <c r="D527" s="141">
        <f>IF(COUNTIFS($B$3:B527,KB[[#This Row],[RELASI]],$F$3:F527,KB[[#This Row],[TANGGAL]])&lt;&gt;1,0,1)</f>
        <v>1</v>
      </c>
      <c r="E527" s="141" t="str">
        <f>TEXT(IF(KB[[#This Row],[DOC]]&lt;&gt;"",KB[[#This Row],[DOC]],E526),"000")</f>
        <v>035</v>
      </c>
      <c r="F527" s="40">
        <v>43892</v>
      </c>
      <c r="G527" s="40" t="str">
        <f>TYPE</f>
        <v>A</v>
      </c>
      <c r="H527" s="153" t="s">
        <v>887</v>
      </c>
      <c r="I527" s="42" t="s">
        <v>516</v>
      </c>
      <c r="J527" s="43" t="s">
        <v>95</v>
      </c>
      <c r="K527" s="44">
        <v>1</v>
      </c>
      <c r="L527" s="49">
        <v>8430</v>
      </c>
      <c r="M527" s="49">
        <v>3870</v>
      </c>
      <c r="N527" s="49">
        <v>4560</v>
      </c>
      <c r="O527" s="49">
        <v>5.9999999999999991</v>
      </c>
      <c r="P527" s="49">
        <v>273.59999999999997</v>
      </c>
      <c r="Q527" s="49">
        <v>4286.3999999999996</v>
      </c>
      <c r="R527" s="49">
        <v>2850.0000000000005</v>
      </c>
      <c r="S527" s="49">
        <v>12216240</v>
      </c>
      <c r="T527" s="49">
        <v>14.32</v>
      </c>
      <c r="U527" s="49">
        <v>2864.3200000000006</v>
      </c>
      <c r="V527" s="49">
        <v>12277621</v>
      </c>
      <c r="W527" s="49">
        <v>61388</v>
      </c>
      <c r="X527" s="49">
        <v>12216233</v>
      </c>
      <c r="Y527" s="530" t="str">
        <f>IFERROR(IF(FIND("/KM",KB[[#This Row],[SUPPLIER]])&gt;0,"LAUT"),"DARAT")</f>
        <v>LAUT</v>
      </c>
    </row>
    <row r="528" spans="2:25">
      <c r="B528" s="140" t="str">
        <f>IFERROR(LEFT(KB[[#This Row],[SUPPLIER]],FIND("/",KB[[#This Row],[SUPPLIER]])-1),KB[[#This Row],[SUPPLIER]])</f>
        <v>MARTONO</v>
      </c>
      <c r="C528" s="141" t="str">
        <f>TEXT(VLOOKUP(KB[[#This Row],[RELASI]],DBRELASI[[RELASI]:[DOCKB]],10,0)+COUNTIFS($B$2:B528,KB[[#This Row],[RELASI]],$D$2:D528,1),"000")</f>
        <v>038</v>
      </c>
      <c r="D528" s="141">
        <f>IF(COUNTIFS($B$3:B528,KB[[#This Row],[RELASI]],$F$3:F528,KB[[#This Row],[TANGGAL]])&lt;&gt;1,0,1)</f>
        <v>1</v>
      </c>
      <c r="E528" s="141" t="str">
        <f>TEXT(IF(KB[[#This Row],[DOC]]&lt;&gt;"",KB[[#This Row],[DOC]],E527),"000")</f>
        <v>038</v>
      </c>
      <c r="F528" s="40">
        <v>43892</v>
      </c>
      <c r="G528" s="40" t="str">
        <f>TYPE</f>
        <v>A</v>
      </c>
      <c r="H528" s="153" t="s">
        <v>890</v>
      </c>
      <c r="I528" s="42" t="s">
        <v>508</v>
      </c>
      <c r="J528" s="43" t="s">
        <v>83</v>
      </c>
      <c r="K528" s="44">
        <v>1</v>
      </c>
      <c r="L528" s="49">
        <v>7790</v>
      </c>
      <c r="M528" s="49">
        <v>3790</v>
      </c>
      <c r="N528" s="49">
        <v>4000</v>
      </c>
      <c r="O528" s="49">
        <v>6</v>
      </c>
      <c r="P528" s="49">
        <v>240</v>
      </c>
      <c r="Q528" s="49">
        <v>3760</v>
      </c>
      <c r="R528" s="49">
        <v>2850</v>
      </c>
      <c r="S528" s="49">
        <v>10716000</v>
      </c>
      <c r="T528" s="49">
        <v>14.32</v>
      </c>
      <c r="U528" s="49">
        <v>2864.32</v>
      </c>
      <c r="V528" s="49">
        <v>10769843</v>
      </c>
      <c r="W528" s="49">
        <v>53849</v>
      </c>
      <c r="X528" s="49">
        <v>10715994</v>
      </c>
      <c r="Y528" s="530" t="str">
        <f>IFERROR(IF(FIND("/KM",KB[[#This Row],[SUPPLIER]])&gt;0,"LAUT"),"DARAT")</f>
        <v>LAUT</v>
      </c>
    </row>
    <row r="529" spans="2:25">
      <c r="B529" s="140" t="str">
        <f>IFERROR(LEFT(KB[[#This Row],[SUPPLIER]],FIND("/",KB[[#This Row],[SUPPLIER]])-1),KB[[#This Row],[SUPPLIER]])</f>
        <v>MARTONO</v>
      </c>
      <c r="C529" s="141" t="str">
        <f>TEXT(VLOOKUP(KB[[#This Row],[RELASI]],DBRELASI[[RELASI]:[DOCKB]],10,0)+COUNTIFS($B$2:B529,KB[[#This Row],[RELASI]],$D$2:D529,1),"000")</f>
        <v>038</v>
      </c>
      <c r="D529" s="141">
        <f>IF(COUNTIFS($B$3:B529,KB[[#This Row],[RELASI]],$F$3:F529,KB[[#This Row],[TANGGAL]])&lt;&gt;1,0,1)</f>
        <v>0</v>
      </c>
      <c r="E529" s="141" t="str">
        <f>TEXT(IF(KB[[#This Row],[DOC]]&lt;&gt;"",KB[[#This Row],[DOC]],E528),"000")</f>
        <v>038</v>
      </c>
      <c r="F529" s="40">
        <v>43892</v>
      </c>
      <c r="G529" s="40" t="str">
        <f>TYPE</f>
        <v>A</v>
      </c>
      <c r="H529"/>
      <c r="I529" s="42" t="s">
        <v>528</v>
      </c>
      <c r="J529" s="43" t="s">
        <v>83</v>
      </c>
      <c r="K529" s="44">
        <v>1</v>
      </c>
      <c r="L529" s="49">
        <v>7140</v>
      </c>
      <c r="M529" s="49">
        <v>4010</v>
      </c>
      <c r="N529" s="49">
        <v>3130</v>
      </c>
      <c r="O529" s="49">
        <v>5.9999999999999991</v>
      </c>
      <c r="P529" s="49">
        <v>187.79999999999998</v>
      </c>
      <c r="Q529" s="49">
        <v>2942.2</v>
      </c>
      <c r="R529" s="49">
        <v>2850</v>
      </c>
      <c r="S529" s="49">
        <v>8385270</v>
      </c>
      <c r="T529" s="49">
        <v>14.32</v>
      </c>
      <c r="U529" s="49">
        <v>2864.32</v>
      </c>
      <c r="V529" s="49">
        <v>8427402</v>
      </c>
      <c r="W529" s="49">
        <v>42137</v>
      </c>
      <c r="X529" s="49">
        <v>8385265</v>
      </c>
      <c r="Y529" s="530" t="str">
        <f>IFERROR(IF(FIND("/KM",KB[[#This Row],[SUPPLIER]])&gt;0,"LAUT"),"DARAT")</f>
        <v>LAUT</v>
      </c>
    </row>
    <row r="530" spans="2:25">
      <c r="B530" s="140" t="str">
        <f>IFERROR(LEFT(KB[[#This Row],[SUPPLIER]],FIND("/",KB[[#This Row],[SUPPLIER]])-1),KB[[#This Row],[SUPPLIER]])</f>
        <v>MARTONO</v>
      </c>
      <c r="C530" s="141" t="str">
        <f>TEXT(VLOOKUP(KB[[#This Row],[RELASI]],DBRELASI[[RELASI]:[DOCKB]],10,0)+COUNTIFS($B$2:B530,KB[[#This Row],[RELASI]],$D$2:D530,1),"000")</f>
        <v>038</v>
      </c>
      <c r="D530" s="141">
        <f>IF(COUNTIFS($B$3:B530,KB[[#This Row],[RELASI]],$F$3:F530,KB[[#This Row],[TANGGAL]])&lt;&gt;1,0,1)</f>
        <v>0</v>
      </c>
      <c r="E530" s="141" t="str">
        <f>TEXT(IF(KB[[#This Row],[DOC]]&lt;&gt;"",KB[[#This Row],[DOC]],E529),"000")</f>
        <v>038</v>
      </c>
      <c r="F530" s="40">
        <v>43892</v>
      </c>
      <c r="G530" s="40" t="str">
        <f>TYPE</f>
        <v>A</v>
      </c>
      <c r="H530"/>
      <c r="I530" s="42" t="s">
        <v>906</v>
      </c>
      <c r="J530" s="43" t="s">
        <v>83</v>
      </c>
      <c r="K530" s="44">
        <v>1</v>
      </c>
      <c r="L530" s="49">
        <v>5570</v>
      </c>
      <c r="M530" s="49">
        <v>3890</v>
      </c>
      <c r="N530" s="49">
        <v>1680</v>
      </c>
      <c r="O530" s="49">
        <v>6</v>
      </c>
      <c r="P530" s="49">
        <v>100.8</v>
      </c>
      <c r="Q530" s="49">
        <v>1579.2</v>
      </c>
      <c r="R530" s="49">
        <v>2850</v>
      </c>
      <c r="S530" s="49">
        <v>4500720</v>
      </c>
      <c r="T530" s="49">
        <v>14.32</v>
      </c>
      <c r="U530" s="49">
        <v>2864.32</v>
      </c>
      <c r="V530" s="49">
        <v>4523334</v>
      </c>
      <c r="W530" s="49">
        <v>22617</v>
      </c>
      <c r="X530" s="49">
        <v>4500717</v>
      </c>
      <c r="Y530" s="530" t="str">
        <f>IFERROR(IF(FIND("/KM",KB[[#This Row],[SUPPLIER]])&gt;0,"LAUT"),"DARAT")</f>
        <v>LAUT</v>
      </c>
    </row>
    <row r="531" spans="2:25">
      <c r="B531" s="140" t="str">
        <f>IFERROR(LEFT(KB[[#This Row],[SUPPLIER]],FIND("/",KB[[#This Row],[SUPPLIER]])-1),KB[[#This Row],[SUPPLIER]])</f>
        <v>MARTONO</v>
      </c>
      <c r="C531" s="141" t="str">
        <f>TEXT(VLOOKUP(KB[[#This Row],[RELASI]],DBRELASI[[RELASI]:[DOCKB]],10,0)+COUNTIFS($B$2:B531,KB[[#This Row],[RELASI]],$D$2:D531,1),"000")</f>
        <v>038</v>
      </c>
      <c r="D531" s="141">
        <f>IF(COUNTIFS($B$3:B531,KB[[#This Row],[RELASI]],$F$3:F531,KB[[#This Row],[TANGGAL]])&lt;&gt;1,0,1)</f>
        <v>0</v>
      </c>
      <c r="E531" s="141" t="str">
        <f>TEXT(IF(KB[[#This Row],[DOC]]&lt;&gt;"",KB[[#This Row],[DOC]],E530),"000")</f>
        <v>038</v>
      </c>
      <c r="F531" s="40">
        <v>43892</v>
      </c>
      <c r="G531" s="40" t="str">
        <f>TYPE</f>
        <v>A</v>
      </c>
      <c r="H531"/>
      <c r="I531" s="46" t="s">
        <v>902</v>
      </c>
      <c r="J531" s="47" t="s">
        <v>83</v>
      </c>
      <c r="K531" s="48">
        <v>1</v>
      </c>
      <c r="L531" s="49">
        <v>6860</v>
      </c>
      <c r="M531" s="49">
        <v>3790</v>
      </c>
      <c r="N531" s="49">
        <v>3070</v>
      </c>
      <c r="O531" s="49">
        <v>6</v>
      </c>
      <c r="P531" s="49">
        <v>184.2</v>
      </c>
      <c r="Q531" s="49">
        <v>2885.8</v>
      </c>
      <c r="R531" s="49">
        <v>2850</v>
      </c>
      <c r="S531" s="49">
        <v>8224530</v>
      </c>
      <c r="T531" s="49">
        <v>14.32</v>
      </c>
      <c r="U531" s="49">
        <v>2864.32</v>
      </c>
      <c r="V531" s="49">
        <v>8265855</v>
      </c>
      <c r="W531" s="49">
        <v>41329</v>
      </c>
      <c r="X531" s="49">
        <v>8224526</v>
      </c>
      <c r="Y531" s="574" t="str">
        <f>IFERROR(IF(FIND("/KM",KB[[#This Row],[SUPPLIER]])&gt;0,"LAUT"),"DARAT")</f>
        <v>LAUT</v>
      </c>
    </row>
    <row r="532" spans="2:25">
      <c r="B532" s="140" t="str">
        <f>IFERROR(LEFT(KB[[#This Row],[SUPPLIER]],FIND("/",KB[[#This Row],[SUPPLIER]])-1),KB[[#This Row],[SUPPLIER]])</f>
        <v>ERAWATI</v>
      </c>
      <c r="C532" s="141" t="str">
        <f>TEXT(VLOOKUP(KB[[#This Row],[RELASI]],DBRELASI[[RELASI]:[DOCKB]],10,0)+COUNTIFS($B$2:B532,KB[[#This Row],[RELASI]],$D$2:D532,1),"000")</f>
        <v>045</v>
      </c>
      <c r="D532" s="141">
        <f>IF(COUNTIFS($B$3:B532,KB[[#This Row],[RELASI]],$F$3:F532,KB[[#This Row],[TANGGAL]])&lt;&gt;1,0,1)</f>
        <v>1</v>
      </c>
      <c r="E532" s="141" t="str">
        <f>TEXT(IF(KB[[#This Row],[DOC]]&lt;&gt;"",KB[[#This Row],[DOC]],E531),"000")</f>
        <v>045</v>
      </c>
      <c r="F532" s="40">
        <v>43893</v>
      </c>
      <c r="G532" s="40" t="str">
        <f>TYPE</f>
        <v>A</v>
      </c>
      <c r="H532" s="153" t="s">
        <v>907</v>
      </c>
      <c r="I532" s="42" t="s">
        <v>155</v>
      </c>
      <c r="J532" s="43" t="s">
        <v>77</v>
      </c>
      <c r="K532" s="44">
        <v>4</v>
      </c>
      <c r="L532" s="49">
        <v>44900</v>
      </c>
      <c r="M532" s="49">
        <v>18210</v>
      </c>
      <c r="N532" s="49">
        <v>26690</v>
      </c>
      <c r="O532" s="49">
        <v>5.454477332334208</v>
      </c>
      <c r="P532" s="49">
        <v>1455.8</v>
      </c>
      <c r="Q532" s="49">
        <v>25234.2</v>
      </c>
      <c r="R532" s="49">
        <v>2900</v>
      </c>
      <c r="S532" s="49">
        <v>73179180</v>
      </c>
      <c r="T532" s="49">
        <v>14.57</v>
      </c>
      <c r="U532" s="49">
        <v>2914.57</v>
      </c>
      <c r="V532" s="49">
        <v>73546842</v>
      </c>
      <c r="W532" s="49">
        <v>367735</v>
      </c>
      <c r="X532" s="49">
        <v>73179107</v>
      </c>
      <c r="Y532" s="530" t="str">
        <f>IFERROR(IF(FIND("/KM",KB[[#This Row],[SUPPLIER]])&gt;0,"LAUT"),"DARAT")</f>
        <v>DARAT</v>
      </c>
    </row>
    <row r="533" spans="2:25">
      <c r="B533" s="140" t="str">
        <f>IFERROR(LEFT(KB[[#This Row],[SUPPLIER]],FIND("/",KB[[#This Row],[SUPPLIER]])-1),KB[[#This Row],[SUPPLIER]])</f>
        <v>RUSLAN JAYA, SH</v>
      </c>
      <c r="C533" s="141" t="str">
        <f>TEXT(VLOOKUP(KB[[#This Row],[RELASI]],DBRELASI[[RELASI]:[DOCKB]],10,0)+COUNTIFS($B$2:B533,KB[[#This Row],[RELASI]],$D$2:D533,1),"000")</f>
        <v>033</v>
      </c>
      <c r="D533" s="141">
        <f>IF(COUNTIFS($B$3:B533,KB[[#This Row],[RELASI]],$F$3:F533,KB[[#This Row],[TANGGAL]])&lt;&gt;1,0,1)</f>
        <v>1</v>
      </c>
      <c r="E533" s="141" t="str">
        <f>TEXT(IF(KB[[#This Row],[DOC]]&lt;&gt;"",KB[[#This Row],[DOC]],E532),"000")</f>
        <v>033</v>
      </c>
      <c r="F533" s="40">
        <v>43893</v>
      </c>
      <c r="G533" s="40" t="str">
        <f>TYPE</f>
        <v>A</v>
      </c>
      <c r="H533" s="153" t="s">
        <v>880</v>
      </c>
      <c r="I533" s="42" t="s">
        <v>479</v>
      </c>
      <c r="J533" s="43" t="s">
        <v>475</v>
      </c>
      <c r="K533" s="44">
        <v>3</v>
      </c>
      <c r="L533" s="49">
        <v>26560</v>
      </c>
      <c r="M533" s="49">
        <v>10260</v>
      </c>
      <c r="N533" s="49">
        <v>16300</v>
      </c>
      <c r="O533" s="49">
        <v>5</v>
      </c>
      <c r="P533" s="49">
        <v>815</v>
      </c>
      <c r="Q533" s="49">
        <v>15485</v>
      </c>
      <c r="R533" s="49">
        <v>2900</v>
      </c>
      <c r="S533" s="49">
        <v>44906500</v>
      </c>
      <c r="T533" s="49">
        <v>14.57</v>
      </c>
      <c r="U533" s="49">
        <v>2914.57</v>
      </c>
      <c r="V533" s="49">
        <v>45132116</v>
      </c>
      <c r="W533" s="49">
        <v>225660</v>
      </c>
      <c r="X533" s="49">
        <v>44906456</v>
      </c>
      <c r="Y533" s="530" t="str">
        <f>IFERROR(IF(FIND("/KM",KB[[#This Row],[SUPPLIER]])&gt;0,"LAUT"),"DARAT")</f>
        <v>DARAT</v>
      </c>
    </row>
    <row r="534" spans="2:25">
      <c r="B534" s="140" t="str">
        <f>IFERROR(LEFT(KB[[#This Row],[SUPPLIER]],FIND("/",KB[[#This Row],[SUPPLIER]])-1),KB[[#This Row],[SUPPLIER]])</f>
        <v>SAIRI</v>
      </c>
      <c r="C534" s="141" t="str">
        <f>TEXT(VLOOKUP(KB[[#This Row],[RELASI]],DBRELASI[[RELASI]:[DOCKB]],10,0)+COUNTIFS($B$2:B534,KB[[#This Row],[RELASI]],$D$2:D534,1),"000")</f>
        <v>028</v>
      </c>
      <c r="D534" s="141">
        <f>IF(COUNTIFS($B$3:B534,KB[[#This Row],[RELASI]],$F$3:F534,KB[[#This Row],[TANGGAL]])&lt;&gt;1,0,1)</f>
        <v>1</v>
      </c>
      <c r="E534" s="141" t="str">
        <f>TEXT(IF(KB[[#This Row],[DOC]]&lt;&gt;"",KB[[#This Row],[DOC]],E533),"000")</f>
        <v>028</v>
      </c>
      <c r="F534" s="40">
        <v>43893</v>
      </c>
      <c r="G534" s="40" t="str">
        <f>TYPE</f>
        <v>A</v>
      </c>
      <c r="H534" s="153" t="s">
        <v>854</v>
      </c>
      <c r="I534" s="42" t="s">
        <v>84</v>
      </c>
      <c r="J534" s="43" t="s">
        <v>85</v>
      </c>
      <c r="K534" s="44">
        <v>1</v>
      </c>
      <c r="L534" s="49">
        <v>3590</v>
      </c>
      <c r="M534" s="49">
        <v>1480</v>
      </c>
      <c r="N534" s="49">
        <v>2110</v>
      </c>
      <c r="O534" s="49">
        <v>5</v>
      </c>
      <c r="P534" s="49">
        <v>105.5</v>
      </c>
      <c r="Q534" s="49">
        <v>2004.5</v>
      </c>
      <c r="R534" s="49">
        <v>2950</v>
      </c>
      <c r="S534" s="49">
        <v>5913275</v>
      </c>
      <c r="T534" s="49">
        <v>14.82</v>
      </c>
      <c r="U534" s="49">
        <v>2964.82</v>
      </c>
      <c r="V534" s="49">
        <v>5942982</v>
      </c>
      <c r="W534" s="49">
        <v>29715</v>
      </c>
      <c r="X534" s="49">
        <v>5913267</v>
      </c>
      <c r="Y534" s="530" t="str">
        <f>IFERROR(IF(FIND("/KM",KB[[#This Row],[SUPPLIER]])&gt;0,"LAUT"),"DARAT")</f>
        <v>DARAT</v>
      </c>
    </row>
    <row r="535" spans="2:25">
      <c r="B535" s="140" t="str">
        <f>IFERROR(LEFT(KB[[#This Row],[SUPPLIER]],FIND("/",KB[[#This Row],[SUPPLIER]])-1),KB[[#This Row],[SUPPLIER]])</f>
        <v>YANADI</v>
      </c>
      <c r="C535" s="141" t="str">
        <f>TEXT(VLOOKUP(KB[[#This Row],[RELASI]],DBRELASI[[RELASI]:[DOCKB]],10,0)+COUNTIFS($B$2:B535,KB[[#This Row],[RELASI]],$D$2:D535,1),"000")</f>
        <v>035</v>
      </c>
      <c r="D535" s="141">
        <f>IF(COUNTIFS($B$3:B535,KB[[#This Row],[RELASI]],$F$3:F535,KB[[#This Row],[TANGGAL]])&lt;&gt;1,0,1)</f>
        <v>1</v>
      </c>
      <c r="E535" s="141" t="str">
        <f>TEXT(IF(KB[[#This Row],[DOC]]&lt;&gt;"",KB[[#This Row],[DOC]],E534),"000")</f>
        <v>035</v>
      </c>
      <c r="F535" s="40">
        <v>43893</v>
      </c>
      <c r="G535" s="40" t="str">
        <f>TYPE</f>
        <v>A</v>
      </c>
      <c r="H535" s="153" t="s">
        <v>887</v>
      </c>
      <c r="I535" s="42" t="s">
        <v>137</v>
      </c>
      <c r="J535" s="43" t="s">
        <v>74</v>
      </c>
      <c r="K535" s="44">
        <v>1</v>
      </c>
      <c r="L535" s="49">
        <v>12930</v>
      </c>
      <c r="M535" s="49">
        <v>4300</v>
      </c>
      <c r="N535" s="49">
        <v>8630</v>
      </c>
      <c r="O535" s="49">
        <v>5</v>
      </c>
      <c r="P535" s="49">
        <v>431.5</v>
      </c>
      <c r="Q535" s="49">
        <v>8198.5</v>
      </c>
      <c r="R535" s="49">
        <v>2900</v>
      </c>
      <c r="S535" s="49">
        <v>23775650</v>
      </c>
      <c r="T535" s="49">
        <v>14.57</v>
      </c>
      <c r="U535" s="49">
        <v>2914.57</v>
      </c>
      <c r="V535" s="49">
        <v>23895102</v>
      </c>
      <c r="W535" s="49">
        <v>119476</v>
      </c>
      <c r="X535" s="49">
        <v>23775626</v>
      </c>
      <c r="Y535" s="530" t="str">
        <f>IFERROR(IF(FIND("/KM",KB[[#This Row],[SUPPLIER]])&gt;0,"LAUT"),"DARAT")</f>
        <v>DARAT</v>
      </c>
    </row>
    <row r="536" spans="2:25">
      <c r="B536" s="140" t="str">
        <f>IFERROR(LEFT(KB[[#This Row],[SUPPLIER]],FIND("/",KB[[#This Row],[SUPPLIER]])-1),KB[[#This Row],[SUPPLIER]])</f>
        <v>DINI CHAIRANI</v>
      </c>
      <c r="C536" s="141" t="str">
        <f>TEXT(VLOOKUP(KB[[#This Row],[RELASI]],DBRELASI[[RELASI]:[DOCKB]],10,0)+COUNTIFS($B$2:B536,KB[[#This Row],[RELASI]],$D$2:D536,1),"000")</f>
        <v>036</v>
      </c>
      <c r="D536" s="141">
        <f>IF(COUNTIFS($B$3:B536,KB[[#This Row],[RELASI]],$F$3:F536,KB[[#This Row],[TANGGAL]])&lt;&gt;1,0,1)</f>
        <v>1</v>
      </c>
      <c r="E536" s="141" t="str">
        <f>TEXT(IF(KB[[#This Row],[DOC]]&lt;&gt;"",KB[[#This Row],[DOC]],E535),"000")</f>
        <v>036</v>
      </c>
      <c r="F536" s="40">
        <v>43893</v>
      </c>
      <c r="G536" s="40" t="str">
        <f>TYPE</f>
        <v>A</v>
      </c>
      <c r="H536" s="153" t="s">
        <v>888</v>
      </c>
      <c r="I536" s="42" t="s">
        <v>864</v>
      </c>
      <c r="J536" s="43" t="s">
        <v>95</v>
      </c>
      <c r="K536" s="44">
        <v>1</v>
      </c>
      <c r="L536" s="49">
        <v>6310</v>
      </c>
      <c r="M536" s="49">
        <v>3820</v>
      </c>
      <c r="N536" s="49">
        <v>2490</v>
      </c>
      <c r="O536" s="49">
        <v>6.0000000000000009</v>
      </c>
      <c r="P536" s="49">
        <v>149.4</v>
      </c>
      <c r="Q536" s="49">
        <v>2340.6</v>
      </c>
      <c r="R536" s="49">
        <v>2850</v>
      </c>
      <c r="S536" s="49">
        <v>6670710</v>
      </c>
      <c r="T536" s="49">
        <v>14.32</v>
      </c>
      <c r="U536" s="49">
        <v>2864.32</v>
      </c>
      <c r="V536" s="49">
        <v>6704227</v>
      </c>
      <c r="W536" s="49">
        <v>33521</v>
      </c>
      <c r="X536" s="49">
        <v>6670706</v>
      </c>
      <c r="Y536" s="530" t="str">
        <f>IFERROR(IF(FIND("/KM",KB[[#This Row],[SUPPLIER]])&gt;0,"LAUT"),"DARAT")</f>
        <v>LAUT</v>
      </c>
    </row>
    <row r="537" spans="2:25">
      <c r="B537" s="140" t="str">
        <f>IFERROR(LEFT(KB[[#This Row],[SUPPLIER]],FIND("/",KB[[#This Row],[SUPPLIER]])-1),KB[[#This Row],[SUPPLIER]])</f>
        <v>HENDRI</v>
      </c>
      <c r="C537" s="141" t="str">
        <f>TEXT(VLOOKUP(KB[[#This Row],[RELASI]],DBRELASI[[RELASI]:[DOCKB]],10,0)+COUNTIFS($B$2:B537,KB[[#This Row],[RELASI]],$D$2:D537,1),"000")</f>
        <v>025</v>
      </c>
      <c r="D537" s="141">
        <f>IF(COUNTIFS($B$3:B537,KB[[#This Row],[RELASI]],$F$3:F537,KB[[#This Row],[TANGGAL]])&lt;&gt;1,0,1)</f>
        <v>1</v>
      </c>
      <c r="E537" s="141" t="str">
        <f>TEXT(IF(KB[[#This Row],[DOC]]&lt;&gt;"",KB[[#This Row],[DOC]],E536),"000")</f>
        <v>025</v>
      </c>
      <c r="F537" s="40">
        <v>43893</v>
      </c>
      <c r="G537" s="40" t="str">
        <f>TYPE</f>
        <v>A</v>
      </c>
      <c r="H537" s="154" t="s">
        <v>850</v>
      </c>
      <c r="I537" s="46" t="s">
        <v>507</v>
      </c>
      <c r="J537" s="47" t="s">
        <v>475</v>
      </c>
      <c r="K537" s="48">
        <v>2</v>
      </c>
      <c r="L537" s="49">
        <v>16070</v>
      </c>
      <c r="M537" s="49">
        <v>7860</v>
      </c>
      <c r="N537" s="49">
        <v>8210</v>
      </c>
      <c r="O537" s="49">
        <v>6</v>
      </c>
      <c r="P537" s="49">
        <v>492.59999999999997</v>
      </c>
      <c r="Q537" s="49">
        <v>7717.4</v>
      </c>
      <c r="R537" s="49">
        <v>2950</v>
      </c>
      <c r="S537" s="49">
        <v>22766330</v>
      </c>
      <c r="T537" s="49">
        <v>14.82</v>
      </c>
      <c r="U537" s="49">
        <v>2964.82</v>
      </c>
      <c r="V537" s="49">
        <v>22880702</v>
      </c>
      <c r="W537" s="49">
        <v>114404</v>
      </c>
      <c r="X537" s="49">
        <v>22766298</v>
      </c>
      <c r="Y537" s="574" t="str">
        <f>IFERROR(IF(FIND("/KM",KB[[#This Row],[SUPPLIER]])&gt;0,"LAUT"),"DARAT")</f>
        <v>LAUT</v>
      </c>
    </row>
    <row r="538" spans="2:25">
      <c r="B538" s="140" t="str">
        <f>IFERROR(LEFT(KB[[#This Row],[SUPPLIER]],FIND("/",KB[[#This Row],[SUPPLIER]])-1),KB[[#This Row],[SUPPLIER]])</f>
        <v>ERAWATI</v>
      </c>
      <c r="C538" s="141" t="str">
        <f>TEXT(VLOOKUP(KB[[#This Row],[RELASI]],DBRELASI[[RELASI]:[DOCKB]],10,0)+COUNTIFS($B$2:B538,KB[[#This Row],[RELASI]],$D$2:D538,1),"000")</f>
        <v>046</v>
      </c>
      <c r="D538" s="141">
        <f>IF(COUNTIFS($B$3:B538,KB[[#This Row],[RELASI]],$F$3:F538,KB[[#This Row],[TANGGAL]])&lt;&gt;1,0,1)</f>
        <v>1</v>
      </c>
      <c r="E538" s="141" t="str">
        <f>TEXT(IF(KB[[#This Row],[DOC]]&lt;&gt;"",KB[[#This Row],[DOC]],E537),"000")</f>
        <v>046</v>
      </c>
      <c r="F538" s="40">
        <v>43894</v>
      </c>
      <c r="G538" s="40" t="str">
        <f>TYPE</f>
        <v>A</v>
      </c>
      <c r="H538" s="153" t="s">
        <v>908</v>
      </c>
      <c r="I538" s="42" t="s">
        <v>155</v>
      </c>
      <c r="J538" s="43" t="s">
        <v>77</v>
      </c>
      <c r="K538" s="44">
        <v>2</v>
      </c>
      <c r="L538" s="49">
        <v>24860</v>
      </c>
      <c r="M538" s="49">
        <v>9090</v>
      </c>
      <c r="N538" s="49">
        <v>15770</v>
      </c>
      <c r="O538" s="49">
        <v>5</v>
      </c>
      <c r="P538" s="49">
        <v>788.5</v>
      </c>
      <c r="Q538" s="49">
        <v>14981.5</v>
      </c>
      <c r="R538" s="49">
        <v>2900</v>
      </c>
      <c r="S538" s="49">
        <v>43446350</v>
      </c>
      <c r="T538" s="49">
        <v>14.57</v>
      </c>
      <c r="U538" s="49">
        <v>2914.57</v>
      </c>
      <c r="V538" s="49">
        <v>43664631</v>
      </c>
      <c r="W538" s="49">
        <v>218323</v>
      </c>
      <c r="X538" s="49">
        <v>43446308</v>
      </c>
      <c r="Y538" s="530" t="str">
        <f>IFERROR(IF(FIND("/KM",KB[[#This Row],[SUPPLIER]])&gt;0,"LAUT"),"DARAT")</f>
        <v>DARAT</v>
      </c>
    </row>
    <row r="539" spans="2:25">
      <c r="B539" s="140" t="str">
        <f>IFERROR(LEFT(KB[[#This Row],[SUPPLIER]],FIND("/",KB[[#This Row],[SUPPLIER]])-1),KB[[#This Row],[SUPPLIER]])</f>
        <v>INDRAYANI</v>
      </c>
      <c r="C539" s="141" t="str">
        <f>TEXT(VLOOKUP(KB[[#This Row],[RELASI]],DBRELASI[[RELASI]:[DOCKB]],10,0)+COUNTIFS($B$2:B539,KB[[#This Row],[RELASI]],$D$2:D539,1),"000")</f>
        <v>043</v>
      </c>
      <c r="D539" s="141">
        <f>IF(COUNTIFS($B$3:B539,KB[[#This Row],[RELASI]],$F$3:F539,KB[[#This Row],[TANGGAL]])&lt;&gt;1,0,1)</f>
        <v>1</v>
      </c>
      <c r="E539" s="141" t="str">
        <f>TEXT(IF(KB[[#This Row],[DOC]]&lt;&gt;"",KB[[#This Row],[DOC]],E538),"000")</f>
        <v>043</v>
      </c>
      <c r="F539" s="40">
        <v>43894</v>
      </c>
      <c r="G539" s="40" t="str">
        <f>TYPE</f>
        <v>A</v>
      </c>
      <c r="H539" s="153" t="s">
        <v>899</v>
      </c>
      <c r="I539" s="42" t="s">
        <v>79</v>
      </c>
      <c r="J539" s="43" t="s">
        <v>77</v>
      </c>
      <c r="K539" s="44">
        <v>1</v>
      </c>
      <c r="L539" s="49">
        <v>4180</v>
      </c>
      <c r="M539" s="49">
        <v>1600</v>
      </c>
      <c r="N539" s="49">
        <v>2580</v>
      </c>
      <c r="O539" s="49">
        <v>5</v>
      </c>
      <c r="P539" s="49">
        <v>129</v>
      </c>
      <c r="Q539" s="49">
        <v>2451</v>
      </c>
      <c r="R539" s="49">
        <v>3000</v>
      </c>
      <c r="S539" s="49">
        <v>7353000</v>
      </c>
      <c r="T539" s="49">
        <v>15.08</v>
      </c>
      <c r="U539" s="49">
        <v>3015.08</v>
      </c>
      <c r="V539" s="49">
        <v>7389961</v>
      </c>
      <c r="W539" s="49">
        <v>36950</v>
      </c>
      <c r="X539" s="49">
        <v>7353011</v>
      </c>
      <c r="Y539" s="530" t="str">
        <f>IFERROR(IF(FIND("/KM",KB[[#This Row],[SUPPLIER]])&gt;0,"LAUT"),"DARAT")</f>
        <v>DARAT</v>
      </c>
    </row>
    <row r="540" spans="2:25">
      <c r="B540" s="140" t="str">
        <f>IFERROR(LEFT(KB[[#This Row],[SUPPLIER]],FIND("/",KB[[#This Row],[SUPPLIER]])-1),KB[[#This Row],[SUPPLIER]])</f>
        <v>RUSLAN JAYA, SH</v>
      </c>
      <c r="C540" s="141" t="str">
        <f>TEXT(VLOOKUP(KB[[#This Row],[RELASI]],DBRELASI[[RELASI]:[DOCKB]],10,0)+COUNTIFS($B$2:B540,KB[[#This Row],[RELASI]],$D$2:D540,1),"000")</f>
        <v>034</v>
      </c>
      <c r="D540" s="141">
        <f>IF(COUNTIFS($B$3:B540,KB[[#This Row],[RELASI]],$F$3:F540,KB[[#This Row],[TANGGAL]])&lt;&gt;1,0,1)</f>
        <v>1</v>
      </c>
      <c r="E540" s="141" t="str">
        <f>TEXT(IF(KB[[#This Row],[DOC]]&lt;&gt;"",KB[[#This Row],[DOC]],E539),"000")</f>
        <v>034</v>
      </c>
      <c r="F540" s="40">
        <v>43894</v>
      </c>
      <c r="G540" s="40" t="str">
        <f>TYPE</f>
        <v>A</v>
      </c>
      <c r="H540" s="153" t="s">
        <v>885</v>
      </c>
      <c r="I540" s="42" t="s">
        <v>479</v>
      </c>
      <c r="J540" s="43" t="s">
        <v>475</v>
      </c>
      <c r="K540" s="44">
        <v>5</v>
      </c>
      <c r="L540" s="49">
        <v>43700</v>
      </c>
      <c r="M540" s="49">
        <v>18850</v>
      </c>
      <c r="N540" s="49">
        <v>24850</v>
      </c>
      <c r="O540" s="49">
        <v>5</v>
      </c>
      <c r="P540" s="49">
        <v>1242.5</v>
      </c>
      <c r="Q540" s="49">
        <v>23607.5</v>
      </c>
      <c r="R540" s="49">
        <v>2900</v>
      </c>
      <c r="S540" s="49">
        <v>68461750</v>
      </c>
      <c r="T540" s="49">
        <v>14.57</v>
      </c>
      <c r="U540" s="49">
        <v>2914.57</v>
      </c>
      <c r="V540" s="49">
        <v>68805711</v>
      </c>
      <c r="W540" s="49">
        <v>344029</v>
      </c>
      <c r="X540" s="49">
        <v>68461682</v>
      </c>
      <c r="Y540" s="530" t="str">
        <f>IFERROR(IF(FIND("/KM",KB[[#This Row],[SUPPLIER]])&gt;0,"LAUT"),"DARAT")</f>
        <v>DARAT</v>
      </c>
    </row>
    <row r="541" spans="2:25">
      <c r="B541" s="140" t="str">
        <f>IFERROR(LEFT(KB[[#This Row],[SUPPLIER]],FIND("/",KB[[#This Row],[SUPPLIER]])-1),KB[[#This Row],[SUPPLIER]])</f>
        <v>YANADI</v>
      </c>
      <c r="C541" s="141" t="str">
        <f>TEXT(VLOOKUP(KB[[#This Row],[RELASI]],DBRELASI[[RELASI]:[DOCKB]],10,0)+COUNTIFS($B$2:B541,KB[[#This Row],[RELASI]],$D$2:D541,1),"000")</f>
        <v>036</v>
      </c>
      <c r="D541" s="141">
        <f>IF(COUNTIFS($B$3:B541,KB[[#This Row],[RELASI]],$F$3:F541,KB[[#This Row],[TANGGAL]])&lt;&gt;1,0,1)</f>
        <v>1</v>
      </c>
      <c r="E541" s="141" t="str">
        <f>TEXT(IF(KB[[#This Row],[DOC]]&lt;&gt;"",KB[[#This Row],[DOC]],E540),"000")</f>
        <v>036</v>
      </c>
      <c r="F541" s="40">
        <v>43894</v>
      </c>
      <c r="G541" s="40" t="str">
        <f>TYPE</f>
        <v>A</v>
      </c>
      <c r="H541" s="153" t="s">
        <v>888</v>
      </c>
      <c r="I541" s="42" t="s">
        <v>137</v>
      </c>
      <c r="J541" s="43" t="s">
        <v>74</v>
      </c>
      <c r="K541" s="44">
        <v>1</v>
      </c>
      <c r="L541" s="49">
        <v>12500</v>
      </c>
      <c r="M541" s="49">
        <v>4440</v>
      </c>
      <c r="N541" s="49">
        <v>8060</v>
      </c>
      <c r="O541" s="49">
        <v>5</v>
      </c>
      <c r="P541" s="49">
        <v>403</v>
      </c>
      <c r="Q541" s="49">
        <v>7657</v>
      </c>
      <c r="R541" s="49">
        <v>2900</v>
      </c>
      <c r="S541" s="49">
        <v>22205300</v>
      </c>
      <c r="T541" s="49">
        <v>14.57</v>
      </c>
      <c r="U541" s="49">
        <v>2914.57</v>
      </c>
      <c r="V541" s="49">
        <v>22316862</v>
      </c>
      <c r="W541" s="49">
        <v>111584</v>
      </c>
      <c r="X541" s="49">
        <v>22205278</v>
      </c>
      <c r="Y541" s="530" t="str">
        <f>IFERROR(IF(FIND("/KM",KB[[#This Row],[SUPPLIER]])&gt;0,"LAUT"),"DARAT")</f>
        <v>DARAT</v>
      </c>
    </row>
    <row r="542" spans="2:25">
      <c r="B542" s="140" t="str">
        <f>IFERROR(LEFT(KB[[#This Row],[SUPPLIER]],FIND("/",KB[[#This Row],[SUPPLIER]])-1),KB[[#This Row],[SUPPLIER]])</f>
        <v>DINI CHAIRANI</v>
      </c>
      <c r="C542" s="141" t="str">
        <f>TEXT(VLOOKUP(KB[[#This Row],[RELASI]],DBRELASI[[RELASI]:[DOCKB]],10,0)+COUNTIFS($B$2:B542,KB[[#This Row],[RELASI]],$D$2:D542,1),"000")</f>
        <v>037</v>
      </c>
      <c r="D542" s="141">
        <f>IF(COUNTIFS($B$3:B542,KB[[#This Row],[RELASI]],$F$3:F542,KB[[#This Row],[TANGGAL]])&lt;&gt;1,0,1)</f>
        <v>1</v>
      </c>
      <c r="E542" s="141" t="str">
        <f>TEXT(IF(KB[[#This Row],[DOC]]&lt;&gt;"",KB[[#This Row],[DOC]],E541),"000")</f>
        <v>037</v>
      </c>
      <c r="F542" s="40">
        <v>43894</v>
      </c>
      <c r="G542" s="40" t="str">
        <f>TYPE</f>
        <v>A</v>
      </c>
      <c r="H542" s="153" t="s">
        <v>889</v>
      </c>
      <c r="I542" s="42" t="s">
        <v>517</v>
      </c>
      <c r="J542" s="43" t="s">
        <v>95</v>
      </c>
      <c r="K542" s="44">
        <v>3</v>
      </c>
      <c r="L542" s="49">
        <v>21710</v>
      </c>
      <c r="M542" s="49">
        <v>11570</v>
      </c>
      <c r="N542" s="49">
        <v>10140</v>
      </c>
      <c r="O542" s="49">
        <v>5.9999999999999982</v>
      </c>
      <c r="P542" s="49">
        <v>608.39999999999986</v>
      </c>
      <c r="Q542" s="49">
        <v>9531.6000000000022</v>
      </c>
      <c r="R542" s="49">
        <v>2899.9999999999995</v>
      </c>
      <c r="S542" s="49">
        <v>27641640</v>
      </c>
      <c r="T542" s="49">
        <v>14.57</v>
      </c>
      <c r="U542" s="49">
        <v>2914.5699999999997</v>
      </c>
      <c r="V542" s="49">
        <v>27780516</v>
      </c>
      <c r="W542" s="49">
        <v>138902</v>
      </c>
      <c r="X542" s="49">
        <v>27641614</v>
      </c>
      <c r="Y542" s="530" t="str">
        <f>IFERROR(IF(FIND("/KM",KB[[#This Row],[SUPPLIER]])&gt;0,"LAUT"),"DARAT")</f>
        <v>LAUT</v>
      </c>
    </row>
    <row r="543" spans="2:25">
      <c r="B543" s="140" t="str">
        <f>IFERROR(LEFT(KB[[#This Row],[SUPPLIER]],FIND("/",KB[[#This Row],[SUPPLIER]])-1),KB[[#This Row],[SUPPLIER]])</f>
        <v>SUKAMTO</v>
      </c>
      <c r="C543" s="141" t="str">
        <f>TEXT(VLOOKUP(KB[[#This Row],[RELASI]],DBRELASI[[RELASI]:[DOCKB]],10,0)+COUNTIFS($B$2:B543,KB[[#This Row],[RELASI]],$D$2:D543,1),"000")</f>
        <v>014</v>
      </c>
      <c r="D543" s="141">
        <f>IF(COUNTIFS($B$3:B543,KB[[#This Row],[RELASI]],$F$3:F543,KB[[#This Row],[TANGGAL]])&lt;&gt;1,0,1)</f>
        <v>1</v>
      </c>
      <c r="E543" s="141" t="str">
        <f>TEXT(IF(KB[[#This Row],[DOC]]&lt;&gt;"",KB[[#This Row],[DOC]],E542),"000")</f>
        <v>014</v>
      </c>
      <c r="F543" s="40">
        <v>43894</v>
      </c>
      <c r="G543" s="40" t="str">
        <f>TYPE</f>
        <v>A</v>
      </c>
      <c r="H543" s="154" t="s">
        <v>781</v>
      </c>
      <c r="I543" s="46" t="s">
        <v>848</v>
      </c>
      <c r="J543" s="47" t="s">
        <v>524</v>
      </c>
      <c r="K543" s="48">
        <v>1</v>
      </c>
      <c r="L543" s="49">
        <v>7830</v>
      </c>
      <c r="M543" s="49">
        <v>3890</v>
      </c>
      <c r="N543" s="49">
        <v>3940</v>
      </c>
      <c r="O543" s="49">
        <v>6</v>
      </c>
      <c r="P543" s="49">
        <v>236.39999999999998</v>
      </c>
      <c r="Q543" s="49">
        <v>3703.6</v>
      </c>
      <c r="R543" s="49">
        <v>2850</v>
      </c>
      <c r="S543" s="49">
        <v>10555260</v>
      </c>
      <c r="T543" s="49">
        <v>14.32</v>
      </c>
      <c r="U543" s="49">
        <v>2864.32</v>
      </c>
      <c r="V543" s="49">
        <v>10608296</v>
      </c>
      <c r="W543" s="49">
        <v>53041</v>
      </c>
      <c r="X543" s="49">
        <v>10555255</v>
      </c>
      <c r="Y543" s="574" t="str">
        <f>IFERROR(IF(FIND("/KM",KB[[#This Row],[SUPPLIER]])&gt;0,"LAUT"),"DARAT")</f>
        <v>LAUT</v>
      </c>
    </row>
    <row r="544" spans="2:25">
      <c r="B544" s="140" t="str">
        <f>IFERROR(LEFT(KB[[#This Row],[SUPPLIER]],FIND("/",KB[[#This Row],[SUPPLIER]])-1),KB[[#This Row],[SUPPLIER]])</f>
        <v>ERAWATI</v>
      </c>
      <c r="C544" s="141" t="str">
        <f>TEXT(VLOOKUP(KB[[#This Row],[RELASI]],DBRELASI[[RELASI]:[DOCKB]],10,0)+COUNTIFS($B$2:B544,KB[[#This Row],[RELASI]],$D$2:D544,1),"000")</f>
        <v>047</v>
      </c>
      <c r="D544" s="141">
        <f>IF(COUNTIFS($B$3:B544,KB[[#This Row],[RELASI]],$F$3:F544,KB[[#This Row],[TANGGAL]])&lt;&gt;1,0,1)</f>
        <v>1</v>
      </c>
      <c r="E544" s="141" t="str">
        <f>TEXT(IF(KB[[#This Row],[DOC]]&lt;&gt;"",KB[[#This Row],[DOC]],E543),"000")</f>
        <v>047</v>
      </c>
      <c r="F544" s="40">
        <v>43895</v>
      </c>
      <c r="G544" s="40" t="str">
        <f>TYPE</f>
        <v>A</v>
      </c>
      <c r="H544" s="153" t="s">
        <v>909</v>
      </c>
      <c r="I544" s="42" t="s">
        <v>155</v>
      </c>
      <c r="J544" s="43" t="s">
        <v>77</v>
      </c>
      <c r="K544" s="44">
        <v>2</v>
      </c>
      <c r="L544" s="49">
        <v>14210</v>
      </c>
      <c r="M544" s="49">
        <v>5730</v>
      </c>
      <c r="N544" s="49">
        <v>8480</v>
      </c>
      <c r="O544" s="49">
        <v>5</v>
      </c>
      <c r="P544" s="49">
        <v>424</v>
      </c>
      <c r="Q544" s="49">
        <v>8056</v>
      </c>
      <c r="R544" s="49">
        <v>2900</v>
      </c>
      <c r="S544" s="49">
        <v>23362400</v>
      </c>
      <c r="T544" s="49">
        <v>14.57</v>
      </c>
      <c r="U544" s="49">
        <v>2914.57</v>
      </c>
      <c r="V544" s="49">
        <v>23479776</v>
      </c>
      <c r="W544" s="49">
        <v>117399</v>
      </c>
      <c r="X544" s="49">
        <v>23362377</v>
      </c>
      <c r="Y544" s="530" t="str">
        <f>IFERROR(IF(FIND("/KM",KB[[#This Row],[SUPPLIER]])&gt;0,"LAUT"),"DARAT")</f>
        <v>DARAT</v>
      </c>
    </row>
    <row r="545" spans="2:25">
      <c r="B545" s="140" t="str">
        <f>IFERROR(LEFT(KB[[#This Row],[SUPPLIER]],FIND("/",KB[[#This Row],[SUPPLIER]])-1),KB[[#This Row],[SUPPLIER]])</f>
        <v>INDRAYANI</v>
      </c>
      <c r="C545" s="141" t="str">
        <f>TEXT(VLOOKUP(KB[[#This Row],[RELASI]],DBRELASI[[RELASI]:[DOCKB]],10,0)+COUNTIFS($B$2:B545,KB[[#This Row],[RELASI]],$D$2:D545,1),"000")</f>
        <v>044</v>
      </c>
      <c r="D545" s="141">
        <f>IF(COUNTIFS($B$3:B545,KB[[#This Row],[RELASI]],$F$3:F545,KB[[#This Row],[TANGGAL]])&lt;&gt;1,0,1)</f>
        <v>1</v>
      </c>
      <c r="E545" s="141" t="str">
        <f>TEXT(IF(KB[[#This Row],[DOC]]&lt;&gt;"",KB[[#This Row],[DOC]],E544),"000")</f>
        <v>044</v>
      </c>
      <c r="F545" s="40">
        <v>43895</v>
      </c>
      <c r="G545" s="40" t="str">
        <f>TYPE</f>
        <v>A</v>
      </c>
      <c r="H545" s="153" t="s">
        <v>905</v>
      </c>
      <c r="I545" s="42" t="s">
        <v>79</v>
      </c>
      <c r="J545" s="43" t="s">
        <v>77</v>
      </c>
      <c r="K545" s="44">
        <v>1</v>
      </c>
      <c r="L545" s="49">
        <v>3610</v>
      </c>
      <c r="M545" s="49">
        <v>1580</v>
      </c>
      <c r="N545" s="49">
        <v>2030</v>
      </c>
      <c r="O545" s="49">
        <v>5</v>
      </c>
      <c r="P545" s="49">
        <v>101.5</v>
      </c>
      <c r="Q545" s="49">
        <v>1928.5</v>
      </c>
      <c r="R545" s="49">
        <v>3000</v>
      </c>
      <c r="S545" s="49">
        <v>5785500</v>
      </c>
      <c r="T545" s="49">
        <v>15.08</v>
      </c>
      <c r="U545" s="49">
        <v>3015.08</v>
      </c>
      <c r="V545" s="49">
        <v>5814582</v>
      </c>
      <c r="W545" s="49">
        <v>29073</v>
      </c>
      <c r="X545" s="49">
        <v>5785509</v>
      </c>
      <c r="Y545" s="530" t="str">
        <f>IFERROR(IF(FIND("/KM",KB[[#This Row],[SUPPLIER]])&gt;0,"LAUT"),"DARAT")</f>
        <v>DARAT</v>
      </c>
    </row>
    <row r="546" spans="2:25">
      <c r="B546" s="140" t="str">
        <f>IFERROR(LEFT(KB[[#This Row],[SUPPLIER]],FIND("/",KB[[#This Row],[SUPPLIER]])-1),KB[[#This Row],[SUPPLIER]])</f>
        <v>RUSLAN JAYA, SH</v>
      </c>
      <c r="C546" s="141" t="str">
        <f>TEXT(VLOOKUP(KB[[#This Row],[RELASI]],DBRELASI[[RELASI]:[DOCKB]],10,0)+COUNTIFS($B$2:B546,KB[[#This Row],[RELASI]],$D$2:D546,1),"000")</f>
        <v>035</v>
      </c>
      <c r="D546" s="141">
        <f>IF(COUNTIFS($B$3:B546,KB[[#This Row],[RELASI]],$F$3:F546,KB[[#This Row],[TANGGAL]])&lt;&gt;1,0,1)</f>
        <v>1</v>
      </c>
      <c r="E546" s="141" t="str">
        <f>TEXT(IF(KB[[#This Row],[DOC]]&lt;&gt;"",KB[[#This Row],[DOC]],E545),"000")</f>
        <v>035</v>
      </c>
      <c r="F546" s="40">
        <v>43895</v>
      </c>
      <c r="G546" s="40" t="str">
        <f>TYPE</f>
        <v>A</v>
      </c>
      <c r="H546" s="153" t="s">
        <v>887</v>
      </c>
      <c r="I546" s="42" t="s">
        <v>479</v>
      </c>
      <c r="J546" s="43" t="s">
        <v>475</v>
      </c>
      <c r="K546" s="44">
        <v>3</v>
      </c>
      <c r="L546" s="49">
        <v>26040</v>
      </c>
      <c r="M546" s="49">
        <v>10780</v>
      </c>
      <c r="N546" s="49">
        <v>15260</v>
      </c>
      <c r="O546" s="49">
        <v>5.4882044560943646</v>
      </c>
      <c r="P546" s="49">
        <v>837.5</v>
      </c>
      <c r="Q546" s="49">
        <v>14422.5</v>
      </c>
      <c r="R546" s="49">
        <v>2900</v>
      </c>
      <c r="S546" s="49">
        <v>41825250</v>
      </c>
      <c r="T546" s="49">
        <v>14.57</v>
      </c>
      <c r="U546" s="49">
        <v>2914.57</v>
      </c>
      <c r="V546" s="49">
        <v>42035386</v>
      </c>
      <c r="W546" s="49">
        <v>210177</v>
      </c>
      <c r="X546" s="49">
        <v>41825209</v>
      </c>
      <c r="Y546" s="530" t="str">
        <f>IFERROR(IF(FIND("/KM",KB[[#This Row],[SUPPLIER]])&gt;0,"LAUT"),"DARAT")</f>
        <v>DARAT</v>
      </c>
    </row>
    <row r="547" spans="2:25">
      <c r="B547" s="140" t="str">
        <f>IFERROR(LEFT(KB[[#This Row],[SUPPLIER]],FIND("/",KB[[#This Row],[SUPPLIER]])-1),KB[[#This Row],[SUPPLIER]])</f>
        <v>YANADI</v>
      </c>
      <c r="C547" s="141" t="str">
        <f>TEXT(VLOOKUP(KB[[#This Row],[RELASI]],DBRELASI[[RELASI]:[DOCKB]],10,0)+COUNTIFS($B$2:B547,KB[[#This Row],[RELASI]],$D$2:D547,1),"000")</f>
        <v>037</v>
      </c>
      <c r="D547" s="141">
        <f>IF(COUNTIFS($B$3:B547,KB[[#This Row],[RELASI]],$F$3:F547,KB[[#This Row],[TANGGAL]])&lt;&gt;1,0,1)</f>
        <v>1</v>
      </c>
      <c r="E547" s="141" t="str">
        <f>TEXT(IF(KB[[#This Row],[DOC]]&lt;&gt;"",KB[[#This Row],[DOC]],E546),"000")</f>
        <v>037</v>
      </c>
      <c r="F547" s="40">
        <v>43895</v>
      </c>
      <c r="G547" s="40" t="str">
        <f>TYPE</f>
        <v>A</v>
      </c>
      <c r="H547" s="153" t="s">
        <v>889</v>
      </c>
      <c r="I547" s="42" t="s">
        <v>137</v>
      </c>
      <c r="J547" s="43" t="s">
        <v>74</v>
      </c>
      <c r="K547" s="44">
        <v>3</v>
      </c>
      <c r="L547" s="49">
        <v>21090</v>
      </c>
      <c r="M547" s="49">
        <v>9570</v>
      </c>
      <c r="N547" s="49">
        <v>11520</v>
      </c>
      <c r="O547" s="49">
        <v>5</v>
      </c>
      <c r="P547" s="49">
        <v>576</v>
      </c>
      <c r="Q547" s="49">
        <v>10944</v>
      </c>
      <c r="R547" s="49">
        <v>2900</v>
      </c>
      <c r="S547" s="49">
        <v>31737600</v>
      </c>
      <c r="T547" s="49">
        <v>14.57</v>
      </c>
      <c r="U547" s="49">
        <v>2914.57</v>
      </c>
      <c r="V547" s="49">
        <v>31897054</v>
      </c>
      <c r="W547" s="49">
        <v>159485</v>
      </c>
      <c r="X547" s="49">
        <v>31737569</v>
      </c>
      <c r="Y547" s="530" t="str">
        <f>IFERROR(IF(FIND("/KM",KB[[#This Row],[SUPPLIER]])&gt;0,"LAUT"),"DARAT")</f>
        <v>DARAT</v>
      </c>
    </row>
    <row r="548" spans="2:25">
      <c r="B548" s="140" t="str">
        <f>IFERROR(LEFT(KB[[#This Row],[SUPPLIER]],FIND("/",KB[[#This Row],[SUPPLIER]])-1),KB[[#This Row],[SUPPLIER]])</f>
        <v>YANADI</v>
      </c>
      <c r="C548" s="141" t="str">
        <f>TEXT(VLOOKUP(KB[[#This Row],[RELASI]],DBRELASI[[RELASI]:[DOCKB]],10,0)+COUNTIFS($B$2:B548,KB[[#This Row],[RELASI]],$D$2:D548,1),"000")</f>
        <v>037</v>
      </c>
      <c r="D548" s="141">
        <f>IF(COUNTIFS($B$3:B548,KB[[#This Row],[RELASI]],$F$3:F548,KB[[#This Row],[TANGGAL]])&lt;&gt;1,0,1)</f>
        <v>0</v>
      </c>
      <c r="E548" s="141" t="str">
        <f>TEXT(IF(KB[[#This Row],[DOC]]&lt;&gt;"",KB[[#This Row],[DOC]],E547),"000")</f>
        <v>037</v>
      </c>
      <c r="F548" s="40">
        <v>43895</v>
      </c>
      <c r="G548" s="40" t="str">
        <f>TYPE</f>
        <v>A</v>
      </c>
      <c r="H548"/>
      <c r="I548" s="42" t="s">
        <v>768</v>
      </c>
      <c r="J548" s="43" t="s">
        <v>74</v>
      </c>
      <c r="K548" s="44">
        <v>1</v>
      </c>
      <c r="L548" s="49">
        <v>8570</v>
      </c>
      <c r="M548" s="49">
        <v>3960</v>
      </c>
      <c r="N548" s="49">
        <v>4610</v>
      </c>
      <c r="O548" s="49">
        <v>5.9999999999999991</v>
      </c>
      <c r="P548" s="49">
        <v>276.59999999999997</v>
      </c>
      <c r="Q548" s="49">
        <v>4333.3999999999996</v>
      </c>
      <c r="R548" s="49">
        <v>2850.0000000000005</v>
      </c>
      <c r="S548" s="49">
        <v>12350190</v>
      </c>
      <c r="T548" s="49">
        <v>14.32</v>
      </c>
      <c r="U548" s="49">
        <v>2864.3200000000006</v>
      </c>
      <c r="V548" s="49">
        <v>12412244</v>
      </c>
      <c r="W548" s="49">
        <v>62061</v>
      </c>
      <c r="X548" s="49">
        <v>12350183</v>
      </c>
      <c r="Y548" s="530" t="str">
        <f>IFERROR(IF(FIND("/KM",KB[[#This Row],[SUPPLIER]])&gt;0,"LAUT"),"DARAT")</f>
        <v>LAUT</v>
      </c>
    </row>
    <row r="549" spans="2:25">
      <c r="B549" s="140" t="str">
        <f>IFERROR(LEFT(KB[[#This Row],[SUPPLIER]],FIND("/",KB[[#This Row],[SUPPLIER]])-1),KB[[#This Row],[SUPPLIER]])</f>
        <v>HENDRI</v>
      </c>
      <c r="C549" s="141" t="str">
        <f>TEXT(VLOOKUP(KB[[#This Row],[RELASI]],DBRELASI[[RELASI]:[DOCKB]],10,0)+COUNTIFS($B$2:B549,KB[[#This Row],[RELASI]],$D$2:D549,1),"000")</f>
        <v>026</v>
      </c>
      <c r="D549" s="141">
        <f>IF(COUNTIFS($B$3:B549,KB[[#This Row],[RELASI]],$F$3:F549,KB[[#This Row],[TANGGAL]])&lt;&gt;1,0,1)</f>
        <v>1</v>
      </c>
      <c r="E549" s="141" t="str">
        <f>TEXT(IF(KB[[#This Row],[DOC]]&lt;&gt;"",KB[[#This Row],[DOC]],E548),"000")</f>
        <v>026</v>
      </c>
      <c r="F549" s="40">
        <v>43895</v>
      </c>
      <c r="G549" s="40" t="str">
        <f>TYPE</f>
        <v>A</v>
      </c>
      <c r="H549" s="153" t="s">
        <v>852</v>
      </c>
      <c r="I549" s="42" t="s">
        <v>774</v>
      </c>
      <c r="J549" s="43" t="s">
        <v>475</v>
      </c>
      <c r="K549" s="44">
        <v>3</v>
      </c>
      <c r="L549" s="49">
        <v>24500</v>
      </c>
      <c r="M549" s="49">
        <v>11760</v>
      </c>
      <c r="N549" s="49">
        <v>12740</v>
      </c>
      <c r="O549" s="49">
        <v>5.9999999999999991</v>
      </c>
      <c r="P549" s="49">
        <v>764.4</v>
      </c>
      <c r="Q549" s="49">
        <v>11975.6</v>
      </c>
      <c r="R549" s="49">
        <v>2950</v>
      </c>
      <c r="S549" s="49">
        <v>35328020</v>
      </c>
      <c r="T549" s="49">
        <v>14.82</v>
      </c>
      <c r="U549" s="49">
        <v>2964.82</v>
      </c>
      <c r="V549" s="49">
        <v>35505499</v>
      </c>
      <c r="W549" s="49">
        <v>177527</v>
      </c>
      <c r="X549" s="49">
        <v>35327972</v>
      </c>
      <c r="Y549" s="530" t="str">
        <f>IFERROR(IF(FIND("/KM",KB[[#This Row],[SUPPLIER]])&gt;0,"LAUT"),"DARAT")</f>
        <v>LAUT</v>
      </c>
    </row>
    <row r="550" spans="2:25">
      <c r="B550" s="140" t="str">
        <f>IFERROR(LEFT(KB[[#This Row],[SUPPLIER]],FIND("/",KB[[#This Row],[SUPPLIER]])-1),KB[[#This Row],[SUPPLIER]])</f>
        <v>MARTONO</v>
      </c>
      <c r="C550" s="141" t="str">
        <f>TEXT(VLOOKUP(KB[[#This Row],[RELASI]],DBRELASI[[RELASI]:[DOCKB]],10,0)+COUNTIFS($B$2:B550,KB[[#This Row],[RELASI]],$D$2:D550,1),"000")</f>
        <v>039</v>
      </c>
      <c r="D550" s="141">
        <f>IF(COUNTIFS($B$3:B550,KB[[#This Row],[RELASI]],$F$3:F550,KB[[#This Row],[TANGGAL]])&lt;&gt;1,0,1)</f>
        <v>1</v>
      </c>
      <c r="E550" s="141" t="str">
        <f>TEXT(IF(KB[[#This Row],[DOC]]&lt;&gt;"",KB[[#This Row],[DOC]],E549),"000")</f>
        <v>039</v>
      </c>
      <c r="F550" s="40">
        <v>43895</v>
      </c>
      <c r="G550" s="40" t="str">
        <f>TYPE</f>
        <v>A</v>
      </c>
      <c r="H550" s="153" t="s">
        <v>893</v>
      </c>
      <c r="I550" s="42" t="s">
        <v>528</v>
      </c>
      <c r="J550" s="43" t="s">
        <v>83</v>
      </c>
      <c r="K550" s="44">
        <v>1</v>
      </c>
      <c r="L550" s="49">
        <v>8000</v>
      </c>
      <c r="M550" s="49">
        <v>3960</v>
      </c>
      <c r="N550" s="49">
        <v>4040</v>
      </c>
      <c r="O550" s="49">
        <v>6</v>
      </c>
      <c r="P550" s="49">
        <v>242.39999999999998</v>
      </c>
      <c r="Q550" s="49">
        <v>3797.6</v>
      </c>
      <c r="R550" s="49">
        <v>2850</v>
      </c>
      <c r="S550" s="49">
        <v>10823160</v>
      </c>
      <c r="T550" s="49">
        <v>14.32</v>
      </c>
      <c r="U550" s="49">
        <v>2864.32</v>
      </c>
      <c r="V550" s="49">
        <v>10877542</v>
      </c>
      <c r="W550" s="49">
        <v>54388</v>
      </c>
      <c r="X550" s="49">
        <v>10823154</v>
      </c>
      <c r="Y550" s="530" t="str">
        <f>IFERROR(IF(FIND("/KM",KB[[#This Row],[SUPPLIER]])&gt;0,"LAUT"),"DARAT")</f>
        <v>LAUT</v>
      </c>
    </row>
    <row r="551" spans="2:25">
      <c r="B551" s="140" t="str">
        <f>IFERROR(LEFT(KB[[#This Row],[SUPPLIER]],FIND("/",KB[[#This Row],[SUPPLIER]])-1),KB[[#This Row],[SUPPLIER]])</f>
        <v>MARTONO</v>
      </c>
      <c r="C551" s="141" t="str">
        <f>TEXT(VLOOKUP(KB[[#This Row],[RELASI]],DBRELASI[[RELASI]:[DOCKB]],10,0)+COUNTIFS($B$2:B551,KB[[#This Row],[RELASI]],$D$2:D551,1),"000")</f>
        <v>039</v>
      </c>
      <c r="D551" s="141">
        <f>IF(COUNTIFS($B$3:B551,KB[[#This Row],[RELASI]],$F$3:F551,KB[[#This Row],[TANGGAL]])&lt;&gt;1,0,1)</f>
        <v>0</v>
      </c>
      <c r="E551" s="141" t="str">
        <f>TEXT(IF(KB[[#This Row],[DOC]]&lt;&gt;"",KB[[#This Row],[DOC]],E550),"000")</f>
        <v>039</v>
      </c>
      <c r="F551" s="40">
        <v>43895</v>
      </c>
      <c r="G551" s="40" t="str">
        <f>TYPE</f>
        <v>A</v>
      </c>
      <c r="H551"/>
      <c r="I551" s="46" t="s">
        <v>906</v>
      </c>
      <c r="J551" s="47" t="s">
        <v>83</v>
      </c>
      <c r="K551" s="48">
        <v>1</v>
      </c>
      <c r="L551" s="49">
        <v>5390</v>
      </c>
      <c r="M551" s="49">
        <v>3890</v>
      </c>
      <c r="N551" s="49">
        <v>1500</v>
      </c>
      <c r="O551" s="49">
        <v>6</v>
      </c>
      <c r="P551" s="49">
        <v>90</v>
      </c>
      <c r="Q551" s="49">
        <v>1410</v>
      </c>
      <c r="R551" s="49">
        <v>2850</v>
      </c>
      <c r="S551" s="49">
        <v>4018500</v>
      </c>
      <c r="T551" s="49">
        <v>14.32</v>
      </c>
      <c r="U551" s="49">
        <v>2864.32</v>
      </c>
      <c r="V551" s="49">
        <v>4038691</v>
      </c>
      <c r="W551" s="49">
        <v>20193</v>
      </c>
      <c r="X551" s="49">
        <v>4018498</v>
      </c>
      <c r="Y551" s="574" t="str">
        <f>IFERROR(IF(FIND("/KM",KB[[#This Row],[SUPPLIER]])&gt;0,"LAUT"),"DARAT")</f>
        <v>LAUT</v>
      </c>
    </row>
    <row r="552" spans="2:25">
      <c r="B552" s="140" t="str">
        <f>IFERROR(LEFT(KB[[#This Row],[SUPPLIER]],FIND("/",KB[[#This Row],[SUPPLIER]])-1),KB[[#This Row],[SUPPLIER]])</f>
        <v>ERAWATI</v>
      </c>
      <c r="C552" s="141" t="str">
        <f>TEXT(VLOOKUP(KB[[#This Row],[RELASI]],DBRELASI[[RELASI]:[DOCKB]],10,0)+COUNTIFS($B$2:B552,KB[[#This Row],[RELASI]],$D$2:D552,1),"000")</f>
        <v>048</v>
      </c>
      <c r="D552" s="141">
        <f>IF(COUNTIFS($B$3:B552,KB[[#This Row],[RELASI]],$F$3:F552,KB[[#This Row],[TANGGAL]])&lt;&gt;1,0,1)</f>
        <v>1</v>
      </c>
      <c r="E552" s="141" t="str">
        <f>TEXT(IF(KB[[#This Row],[DOC]]&lt;&gt;"",KB[[#This Row],[DOC]],E551),"000")</f>
        <v>048</v>
      </c>
      <c r="F552" s="40">
        <v>43896</v>
      </c>
      <c r="G552" s="40" t="str">
        <f>TYPE</f>
        <v>A</v>
      </c>
      <c r="H552" s="153" t="s">
        <v>910</v>
      </c>
      <c r="I552" s="42" t="s">
        <v>155</v>
      </c>
      <c r="J552" s="43" t="s">
        <v>77</v>
      </c>
      <c r="K552" s="44">
        <v>2</v>
      </c>
      <c r="L552" s="49">
        <v>22110</v>
      </c>
      <c r="M552" s="49">
        <v>8970</v>
      </c>
      <c r="N552" s="49">
        <v>13140</v>
      </c>
      <c r="O552" s="49">
        <v>5.4132420091324196</v>
      </c>
      <c r="P552" s="49">
        <v>711.3</v>
      </c>
      <c r="Q552" s="49">
        <v>12428.7</v>
      </c>
      <c r="R552" s="49">
        <v>2900</v>
      </c>
      <c r="S552" s="49">
        <v>36043230</v>
      </c>
      <c r="T552" s="49">
        <v>14.57</v>
      </c>
      <c r="U552" s="49">
        <v>2914.57</v>
      </c>
      <c r="V552" s="49">
        <v>36224316</v>
      </c>
      <c r="W552" s="49">
        <v>181122</v>
      </c>
      <c r="X552" s="49">
        <v>36043194</v>
      </c>
      <c r="Y552" s="530" t="str">
        <f>IFERROR(IF(FIND("/KM",KB[[#This Row],[SUPPLIER]])&gt;0,"LAUT"),"DARAT")</f>
        <v>DARAT</v>
      </c>
    </row>
    <row r="553" spans="2:25">
      <c r="B553" s="140" t="str">
        <f>IFERROR(LEFT(KB[[#This Row],[SUPPLIER]],FIND("/",KB[[#This Row],[SUPPLIER]])-1),KB[[#This Row],[SUPPLIER]])</f>
        <v>RUSLAN JAYA, SH</v>
      </c>
      <c r="C553" s="141" t="str">
        <f>TEXT(VLOOKUP(KB[[#This Row],[RELASI]],DBRELASI[[RELASI]:[DOCKB]],10,0)+COUNTIFS($B$2:B553,KB[[#This Row],[RELASI]],$D$2:D553,1),"000")</f>
        <v>036</v>
      </c>
      <c r="D553" s="141">
        <f>IF(COUNTIFS($B$3:B553,KB[[#This Row],[RELASI]],$F$3:F553,KB[[#This Row],[TANGGAL]])&lt;&gt;1,0,1)</f>
        <v>1</v>
      </c>
      <c r="E553" s="141" t="str">
        <f>TEXT(IF(KB[[#This Row],[DOC]]&lt;&gt;"",KB[[#This Row],[DOC]],E552),"000")</f>
        <v>036</v>
      </c>
      <c r="F553" s="40">
        <v>43896</v>
      </c>
      <c r="G553" s="40" t="str">
        <f>TYPE</f>
        <v>A</v>
      </c>
      <c r="H553" s="153" t="s">
        <v>888</v>
      </c>
      <c r="I553" s="42" t="s">
        <v>479</v>
      </c>
      <c r="J553" s="43" t="s">
        <v>475</v>
      </c>
      <c r="K553" s="44">
        <v>7</v>
      </c>
      <c r="L553" s="49">
        <v>50380</v>
      </c>
      <c r="M553" s="49">
        <v>19330</v>
      </c>
      <c r="N553" s="49">
        <v>31050</v>
      </c>
      <c r="O553" s="49">
        <v>5</v>
      </c>
      <c r="P553" s="49">
        <v>1552.5</v>
      </c>
      <c r="Q553" s="49">
        <v>29497.5</v>
      </c>
      <c r="R553" s="49">
        <v>2900</v>
      </c>
      <c r="S553" s="49">
        <v>85542750</v>
      </c>
      <c r="T553" s="49">
        <v>14.57</v>
      </c>
      <c r="U553" s="49">
        <v>2914.57</v>
      </c>
      <c r="V553" s="49">
        <v>85972527</v>
      </c>
      <c r="W553" s="49">
        <v>429863</v>
      </c>
      <c r="X553" s="49">
        <v>85542664</v>
      </c>
      <c r="Y553" s="530" t="str">
        <f>IFERROR(IF(FIND("/KM",KB[[#This Row],[SUPPLIER]])&gt;0,"LAUT"),"DARAT")</f>
        <v>DARAT</v>
      </c>
    </row>
    <row r="554" spans="2:25">
      <c r="B554" s="140" t="str">
        <f>IFERROR(LEFT(KB[[#This Row],[SUPPLIER]],FIND("/",KB[[#This Row],[SUPPLIER]])-1),KB[[#This Row],[SUPPLIER]])</f>
        <v>YANADI</v>
      </c>
      <c r="C554" s="141" t="str">
        <f>TEXT(VLOOKUP(KB[[#This Row],[RELASI]],DBRELASI[[RELASI]:[DOCKB]],10,0)+COUNTIFS($B$2:B554,KB[[#This Row],[RELASI]],$D$2:D554,1),"000")</f>
        <v>038</v>
      </c>
      <c r="D554" s="141">
        <f>IF(COUNTIFS($B$3:B554,KB[[#This Row],[RELASI]],$F$3:F554,KB[[#This Row],[TANGGAL]])&lt;&gt;1,0,1)</f>
        <v>1</v>
      </c>
      <c r="E554" s="141" t="str">
        <f>TEXT(IF(KB[[#This Row],[DOC]]&lt;&gt;"",KB[[#This Row],[DOC]],E553),"000")</f>
        <v>038</v>
      </c>
      <c r="F554" s="40">
        <v>43896</v>
      </c>
      <c r="G554" s="40" t="str">
        <f>TYPE</f>
        <v>A</v>
      </c>
      <c r="H554" s="153" t="s">
        <v>890</v>
      </c>
      <c r="I554" s="42" t="s">
        <v>137</v>
      </c>
      <c r="J554" s="43" t="s">
        <v>74</v>
      </c>
      <c r="K554" s="44">
        <v>1</v>
      </c>
      <c r="L554" s="49">
        <v>13110</v>
      </c>
      <c r="M554" s="49">
        <v>4480</v>
      </c>
      <c r="N554" s="49">
        <v>8630</v>
      </c>
      <c r="O554" s="49">
        <v>5</v>
      </c>
      <c r="P554" s="49">
        <v>431.5</v>
      </c>
      <c r="Q554" s="49">
        <v>8198.5</v>
      </c>
      <c r="R554" s="49">
        <v>2900</v>
      </c>
      <c r="S554" s="49">
        <v>23775650</v>
      </c>
      <c r="T554" s="49">
        <v>14.57</v>
      </c>
      <c r="U554" s="49">
        <v>2914.57</v>
      </c>
      <c r="V554" s="49">
        <v>23895102</v>
      </c>
      <c r="W554" s="49">
        <v>119476</v>
      </c>
      <c r="X554" s="49">
        <v>23775626</v>
      </c>
      <c r="Y554" s="530" t="str">
        <f>IFERROR(IF(FIND("/KM",KB[[#This Row],[SUPPLIER]])&gt;0,"LAUT"),"DARAT")</f>
        <v>DARAT</v>
      </c>
    </row>
    <row r="555" spans="2:25">
      <c r="B555" s="140" t="str">
        <f>IFERROR(LEFT(KB[[#This Row],[SUPPLIER]],FIND("/",KB[[#This Row],[SUPPLIER]])-1),KB[[#This Row],[SUPPLIER]])</f>
        <v>DINI CHAIRANI</v>
      </c>
      <c r="C555" s="141" t="str">
        <f>TEXT(VLOOKUP(KB[[#This Row],[RELASI]],DBRELASI[[RELASI]:[DOCKB]],10,0)+COUNTIFS($B$2:B555,KB[[#This Row],[RELASI]],$D$2:D555,1),"000")</f>
        <v>038</v>
      </c>
      <c r="D555" s="141">
        <f>IF(COUNTIFS($B$3:B555,KB[[#This Row],[RELASI]],$F$3:F555,KB[[#This Row],[TANGGAL]])&lt;&gt;1,0,1)</f>
        <v>1</v>
      </c>
      <c r="E555" s="141" t="str">
        <f>TEXT(IF(KB[[#This Row],[DOC]]&lt;&gt;"",KB[[#This Row],[DOC]],E554),"000")</f>
        <v>038</v>
      </c>
      <c r="F555" s="40">
        <v>43896</v>
      </c>
      <c r="G555" s="40" t="str">
        <f>TYPE</f>
        <v>A</v>
      </c>
      <c r="H555" s="153" t="s">
        <v>890</v>
      </c>
      <c r="I555" s="42" t="s">
        <v>516</v>
      </c>
      <c r="J555" s="43" t="s">
        <v>95</v>
      </c>
      <c r="K555" s="44">
        <v>1</v>
      </c>
      <c r="L555" s="49">
        <v>6840</v>
      </c>
      <c r="M555" s="49">
        <v>3960</v>
      </c>
      <c r="N555" s="49">
        <v>2880</v>
      </c>
      <c r="O555" s="49">
        <v>5.9999999999999991</v>
      </c>
      <c r="P555" s="49">
        <v>172.79999999999998</v>
      </c>
      <c r="Q555" s="49">
        <v>2707.2</v>
      </c>
      <c r="R555" s="49">
        <v>2850</v>
      </c>
      <c r="S555" s="49">
        <v>7715520</v>
      </c>
      <c r="T555" s="49">
        <v>14.32</v>
      </c>
      <c r="U555" s="49">
        <v>2864.32</v>
      </c>
      <c r="V555" s="49">
        <v>7754287</v>
      </c>
      <c r="W555" s="49">
        <v>38771</v>
      </c>
      <c r="X555" s="49">
        <v>7715516</v>
      </c>
      <c r="Y555" s="530" t="str">
        <f>IFERROR(IF(FIND("/KM",KB[[#This Row],[SUPPLIER]])&gt;0,"LAUT"),"DARAT")</f>
        <v>LAUT</v>
      </c>
    </row>
    <row r="556" spans="2:25">
      <c r="B556" s="140" t="str">
        <f>IFERROR(LEFT(KB[[#This Row],[SUPPLIER]],FIND("/",KB[[#This Row],[SUPPLIER]])-1),KB[[#This Row],[SUPPLIER]])</f>
        <v>DINI CHAIRANI</v>
      </c>
      <c r="C556" s="141" t="str">
        <f>TEXT(VLOOKUP(KB[[#This Row],[RELASI]],DBRELASI[[RELASI]:[DOCKB]],10,0)+COUNTIFS($B$2:B556,KB[[#This Row],[RELASI]],$D$2:D556,1),"000")</f>
        <v>038</v>
      </c>
      <c r="D556" s="141">
        <f>IF(COUNTIFS($B$3:B556,KB[[#This Row],[RELASI]],$F$3:F556,KB[[#This Row],[TANGGAL]])&lt;&gt;1,0,1)</f>
        <v>0</v>
      </c>
      <c r="E556" s="141" t="str">
        <f>TEXT(IF(KB[[#This Row],[DOC]]&lt;&gt;"",KB[[#This Row],[DOC]],E555),"000")</f>
        <v>038</v>
      </c>
      <c r="F556" s="40">
        <v>43896</v>
      </c>
      <c r="G556" s="40" t="str">
        <f>TYPE</f>
        <v>A</v>
      </c>
      <c r="H556"/>
      <c r="I556" s="42" t="s">
        <v>911</v>
      </c>
      <c r="J556" s="43" t="s">
        <v>95</v>
      </c>
      <c r="K556" s="44">
        <v>1</v>
      </c>
      <c r="L556" s="49">
        <v>6680</v>
      </c>
      <c r="M556" s="49">
        <v>3810</v>
      </c>
      <c r="N556" s="49">
        <v>2870</v>
      </c>
      <c r="O556" s="49">
        <v>6</v>
      </c>
      <c r="P556" s="49">
        <v>172.2</v>
      </c>
      <c r="Q556" s="49">
        <v>2697.8</v>
      </c>
      <c r="R556" s="49">
        <v>2850</v>
      </c>
      <c r="S556" s="49">
        <v>7688730</v>
      </c>
      <c r="T556" s="49">
        <v>14.32</v>
      </c>
      <c r="U556" s="49">
        <v>2864.32</v>
      </c>
      <c r="V556" s="49">
        <v>7727362</v>
      </c>
      <c r="W556" s="49">
        <v>38637</v>
      </c>
      <c r="X556" s="49">
        <v>7688725</v>
      </c>
      <c r="Y556" s="530" t="str">
        <f>IFERROR(IF(FIND("/KM",KB[[#This Row],[SUPPLIER]])&gt;0,"LAUT"),"DARAT")</f>
        <v>LAUT</v>
      </c>
    </row>
    <row r="557" spans="2:25">
      <c r="B557" s="140" t="str">
        <f>IFERROR(LEFT(KB[[#This Row],[SUPPLIER]],FIND("/",KB[[#This Row],[SUPPLIER]])-1),KB[[#This Row],[SUPPLIER]])</f>
        <v>MARTONO</v>
      </c>
      <c r="C557" s="141" t="str">
        <f>TEXT(VLOOKUP(KB[[#This Row],[RELASI]],DBRELASI[[RELASI]:[DOCKB]],10,0)+COUNTIFS($B$2:B557,KB[[#This Row],[RELASI]],$D$2:D557,1),"000")</f>
        <v>040</v>
      </c>
      <c r="D557" s="141">
        <f>IF(COUNTIFS($B$3:B557,KB[[#This Row],[RELASI]],$F$3:F557,KB[[#This Row],[TANGGAL]])&lt;&gt;1,0,1)</f>
        <v>1</v>
      </c>
      <c r="E557" s="141" t="str">
        <f>TEXT(IF(KB[[#This Row],[DOC]]&lt;&gt;"",KB[[#This Row],[DOC]],E556),"000")</f>
        <v>040</v>
      </c>
      <c r="F557" s="40">
        <v>43896</v>
      </c>
      <c r="G557" s="40" t="str">
        <f>TYPE</f>
        <v>A</v>
      </c>
      <c r="H557" s="153" t="s">
        <v>894</v>
      </c>
      <c r="I557" s="42" t="s">
        <v>902</v>
      </c>
      <c r="J557" s="43" t="s">
        <v>83</v>
      </c>
      <c r="K557" s="44">
        <v>1</v>
      </c>
      <c r="L557" s="49">
        <v>5680</v>
      </c>
      <c r="M557" s="49">
        <v>3900</v>
      </c>
      <c r="N557" s="49">
        <v>1780</v>
      </c>
      <c r="O557" s="49">
        <v>6</v>
      </c>
      <c r="P557" s="49">
        <v>106.8</v>
      </c>
      <c r="Q557" s="49">
        <v>1673.2</v>
      </c>
      <c r="R557" s="49">
        <v>2850</v>
      </c>
      <c r="S557" s="49">
        <v>4768620</v>
      </c>
      <c r="T557" s="49">
        <v>14.32</v>
      </c>
      <c r="U557" s="49">
        <v>2864.32</v>
      </c>
      <c r="V557" s="49">
        <v>4792580</v>
      </c>
      <c r="W557" s="49">
        <v>23963</v>
      </c>
      <c r="X557" s="49">
        <v>4768617</v>
      </c>
      <c r="Y557" s="530" t="str">
        <f>IFERROR(IF(FIND("/KM",KB[[#This Row],[SUPPLIER]])&gt;0,"LAUT"),"DARAT")</f>
        <v>LAUT</v>
      </c>
    </row>
    <row r="558" spans="2:25">
      <c r="B558" s="140" t="str">
        <f>IFERROR(LEFT(KB[[#This Row],[SUPPLIER]],FIND("/",KB[[#This Row],[SUPPLIER]])-1),KB[[#This Row],[SUPPLIER]])</f>
        <v>MASRI</v>
      </c>
      <c r="C558" s="141" t="str">
        <f>TEXT(VLOOKUP(KB[[#This Row],[RELASI]],DBRELASI[[RELASI]:[DOCKB]],10,0)+COUNTIFS($B$2:B558,KB[[#This Row],[RELASI]],$D$2:D558,1),"000")</f>
        <v>026</v>
      </c>
      <c r="D558" s="141">
        <f>IF(COUNTIFS($B$3:B558,KB[[#This Row],[RELASI]],$F$3:F558,KB[[#This Row],[TANGGAL]])&lt;&gt;1,0,1)</f>
        <v>1</v>
      </c>
      <c r="E558" s="141" t="str">
        <f>TEXT(IF(KB[[#This Row],[DOC]]&lt;&gt;"",KB[[#This Row],[DOC]],E557),"000")</f>
        <v>026</v>
      </c>
      <c r="F558" s="40">
        <v>43896</v>
      </c>
      <c r="G558" s="40" t="str">
        <f>TYPE</f>
        <v>A</v>
      </c>
      <c r="H558" s="154" t="s">
        <v>852</v>
      </c>
      <c r="I558" s="46" t="s">
        <v>802</v>
      </c>
      <c r="J558" s="47" t="s">
        <v>511</v>
      </c>
      <c r="K558" s="48">
        <v>8</v>
      </c>
      <c r="L558" s="49">
        <v>65270</v>
      </c>
      <c r="M558" s="49">
        <v>31180</v>
      </c>
      <c r="N558" s="49">
        <v>34090</v>
      </c>
      <c r="O558" s="49">
        <v>6.0000000000000009</v>
      </c>
      <c r="P558" s="49">
        <v>2045.4</v>
      </c>
      <c r="Q558" s="49">
        <v>32044.599999999995</v>
      </c>
      <c r="R558" s="49">
        <v>3200.0000000000005</v>
      </c>
      <c r="S558" s="49">
        <v>102542720</v>
      </c>
      <c r="T558" s="49">
        <v>16.079999999999998</v>
      </c>
      <c r="U558" s="49">
        <v>3216.0800000000004</v>
      </c>
      <c r="V558" s="49">
        <v>103057997</v>
      </c>
      <c r="W558" s="49">
        <v>515291</v>
      </c>
      <c r="X558" s="49">
        <v>102542706</v>
      </c>
      <c r="Y558" s="574" t="str">
        <f>IFERROR(IF(FIND("/KM",KB[[#This Row],[SUPPLIER]])&gt;0,"LAUT"),"DARAT")</f>
        <v>LAUT</v>
      </c>
    </row>
    <row r="559" spans="2:25">
      <c r="B559" s="140" t="str">
        <f>IFERROR(LEFT(KB[[#This Row],[SUPPLIER]],FIND("/",KB[[#This Row],[SUPPLIER]])-1),KB[[#This Row],[SUPPLIER]])</f>
        <v>ERAWATI</v>
      </c>
      <c r="C559" s="141" t="str">
        <f>TEXT(VLOOKUP(KB[[#This Row],[RELASI]],DBRELASI[[RELASI]:[DOCKB]],10,0)+COUNTIFS($B$2:B559,KB[[#This Row],[RELASI]],$D$2:D559,1),"000")</f>
        <v>049</v>
      </c>
      <c r="D559" s="141">
        <f>IF(COUNTIFS($B$3:B559,KB[[#This Row],[RELASI]],$F$3:F559,KB[[#This Row],[TANGGAL]])&lt;&gt;1,0,1)</f>
        <v>1</v>
      </c>
      <c r="E559" s="141" t="str">
        <f>TEXT(IF(KB[[#This Row],[DOC]]&lt;&gt;"",KB[[#This Row],[DOC]],E558),"000")</f>
        <v>049</v>
      </c>
      <c r="F559" s="40">
        <v>43897</v>
      </c>
      <c r="G559" s="40" t="str">
        <f>TYPE</f>
        <v>A</v>
      </c>
      <c r="H559" s="153" t="s">
        <v>912</v>
      </c>
      <c r="I559" s="42" t="s">
        <v>155</v>
      </c>
      <c r="J559" s="43" t="s">
        <v>77</v>
      </c>
      <c r="K559" s="44">
        <v>1</v>
      </c>
      <c r="L559" s="49">
        <v>10130</v>
      </c>
      <c r="M559" s="49">
        <v>8310</v>
      </c>
      <c r="N559" s="49">
        <v>1820</v>
      </c>
      <c r="O559" s="49">
        <v>5</v>
      </c>
      <c r="P559" s="49">
        <v>91</v>
      </c>
      <c r="Q559" s="49">
        <v>1729</v>
      </c>
      <c r="R559" s="49">
        <v>2900</v>
      </c>
      <c r="S559" s="49">
        <v>5014100</v>
      </c>
      <c r="T559" s="49">
        <v>14.57</v>
      </c>
      <c r="U559" s="49">
        <v>2914.57</v>
      </c>
      <c r="V559" s="49">
        <v>5039292</v>
      </c>
      <c r="W559" s="49">
        <v>25196</v>
      </c>
      <c r="X559" s="49">
        <v>5014096</v>
      </c>
      <c r="Y559" s="530" t="str">
        <f>IFERROR(IF(FIND("/KM",KB[[#This Row],[SUPPLIER]])&gt;0,"LAUT"),"DARAT")</f>
        <v>DARAT</v>
      </c>
    </row>
    <row r="560" spans="2:25">
      <c r="B560" s="140" t="str">
        <f>IFERROR(LEFT(KB[[#This Row],[SUPPLIER]],FIND("/",KB[[#This Row],[SUPPLIER]])-1),KB[[#This Row],[SUPPLIER]])</f>
        <v>RUSLAN JAYA, SH</v>
      </c>
      <c r="C560" s="141" t="str">
        <f>TEXT(VLOOKUP(KB[[#This Row],[RELASI]],DBRELASI[[RELASI]:[DOCKB]],10,0)+COUNTIFS($B$2:B560,KB[[#This Row],[RELASI]],$D$2:D560,1),"000")</f>
        <v>037</v>
      </c>
      <c r="D560" s="141">
        <f>IF(COUNTIFS($B$3:B560,KB[[#This Row],[RELASI]],$F$3:F560,KB[[#This Row],[TANGGAL]])&lt;&gt;1,0,1)</f>
        <v>1</v>
      </c>
      <c r="E560" s="141" t="str">
        <f>TEXT(IF(KB[[#This Row],[DOC]]&lt;&gt;"",KB[[#This Row],[DOC]],E559),"000")</f>
        <v>037</v>
      </c>
      <c r="F560" s="40">
        <v>43897</v>
      </c>
      <c r="G560" s="40" t="str">
        <f>TYPE</f>
        <v>A</v>
      </c>
      <c r="H560" s="153" t="s">
        <v>889</v>
      </c>
      <c r="I560" s="42" t="s">
        <v>479</v>
      </c>
      <c r="J560" s="43" t="s">
        <v>475</v>
      </c>
      <c r="K560" s="44">
        <v>5</v>
      </c>
      <c r="L560" s="49">
        <v>33510</v>
      </c>
      <c r="M560" s="49">
        <v>19880</v>
      </c>
      <c r="N560" s="49">
        <v>13630</v>
      </c>
      <c r="O560" s="49">
        <v>5</v>
      </c>
      <c r="P560" s="49">
        <v>681.5</v>
      </c>
      <c r="Q560" s="49">
        <v>12948.5</v>
      </c>
      <c r="R560" s="49">
        <v>2900</v>
      </c>
      <c r="S560" s="49">
        <v>37550650</v>
      </c>
      <c r="T560" s="49">
        <v>14.57</v>
      </c>
      <c r="U560" s="49">
        <v>2914.57</v>
      </c>
      <c r="V560" s="49">
        <v>37739309</v>
      </c>
      <c r="W560" s="49">
        <v>188696</v>
      </c>
      <c r="X560" s="49">
        <v>37550613</v>
      </c>
      <c r="Y560" s="530" t="str">
        <f>IFERROR(IF(FIND("/KM",KB[[#This Row],[SUPPLIER]])&gt;0,"LAUT"),"DARAT")</f>
        <v>DARAT</v>
      </c>
    </row>
    <row r="561" spans="2:25">
      <c r="B561" s="140" t="str">
        <f>IFERROR(LEFT(KB[[#This Row],[SUPPLIER]],FIND("/",KB[[#This Row],[SUPPLIER]])-1),KB[[#This Row],[SUPPLIER]])</f>
        <v>MASRI</v>
      </c>
      <c r="C561" s="141" t="str">
        <f>TEXT(VLOOKUP(KB[[#This Row],[RELASI]],DBRELASI[[RELASI]:[DOCKB]],10,0)+COUNTIFS($B$2:B561,KB[[#This Row],[RELASI]],$D$2:D561,1),"000")</f>
        <v>027</v>
      </c>
      <c r="D561" s="141">
        <f>IF(COUNTIFS($B$3:B561,KB[[#This Row],[RELASI]],$F$3:F561,KB[[#This Row],[TANGGAL]])&lt;&gt;1,0,1)</f>
        <v>1</v>
      </c>
      <c r="E561" s="141" t="str">
        <f>TEXT(IF(KB[[#This Row],[DOC]]&lt;&gt;"",KB[[#This Row],[DOC]],E560),"000")</f>
        <v>027</v>
      </c>
      <c r="F561" s="40">
        <v>43897</v>
      </c>
      <c r="G561" s="40" t="str">
        <f>TYPE</f>
        <v>A</v>
      </c>
      <c r="H561" s="154" t="s">
        <v>853</v>
      </c>
      <c r="I561" s="46" t="s">
        <v>802</v>
      </c>
      <c r="J561" s="47" t="s">
        <v>511</v>
      </c>
      <c r="K561" s="48">
        <v>11</v>
      </c>
      <c r="L561" s="49">
        <v>89730</v>
      </c>
      <c r="M561" s="49">
        <v>42750</v>
      </c>
      <c r="N561" s="49">
        <v>46980</v>
      </c>
      <c r="O561" s="49">
        <v>7.2447850148999562</v>
      </c>
      <c r="P561" s="49">
        <v>3403.5999999999995</v>
      </c>
      <c r="Q561" s="49">
        <v>43576.400000000009</v>
      </c>
      <c r="R561" s="49">
        <v>3199.9999999999995</v>
      </c>
      <c r="S561" s="49">
        <v>139444480</v>
      </c>
      <c r="T561" s="49">
        <v>16.079999999999998</v>
      </c>
      <c r="U561" s="49">
        <v>3216.0799999999995</v>
      </c>
      <c r="V561" s="49">
        <v>140145189</v>
      </c>
      <c r="W561" s="49">
        <v>700727</v>
      </c>
      <c r="X561" s="49">
        <v>139444462</v>
      </c>
      <c r="Y561" s="574" t="str">
        <f>IFERROR(IF(FIND("/KM",KB[[#This Row],[SUPPLIER]])&gt;0,"LAUT"),"DARAT")</f>
        <v>LAUT</v>
      </c>
    </row>
    <row r="562" spans="2:25">
      <c r="B562" s="140" t="str">
        <f>IFERROR(LEFT(KB[[#This Row],[SUPPLIER]],FIND("/",KB[[#This Row],[SUPPLIER]])-1),KB[[#This Row],[SUPPLIER]])</f>
        <v>ERAWATI</v>
      </c>
      <c r="C562" s="141" t="str">
        <f>TEXT(VLOOKUP(KB[[#This Row],[RELASI]],DBRELASI[[RELASI]:[DOCKB]],10,0)+COUNTIFS($B$2:B562,KB[[#This Row],[RELASI]],$D$2:D562,1),"000")</f>
        <v>050</v>
      </c>
      <c r="D562" s="141">
        <f>IF(COUNTIFS($B$3:B562,KB[[#This Row],[RELASI]],$F$3:F562,KB[[#This Row],[TANGGAL]])&lt;&gt;1,0,1)</f>
        <v>1</v>
      </c>
      <c r="E562" s="141" t="str">
        <f>TEXT(IF(KB[[#This Row],[DOC]]&lt;&gt;"",KB[[#This Row],[DOC]],E561),"000")</f>
        <v>050</v>
      </c>
      <c r="F562" s="40">
        <v>43899</v>
      </c>
      <c r="G562" s="40" t="str">
        <f>TYPE</f>
        <v>A</v>
      </c>
      <c r="H562" s="153" t="s">
        <v>913</v>
      </c>
      <c r="I562" s="42" t="s">
        <v>155</v>
      </c>
      <c r="J562" s="43" t="s">
        <v>77</v>
      </c>
      <c r="K562" s="44">
        <v>2</v>
      </c>
      <c r="L562" s="49">
        <v>21910</v>
      </c>
      <c r="M562" s="49">
        <v>9130</v>
      </c>
      <c r="N562" s="49">
        <v>12780</v>
      </c>
      <c r="O562" s="49">
        <v>5.4593114241001572</v>
      </c>
      <c r="P562" s="49">
        <v>697.7</v>
      </c>
      <c r="Q562" s="49">
        <v>12082.3</v>
      </c>
      <c r="R562" s="49">
        <v>2900</v>
      </c>
      <c r="S562" s="49">
        <v>35038670</v>
      </c>
      <c r="T562" s="49">
        <v>14.57</v>
      </c>
      <c r="U562" s="49">
        <v>2914.57</v>
      </c>
      <c r="V562" s="49">
        <v>35214709</v>
      </c>
      <c r="W562" s="49">
        <v>176073</v>
      </c>
      <c r="X562" s="49">
        <v>35038636</v>
      </c>
      <c r="Y562" s="530" t="str">
        <f>IFERROR(IF(FIND("/KM",KB[[#This Row],[SUPPLIER]])&gt;0,"LAUT"),"DARAT")</f>
        <v>DARAT</v>
      </c>
    </row>
    <row r="563" spans="2:25">
      <c r="B563" s="140" t="str">
        <f>IFERROR(LEFT(KB[[#This Row],[SUPPLIER]],FIND("/",KB[[#This Row],[SUPPLIER]])-1),KB[[#This Row],[SUPPLIER]])</f>
        <v>INDRAYANI</v>
      </c>
      <c r="C563" s="141" t="str">
        <f>TEXT(VLOOKUP(KB[[#This Row],[RELASI]],DBRELASI[[RELASI]:[DOCKB]],10,0)+COUNTIFS($B$2:B563,KB[[#This Row],[RELASI]],$D$2:D563,1),"000")</f>
        <v>045</v>
      </c>
      <c r="D563" s="141">
        <f>IF(COUNTIFS($B$3:B563,KB[[#This Row],[RELASI]],$F$3:F563,KB[[#This Row],[TANGGAL]])&lt;&gt;1,0,1)</f>
        <v>1</v>
      </c>
      <c r="E563" s="141" t="str">
        <f>TEXT(IF(KB[[#This Row],[DOC]]&lt;&gt;"",KB[[#This Row],[DOC]],E562),"000")</f>
        <v>045</v>
      </c>
      <c r="F563" s="40">
        <v>43899</v>
      </c>
      <c r="G563" s="40" t="str">
        <f>TYPE</f>
        <v>A</v>
      </c>
      <c r="H563" s="153" t="s">
        <v>907</v>
      </c>
      <c r="I563" s="42" t="s">
        <v>79</v>
      </c>
      <c r="J563" s="43" t="s">
        <v>77</v>
      </c>
      <c r="K563" s="44">
        <v>1</v>
      </c>
      <c r="L563" s="49">
        <v>9420</v>
      </c>
      <c r="M563" s="49">
        <v>6470</v>
      </c>
      <c r="N563" s="49">
        <v>2950</v>
      </c>
      <c r="O563" s="49">
        <v>5</v>
      </c>
      <c r="P563" s="49">
        <v>147.5</v>
      </c>
      <c r="Q563" s="49">
        <v>2802.5</v>
      </c>
      <c r="R563" s="49">
        <v>3000</v>
      </c>
      <c r="S563" s="49">
        <v>8407500</v>
      </c>
      <c r="T563" s="49">
        <v>15.08</v>
      </c>
      <c r="U563" s="49">
        <v>3015.08</v>
      </c>
      <c r="V563" s="49">
        <v>8449762</v>
      </c>
      <c r="W563" s="49">
        <v>42249</v>
      </c>
      <c r="X563" s="49">
        <v>8407513</v>
      </c>
      <c r="Y563" s="530" t="str">
        <f>IFERROR(IF(FIND("/KM",KB[[#This Row],[SUPPLIER]])&gt;0,"LAUT"),"DARAT")</f>
        <v>DARAT</v>
      </c>
    </row>
    <row r="564" spans="2:25">
      <c r="B564" s="140" t="str">
        <f>IFERROR(LEFT(KB[[#This Row],[SUPPLIER]],FIND("/",KB[[#This Row],[SUPPLIER]])-1),KB[[#This Row],[SUPPLIER]])</f>
        <v>RUSLAN JAYA, SH</v>
      </c>
      <c r="C564" s="141" t="str">
        <f>TEXT(VLOOKUP(KB[[#This Row],[RELASI]],DBRELASI[[RELASI]:[DOCKB]],10,0)+COUNTIFS($B$2:B564,KB[[#This Row],[RELASI]],$D$2:D564,1),"000")</f>
        <v>038</v>
      </c>
      <c r="D564" s="141">
        <f>IF(COUNTIFS($B$3:B564,KB[[#This Row],[RELASI]],$F$3:F564,KB[[#This Row],[TANGGAL]])&lt;&gt;1,0,1)</f>
        <v>1</v>
      </c>
      <c r="E564" s="141" t="str">
        <f>TEXT(IF(KB[[#This Row],[DOC]]&lt;&gt;"",KB[[#This Row],[DOC]],E563),"000")</f>
        <v>038</v>
      </c>
      <c r="F564" s="40">
        <v>43899</v>
      </c>
      <c r="G564" s="40" t="str">
        <f>TYPE</f>
        <v>A</v>
      </c>
      <c r="H564" s="153" t="s">
        <v>890</v>
      </c>
      <c r="I564" s="42" t="s">
        <v>479</v>
      </c>
      <c r="J564" s="43" t="s">
        <v>475</v>
      </c>
      <c r="K564" s="44">
        <v>6</v>
      </c>
      <c r="L564" s="49">
        <v>59130</v>
      </c>
      <c r="M564" s="49">
        <v>23890</v>
      </c>
      <c r="N564" s="49">
        <v>35240</v>
      </c>
      <c r="O564" s="49">
        <v>5.1583427922814984</v>
      </c>
      <c r="P564" s="49">
        <v>1817.8</v>
      </c>
      <c r="Q564" s="49">
        <v>33422.199999999997</v>
      </c>
      <c r="R564" s="49">
        <v>2900.0000000000005</v>
      </c>
      <c r="S564" s="49">
        <v>96924380</v>
      </c>
      <c r="T564" s="49">
        <v>14.57</v>
      </c>
      <c r="U564" s="49">
        <v>2914.5700000000006</v>
      </c>
      <c r="V564" s="49">
        <v>97411342</v>
      </c>
      <c r="W564" s="49">
        <v>487057</v>
      </c>
      <c r="X564" s="49">
        <v>96924285</v>
      </c>
      <c r="Y564" s="530" t="str">
        <f>IFERROR(IF(FIND("/KM",KB[[#This Row],[SUPPLIER]])&gt;0,"LAUT"),"DARAT")</f>
        <v>DARAT</v>
      </c>
    </row>
    <row r="565" spans="2:25">
      <c r="B565" s="140" t="str">
        <f>IFERROR(LEFT(KB[[#This Row],[SUPPLIER]],FIND("/",KB[[#This Row],[SUPPLIER]])-1),KB[[#This Row],[SUPPLIER]])</f>
        <v>YANADI</v>
      </c>
      <c r="C565" s="141" t="str">
        <f>TEXT(VLOOKUP(KB[[#This Row],[RELASI]],DBRELASI[[RELASI]:[DOCKB]],10,0)+COUNTIFS($B$2:B565,KB[[#This Row],[RELASI]],$D$2:D565,1),"000")</f>
        <v>039</v>
      </c>
      <c r="D565" s="141">
        <f>IF(COUNTIFS($B$3:B565,KB[[#This Row],[RELASI]],$F$3:F565,KB[[#This Row],[TANGGAL]])&lt;&gt;1,0,1)</f>
        <v>1</v>
      </c>
      <c r="E565" s="141" t="str">
        <f>TEXT(IF(KB[[#This Row],[DOC]]&lt;&gt;"",KB[[#This Row],[DOC]],E564),"000")</f>
        <v>039</v>
      </c>
      <c r="F565" s="40">
        <v>43899</v>
      </c>
      <c r="G565" s="40" t="str">
        <f>TYPE</f>
        <v>A</v>
      </c>
      <c r="H565" s="153" t="s">
        <v>893</v>
      </c>
      <c r="I565" s="42" t="s">
        <v>137</v>
      </c>
      <c r="J565" s="43" t="s">
        <v>74</v>
      </c>
      <c r="K565" s="44">
        <v>3</v>
      </c>
      <c r="L565" s="49">
        <v>36620</v>
      </c>
      <c r="M565" s="49">
        <v>12570</v>
      </c>
      <c r="N565" s="49">
        <v>24050</v>
      </c>
      <c r="O565" s="49">
        <v>5</v>
      </c>
      <c r="P565" s="49">
        <v>1202.5</v>
      </c>
      <c r="Q565" s="49">
        <v>22847.5</v>
      </c>
      <c r="R565" s="49">
        <v>2900</v>
      </c>
      <c r="S565" s="49">
        <v>66257750</v>
      </c>
      <c r="T565" s="49">
        <v>14.57</v>
      </c>
      <c r="U565" s="49">
        <v>2914.57</v>
      </c>
      <c r="V565" s="49">
        <v>66590638</v>
      </c>
      <c r="W565" s="49">
        <v>332953</v>
      </c>
      <c r="X565" s="49">
        <v>66257685</v>
      </c>
      <c r="Y565" s="530" t="str">
        <f>IFERROR(IF(FIND("/KM",KB[[#This Row],[SUPPLIER]])&gt;0,"LAUT"),"DARAT")</f>
        <v>DARAT</v>
      </c>
    </row>
    <row r="566" spans="2:25">
      <c r="B566" s="140" t="str">
        <f>IFERROR(LEFT(KB[[#This Row],[SUPPLIER]],FIND("/",KB[[#This Row],[SUPPLIER]])-1),KB[[#This Row],[SUPPLIER]])</f>
        <v>YANADI</v>
      </c>
      <c r="C566" s="141" t="str">
        <f>TEXT(VLOOKUP(KB[[#This Row],[RELASI]],DBRELASI[[RELASI]:[DOCKB]],10,0)+COUNTIFS($B$2:B566,KB[[#This Row],[RELASI]],$D$2:D566,1),"000")</f>
        <v>039</v>
      </c>
      <c r="D566" s="141">
        <f>IF(COUNTIFS($B$3:B566,KB[[#This Row],[RELASI]],$F$3:F566,KB[[#This Row],[TANGGAL]])&lt;&gt;1,0,1)</f>
        <v>0</v>
      </c>
      <c r="E566" s="141" t="str">
        <f>TEXT(IF(KB[[#This Row],[DOC]]&lt;&gt;"",KB[[#This Row],[DOC]],E565),"000")</f>
        <v>039</v>
      </c>
      <c r="F566" s="40">
        <v>43899</v>
      </c>
      <c r="G566" s="40" t="str">
        <f>TYPE</f>
        <v>A</v>
      </c>
      <c r="H566"/>
      <c r="I566" s="42" t="s">
        <v>768</v>
      </c>
      <c r="J566" s="43" t="s">
        <v>74</v>
      </c>
      <c r="K566" s="44">
        <v>1</v>
      </c>
      <c r="L566" s="49">
        <v>8740</v>
      </c>
      <c r="M566" s="49">
        <v>3850</v>
      </c>
      <c r="N566" s="49">
        <v>4890</v>
      </c>
      <c r="O566" s="49">
        <v>6</v>
      </c>
      <c r="P566" s="49">
        <v>293.39999999999998</v>
      </c>
      <c r="Q566" s="49">
        <v>4596.6000000000004</v>
      </c>
      <c r="R566" s="49">
        <v>2850</v>
      </c>
      <c r="S566" s="49">
        <v>13100310</v>
      </c>
      <c r="T566" s="49">
        <v>14.32</v>
      </c>
      <c r="U566" s="49">
        <v>2864.32</v>
      </c>
      <c r="V566" s="49">
        <v>13166133</v>
      </c>
      <c r="W566" s="49">
        <v>65831</v>
      </c>
      <c r="X566" s="49">
        <v>13100302</v>
      </c>
      <c r="Y566" s="530" t="str">
        <f>IFERROR(IF(FIND("/KM",KB[[#This Row],[SUPPLIER]])&gt;0,"LAUT"),"DARAT")</f>
        <v>LAUT</v>
      </c>
    </row>
    <row r="567" spans="2:25">
      <c r="B567" s="140" t="str">
        <f>IFERROR(LEFT(KB[[#This Row],[SUPPLIER]],FIND("/",KB[[#This Row],[SUPPLIER]])-1),KB[[#This Row],[SUPPLIER]])</f>
        <v>YANADI</v>
      </c>
      <c r="C567" s="141" t="str">
        <f>TEXT(VLOOKUP(KB[[#This Row],[RELASI]],DBRELASI[[RELASI]:[DOCKB]],10,0)+COUNTIFS($B$2:B567,KB[[#This Row],[RELASI]],$D$2:D567,1),"000")</f>
        <v>039</v>
      </c>
      <c r="D567" s="141">
        <f>IF(COUNTIFS($B$3:B567,KB[[#This Row],[RELASI]],$F$3:F567,KB[[#This Row],[TANGGAL]])&lt;&gt;1,0,1)</f>
        <v>0</v>
      </c>
      <c r="E567" s="141" t="str">
        <f>TEXT(IF(KB[[#This Row],[DOC]]&lt;&gt;"",KB[[#This Row],[DOC]],E566),"000")</f>
        <v>039</v>
      </c>
      <c r="F567" s="40">
        <v>43899</v>
      </c>
      <c r="G567" s="40" t="str">
        <f>TYPE</f>
        <v>A</v>
      </c>
      <c r="H567"/>
      <c r="I567" s="42" t="s">
        <v>824</v>
      </c>
      <c r="J567" s="43" t="s">
        <v>74</v>
      </c>
      <c r="K567" s="44">
        <v>2</v>
      </c>
      <c r="L567" s="49">
        <v>15100</v>
      </c>
      <c r="M567" s="49">
        <v>7790</v>
      </c>
      <c r="N567" s="49">
        <v>7310</v>
      </c>
      <c r="O567" s="49">
        <v>6.0000000000000009</v>
      </c>
      <c r="P567" s="49">
        <v>438.6</v>
      </c>
      <c r="Q567" s="49">
        <v>6871.4</v>
      </c>
      <c r="R567" s="49">
        <v>2850</v>
      </c>
      <c r="S567" s="49">
        <v>19583490</v>
      </c>
      <c r="T567" s="49">
        <v>14.32</v>
      </c>
      <c r="U567" s="49">
        <v>2864.32</v>
      </c>
      <c r="V567" s="49">
        <v>19681888</v>
      </c>
      <c r="W567" s="49">
        <v>98409</v>
      </c>
      <c r="X567" s="49">
        <v>19583479</v>
      </c>
      <c r="Y567" s="530" t="str">
        <f>IFERROR(IF(FIND("/KM",KB[[#This Row],[SUPPLIER]])&gt;0,"LAUT"),"DARAT")</f>
        <v>LAUT</v>
      </c>
    </row>
    <row r="568" spans="2:25">
      <c r="B568" s="140" t="str">
        <f>IFERROR(LEFT(KB[[#This Row],[SUPPLIER]],FIND("/",KB[[#This Row],[SUPPLIER]])-1),KB[[#This Row],[SUPPLIER]])</f>
        <v>HENDRI</v>
      </c>
      <c r="C568" s="141" t="str">
        <f>TEXT(VLOOKUP(KB[[#This Row],[RELASI]],DBRELASI[[RELASI]:[DOCKB]],10,0)+COUNTIFS($B$2:B568,KB[[#This Row],[RELASI]],$D$2:D568,1),"000")</f>
        <v>027</v>
      </c>
      <c r="D568" s="141">
        <f>IF(COUNTIFS($B$3:B568,KB[[#This Row],[RELASI]],$F$3:F568,KB[[#This Row],[TANGGAL]])&lt;&gt;1,0,1)</f>
        <v>1</v>
      </c>
      <c r="E568" s="141" t="str">
        <f>TEXT(IF(KB[[#This Row],[DOC]]&lt;&gt;"",KB[[#This Row],[DOC]],E567),"000")</f>
        <v>027</v>
      </c>
      <c r="F568" s="40">
        <v>43899</v>
      </c>
      <c r="G568" s="40" t="str">
        <f>TYPE</f>
        <v>A</v>
      </c>
      <c r="H568" s="154" t="s">
        <v>853</v>
      </c>
      <c r="I568" s="46" t="s">
        <v>518</v>
      </c>
      <c r="J568" s="47" t="s">
        <v>475</v>
      </c>
      <c r="K568" s="48">
        <v>1</v>
      </c>
      <c r="L568" s="49">
        <v>7360</v>
      </c>
      <c r="M568" s="49">
        <v>3880</v>
      </c>
      <c r="N568" s="49">
        <v>3480</v>
      </c>
      <c r="O568" s="49">
        <v>6</v>
      </c>
      <c r="P568" s="49">
        <v>208.79999999999998</v>
      </c>
      <c r="Q568" s="49">
        <v>3271.2</v>
      </c>
      <c r="R568" s="49">
        <v>2950</v>
      </c>
      <c r="S568" s="49">
        <v>9650040</v>
      </c>
      <c r="T568" s="49">
        <v>14.82</v>
      </c>
      <c r="U568" s="49">
        <v>2964.82</v>
      </c>
      <c r="V568" s="49">
        <v>9698519</v>
      </c>
      <c r="W568" s="49">
        <v>48493</v>
      </c>
      <c r="X568" s="49">
        <v>9650026</v>
      </c>
      <c r="Y568" s="574" t="str">
        <f>IFERROR(IF(FIND("/KM",KB[[#This Row],[SUPPLIER]])&gt;0,"LAUT"),"DARAT")</f>
        <v>LAUT</v>
      </c>
    </row>
    <row r="569" spans="2:25">
      <c r="B569" s="140" t="str">
        <f>IFERROR(LEFT(KB[[#This Row],[SUPPLIER]],FIND("/",KB[[#This Row],[SUPPLIER]])-1),KB[[#This Row],[SUPPLIER]])</f>
        <v>MARTONO</v>
      </c>
      <c r="C569" s="141" t="str">
        <f>TEXT(VLOOKUP(KB[[#This Row],[RELASI]],DBRELASI[[RELASI]:[DOCKB]],10,0)+COUNTIFS($B$2:B569,KB[[#This Row],[RELASI]],$D$2:D569,1),"000")</f>
        <v>041</v>
      </c>
      <c r="D569" s="141">
        <f>IF(COUNTIFS($B$3:B569,KB[[#This Row],[RELASI]],$F$3:F569,KB[[#This Row],[TANGGAL]])&lt;&gt;1,0,1)</f>
        <v>1</v>
      </c>
      <c r="E569" s="141" t="str">
        <f>TEXT(IF(KB[[#This Row],[DOC]]&lt;&gt;"",KB[[#This Row],[DOC]],E568),"000")</f>
        <v>041</v>
      </c>
      <c r="F569" s="40">
        <v>43899</v>
      </c>
      <c r="G569" s="40" t="str">
        <f>TYPE</f>
        <v>A</v>
      </c>
      <c r="H569" s="153" t="s">
        <v>895</v>
      </c>
      <c r="I569" s="42" t="s">
        <v>509</v>
      </c>
      <c r="J569" s="43" t="s">
        <v>83</v>
      </c>
      <c r="K569" s="44">
        <v>1</v>
      </c>
      <c r="L569" s="49">
        <v>6120</v>
      </c>
      <c r="M569" s="49">
        <v>3890</v>
      </c>
      <c r="N569" s="49">
        <v>2230</v>
      </c>
      <c r="O569" s="49">
        <v>5.9999999999999991</v>
      </c>
      <c r="P569" s="49">
        <v>133.79999999999998</v>
      </c>
      <c r="Q569" s="49">
        <v>2096.1999999999998</v>
      </c>
      <c r="R569" s="49">
        <v>2850.0000000000005</v>
      </c>
      <c r="S569" s="49">
        <v>5974170</v>
      </c>
      <c r="T569" s="49">
        <v>14.32</v>
      </c>
      <c r="U569" s="49">
        <v>2864.3200000000006</v>
      </c>
      <c r="V569" s="49">
        <v>6004188</v>
      </c>
      <c r="W569" s="49">
        <v>30021</v>
      </c>
      <c r="X569" s="49">
        <v>5974167</v>
      </c>
      <c r="Y569" s="530" t="str">
        <f>IFERROR(IF(FIND("/KM",KB[[#This Row],[SUPPLIER]])&gt;0,"LAUT"),"DARAT")</f>
        <v>LAUT</v>
      </c>
    </row>
    <row r="570" spans="2:25">
      <c r="B570" s="140" t="str">
        <f>IFERROR(LEFT(KB[[#This Row],[SUPPLIER]],FIND("/",KB[[#This Row],[SUPPLIER]])-1),KB[[#This Row],[SUPPLIER]])</f>
        <v>ERAWATI</v>
      </c>
      <c r="C570" s="141" t="str">
        <f>TEXT(VLOOKUP(KB[[#This Row],[RELASI]],DBRELASI[[RELASI]:[DOCKB]],10,0)+COUNTIFS($B$2:B570,KB[[#This Row],[RELASI]],$D$2:D570,1),"000")</f>
        <v>051</v>
      </c>
      <c r="D570" s="141">
        <f>IF(COUNTIFS($B$3:B570,KB[[#This Row],[RELASI]],$F$3:F570,KB[[#This Row],[TANGGAL]])&lt;&gt;1,0,1)</f>
        <v>1</v>
      </c>
      <c r="E570" s="141" t="str">
        <f>TEXT(IF(KB[[#This Row],[DOC]]&lt;&gt;"",KB[[#This Row],[DOC]],E569),"000")</f>
        <v>051</v>
      </c>
      <c r="F570" s="40">
        <v>43900</v>
      </c>
      <c r="G570" s="40" t="str">
        <f>TYPE</f>
        <v>A</v>
      </c>
      <c r="H570" s="153" t="s">
        <v>914</v>
      </c>
      <c r="I570" s="42" t="s">
        <v>155</v>
      </c>
      <c r="J570" s="43" t="s">
        <v>77</v>
      </c>
      <c r="K570" s="44">
        <v>1</v>
      </c>
      <c r="L570" s="49">
        <v>12560</v>
      </c>
      <c r="M570" s="49">
        <v>4420</v>
      </c>
      <c r="N570" s="49">
        <v>8140</v>
      </c>
      <c r="O570" s="49">
        <v>5</v>
      </c>
      <c r="P570" s="49">
        <v>407</v>
      </c>
      <c r="Q570" s="49">
        <v>7733</v>
      </c>
      <c r="R570" s="49">
        <v>2900</v>
      </c>
      <c r="S570" s="49">
        <v>22425700</v>
      </c>
      <c r="T570" s="49">
        <v>14.57</v>
      </c>
      <c r="U570" s="49">
        <v>2914.57</v>
      </c>
      <c r="V570" s="49">
        <v>22538370</v>
      </c>
      <c r="W570" s="49">
        <v>112692</v>
      </c>
      <c r="X570" s="49">
        <v>22425678</v>
      </c>
      <c r="Y570" s="530" t="str">
        <f>IFERROR(IF(FIND("/KM",KB[[#This Row],[SUPPLIER]])&gt;0,"LAUT"),"DARAT")</f>
        <v>DARAT</v>
      </c>
    </row>
    <row r="571" spans="2:25">
      <c r="B571" s="140" t="str">
        <f>IFERROR(LEFT(KB[[#This Row],[SUPPLIER]],FIND("/",KB[[#This Row],[SUPPLIER]])-1),KB[[#This Row],[SUPPLIER]])</f>
        <v>INDRAYANI</v>
      </c>
      <c r="C571" s="141" t="str">
        <f>TEXT(VLOOKUP(KB[[#This Row],[RELASI]],DBRELASI[[RELASI]:[DOCKB]],10,0)+COUNTIFS($B$2:B571,KB[[#This Row],[RELASI]],$D$2:D571,1),"000")</f>
        <v>046</v>
      </c>
      <c r="D571" s="141">
        <f>IF(COUNTIFS($B$3:B571,KB[[#This Row],[RELASI]],$F$3:F571,KB[[#This Row],[TANGGAL]])&lt;&gt;1,0,1)</f>
        <v>1</v>
      </c>
      <c r="E571" s="141" t="str">
        <f>TEXT(IF(KB[[#This Row],[DOC]]&lt;&gt;"",KB[[#This Row],[DOC]],E570),"000")</f>
        <v>046</v>
      </c>
      <c r="F571" s="40">
        <v>43900</v>
      </c>
      <c r="G571" s="40" t="str">
        <f>TYPE</f>
        <v>A</v>
      </c>
      <c r="H571" s="153" t="s">
        <v>908</v>
      </c>
      <c r="I571" s="42" t="s">
        <v>79</v>
      </c>
      <c r="J571" s="43" t="s">
        <v>77</v>
      </c>
      <c r="K571" s="44">
        <v>1</v>
      </c>
      <c r="L571" s="49">
        <v>7520</v>
      </c>
      <c r="M571" s="49">
        <v>3450</v>
      </c>
      <c r="N571" s="49">
        <v>4070</v>
      </c>
      <c r="O571" s="49">
        <v>5</v>
      </c>
      <c r="P571" s="49">
        <v>203.5</v>
      </c>
      <c r="Q571" s="49">
        <v>3866.5</v>
      </c>
      <c r="R571" s="49">
        <v>3000</v>
      </c>
      <c r="S571" s="49">
        <v>11599500</v>
      </c>
      <c r="T571" s="49">
        <v>15.08</v>
      </c>
      <c r="U571" s="49">
        <v>3015.08</v>
      </c>
      <c r="V571" s="49">
        <v>11657807</v>
      </c>
      <c r="W571" s="49">
        <v>58289</v>
      </c>
      <c r="X571" s="49">
        <v>11599518</v>
      </c>
      <c r="Y571" s="530" t="str">
        <f>IFERROR(IF(FIND("/KM",KB[[#This Row],[SUPPLIER]])&gt;0,"LAUT"),"DARAT")</f>
        <v>DARAT</v>
      </c>
    </row>
    <row r="572" spans="2:25">
      <c r="B572" s="140" t="str">
        <f>IFERROR(LEFT(KB[[#This Row],[SUPPLIER]],FIND("/",KB[[#This Row],[SUPPLIER]])-1),KB[[#This Row],[SUPPLIER]])</f>
        <v>RUSLAN JAYA, SH</v>
      </c>
      <c r="C572" s="141" t="str">
        <f>TEXT(VLOOKUP(KB[[#This Row],[RELASI]],DBRELASI[[RELASI]:[DOCKB]],10,0)+COUNTIFS($B$2:B572,KB[[#This Row],[RELASI]],$D$2:D572,1),"000")</f>
        <v>039</v>
      </c>
      <c r="D572" s="141">
        <f>IF(COUNTIFS($B$3:B572,KB[[#This Row],[RELASI]],$F$3:F572,KB[[#This Row],[TANGGAL]])&lt;&gt;1,0,1)</f>
        <v>1</v>
      </c>
      <c r="E572" s="141" t="str">
        <f>TEXT(IF(KB[[#This Row],[DOC]]&lt;&gt;"",KB[[#This Row],[DOC]],E571),"000")</f>
        <v>039</v>
      </c>
      <c r="F572" s="40">
        <v>43900</v>
      </c>
      <c r="G572" s="40" t="str">
        <f>TYPE</f>
        <v>A</v>
      </c>
      <c r="H572" s="153" t="s">
        <v>893</v>
      </c>
      <c r="I572" s="42" t="s">
        <v>479</v>
      </c>
      <c r="J572" s="43" t="s">
        <v>475</v>
      </c>
      <c r="K572" s="44">
        <v>6</v>
      </c>
      <c r="L572" s="49">
        <v>49930</v>
      </c>
      <c r="M572" s="49">
        <v>18540</v>
      </c>
      <c r="N572" s="49">
        <v>31390</v>
      </c>
      <c r="O572" s="49">
        <v>5.2316024211532337</v>
      </c>
      <c r="P572" s="49">
        <v>1642.2</v>
      </c>
      <c r="Q572" s="49">
        <v>29747.8</v>
      </c>
      <c r="R572" s="49">
        <v>2900</v>
      </c>
      <c r="S572" s="49">
        <v>86268620</v>
      </c>
      <c r="T572" s="49">
        <v>14.57</v>
      </c>
      <c r="U572" s="49">
        <v>2914.57</v>
      </c>
      <c r="V572" s="49">
        <v>86702044</v>
      </c>
      <c r="W572" s="49">
        <v>433510</v>
      </c>
      <c r="X572" s="49">
        <v>86268534</v>
      </c>
      <c r="Y572" s="530" t="str">
        <f>IFERROR(IF(FIND("/KM",KB[[#This Row],[SUPPLIER]])&gt;0,"LAUT"),"DARAT")</f>
        <v>DARAT</v>
      </c>
    </row>
    <row r="573" spans="2:25">
      <c r="B573" s="140" t="str">
        <f>IFERROR(LEFT(KB[[#This Row],[SUPPLIER]],FIND("/",KB[[#This Row],[SUPPLIER]])-1),KB[[#This Row],[SUPPLIER]])</f>
        <v>YANADI</v>
      </c>
      <c r="C573" s="141" t="str">
        <f>TEXT(VLOOKUP(KB[[#This Row],[RELASI]],DBRELASI[[RELASI]:[DOCKB]],10,0)+COUNTIFS($B$2:B573,KB[[#This Row],[RELASI]],$D$2:D573,1),"000")</f>
        <v>040</v>
      </c>
      <c r="D573" s="141">
        <f>IF(COUNTIFS($B$3:B573,KB[[#This Row],[RELASI]],$F$3:F573,KB[[#This Row],[TANGGAL]])&lt;&gt;1,0,1)</f>
        <v>1</v>
      </c>
      <c r="E573" s="141" t="str">
        <f>TEXT(IF(KB[[#This Row],[DOC]]&lt;&gt;"",KB[[#This Row],[DOC]],E572),"000")</f>
        <v>040</v>
      </c>
      <c r="F573" s="40">
        <v>43900</v>
      </c>
      <c r="G573" s="40" t="str">
        <f>TYPE</f>
        <v>A</v>
      </c>
      <c r="H573" s="153" t="s">
        <v>894</v>
      </c>
      <c r="I573" s="42" t="s">
        <v>137</v>
      </c>
      <c r="J573" s="43" t="s">
        <v>74</v>
      </c>
      <c r="K573" s="44">
        <v>3</v>
      </c>
      <c r="L573" s="49">
        <v>37560</v>
      </c>
      <c r="M573" s="49">
        <v>13240</v>
      </c>
      <c r="N573" s="49">
        <v>24320</v>
      </c>
      <c r="O573" s="49">
        <v>5</v>
      </c>
      <c r="P573" s="49">
        <v>1216</v>
      </c>
      <c r="Q573" s="49">
        <v>23104</v>
      </c>
      <c r="R573" s="49">
        <v>2900</v>
      </c>
      <c r="S573" s="49">
        <v>67001600</v>
      </c>
      <c r="T573" s="49">
        <v>14.57</v>
      </c>
      <c r="U573" s="49">
        <v>2914.57</v>
      </c>
      <c r="V573" s="49">
        <v>67338226</v>
      </c>
      <c r="W573" s="49">
        <v>336691</v>
      </c>
      <c r="X573" s="49">
        <v>67001535</v>
      </c>
      <c r="Y573" s="530" t="str">
        <f>IFERROR(IF(FIND("/KM",KB[[#This Row],[SUPPLIER]])&gt;0,"LAUT"),"DARAT")</f>
        <v>DARAT</v>
      </c>
    </row>
    <row r="574" spans="2:25">
      <c r="B574" s="140" t="str">
        <f>IFERROR(LEFT(KB[[#This Row],[SUPPLIER]],FIND("/",KB[[#This Row],[SUPPLIER]])-1),KB[[#This Row],[SUPPLIER]])</f>
        <v>DINI CHAIRANI</v>
      </c>
      <c r="C574" s="141" t="str">
        <f>TEXT(VLOOKUP(KB[[#This Row],[RELASI]],DBRELASI[[RELASI]:[DOCKB]],10,0)+COUNTIFS($B$2:B574,KB[[#This Row],[RELASI]],$D$2:D574,1),"000")</f>
        <v>039</v>
      </c>
      <c r="D574" s="141">
        <f>IF(COUNTIFS($B$3:B574,KB[[#This Row],[RELASI]],$F$3:F574,KB[[#This Row],[TANGGAL]])&lt;&gt;1,0,1)</f>
        <v>1</v>
      </c>
      <c r="E574" s="141" t="str">
        <f>TEXT(IF(KB[[#This Row],[DOC]]&lt;&gt;"",KB[[#This Row],[DOC]],E573),"000")</f>
        <v>039</v>
      </c>
      <c r="F574" s="40">
        <v>43900</v>
      </c>
      <c r="G574" s="40" t="str">
        <f>TYPE</f>
        <v>A</v>
      </c>
      <c r="H574" s="153" t="s">
        <v>893</v>
      </c>
      <c r="I574" s="42" t="s">
        <v>517</v>
      </c>
      <c r="J574" s="43" t="s">
        <v>95</v>
      </c>
      <c r="K574" s="44">
        <v>3</v>
      </c>
      <c r="L574" s="49">
        <v>22060</v>
      </c>
      <c r="M574" s="49">
        <v>11660</v>
      </c>
      <c r="N574" s="49">
        <v>10400</v>
      </c>
      <c r="O574" s="49">
        <v>6</v>
      </c>
      <c r="P574" s="49">
        <v>624</v>
      </c>
      <c r="Q574" s="49">
        <v>9776</v>
      </c>
      <c r="R574" s="49">
        <v>3000</v>
      </c>
      <c r="S574" s="49">
        <v>29328000</v>
      </c>
      <c r="T574" s="49">
        <v>15.08</v>
      </c>
      <c r="U574" s="49">
        <v>3015.08</v>
      </c>
      <c r="V574" s="49">
        <v>29475422</v>
      </c>
      <c r="W574" s="49">
        <v>147377</v>
      </c>
      <c r="X574" s="49">
        <v>29328045</v>
      </c>
      <c r="Y574" s="530" t="str">
        <f>IFERROR(IF(FIND("/KM",KB[[#This Row],[SUPPLIER]])&gt;0,"LAUT"),"DARAT")</f>
        <v>LAUT</v>
      </c>
    </row>
    <row r="575" spans="2:25">
      <c r="B575" s="140" t="str">
        <f>IFERROR(LEFT(KB[[#This Row],[SUPPLIER]],FIND("/",KB[[#This Row],[SUPPLIER]])-1),KB[[#This Row],[SUPPLIER]])</f>
        <v>MARTONO</v>
      </c>
      <c r="C575" s="141" t="str">
        <f>TEXT(VLOOKUP(KB[[#This Row],[RELASI]],DBRELASI[[RELASI]:[DOCKB]],10,0)+COUNTIFS($B$2:B575,KB[[#This Row],[RELASI]],$D$2:D575,1),"000")</f>
        <v>042</v>
      </c>
      <c r="D575" s="141">
        <f>IF(COUNTIFS($B$3:B575,KB[[#This Row],[RELASI]],$F$3:F575,KB[[#This Row],[TANGGAL]])&lt;&gt;1,0,1)</f>
        <v>1</v>
      </c>
      <c r="E575" s="141" t="str">
        <f>TEXT(IF(KB[[#This Row],[DOC]]&lt;&gt;"",KB[[#This Row],[DOC]],E574),"000")</f>
        <v>042</v>
      </c>
      <c r="F575" s="40">
        <v>43900</v>
      </c>
      <c r="G575" s="40" t="str">
        <f>TYPE</f>
        <v>A</v>
      </c>
      <c r="H575" s="153" t="s">
        <v>898</v>
      </c>
      <c r="I575" s="42" t="s">
        <v>791</v>
      </c>
      <c r="J575" s="43" t="s">
        <v>83</v>
      </c>
      <c r="K575" s="44">
        <v>2</v>
      </c>
      <c r="L575" s="49">
        <v>17570</v>
      </c>
      <c r="M575" s="49">
        <v>7770</v>
      </c>
      <c r="N575" s="49">
        <v>9800</v>
      </c>
      <c r="O575" s="49">
        <v>6</v>
      </c>
      <c r="P575" s="49">
        <v>588</v>
      </c>
      <c r="Q575" s="49">
        <v>9212</v>
      </c>
      <c r="R575" s="49">
        <v>2950</v>
      </c>
      <c r="S575" s="49">
        <v>27175400</v>
      </c>
      <c r="T575" s="49">
        <v>14.82</v>
      </c>
      <c r="U575" s="49">
        <v>2964.82</v>
      </c>
      <c r="V575" s="49">
        <v>27311922</v>
      </c>
      <c r="W575" s="49">
        <v>136560</v>
      </c>
      <c r="X575" s="49">
        <v>27175362</v>
      </c>
      <c r="Y575" s="530" t="str">
        <f>IFERROR(IF(FIND("/KM",KB[[#This Row],[SUPPLIER]])&gt;0,"LAUT"),"DARAT")</f>
        <v>LAUT</v>
      </c>
    </row>
    <row r="576" spans="2:25">
      <c r="B576" s="140" t="str">
        <f>IFERROR(LEFT(KB[[#This Row],[SUPPLIER]],FIND("/",KB[[#This Row],[SUPPLIER]])-1),KB[[#This Row],[SUPPLIER]])</f>
        <v>MARTONO</v>
      </c>
      <c r="C576" s="141" t="str">
        <f>TEXT(VLOOKUP(KB[[#This Row],[RELASI]],DBRELASI[[RELASI]:[DOCKB]],10,0)+COUNTIFS($B$2:B576,KB[[#This Row],[RELASI]],$D$2:D576,1),"000")</f>
        <v>042</v>
      </c>
      <c r="D576" s="141">
        <f>IF(COUNTIFS($B$3:B576,KB[[#This Row],[RELASI]],$F$3:F576,KB[[#This Row],[TANGGAL]])&lt;&gt;1,0,1)</f>
        <v>0</v>
      </c>
      <c r="E576" s="141" t="str">
        <f>TEXT(IF(KB[[#This Row],[DOC]]&lt;&gt;"",KB[[#This Row],[DOC]],E575),"000")</f>
        <v>042</v>
      </c>
      <c r="F576" s="40">
        <v>43900</v>
      </c>
      <c r="G576" s="40" t="str">
        <f>TYPE</f>
        <v>A</v>
      </c>
      <c r="H576"/>
      <c r="I576" s="42" t="s">
        <v>509</v>
      </c>
      <c r="J576" s="43" t="s">
        <v>83</v>
      </c>
      <c r="K576" s="44">
        <v>1</v>
      </c>
      <c r="L576" s="49">
        <v>7400</v>
      </c>
      <c r="M576" s="49">
        <v>3890</v>
      </c>
      <c r="N576" s="49">
        <v>3510</v>
      </c>
      <c r="O576" s="49">
        <v>7</v>
      </c>
      <c r="P576" s="49">
        <v>245.70000000000002</v>
      </c>
      <c r="Q576" s="49">
        <v>3264.3</v>
      </c>
      <c r="R576" s="49">
        <v>2950</v>
      </c>
      <c r="S576" s="49">
        <v>9629685</v>
      </c>
      <c r="T576" s="49">
        <v>14.82</v>
      </c>
      <c r="U576" s="49">
        <v>2964.82</v>
      </c>
      <c r="V576" s="49">
        <v>9678062</v>
      </c>
      <c r="W576" s="49">
        <v>48390</v>
      </c>
      <c r="X576" s="49">
        <v>9629672</v>
      </c>
      <c r="Y576" s="530" t="str">
        <f>IFERROR(IF(FIND("/KM",KB[[#This Row],[SUPPLIER]])&gt;0,"LAUT"),"DARAT")</f>
        <v>LAUT</v>
      </c>
    </row>
    <row r="577" spans="2:25">
      <c r="B577" s="140" t="str">
        <f>IFERROR(LEFT(KB[[#This Row],[SUPPLIER]],FIND("/",KB[[#This Row],[SUPPLIER]])-1),KB[[#This Row],[SUPPLIER]])</f>
        <v>RITA ERNITA</v>
      </c>
      <c r="C577" s="141" t="str">
        <f>TEXT(VLOOKUP(KB[[#This Row],[RELASI]],DBRELASI[[RELASI]:[DOCKB]],10,0)+COUNTIFS($B$2:B577,KB[[#This Row],[RELASI]],$D$2:D577,1),"000")</f>
        <v>008</v>
      </c>
      <c r="D577" s="141">
        <f>IF(COUNTIFS($B$3:B577,KB[[#This Row],[RELASI]],$F$3:F577,KB[[#This Row],[TANGGAL]])&lt;&gt;1,0,1)</f>
        <v>1</v>
      </c>
      <c r="E577" s="141" t="str">
        <f>TEXT(IF(KB[[#This Row],[DOC]]&lt;&gt;"",KB[[#This Row],[DOC]],E576),"000")</f>
        <v>008</v>
      </c>
      <c r="F577" s="40">
        <v>43900</v>
      </c>
      <c r="G577" s="40" t="str">
        <f>TYPE</f>
        <v>A</v>
      </c>
      <c r="H577" s="154" t="s">
        <v>767</v>
      </c>
      <c r="I577" s="46" t="s">
        <v>513</v>
      </c>
      <c r="J577" s="47" t="s">
        <v>96</v>
      </c>
      <c r="K577" s="48">
        <v>9</v>
      </c>
      <c r="L577" s="49">
        <v>75120</v>
      </c>
      <c r="M577" s="49">
        <v>34860</v>
      </c>
      <c r="N577" s="49">
        <v>40260</v>
      </c>
      <c r="O577" s="49">
        <v>6.217337307501241</v>
      </c>
      <c r="P577" s="49">
        <v>2503.1</v>
      </c>
      <c r="Q577" s="49">
        <v>37756.899999999994</v>
      </c>
      <c r="R577" s="49">
        <v>3000.0000000000005</v>
      </c>
      <c r="S577" s="49">
        <v>113270700</v>
      </c>
      <c r="T577" s="49">
        <v>15.08</v>
      </c>
      <c r="U577" s="49">
        <v>3015.0800000000004</v>
      </c>
      <c r="V577" s="49">
        <v>113840073</v>
      </c>
      <c r="W577" s="49">
        <v>569200</v>
      </c>
      <c r="X577" s="49">
        <v>113270873</v>
      </c>
      <c r="Y577" s="574" t="str">
        <f>IFERROR(IF(FIND("/KM",KB[[#This Row],[SUPPLIER]])&gt;0,"LAUT"),"DARAT")</f>
        <v>LAUT</v>
      </c>
    </row>
    <row r="578" spans="2:25">
      <c r="B578" s="140" t="str">
        <f>IFERROR(LEFT(KB[[#This Row],[SUPPLIER]],FIND("/",KB[[#This Row],[SUPPLIER]])-1),KB[[#This Row],[SUPPLIER]])</f>
        <v>ERAWATI</v>
      </c>
      <c r="C578" s="141" t="str">
        <f>TEXT(VLOOKUP(KB[[#This Row],[RELASI]],DBRELASI[[RELASI]:[DOCKB]],10,0)+COUNTIFS($B$2:B578,KB[[#This Row],[RELASI]],$D$2:D578,1),"000")</f>
        <v>052</v>
      </c>
      <c r="D578" s="141">
        <f>IF(COUNTIFS($B$3:B578,KB[[#This Row],[RELASI]],$F$3:F578,KB[[#This Row],[TANGGAL]])&lt;&gt;1,0,1)</f>
        <v>1</v>
      </c>
      <c r="E578" s="141" t="str">
        <f>TEXT(IF(KB[[#This Row],[DOC]]&lt;&gt;"",KB[[#This Row],[DOC]],E577),"000")</f>
        <v>052</v>
      </c>
      <c r="F578" s="40">
        <v>43901</v>
      </c>
      <c r="G578" s="40" t="str">
        <f>TYPE</f>
        <v>A</v>
      </c>
      <c r="H578" s="153" t="s">
        <v>915</v>
      </c>
      <c r="I578" s="42" t="s">
        <v>155</v>
      </c>
      <c r="J578" s="43" t="s">
        <v>77</v>
      </c>
      <c r="K578" s="44">
        <v>4</v>
      </c>
      <c r="L578" s="49">
        <v>29600</v>
      </c>
      <c r="M578" s="49">
        <v>11880</v>
      </c>
      <c r="N578" s="49">
        <v>17720</v>
      </c>
      <c r="O578" s="49">
        <v>5</v>
      </c>
      <c r="P578" s="49">
        <v>886</v>
      </c>
      <c r="Q578" s="49">
        <v>16834</v>
      </c>
      <c r="R578" s="49">
        <v>2900</v>
      </c>
      <c r="S578" s="49">
        <v>48818600</v>
      </c>
      <c r="T578" s="49">
        <v>14.57</v>
      </c>
      <c r="U578" s="49">
        <v>2914.57</v>
      </c>
      <c r="V578" s="49">
        <v>49063872</v>
      </c>
      <c r="W578" s="49">
        <v>245320</v>
      </c>
      <c r="X578" s="49">
        <v>48818552</v>
      </c>
      <c r="Y578" s="530" t="str">
        <f>IFERROR(IF(FIND("/KM",KB[[#This Row],[SUPPLIER]])&gt;0,"LAUT"),"DARAT")</f>
        <v>DARAT</v>
      </c>
    </row>
    <row r="579" spans="2:25">
      <c r="B579" s="140" t="str">
        <f>IFERROR(LEFT(KB[[#This Row],[SUPPLIER]],FIND("/",KB[[#This Row],[SUPPLIER]])-1),KB[[#This Row],[SUPPLIER]])</f>
        <v>INDRAYANI</v>
      </c>
      <c r="C579" s="141" t="str">
        <f>TEXT(VLOOKUP(KB[[#This Row],[RELASI]],DBRELASI[[RELASI]:[DOCKB]],10,0)+COUNTIFS($B$2:B579,KB[[#This Row],[RELASI]],$D$2:D579,1),"000")</f>
        <v>047</v>
      </c>
      <c r="D579" s="141">
        <f>IF(COUNTIFS($B$3:B579,KB[[#This Row],[RELASI]],$F$3:F579,KB[[#This Row],[TANGGAL]])&lt;&gt;1,0,1)</f>
        <v>1</v>
      </c>
      <c r="E579" s="141" t="str">
        <f>TEXT(IF(KB[[#This Row],[DOC]]&lt;&gt;"",KB[[#This Row],[DOC]],E578),"000")</f>
        <v>047</v>
      </c>
      <c r="F579" s="40">
        <v>43901</v>
      </c>
      <c r="G579" s="40" t="str">
        <f>TYPE</f>
        <v>A</v>
      </c>
      <c r="H579" s="153" t="s">
        <v>909</v>
      </c>
      <c r="I579" s="42" t="s">
        <v>79</v>
      </c>
      <c r="J579" s="43" t="s">
        <v>77</v>
      </c>
      <c r="K579" s="44">
        <v>1</v>
      </c>
      <c r="L579" s="49">
        <v>9970</v>
      </c>
      <c r="M579" s="49">
        <v>4340</v>
      </c>
      <c r="N579" s="49">
        <v>5630</v>
      </c>
      <c r="O579" s="49">
        <v>5</v>
      </c>
      <c r="P579" s="49">
        <v>281.5</v>
      </c>
      <c r="Q579" s="49">
        <v>5348.5</v>
      </c>
      <c r="R579" s="49">
        <v>3000</v>
      </c>
      <c r="S579" s="49">
        <v>16045500</v>
      </c>
      <c r="T579" s="49">
        <v>15.08</v>
      </c>
      <c r="U579" s="49">
        <v>3015.08</v>
      </c>
      <c r="V579" s="49">
        <v>16126155</v>
      </c>
      <c r="W579" s="49">
        <v>80631</v>
      </c>
      <c r="X579" s="49">
        <v>16045524</v>
      </c>
      <c r="Y579" s="530" t="str">
        <f>IFERROR(IF(FIND("/KM",KB[[#This Row],[SUPPLIER]])&gt;0,"LAUT"),"DARAT")</f>
        <v>DARAT</v>
      </c>
    </row>
    <row r="580" spans="2:25">
      <c r="B580" s="140" t="str">
        <f>IFERROR(LEFT(KB[[#This Row],[SUPPLIER]],FIND("/",KB[[#This Row],[SUPPLIER]])-1),KB[[#This Row],[SUPPLIER]])</f>
        <v>RUSLAN JAYA, SH</v>
      </c>
      <c r="C580" s="141" t="str">
        <f>TEXT(VLOOKUP(KB[[#This Row],[RELASI]],DBRELASI[[RELASI]:[DOCKB]],10,0)+COUNTIFS($B$2:B580,KB[[#This Row],[RELASI]],$D$2:D580,1),"000")</f>
        <v>040</v>
      </c>
      <c r="D580" s="141">
        <f>IF(COUNTIFS($B$3:B580,KB[[#This Row],[RELASI]],$F$3:F580,KB[[#This Row],[TANGGAL]])&lt;&gt;1,0,1)</f>
        <v>1</v>
      </c>
      <c r="E580" s="141" t="str">
        <f>TEXT(IF(KB[[#This Row],[DOC]]&lt;&gt;"",KB[[#This Row],[DOC]],E579),"000")</f>
        <v>040</v>
      </c>
      <c r="F580" s="40">
        <v>43901</v>
      </c>
      <c r="G580" s="40" t="str">
        <f>TYPE</f>
        <v>A</v>
      </c>
      <c r="H580" s="153" t="s">
        <v>894</v>
      </c>
      <c r="I580" s="42" t="s">
        <v>479</v>
      </c>
      <c r="J580" s="43" t="s">
        <v>475</v>
      </c>
      <c r="K580" s="44">
        <v>3</v>
      </c>
      <c r="L580" s="49">
        <v>20630</v>
      </c>
      <c r="M580" s="49">
        <v>7550</v>
      </c>
      <c r="N580" s="49">
        <v>13080</v>
      </c>
      <c r="O580" s="49">
        <v>5</v>
      </c>
      <c r="P580" s="49">
        <v>654</v>
      </c>
      <c r="Q580" s="49">
        <v>12426</v>
      </c>
      <c r="R580" s="49">
        <v>2900</v>
      </c>
      <c r="S580" s="49">
        <v>36035400</v>
      </c>
      <c r="T580" s="49">
        <v>14.57</v>
      </c>
      <c r="U580" s="49">
        <v>2914.57</v>
      </c>
      <c r="V580" s="49">
        <v>36216447</v>
      </c>
      <c r="W580" s="49">
        <v>181082</v>
      </c>
      <c r="X580" s="49">
        <v>36035365</v>
      </c>
      <c r="Y580" s="530" t="str">
        <f>IFERROR(IF(FIND("/KM",KB[[#This Row],[SUPPLIER]])&gt;0,"LAUT"),"DARAT")</f>
        <v>DARAT</v>
      </c>
    </row>
    <row r="581" spans="2:25">
      <c r="B581" s="140" t="str">
        <f>IFERROR(LEFT(KB[[#This Row],[SUPPLIER]],FIND("/",KB[[#This Row],[SUPPLIER]])-1),KB[[#This Row],[SUPPLIER]])</f>
        <v>MARTONO</v>
      </c>
      <c r="C581" s="141" t="str">
        <f>TEXT(VLOOKUP(KB[[#This Row],[RELASI]],DBRELASI[[RELASI]:[DOCKB]],10,0)+COUNTIFS($B$2:B581,KB[[#This Row],[RELASI]],$D$2:D581,1),"000")</f>
        <v>043</v>
      </c>
      <c r="D581" s="141">
        <f>IF(COUNTIFS($B$3:B581,KB[[#This Row],[RELASI]],$F$3:F581,KB[[#This Row],[TANGGAL]])&lt;&gt;1,0,1)</f>
        <v>1</v>
      </c>
      <c r="E581" s="141" t="str">
        <f>TEXT(IF(KB[[#This Row],[DOC]]&lt;&gt;"",KB[[#This Row],[DOC]],E580),"000")</f>
        <v>043</v>
      </c>
      <c r="F581" s="40">
        <v>43901</v>
      </c>
      <c r="G581" s="40" t="str">
        <f>TYPE</f>
        <v>A</v>
      </c>
      <c r="H581" s="153" t="s">
        <v>899</v>
      </c>
      <c r="I581" s="42" t="s">
        <v>916</v>
      </c>
      <c r="J581" s="43" t="s">
        <v>83</v>
      </c>
      <c r="K581" s="44">
        <v>2</v>
      </c>
      <c r="L581" s="49">
        <v>14600</v>
      </c>
      <c r="M581" s="49">
        <v>7760</v>
      </c>
      <c r="N581" s="49">
        <v>6840</v>
      </c>
      <c r="O581" s="49">
        <v>5.9999999999999991</v>
      </c>
      <c r="P581" s="49">
        <v>410.4</v>
      </c>
      <c r="Q581" s="49">
        <v>6429.5999999999995</v>
      </c>
      <c r="R581" s="49">
        <v>2950.0000000000005</v>
      </c>
      <c r="S581" s="49">
        <v>18967320</v>
      </c>
      <c r="T581" s="49">
        <v>14.82</v>
      </c>
      <c r="U581" s="49">
        <v>2964.8200000000006</v>
      </c>
      <c r="V581" s="49">
        <v>19062607</v>
      </c>
      <c r="W581" s="49">
        <v>95313</v>
      </c>
      <c r="X581" s="49">
        <v>18967294</v>
      </c>
      <c r="Y581" s="530" t="str">
        <f>IFERROR(IF(FIND("/KM",KB[[#This Row],[SUPPLIER]])&gt;0,"LAUT"),"DARAT")</f>
        <v>LAUT</v>
      </c>
    </row>
    <row r="582" spans="2:25">
      <c r="B582" s="140" t="str">
        <f>IFERROR(LEFT(KB[[#This Row],[SUPPLIER]],FIND("/",KB[[#This Row],[SUPPLIER]])-1),KB[[#This Row],[SUPPLIER]])</f>
        <v>MARTONO</v>
      </c>
      <c r="C582" s="141" t="str">
        <f>TEXT(VLOOKUP(KB[[#This Row],[RELASI]],DBRELASI[[RELASI]:[DOCKB]],10,0)+COUNTIFS($B$2:B582,KB[[#This Row],[RELASI]],$D$2:D582,1),"000")</f>
        <v>043</v>
      </c>
      <c r="D582" s="141">
        <f>IF(COUNTIFS($B$3:B582,KB[[#This Row],[RELASI]],$F$3:F582,KB[[#This Row],[TANGGAL]])&lt;&gt;1,0,1)</f>
        <v>0</v>
      </c>
      <c r="E582" s="141" t="str">
        <f>TEXT(IF(KB[[#This Row],[DOC]]&lt;&gt;"",KB[[#This Row],[DOC]],E581),"000")</f>
        <v>043</v>
      </c>
      <c r="F582" s="40">
        <v>43901</v>
      </c>
      <c r="G582" s="40" t="str">
        <f>TYPE</f>
        <v>A</v>
      </c>
      <c r="H582"/>
      <c r="I582" s="42" t="s">
        <v>528</v>
      </c>
      <c r="J582" s="43" t="s">
        <v>83</v>
      </c>
      <c r="K582" s="44">
        <v>1</v>
      </c>
      <c r="L582" s="49">
        <v>7240</v>
      </c>
      <c r="M582" s="49">
        <v>3890</v>
      </c>
      <c r="N582" s="49">
        <v>3350</v>
      </c>
      <c r="O582" s="49">
        <v>6</v>
      </c>
      <c r="P582" s="49">
        <v>201</v>
      </c>
      <c r="Q582" s="49">
        <v>3149</v>
      </c>
      <c r="R582" s="49">
        <v>2950</v>
      </c>
      <c r="S582" s="49">
        <v>9289550</v>
      </c>
      <c r="T582" s="49">
        <v>14.82</v>
      </c>
      <c r="U582" s="49">
        <v>2964.82</v>
      </c>
      <c r="V582" s="49">
        <v>9336218</v>
      </c>
      <c r="W582" s="49">
        <v>46681</v>
      </c>
      <c r="X582" s="49">
        <v>9289537</v>
      </c>
      <c r="Y582" s="530" t="str">
        <f>IFERROR(IF(FIND("/KM",KB[[#This Row],[SUPPLIER]])&gt;0,"LAUT"),"DARAT")</f>
        <v>LAUT</v>
      </c>
    </row>
    <row r="583" spans="2:25">
      <c r="B583" s="140" t="str">
        <f>IFERROR(LEFT(KB[[#This Row],[SUPPLIER]],FIND("/",KB[[#This Row],[SUPPLIER]])-1),KB[[#This Row],[SUPPLIER]])</f>
        <v>SUKAMTO</v>
      </c>
      <c r="C583" s="141" t="str">
        <f>TEXT(VLOOKUP(KB[[#This Row],[RELASI]],DBRELASI[[RELASI]:[DOCKB]],10,0)+COUNTIFS($B$2:B583,KB[[#This Row],[RELASI]],$D$2:D583,1),"000")</f>
        <v>015</v>
      </c>
      <c r="D583" s="141">
        <f>IF(COUNTIFS($B$3:B583,KB[[#This Row],[RELASI]],$F$3:F583,KB[[#This Row],[TANGGAL]])&lt;&gt;1,0,1)</f>
        <v>1</v>
      </c>
      <c r="E583" s="141" t="str">
        <f>TEXT(IF(KB[[#This Row],[DOC]]&lt;&gt;"",KB[[#This Row],[DOC]],E582),"000")</f>
        <v>015</v>
      </c>
      <c r="F583" s="40">
        <v>43901</v>
      </c>
      <c r="G583" s="40" t="str">
        <f>TYPE</f>
        <v>A</v>
      </c>
      <c r="H583" s="153" t="s">
        <v>789</v>
      </c>
      <c r="I583" s="42" t="s">
        <v>848</v>
      </c>
      <c r="J583" s="43" t="s">
        <v>524</v>
      </c>
      <c r="K583" s="44">
        <v>1</v>
      </c>
      <c r="L583" s="49">
        <v>8150</v>
      </c>
      <c r="M583" s="49">
        <v>3880</v>
      </c>
      <c r="N583" s="49">
        <v>4270</v>
      </c>
      <c r="O583" s="49">
        <v>5.9999999999999991</v>
      </c>
      <c r="P583" s="49">
        <v>256.2</v>
      </c>
      <c r="Q583" s="49">
        <v>4013.8</v>
      </c>
      <c r="R583" s="49">
        <v>2950</v>
      </c>
      <c r="S583" s="49">
        <v>11840710</v>
      </c>
      <c r="T583" s="49">
        <v>14.82</v>
      </c>
      <c r="U583" s="49">
        <v>2964.82</v>
      </c>
      <c r="V583" s="49">
        <v>11900195</v>
      </c>
      <c r="W583" s="49">
        <v>59501</v>
      </c>
      <c r="X583" s="49">
        <v>11840694</v>
      </c>
      <c r="Y583" s="530" t="str">
        <f>IFERROR(IF(FIND("/KM",KB[[#This Row],[SUPPLIER]])&gt;0,"LAUT"),"DARAT")</f>
        <v>LAUT</v>
      </c>
    </row>
    <row r="584" spans="2:25">
      <c r="B584" s="140" t="str">
        <f>IFERROR(LEFT(KB[[#This Row],[SUPPLIER]],FIND("/",KB[[#This Row],[SUPPLIER]])-1),KB[[#This Row],[SUPPLIER]])</f>
        <v>SUKAMTO</v>
      </c>
      <c r="C584" s="141" t="str">
        <f>TEXT(VLOOKUP(KB[[#This Row],[RELASI]],DBRELASI[[RELASI]:[DOCKB]],10,0)+COUNTIFS($B$2:B584,KB[[#This Row],[RELASI]],$D$2:D584,1),"000")</f>
        <v>015</v>
      </c>
      <c r="D584" s="141">
        <f>IF(COUNTIFS($B$3:B584,KB[[#This Row],[RELASI]],$F$3:F584,KB[[#This Row],[TANGGAL]])&lt;&gt;1,0,1)</f>
        <v>0</v>
      </c>
      <c r="E584" s="141" t="str">
        <f>TEXT(IF(KB[[#This Row],[DOC]]&lt;&gt;"",KB[[#This Row],[DOC]],E583),"000")</f>
        <v>015</v>
      </c>
      <c r="F584" s="40">
        <v>43901</v>
      </c>
      <c r="G584" s="40" t="str">
        <f>TYPE</f>
        <v>A</v>
      </c>
      <c r="H584"/>
      <c r="I584" s="42" t="s">
        <v>917</v>
      </c>
      <c r="J584" s="43" t="s">
        <v>524</v>
      </c>
      <c r="K584" s="44">
        <v>2</v>
      </c>
      <c r="L584" s="49">
        <v>11330</v>
      </c>
      <c r="M584" s="49">
        <v>7750</v>
      </c>
      <c r="N584" s="49">
        <v>3580</v>
      </c>
      <c r="O584" s="49">
        <v>6.0000000000000009</v>
      </c>
      <c r="P584" s="49">
        <v>214.8</v>
      </c>
      <c r="Q584" s="49">
        <v>3365.2</v>
      </c>
      <c r="R584" s="49">
        <v>2950</v>
      </c>
      <c r="S584" s="49">
        <v>9927340</v>
      </c>
      <c r="T584" s="49">
        <v>14.82</v>
      </c>
      <c r="U584" s="49">
        <v>2964.82</v>
      </c>
      <c r="V584" s="49">
        <v>9977212</v>
      </c>
      <c r="W584" s="49">
        <v>49886</v>
      </c>
      <c r="X584" s="49">
        <v>9927326</v>
      </c>
      <c r="Y584" s="530" t="str">
        <f>IFERROR(IF(FIND("/KM",KB[[#This Row],[SUPPLIER]])&gt;0,"LAUT"),"DARAT")</f>
        <v>LAUT</v>
      </c>
    </row>
    <row r="585" spans="2:25">
      <c r="B585" s="140" t="str">
        <f>IFERROR(LEFT(KB[[#This Row],[SUPPLIER]],FIND("/",KB[[#This Row],[SUPPLIER]])-1),KB[[#This Row],[SUPPLIER]])</f>
        <v>YANADI</v>
      </c>
      <c r="C585" s="141" t="str">
        <f>TEXT(VLOOKUP(KB[[#This Row],[RELASI]],DBRELASI[[RELASI]:[DOCKB]],10,0)+COUNTIFS($B$2:B585,KB[[#This Row],[RELASI]],$D$2:D585,1),"000")</f>
        <v>041</v>
      </c>
      <c r="D585" s="141">
        <f>IF(COUNTIFS($B$3:B585,KB[[#This Row],[RELASI]],$F$3:F585,KB[[#This Row],[TANGGAL]])&lt;&gt;1,0,1)</f>
        <v>1</v>
      </c>
      <c r="E585" s="141" t="str">
        <f>TEXT(IF(KB[[#This Row],[DOC]]&lt;&gt;"",KB[[#This Row],[DOC]],E584),"000")</f>
        <v>041</v>
      </c>
      <c r="F585" s="40">
        <v>43901</v>
      </c>
      <c r="G585" s="40" t="str">
        <f>TYPE</f>
        <v>A</v>
      </c>
      <c r="H585" s="154" t="s">
        <v>895</v>
      </c>
      <c r="I585" s="46" t="s">
        <v>531</v>
      </c>
      <c r="J585" s="47" t="s">
        <v>74</v>
      </c>
      <c r="K585" s="48">
        <v>1</v>
      </c>
      <c r="L585" s="49">
        <v>7420</v>
      </c>
      <c r="M585" s="49">
        <v>3850</v>
      </c>
      <c r="N585" s="49">
        <v>3570</v>
      </c>
      <c r="O585" s="49">
        <v>5.9999999999999991</v>
      </c>
      <c r="P585" s="49">
        <v>214.2</v>
      </c>
      <c r="Q585" s="49">
        <v>3355.8</v>
      </c>
      <c r="R585" s="49">
        <v>2950</v>
      </c>
      <c r="S585" s="49">
        <v>9899610</v>
      </c>
      <c r="T585" s="49">
        <v>14.82</v>
      </c>
      <c r="U585" s="49">
        <v>2964.82</v>
      </c>
      <c r="V585" s="49">
        <v>9949343</v>
      </c>
      <c r="W585" s="49">
        <v>49747</v>
      </c>
      <c r="X585" s="49">
        <v>9899596</v>
      </c>
      <c r="Y585" s="574" t="str">
        <f>IFERROR(IF(FIND("/KM",KB[[#This Row],[SUPPLIER]])&gt;0,"LAUT"),"DARAT")</f>
        <v>LAUT</v>
      </c>
    </row>
    <row r="586" spans="2:25">
      <c r="B586" s="140" t="str">
        <f>IFERROR(LEFT(KB[[#This Row],[SUPPLIER]],FIND("/",KB[[#This Row],[SUPPLIER]])-1),KB[[#This Row],[SUPPLIER]])</f>
        <v>ERAWATI</v>
      </c>
      <c r="C586" s="141" t="str">
        <f>TEXT(VLOOKUP(KB[[#This Row],[RELASI]],DBRELASI[[RELASI]:[DOCKB]],10,0)+COUNTIFS($B$2:B586,KB[[#This Row],[RELASI]],$D$2:D586,1),"000")</f>
        <v>053</v>
      </c>
      <c r="D586" s="141">
        <f>IF(COUNTIFS($B$3:B586,KB[[#This Row],[RELASI]],$F$3:F586,KB[[#This Row],[TANGGAL]])&lt;&gt;1,0,1)</f>
        <v>1</v>
      </c>
      <c r="E586" s="141" t="str">
        <f>TEXT(IF(KB[[#This Row],[DOC]]&lt;&gt;"",KB[[#This Row],[DOC]],E585),"000")</f>
        <v>053</v>
      </c>
      <c r="F586" s="40">
        <v>43902</v>
      </c>
      <c r="G586" s="40" t="str">
        <f>TYPE</f>
        <v>A</v>
      </c>
      <c r="H586" s="153" t="s">
        <v>918</v>
      </c>
      <c r="I586" s="42" t="s">
        <v>155</v>
      </c>
      <c r="J586" s="43" t="s">
        <v>77</v>
      </c>
      <c r="K586" s="44">
        <v>1</v>
      </c>
      <c r="L586" s="49">
        <v>9480</v>
      </c>
      <c r="M586" s="49">
        <v>4290</v>
      </c>
      <c r="N586" s="49">
        <v>5190</v>
      </c>
      <c r="O586" s="49">
        <v>5</v>
      </c>
      <c r="P586" s="49">
        <v>259.5</v>
      </c>
      <c r="Q586" s="49">
        <v>4930.5</v>
      </c>
      <c r="R586" s="49">
        <v>2900</v>
      </c>
      <c r="S586" s="49">
        <v>14298450</v>
      </c>
      <c r="T586" s="49">
        <v>14.57</v>
      </c>
      <c r="U586" s="49">
        <v>2914.57</v>
      </c>
      <c r="V586" s="49">
        <v>14370287</v>
      </c>
      <c r="W586" s="49">
        <v>71851</v>
      </c>
      <c r="X586" s="49">
        <v>14298436</v>
      </c>
      <c r="Y586" s="530" t="str">
        <f>IFERROR(IF(FIND("/KM",KB[[#This Row],[SUPPLIER]])&gt;0,"LAUT"),"DARAT")</f>
        <v>DARAT</v>
      </c>
    </row>
    <row r="587" spans="2:25">
      <c r="B587" s="140" t="str">
        <f>IFERROR(LEFT(KB[[#This Row],[SUPPLIER]],FIND("/",KB[[#This Row],[SUPPLIER]])-1),KB[[#This Row],[SUPPLIER]])</f>
        <v>INDRAYANI</v>
      </c>
      <c r="C587" s="141" t="str">
        <f>TEXT(VLOOKUP(KB[[#This Row],[RELASI]],DBRELASI[[RELASI]:[DOCKB]],10,0)+COUNTIFS($B$2:B587,KB[[#This Row],[RELASI]],$D$2:D587,1),"000")</f>
        <v>048</v>
      </c>
      <c r="D587" s="141">
        <f>IF(COUNTIFS($B$3:B587,KB[[#This Row],[RELASI]],$F$3:F587,KB[[#This Row],[TANGGAL]])&lt;&gt;1,0,1)</f>
        <v>1</v>
      </c>
      <c r="E587" s="141" t="str">
        <f>TEXT(IF(KB[[#This Row],[DOC]]&lt;&gt;"",KB[[#This Row],[DOC]],E586),"000")</f>
        <v>048</v>
      </c>
      <c r="F587" s="40">
        <v>43902</v>
      </c>
      <c r="G587" s="40" t="str">
        <f>TYPE</f>
        <v>A</v>
      </c>
      <c r="H587" s="153" t="s">
        <v>910</v>
      </c>
      <c r="I587" s="42" t="s">
        <v>79</v>
      </c>
      <c r="J587" s="43" t="s">
        <v>77</v>
      </c>
      <c r="K587" s="44">
        <v>1</v>
      </c>
      <c r="L587" s="49">
        <v>10430</v>
      </c>
      <c r="M587" s="49">
        <v>4330</v>
      </c>
      <c r="N587" s="49">
        <v>6100</v>
      </c>
      <c r="O587" s="49">
        <v>5</v>
      </c>
      <c r="P587" s="49">
        <v>305</v>
      </c>
      <c r="Q587" s="49">
        <v>5795</v>
      </c>
      <c r="R587" s="49">
        <v>3000</v>
      </c>
      <c r="S587" s="49">
        <v>17385000</v>
      </c>
      <c r="T587" s="49">
        <v>15.08</v>
      </c>
      <c r="U587" s="49">
        <v>3015.08</v>
      </c>
      <c r="V587" s="49">
        <v>17472389</v>
      </c>
      <c r="W587" s="49">
        <v>87362</v>
      </c>
      <c r="X587" s="49">
        <v>17385027</v>
      </c>
      <c r="Y587" s="530" t="str">
        <f>IFERROR(IF(FIND("/KM",KB[[#This Row],[SUPPLIER]])&gt;0,"LAUT"),"DARAT")</f>
        <v>DARAT</v>
      </c>
    </row>
    <row r="588" spans="2:25">
      <c r="B588" s="140" t="str">
        <f>IFERROR(LEFT(KB[[#This Row],[SUPPLIER]],FIND("/",KB[[#This Row],[SUPPLIER]])-1),KB[[#This Row],[SUPPLIER]])</f>
        <v>RUSLAN JAYA, SH</v>
      </c>
      <c r="C588" s="141" t="str">
        <f>TEXT(VLOOKUP(KB[[#This Row],[RELASI]],DBRELASI[[RELASI]:[DOCKB]],10,0)+COUNTIFS($B$2:B588,KB[[#This Row],[RELASI]],$D$2:D588,1),"000")</f>
        <v>041</v>
      </c>
      <c r="D588" s="141">
        <f>IF(COUNTIFS($B$3:B588,KB[[#This Row],[RELASI]],$F$3:F588,KB[[#This Row],[TANGGAL]])&lt;&gt;1,0,1)</f>
        <v>1</v>
      </c>
      <c r="E588" s="141" t="str">
        <f>TEXT(IF(KB[[#This Row],[DOC]]&lt;&gt;"",KB[[#This Row],[DOC]],E587),"000")</f>
        <v>041</v>
      </c>
      <c r="F588" s="40">
        <v>43902</v>
      </c>
      <c r="G588" s="40" t="str">
        <f>TYPE</f>
        <v>A</v>
      </c>
      <c r="H588" s="153" t="s">
        <v>895</v>
      </c>
      <c r="I588" s="42" t="s">
        <v>479</v>
      </c>
      <c r="J588" s="43" t="s">
        <v>475</v>
      </c>
      <c r="K588" s="44">
        <v>4</v>
      </c>
      <c r="L588" s="49">
        <v>48780</v>
      </c>
      <c r="M588" s="49">
        <v>18070</v>
      </c>
      <c r="N588" s="49">
        <v>30710</v>
      </c>
      <c r="O588" s="49">
        <v>5</v>
      </c>
      <c r="P588" s="49">
        <v>1535.5</v>
      </c>
      <c r="Q588" s="49">
        <v>29174.5</v>
      </c>
      <c r="R588" s="49">
        <v>2900</v>
      </c>
      <c r="S588" s="49">
        <v>84606050</v>
      </c>
      <c r="T588" s="49">
        <v>14.57</v>
      </c>
      <c r="U588" s="49">
        <v>2914.57</v>
      </c>
      <c r="V588" s="49">
        <v>85031124</v>
      </c>
      <c r="W588" s="49">
        <v>425156</v>
      </c>
      <c r="X588" s="49">
        <v>84605968</v>
      </c>
      <c r="Y588" s="530" t="str">
        <f>IFERROR(IF(FIND("/KM",KB[[#This Row],[SUPPLIER]])&gt;0,"LAUT"),"DARAT")</f>
        <v>DARAT</v>
      </c>
    </row>
    <row r="589" spans="2:25">
      <c r="B589" s="140" t="str">
        <f>IFERROR(LEFT(KB[[#This Row],[SUPPLIER]],FIND("/",KB[[#This Row],[SUPPLIER]])-1),KB[[#This Row],[SUPPLIER]])</f>
        <v>YANADI</v>
      </c>
      <c r="C589" s="141" t="str">
        <f>TEXT(VLOOKUP(KB[[#This Row],[RELASI]],DBRELASI[[RELASI]:[DOCKB]],10,0)+COUNTIFS($B$2:B589,KB[[#This Row],[RELASI]],$D$2:D589,1),"000")</f>
        <v>042</v>
      </c>
      <c r="D589" s="141">
        <f>IF(COUNTIFS($B$3:B589,KB[[#This Row],[RELASI]],$F$3:F589,KB[[#This Row],[TANGGAL]])&lt;&gt;1,0,1)</f>
        <v>1</v>
      </c>
      <c r="E589" s="141" t="str">
        <f>TEXT(IF(KB[[#This Row],[DOC]]&lt;&gt;"",KB[[#This Row],[DOC]],E588),"000")</f>
        <v>042</v>
      </c>
      <c r="F589" s="40">
        <v>43902</v>
      </c>
      <c r="G589" s="40" t="str">
        <f>TYPE</f>
        <v>A</v>
      </c>
      <c r="H589" s="153" t="s">
        <v>898</v>
      </c>
      <c r="I589" s="42" t="s">
        <v>137</v>
      </c>
      <c r="J589" s="43" t="s">
        <v>74</v>
      </c>
      <c r="K589" s="44">
        <v>1</v>
      </c>
      <c r="L589" s="49">
        <v>13960</v>
      </c>
      <c r="M589" s="49">
        <v>4550</v>
      </c>
      <c r="N589" s="49">
        <v>9410</v>
      </c>
      <c r="O589" s="49">
        <v>5</v>
      </c>
      <c r="P589" s="49">
        <v>470.5</v>
      </c>
      <c r="Q589" s="49">
        <v>8939.5</v>
      </c>
      <c r="R589" s="49">
        <v>2900</v>
      </c>
      <c r="S589" s="49">
        <v>25924550</v>
      </c>
      <c r="T589" s="49">
        <v>14.57</v>
      </c>
      <c r="U589" s="49">
        <v>2914.57</v>
      </c>
      <c r="V589" s="49">
        <v>26054799</v>
      </c>
      <c r="W589" s="49">
        <v>130274</v>
      </c>
      <c r="X589" s="49">
        <v>25924525</v>
      </c>
      <c r="Y589" s="530" t="str">
        <f>IFERROR(IF(FIND("/KM",KB[[#This Row],[SUPPLIER]])&gt;0,"LAUT"),"DARAT")</f>
        <v>DARAT</v>
      </c>
    </row>
    <row r="590" spans="2:25">
      <c r="B590" s="140" t="str">
        <f>IFERROR(LEFT(KB[[#This Row],[SUPPLIER]],FIND("/",KB[[#This Row],[SUPPLIER]])-1),KB[[#This Row],[SUPPLIER]])</f>
        <v>HENDRI</v>
      </c>
      <c r="C590" s="141" t="str">
        <f>TEXT(VLOOKUP(KB[[#This Row],[RELASI]],DBRELASI[[RELASI]:[DOCKB]],10,0)+COUNTIFS($B$2:B590,KB[[#This Row],[RELASI]],$D$2:D590,1),"000")</f>
        <v>028</v>
      </c>
      <c r="D590" s="141">
        <f>IF(COUNTIFS($B$3:B590,KB[[#This Row],[RELASI]],$F$3:F590,KB[[#This Row],[TANGGAL]])&lt;&gt;1,0,1)</f>
        <v>1</v>
      </c>
      <c r="E590" s="141" t="str">
        <f>TEXT(IF(KB[[#This Row],[DOC]]&lt;&gt;"",KB[[#This Row],[DOC]],E589),"000")</f>
        <v>028</v>
      </c>
      <c r="F590" s="40">
        <v>43902</v>
      </c>
      <c r="G590" s="40" t="str">
        <f>TYPE</f>
        <v>A</v>
      </c>
      <c r="H590" s="153" t="s">
        <v>854</v>
      </c>
      <c r="I590" s="42" t="s">
        <v>774</v>
      </c>
      <c r="J590" s="43" t="s">
        <v>475</v>
      </c>
      <c r="K590" s="44">
        <v>4</v>
      </c>
      <c r="L590" s="49">
        <v>33140</v>
      </c>
      <c r="M590" s="49">
        <v>15570</v>
      </c>
      <c r="N590" s="49">
        <v>17570</v>
      </c>
      <c r="O590" s="49">
        <v>5.9999999999999991</v>
      </c>
      <c r="P590" s="49">
        <v>1054.1999999999998</v>
      </c>
      <c r="Q590" s="49">
        <v>16515.800000000003</v>
      </c>
      <c r="R590" s="49">
        <v>2999.9999999999995</v>
      </c>
      <c r="S590" s="49">
        <v>49547400</v>
      </c>
      <c r="T590" s="49">
        <v>15.08</v>
      </c>
      <c r="U590" s="49">
        <v>3015.0799999999995</v>
      </c>
      <c r="V590" s="49">
        <v>49796458</v>
      </c>
      <c r="W590" s="49">
        <v>248982</v>
      </c>
      <c r="X590" s="49">
        <v>49547476</v>
      </c>
      <c r="Y590" s="530" t="str">
        <f>IFERROR(IF(FIND("/KM",KB[[#This Row],[SUPPLIER]])&gt;0,"LAUT"),"DARAT")</f>
        <v>LAUT</v>
      </c>
    </row>
    <row r="591" spans="2:25">
      <c r="B591" s="140" t="str">
        <f>IFERROR(LEFT(KB[[#This Row],[SUPPLIER]],FIND("/",KB[[#This Row],[SUPPLIER]])-1),KB[[#This Row],[SUPPLIER]])</f>
        <v>MARTONO</v>
      </c>
      <c r="C591" s="141" t="str">
        <f>TEXT(VLOOKUP(KB[[#This Row],[RELASI]],DBRELASI[[RELASI]:[DOCKB]],10,0)+COUNTIFS($B$2:B591,KB[[#This Row],[RELASI]],$D$2:D591,1),"000")</f>
        <v>044</v>
      </c>
      <c r="D591" s="141">
        <f>IF(COUNTIFS($B$3:B591,KB[[#This Row],[RELASI]],$F$3:F591,KB[[#This Row],[TANGGAL]])&lt;&gt;1,0,1)</f>
        <v>1</v>
      </c>
      <c r="E591" s="141" t="str">
        <f>TEXT(IF(KB[[#This Row],[DOC]]&lt;&gt;"",KB[[#This Row],[DOC]],E590),"000")</f>
        <v>044</v>
      </c>
      <c r="F591" s="40">
        <v>43902</v>
      </c>
      <c r="G591" s="40" t="str">
        <f>TYPE</f>
        <v>A</v>
      </c>
      <c r="H591" s="153" t="s">
        <v>905</v>
      </c>
      <c r="I591" s="42" t="s">
        <v>508</v>
      </c>
      <c r="J591" s="43" t="s">
        <v>83</v>
      </c>
      <c r="K591" s="44">
        <v>1</v>
      </c>
      <c r="L591" s="49">
        <v>8580</v>
      </c>
      <c r="M591" s="49">
        <v>3880</v>
      </c>
      <c r="N591" s="49">
        <v>4700</v>
      </c>
      <c r="O591" s="49">
        <v>6</v>
      </c>
      <c r="P591" s="49">
        <v>282</v>
      </c>
      <c r="Q591" s="49">
        <v>4418</v>
      </c>
      <c r="R591" s="49">
        <v>2950</v>
      </c>
      <c r="S591" s="49">
        <v>13033100</v>
      </c>
      <c r="T591" s="49">
        <v>14.82</v>
      </c>
      <c r="U591" s="49">
        <v>2964.82</v>
      </c>
      <c r="V591" s="49">
        <v>13098575</v>
      </c>
      <c r="W591" s="49">
        <v>65493</v>
      </c>
      <c r="X591" s="49">
        <v>13033082</v>
      </c>
      <c r="Y591" s="530" t="str">
        <f>IFERROR(IF(FIND("/KM",KB[[#This Row],[SUPPLIER]])&gt;0,"LAUT"),"DARAT")</f>
        <v>LAUT</v>
      </c>
    </row>
    <row r="592" spans="2:25">
      <c r="B592" s="140" t="str">
        <f>IFERROR(LEFT(KB[[#This Row],[SUPPLIER]],FIND("/",KB[[#This Row],[SUPPLIER]])-1),KB[[#This Row],[SUPPLIER]])</f>
        <v>MARTONO</v>
      </c>
      <c r="C592" s="141" t="str">
        <f>TEXT(VLOOKUP(KB[[#This Row],[RELASI]],DBRELASI[[RELASI]:[DOCKB]],10,0)+COUNTIFS($B$2:B592,KB[[#This Row],[RELASI]],$D$2:D592,1),"000")</f>
        <v>044</v>
      </c>
      <c r="D592" s="141">
        <f>IF(COUNTIFS($B$3:B592,KB[[#This Row],[RELASI]],$F$3:F592,KB[[#This Row],[TANGGAL]])&lt;&gt;1,0,1)</f>
        <v>0</v>
      </c>
      <c r="E592" s="141" t="str">
        <f>TEXT(IF(KB[[#This Row],[DOC]]&lt;&gt;"",KB[[#This Row],[DOC]],E591),"000")</f>
        <v>044</v>
      </c>
      <c r="F592" s="40">
        <v>43902</v>
      </c>
      <c r="G592" s="40" t="str">
        <f>TYPE</f>
        <v>A</v>
      </c>
      <c r="H592"/>
      <c r="I592" s="46" t="s">
        <v>902</v>
      </c>
      <c r="J592" s="47" t="s">
        <v>83</v>
      </c>
      <c r="K592" s="48">
        <v>1</v>
      </c>
      <c r="L592" s="49">
        <v>6840</v>
      </c>
      <c r="M592" s="49">
        <v>3890</v>
      </c>
      <c r="N592" s="49">
        <v>2950</v>
      </c>
      <c r="O592" s="49">
        <v>6</v>
      </c>
      <c r="P592" s="49">
        <v>177</v>
      </c>
      <c r="Q592" s="49">
        <v>2773</v>
      </c>
      <c r="R592" s="49">
        <v>2950</v>
      </c>
      <c r="S592" s="49">
        <v>8180350</v>
      </c>
      <c r="T592" s="49">
        <v>14.82</v>
      </c>
      <c r="U592" s="49">
        <v>2964.82</v>
      </c>
      <c r="V592" s="49">
        <v>8221446</v>
      </c>
      <c r="W592" s="49">
        <v>41107</v>
      </c>
      <c r="X592" s="49">
        <v>8180339</v>
      </c>
      <c r="Y592" s="574" t="str">
        <f>IFERROR(IF(FIND("/KM",KB[[#This Row],[SUPPLIER]])&gt;0,"LAUT"),"DARAT")</f>
        <v>LAUT</v>
      </c>
    </row>
    <row r="593" spans="2:25">
      <c r="B593" s="140" t="str">
        <f>IFERROR(LEFT(KB[[#This Row],[SUPPLIER]],FIND("/",KB[[#This Row],[SUPPLIER]])-1),KB[[#This Row],[SUPPLIER]])</f>
        <v>ERAWATI</v>
      </c>
      <c r="C593" s="141" t="str">
        <f>TEXT(VLOOKUP(KB[[#This Row],[RELASI]],DBRELASI[[RELASI]:[DOCKB]],10,0)+COUNTIFS($B$2:B593,KB[[#This Row],[RELASI]],$D$2:D593,1),"000")</f>
        <v>054</v>
      </c>
      <c r="D593" s="141">
        <f>IF(COUNTIFS($B$3:B593,KB[[#This Row],[RELASI]],$F$3:F593,KB[[#This Row],[TANGGAL]])&lt;&gt;1,0,1)</f>
        <v>1</v>
      </c>
      <c r="E593" s="141" t="str">
        <f>TEXT(IF(KB[[#This Row],[DOC]]&lt;&gt;"",KB[[#This Row],[DOC]],E592),"000")</f>
        <v>054</v>
      </c>
      <c r="F593" s="40">
        <v>43903</v>
      </c>
      <c r="G593" s="40" t="str">
        <f>TYPE</f>
        <v>A</v>
      </c>
      <c r="H593" s="153" t="s">
        <v>919</v>
      </c>
      <c r="I593" s="42" t="s">
        <v>155</v>
      </c>
      <c r="J593" s="43" t="s">
        <v>77</v>
      </c>
      <c r="K593" s="44">
        <v>3</v>
      </c>
      <c r="L593" s="49">
        <v>31970</v>
      </c>
      <c r="M593" s="49">
        <v>16340</v>
      </c>
      <c r="N593" s="49">
        <v>15630</v>
      </c>
      <c r="O593" s="49">
        <v>5.303902751119641</v>
      </c>
      <c r="P593" s="49">
        <v>829</v>
      </c>
      <c r="Q593" s="49">
        <v>14801</v>
      </c>
      <c r="R593" s="49">
        <v>2900</v>
      </c>
      <c r="S593" s="49">
        <v>42922900</v>
      </c>
      <c r="T593" s="49">
        <v>14.57</v>
      </c>
      <c r="U593" s="49">
        <v>2914.57</v>
      </c>
      <c r="V593" s="49">
        <v>43138551</v>
      </c>
      <c r="W593" s="49">
        <v>215693</v>
      </c>
      <c r="X593" s="49">
        <v>42922858</v>
      </c>
      <c r="Y593" s="530" t="str">
        <f>IFERROR(IF(FIND("/KM",KB[[#This Row],[SUPPLIER]])&gt;0,"LAUT"),"DARAT")</f>
        <v>DARAT</v>
      </c>
    </row>
    <row r="594" spans="2:25">
      <c r="B594" s="140" t="str">
        <f>IFERROR(LEFT(KB[[#This Row],[SUPPLIER]],FIND("/",KB[[#This Row],[SUPPLIER]])-1),KB[[#This Row],[SUPPLIER]])</f>
        <v>RUSLAN JAYA, SH</v>
      </c>
      <c r="C594" s="141" t="str">
        <f>TEXT(VLOOKUP(KB[[#This Row],[RELASI]],DBRELASI[[RELASI]:[DOCKB]],10,0)+COUNTIFS($B$2:B594,KB[[#This Row],[RELASI]],$D$2:D594,1),"000")</f>
        <v>042</v>
      </c>
      <c r="D594" s="141">
        <f>IF(COUNTIFS($B$3:B594,KB[[#This Row],[RELASI]],$F$3:F594,KB[[#This Row],[TANGGAL]])&lt;&gt;1,0,1)</f>
        <v>1</v>
      </c>
      <c r="E594" s="141" t="str">
        <f>TEXT(IF(KB[[#This Row],[DOC]]&lt;&gt;"",KB[[#This Row],[DOC]],E593),"000")</f>
        <v>042</v>
      </c>
      <c r="F594" s="40">
        <v>43903</v>
      </c>
      <c r="G594" s="40" t="str">
        <f>TYPE</f>
        <v>A</v>
      </c>
      <c r="H594" s="153" t="s">
        <v>898</v>
      </c>
      <c r="I594" s="42" t="s">
        <v>479</v>
      </c>
      <c r="J594" s="43" t="s">
        <v>475</v>
      </c>
      <c r="K594" s="44">
        <v>2</v>
      </c>
      <c r="L594" s="49">
        <v>8260</v>
      </c>
      <c r="M594" s="49">
        <v>3200</v>
      </c>
      <c r="N594" s="49">
        <v>5060</v>
      </c>
      <c r="O594" s="49">
        <v>5</v>
      </c>
      <c r="P594" s="49">
        <v>253</v>
      </c>
      <c r="Q594" s="49">
        <v>4807</v>
      </c>
      <c r="R594" s="49">
        <v>2900</v>
      </c>
      <c r="S594" s="49">
        <v>13940300</v>
      </c>
      <c r="T594" s="49">
        <v>14.57</v>
      </c>
      <c r="U594" s="49">
        <v>2914.57</v>
      </c>
      <c r="V594" s="49">
        <v>14010338</v>
      </c>
      <c r="W594" s="49">
        <v>70052</v>
      </c>
      <c r="X594" s="49">
        <v>13940286</v>
      </c>
      <c r="Y594" s="530" t="str">
        <f>IFERROR(IF(FIND("/KM",KB[[#This Row],[SUPPLIER]])&gt;0,"LAUT"),"DARAT")</f>
        <v>DARAT</v>
      </c>
    </row>
    <row r="595" spans="2:25">
      <c r="B595" s="140" t="str">
        <f>IFERROR(LEFT(KB[[#This Row],[SUPPLIER]],FIND("/",KB[[#This Row],[SUPPLIER]])-1),KB[[#This Row],[SUPPLIER]])</f>
        <v>DINI CHAIRANI</v>
      </c>
      <c r="C595" s="141" t="str">
        <f>TEXT(VLOOKUP(KB[[#This Row],[RELASI]],DBRELASI[[RELASI]:[DOCKB]],10,0)+COUNTIFS($B$2:B595,KB[[#This Row],[RELASI]],$D$2:D595,1),"000")</f>
        <v>040</v>
      </c>
      <c r="D595" s="141">
        <f>IF(COUNTIFS($B$3:B595,KB[[#This Row],[RELASI]],$F$3:F595,KB[[#This Row],[TANGGAL]])&lt;&gt;1,0,1)</f>
        <v>1</v>
      </c>
      <c r="E595" s="141" t="str">
        <f>TEXT(IF(KB[[#This Row],[DOC]]&lt;&gt;"",KB[[#This Row],[DOC]],E594),"000")</f>
        <v>040</v>
      </c>
      <c r="F595" s="40">
        <v>43903</v>
      </c>
      <c r="G595" s="40" t="str">
        <f>TYPE</f>
        <v>A</v>
      </c>
      <c r="H595" s="153" t="s">
        <v>894</v>
      </c>
      <c r="I595" s="42" t="s">
        <v>820</v>
      </c>
      <c r="J595" s="43" t="s">
        <v>95</v>
      </c>
      <c r="K595" s="44">
        <v>2</v>
      </c>
      <c r="L595" s="49">
        <v>14720</v>
      </c>
      <c r="M595" s="49">
        <v>7770</v>
      </c>
      <c r="N595" s="49">
        <v>6950</v>
      </c>
      <c r="O595" s="49">
        <v>6</v>
      </c>
      <c r="P595" s="49">
        <v>417</v>
      </c>
      <c r="Q595" s="49">
        <v>6533</v>
      </c>
      <c r="R595" s="49">
        <v>2950</v>
      </c>
      <c r="S595" s="49">
        <v>19272350</v>
      </c>
      <c r="T595" s="49">
        <v>14.82</v>
      </c>
      <c r="U595" s="49">
        <v>2964.82</v>
      </c>
      <c r="V595" s="49">
        <v>19369169</v>
      </c>
      <c r="W595" s="49">
        <v>96846</v>
      </c>
      <c r="X595" s="49">
        <v>19272323</v>
      </c>
      <c r="Y595" s="530" t="str">
        <f>IFERROR(IF(FIND("/KM",KB[[#This Row],[SUPPLIER]])&gt;0,"LAUT"),"DARAT")</f>
        <v>LAUT</v>
      </c>
    </row>
    <row r="596" spans="2:25">
      <c r="B596" s="140" t="str">
        <f>IFERROR(LEFT(KB[[#This Row],[SUPPLIER]],FIND("/",KB[[#This Row],[SUPPLIER]])-1),KB[[#This Row],[SUPPLIER]])</f>
        <v>MARTONO</v>
      </c>
      <c r="C596" s="141" t="str">
        <f>TEXT(VLOOKUP(KB[[#This Row],[RELASI]],DBRELASI[[RELASI]:[DOCKB]],10,0)+COUNTIFS($B$2:B596,KB[[#This Row],[RELASI]],$D$2:D596,1),"000")</f>
        <v>045</v>
      </c>
      <c r="D596" s="141">
        <f>IF(COUNTIFS($B$3:B596,KB[[#This Row],[RELASI]],$F$3:F596,KB[[#This Row],[TANGGAL]])&lt;&gt;1,0,1)</f>
        <v>1</v>
      </c>
      <c r="E596" s="141" t="str">
        <f>TEXT(IF(KB[[#This Row],[DOC]]&lt;&gt;"",KB[[#This Row],[DOC]],E595),"000")</f>
        <v>045</v>
      </c>
      <c r="F596" s="40">
        <v>43903</v>
      </c>
      <c r="G596" s="40" t="str">
        <f>TYPE</f>
        <v>A</v>
      </c>
      <c r="H596" s="153" t="s">
        <v>907</v>
      </c>
      <c r="I596" s="42" t="s">
        <v>916</v>
      </c>
      <c r="J596" s="43" t="s">
        <v>83</v>
      </c>
      <c r="K596" s="44">
        <v>1</v>
      </c>
      <c r="L596" s="49">
        <v>8610</v>
      </c>
      <c r="M596" s="49">
        <v>3870</v>
      </c>
      <c r="N596" s="49">
        <v>4740</v>
      </c>
      <c r="O596" s="49">
        <v>6</v>
      </c>
      <c r="P596" s="49">
        <v>284.39999999999998</v>
      </c>
      <c r="Q596" s="49">
        <v>4455.6000000000004</v>
      </c>
      <c r="R596" s="49">
        <v>2949.9999999999995</v>
      </c>
      <c r="S596" s="49">
        <v>13144020</v>
      </c>
      <c r="T596" s="49">
        <v>14.82</v>
      </c>
      <c r="U596" s="49">
        <v>2964.8199999999997</v>
      </c>
      <c r="V596" s="49">
        <v>13210052</v>
      </c>
      <c r="W596" s="49">
        <v>66050</v>
      </c>
      <c r="X596" s="49">
        <v>13144002</v>
      </c>
      <c r="Y596" s="530" t="str">
        <f>IFERROR(IF(FIND("/KM",KB[[#This Row],[SUPPLIER]])&gt;0,"LAUT"),"DARAT")</f>
        <v>LAUT</v>
      </c>
    </row>
    <row r="597" spans="2:25">
      <c r="B597" s="140" t="str">
        <f>IFERROR(LEFT(KB[[#This Row],[SUPPLIER]],FIND("/",KB[[#This Row],[SUPPLIER]])-1),KB[[#This Row],[SUPPLIER]])</f>
        <v>MARTONO</v>
      </c>
      <c r="C597" s="141" t="str">
        <f>TEXT(VLOOKUP(KB[[#This Row],[RELASI]],DBRELASI[[RELASI]:[DOCKB]],10,0)+COUNTIFS($B$2:B597,KB[[#This Row],[RELASI]],$D$2:D597,1),"000")</f>
        <v>045</v>
      </c>
      <c r="D597" s="141">
        <f>IF(COUNTIFS($B$3:B597,KB[[#This Row],[RELASI]],$F$3:F597,KB[[#This Row],[TANGGAL]])&lt;&gt;1,0,1)</f>
        <v>0</v>
      </c>
      <c r="E597" s="141" t="str">
        <f>TEXT(IF(KB[[#This Row],[DOC]]&lt;&gt;"",KB[[#This Row],[DOC]],E596),"000")</f>
        <v>045</v>
      </c>
      <c r="F597" s="40">
        <v>43903</v>
      </c>
      <c r="G597" s="40" t="str">
        <f>TYPE</f>
        <v>A</v>
      </c>
      <c r="H597"/>
      <c r="I597" s="42" t="s">
        <v>528</v>
      </c>
      <c r="J597" s="43" t="s">
        <v>83</v>
      </c>
      <c r="K597" s="44">
        <v>1</v>
      </c>
      <c r="L597" s="49">
        <v>5300</v>
      </c>
      <c r="M597" s="49">
        <v>3840</v>
      </c>
      <c r="N597" s="49">
        <v>1460</v>
      </c>
      <c r="O597" s="49">
        <v>6</v>
      </c>
      <c r="P597" s="49">
        <v>87.6</v>
      </c>
      <c r="Q597" s="49">
        <v>1372.4</v>
      </c>
      <c r="R597" s="49">
        <v>2950</v>
      </c>
      <c r="S597" s="49">
        <v>4048580</v>
      </c>
      <c r="T597" s="49">
        <v>14.82</v>
      </c>
      <c r="U597" s="49">
        <v>2964.82</v>
      </c>
      <c r="V597" s="49">
        <v>4068919</v>
      </c>
      <c r="W597" s="49">
        <v>20345</v>
      </c>
      <c r="X597" s="49">
        <v>4048574</v>
      </c>
      <c r="Y597" s="530" t="str">
        <f>IFERROR(IF(FIND("/KM",KB[[#This Row],[SUPPLIER]])&gt;0,"LAUT"),"DARAT")</f>
        <v>LAUT</v>
      </c>
    </row>
    <row r="598" spans="2:25">
      <c r="B598" s="140" t="str">
        <f>IFERROR(LEFT(KB[[#This Row],[SUPPLIER]],FIND("/",KB[[#This Row],[SUPPLIER]])-1),KB[[#This Row],[SUPPLIER]])</f>
        <v>MARTONO</v>
      </c>
      <c r="C598" s="141" t="str">
        <f>TEXT(VLOOKUP(KB[[#This Row],[RELASI]],DBRELASI[[RELASI]:[DOCKB]],10,0)+COUNTIFS($B$2:B598,KB[[#This Row],[RELASI]],$D$2:D598,1),"000")</f>
        <v>045</v>
      </c>
      <c r="D598" s="141">
        <f>IF(COUNTIFS($B$3:B598,KB[[#This Row],[RELASI]],$F$3:F598,KB[[#This Row],[TANGGAL]])&lt;&gt;1,0,1)</f>
        <v>0</v>
      </c>
      <c r="E598" s="141" t="str">
        <f>TEXT(IF(KB[[#This Row],[DOC]]&lt;&gt;"",KB[[#This Row],[DOC]],E597),"000")</f>
        <v>045</v>
      </c>
      <c r="F598" s="40">
        <v>43903</v>
      </c>
      <c r="G598" s="40" t="str">
        <f>TYPE</f>
        <v>A</v>
      </c>
      <c r="H598"/>
      <c r="I598" s="42" t="s">
        <v>509</v>
      </c>
      <c r="J598" s="43" t="s">
        <v>83</v>
      </c>
      <c r="K598" s="44">
        <v>1</v>
      </c>
      <c r="L598" s="49">
        <v>6380</v>
      </c>
      <c r="M598" s="49">
        <v>3880</v>
      </c>
      <c r="N598" s="49">
        <v>2500</v>
      </c>
      <c r="O598" s="49">
        <v>6</v>
      </c>
      <c r="P598" s="49">
        <v>150</v>
      </c>
      <c r="Q598" s="49">
        <v>2350</v>
      </c>
      <c r="R598" s="49">
        <v>2950</v>
      </c>
      <c r="S598" s="49">
        <v>6932500</v>
      </c>
      <c r="T598" s="49">
        <v>14.82</v>
      </c>
      <c r="U598" s="49">
        <v>2964.82</v>
      </c>
      <c r="V598" s="49">
        <v>6967327</v>
      </c>
      <c r="W598" s="49">
        <v>34837</v>
      </c>
      <c r="X598" s="49">
        <v>6932490</v>
      </c>
      <c r="Y598" s="530" t="str">
        <f>IFERROR(IF(FIND("/KM",KB[[#This Row],[SUPPLIER]])&gt;0,"LAUT"),"DARAT")</f>
        <v>LAUT</v>
      </c>
    </row>
    <row r="599" spans="2:25">
      <c r="B599" s="140" t="str">
        <f>IFERROR(LEFT(KB[[#This Row],[SUPPLIER]],FIND("/",KB[[#This Row],[SUPPLIER]])-1),KB[[#This Row],[SUPPLIER]])</f>
        <v>MASRI</v>
      </c>
      <c r="C599" s="141" t="str">
        <f>TEXT(VLOOKUP(KB[[#This Row],[RELASI]],DBRELASI[[RELASI]:[DOCKB]],10,0)+COUNTIFS($B$2:B599,KB[[#This Row],[RELASI]],$D$2:D599,1),"000")</f>
        <v>028</v>
      </c>
      <c r="D599" s="141">
        <f>IF(COUNTIFS($B$3:B599,KB[[#This Row],[RELASI]],$F$3:F599,KB[[#This Row],[TANGGAL]])&lt;&gt;1,0,1)</f>
        <v>1</v>
      </c>
      <c r="E599" s="141" t="str">
        <f>TEXT(IF(KB[[#This Row],[DOC]]&lt;&gt;"",KB[[#This Row],[DOC]],E598),"000")</f>
        <v>028</v>
      </c>
      <c r="F599" s="40">
        <v>43903</v>
      </c>
      <c r="G599" s="40" t="str">
        <f>TYPE</f>
        <v>A</v>
      </c>
      <c r="H599" s="154" t="s">
        <v>854</v>
      </c>
      <c r="I599" s="46" t="s">
        <v>771</v>
      </c>
      <c r="J599" s="47" t="s">
        <v>511</v>
      </c>
      <c r="K599" s="48">
        <v>23</v>
      </c>
      <c r="L599" s="49">
        <v>198720</v>
      </c>
      <c r="M599" s="49">
        <v>88980</v>
      </c>
      <c r="N599" s="49">
        <v>109740</v>
      </c>
      <c r="O599" s="49">
        <v>6.0000000000000009</v>
      </c>
      <c r="P599" s="49">
        <v>6584.4000000000015</v>
      </c>
      <c r="Q599" s="49">
        <v>103155.59999999998</v>
      </c>
      <c r="R599" s="49">
        <v>3250.0000000000009</v>
      </c>
      <c r="S599" s="49">
        <v>335255700</v>
      </c>
      <c r="T599" s="49">
        <v>16.329999999999998</v>
      </c>
      <c r="U599" s="49">
        <v>3266.3300000000008</v>
      </c>
      <c r="V599" s="49">
        <v>336940230</v>
      </c>
      <c r="W599" s="49">
        <v>1684703</v>
      </c>
      <c r="X599" s="49">
        <v>335255527</v>
      </c>
      <c r="Y599" s="574" t="str">
        <f>IFERROR(IF(FIND("/KM",KB[[#This Row],[SUPPLIER]])&gt;0,"LAUT"),"DARAT")</f>
        <v>LAUT</v>
      </c>
    </row>
    <row r="600" spans="2:25">
      <c r="B600" s="140" t="str">
        <f>IFERROR(LEFT(KB[[#This Row],[SUPPLIER]],FIND("/",KB[[#This Row],[SUPPLIER]])-1),KB[[#This Row],[SUPPLIER]])</f>
        <v>ERAWATI</v>
      </c>
      <c r="C600" s="141" t="str">
        <f>TEXT(VLOOKUP(KB[[#This Row],[RELASI]],DBRELASI[[RELASI]:[DOCKB]],10,0)+COUNTIFS($B$2:B600,KB[[#This Row],[RELASI]],$D$2:D600,1),"000")</f>
        <v>055</v>
      </c>
      <c r="D600" s="141">
        <f>IF(COUNTIFS($B$3:B600,KB[[#This Row],[RELASI]],$F$3:F600,KB[[#This Row],[TANGGAL]])&lt;&gt;1,0,1)</f>
        <v>1</v>
      </c>
      <c r="E600" s="141" t="str">
        <f>TEXT(IF(KB[[#This Row],[DOC]]&lt;&gt;"",KB[[#This Row],[DOC]],E599),"000")</f>
        <v>055</v>
      </c>
      <c r="F600" s="40">
        <v>43904</v>
      </c>
      <c r="G600" s="40" t="str">
        <f>TYPE</f>
        <v>A</v>
      </c>
      <c r="H600" s="153" t="s">
        <v>920</v>
      </c>
      <c r="I600" s="42" t="s">
        <v>155</v>
      </c>
      <c r="J600" s="43" t="s">
        <v>77</v>
      </c>
      <c r="K600" s="44">
        <v>4</v>
      </c>
      <c r="L600" s="49">
        <v>45230</v>
      </c>
      <c r="M600" s="49">
        <v>17710</v>
      </c>
      <c r="N600" s="49">
        <v>27520</v>
      </c>
      <c r="O600" s="49">
        <v>5</v>
      </c>
      <c r="P600" s="49">
        <v>1376</v>
      </c>
      <c r="Q600" s="49">
        <v>26144</v>
      </c>
      <c r="R600" s="49">
        <v>2900</v>
      </c>
      <c r="S600" s="49">
        <v>75817600</v>
      </c>
      <c r="T600" s="49">
        <v>14.57</v>
      </c>
      <c r="U600" s="49">
        <v>2914.57</v>
      </c>
      <c r="V600" s="49">
        <v>76198518</v>
      </c>
      <c r="W600" s="49">
        <v>380992</v>
      </c>
      <c r="X600" s="49">
        <v>75817526</v>
      </c>
      <c r="Y600" s="530" t="str">
        <f>IFERROR(IF(FIND("/KM",KB[[#This Row],[SUPPLIER]])&gt;0,"LAUT"),"DARAT")</f>
        <v>DARAT</v>
      </c>
    </row>
    <row r="601" spans="2:25">
      <c r="B601" s="140" t="str">
        <f>IFERROR(LEFT(KB[[#This Row],[SUPPLIER]],FIND("/",KB[[#This Row],[SUPPLIER]])-1),KB[[#This Row],[SUPPLIER]])</f>
        <v>INDRAYANI</v>
      </c>
      <c r="C601" s="141" t="str">
        <f>TEXT(VLOOKUP(KB[[#This Row],[RELASI]],DBRELASI[[RELASI]:[DOCKB]],10,0)+COUNTIFS($B$2:B601,KB[[#This Row],[RELASI]],$D$2:D601,1),"000")</f>
        <v>049</v>
      </c>
      <c r="D601" s="141">
        <f>IF(COUNTIFS($B$3:B601,KB[[#This Row],[RELASI]],$F$3:F601,KB[[#This Row],[TANGGAL]])&lt;&gt;1,0,1)</f>
        <v>1</v>
      </c>
      <c r="E601" s="141" t="str">
        <f>TEXT(IF(KB[[#This Row],[DOC]]&lt;&gt;"",KB[[#This Row],[DOC]],E600),"000")</f>
        <v>049</v>
      </c>
      <c r="F601" s="40">
        <v>43904</v>
      </c>
      <c r="G601" s="40" t="str">
        <f>TYPE</f>
        <v>A</v>
      </c>
      <c r="H601" s="153" t="s">
        <v>912</v>
      </c>
      <c r="I601" s="42" t="s">
        <v>79</v>
      </c>
      <c r="J601" s="43" t="s">
        <v>77</v>
      </c>
      <c r="K601" s="44">
        <v>1</v>
      </c>
      <c r="L601" s="49">
        <v>9670</v>
      </c>
      <c r="M601" s="49">
        <v>4470</v>
      </c>
      <c r="N601" s="49">
        <v>5200</v>
      </c>
      <c r="O601" s="49">
        <v>5</v>
      </c>
      <c r="P601" s="49">
        <v>260</v>
      </c>
      <c r="Q601" s="49">
        <v>4940</v>
      </c>
      <c r="R601" s="49">
        <v>3000</v>
      </c>
      <c r="S601" s="49">
        <v>14820000</v>
      </c>
      <c r="T601" s="49">
        <v>15.08</v>
      </c>
      <c r="U601" s="49">
        <v>3015.08</v>
      </c>
      <c r="V601" s="49">
        <v>14894495</v>
      </c>
      <c r="W601" s="49">
        <v>74472</v>
      </c>
      <c r="X601" s="49">
        <v>14820023</v>
      </c>
      <c r="Y601" s="530" t="str">
        <f>IFERROR(IF(FIND("/KM",KB[[#This Row],[SUPPLIER]])&gt;0,"LAUT"),"DARAT")</f>
        <v>DARAT</v>
      </c>
    </row>
    <row r="602" spans="2:25">
      <c r="B602" s="140" t="str">
        <f>IFERROR(LEFT(KB[[#This Row],[SUPPLIER]],FIND("/",KB[[#This Row],[SUPPLIER]])-1),KB[[#This Row],[SUPPLIER]])</f>
        <v>RUSLAN JAYA, SH</v>
      </c>
      <c r="C602" s="141" t="str">
        <f>TEXT(VLOOKUP(KB[[#This Row],[RELASI]],DBRELASI[[RELASI]:[DOCKB]],10,0)+COUNTIFS($B$2:B602,KB[[#This Row],[RELASI]],$D$2:D602,1),"000")</f>
        <v>043</v>
      </c>
      <c r="D602" s="141">
        <f>IF(COUNTIFS($B$3:B602,KB[[#This Row],[RELASI]],$F$3:F602,KB[[#This Row],[TANGGAL]])&lt;&gt;1,0,1)</f>
        <v>1</v>
      </c>
      <c r="E602" s="141" t="str">
        <f>TEXT(IF(KB[[#This Row],[DOC]]&lt;&gt;"",KB[[#This Row],[DOC]],E601),"000")</f>
        <v>043</v>
      </c>
      <c r="F602" s="40">
        <v>43904</v>
      </c>
      <c r="G602" s="40" t="str">
        <f>TYPE</f>
        <v>A</v>
      </c>
      <c r="H602" s="153" t="s">
        <v>899</v>
      </c>
      <c r="I602" s="42" t="s">
        <v>479</v>
      </c>
      <c r="J602" s="43" t="s">
        <v>475</v>
      </c>
      <c r="K602" s="44">
        <v>9</v>
      </c>
      <c r="L602" s="49">
        <v>77720</v>
      </c>
      <c r="M602" s="49">
        <v>28450</v>
      </c>
      <c r="N602" s="49">
        <v>49270</v>
      </c>
      <c r="O602" s="49">
        <v>5</v>
      </c>
      <c r="P602" s="49">
        <v>2463.5</v>
      </c>
      <c r="Q602" s="49">
        <v>46806.5</v>
      </c>
      <c r="R602" s="49">
        <v>2900</v>
      </c>
      <c r="S602" s="49">
        <v>135738850</v>
      </c>
      <c r="T602" s="49">
        <v>14.57</v>
      </c>
      <c r="U602" s="49">
        <v>2914.57</v>
      </c>
      <c r="V602" s="49">
        <v>136420821</v>
      </c>
      <c r="W602" s="49">
        <v>682105</v>
      </c>
      <c r="X602" s="49">
        <v>135738716</v>
      </c>
      <c r="Y602" s="530" t="str">
        <f>IFERROR(IF(FIND("/KM",KB[[#This Row],[SUPPLIER]])&gt;0,"LAUT"),"DARAT")</f>
        <v>DARAT</v>
      </c>
    </row>
    <row r="603" spans="2:25">
      <c r="B603" s="140" t="str">
        <f>IFERROR(LEFT(KB[[#This Row],[SUPPLIER]],FIND("/",KB[[#This Row],[SUPPLIER]])-1),KB[[#This Row],[SUPPLIER]])</f>
        <v>MARTONO</v>
      </c>
      <c r="C603" s="141" t="str">
        <f>TEXT(VLOOKUP(KB[[#This Row],[RELASI]],DBRELASI[[RELASI]:[DOCKB]],10,0)+COUNTIFS($B$2:B603,KB[[#This Row],[RELASI]],$D$2:D603,1),"000")</f>
        <v>046</v>
      </c>
      <c r="D603" s="141">
        <f>IF(COUNTIFS($B$3:B603,KB[[#This Row],[RELASI]],$F$3:F603,KB[[#This Row],[TANGGAL]])&lt;&gt;1,0,1)</f>
        <v>1</v>
      </c>
      <c r="E603" s="141" t="str">
        <f>TEXT(IF(KB[[#This Row],[DOC]]&lt;&gt;"",KB[[#This Row],[DOC]],E602),"000")</f>
        <v>046</v>
      </c>
      <c r="F603" s="40">
        <v>43904</v>
      </c>
      <c r="G603" s="40" t="str">
        <f>TYPE</f>
        <v>A</v>
      </c>
      <c r="H603" s="154" t="s">
        <v>908</v>
      </c>
      <c r="I603" s="46" t="s">
        <v>509</v>
      </c>
      <c r="J603" s="47" t="s">
        <v>83</v>
      </c>
      <c r="K603" s="48">
        <v>1</v>
      </c>
      <c r="L603" s="49">
        <v>7310</v>
      </c>
      <c r="M603" s="49">
        <v>3880</v>
      </c>
      <c r="N603" s="49">
        <v>3430</v>
      </c>
      <c r="O603" s="49">
        <v>6</v>
      </c>
      <c r="P603" s="49">
        <v>205.79999999999998</v>
      </c>
      <c r="Q603" s="49">
        <v>3224.2</v>
      </c>
      <c r="R603" s="49">
        <v>2950</v>
      </c>
      <c r="S603" s="49">
        <v>9511390</v>
      </c>
      <c r="T603" s="49">
        <v>14.82</v>
      </c>
      <c r="U603" s="49">
        <v>2964.82</v>
      </c>
      <c r="V603" s="49">
        <v>9559173</v>
      </c>
      <c r="W603" s="49">
        <v>47796</v>
      </c>
      <c r="X603" s="49">
        <v>9511377</v>
      </c>
      <c r="Y603" s="574" t="str">
        <f>IFERROR(IF(FIND("/KM",KB[[#This Row],[SUPPLIER]])&gt;0,"LAUT"),"DARAT")</f>
        <v>LAUT</v>
      </c>
    </row>
    <row r="604" spans="2:25">
      <c r="B604" s="140" t="str">
        <f>IFERROR(LEFT(KB[[#This Row],[SUPPLIER]],FIND("/",KB[[#This Row],[SUPPLIER]])-1),KB[[#This Row],[SUPPLIER]])</f>
        <v>ERAWATI</v>
      </c>
      <c r="C604" s="141" t="str">
        <f>TEXT(VLOOKUP(KB[[#This Row],[RELASI]],DBRELASI[[RELASI]:[DOCKB]],10,0)+COUNTIFS($B$2:B604,KB[[#This Row],[RELASI]],$D$2:D604,1),"000")</f>
        <v>056</v>
      </c>
      <c r="D604" s="141">
        <f>IF(COUNTIFS($B$3:B604,KB[[#This Row],[RELASI]],$F$3:F604,KB[[#This Row],[TANGGAL]])&lt;&gt;1,0,1)</f>
        <v>1</v>
      </c>
      <c r="E604" s="141" t="str">
        <f>TEXT(IF(KB[[#This Row],[DOC]]&lt;&gt;"",KB[[#This Row],[DOC]],E603),"000")</f>
        <v>056</v>
      </c>
      <c r="F604" s="40">
        <v>43906</v>
      </c>
      <c r="G604" s="40" t="str">
        <f>TYPE</f>
        <v>A</v>
      </c>
      <c r="H604" s="153" t="s">
        <v>921</v>
      </c>
      <c r="I604" s="42" t="s">
        <v>155</v>
      </c>
      <c r="J604" s="43" t="s">
        <v>77</v>
      </c>
      <c r="K604" s="44">
        <v>3</v>
      </c>
      <c r="L604" s="49">
        <v>27000</v>
      </c>
      <c r="M604" s="49">
        <v>10300</v>
      </c>
      <c r="N604" s="49">
        <v>16700</v>
      </c>
      <c r="O604" s="49">
        <v>5</v>
      </c>
      <c r="P604" s="49">
        <v>835</v>
      </c>
      <c r="Q604" s="49">
        <v>15865</v>
      </c>
      <c r="R604" s="49">
        <v>2900</v>
      </c>
      <c r="S604" s="49">
        <v>46008500</v>
      </c>
      <c r="T604" s="49">
        <v>14.57</v>
      </c>
      <c r="U604" s="49">
        <v>2914.57</v>
      </c>
      <c r="V604" s="49">
        <v>46239653</v>
      </c>
      <c r="W604" s="49">
        <v>231198</v>
      </c>
      <c r="X604" s="49">
        <v>46008455</v>
      </c>
      <c r="Y604" s="530" t="str">
        <f>IFERROR(IF(FIND("/KM",KB[[#This Row],[SUPPLIER]])&gt;0,"LAUT"),"DARAT")</f>
        <v>DARAT</v>
      </c>
    </row>
    <row r="605" spans="2:25">
      <c r="B605" s="140" t="str">
        <f>IFERROR(LEFT(KB[[#This Row],[SUPPLIER]],FIND("/",KB[[#This Row],[SUPPLIER]])-1),KB[[#This Row],[SUPPLIER]])</f>
        <v>INDRAYANI</v>
      </c>
      <c r="C605" s="141" t="str">
        <f>TEXT(VLOOKUP(KB[[#This Row],[RELASI]],DBRELASI[[RELASI]:[DOCKB]],10,0)+COUNTIFS($B$2:B605,KB[[#This Row],[RELASI]],$D$2:D605,1),"000")</f>
        <v>050</v>
      </c>
      <c r="D605" s="141">
        <f>IF(COUNTIFS($B$3:B605,KB[[#This Row],[RELASI]],$F$3:F605,KB[[#This Row],[TANGGAL]])&lt;&gt;1,0,1)</f>
        <v>1</v>
      </c>
      <c r="E605" s="141" t="str">
        <f>TEXT(IF(KB[[#This Row],[DOC]]&lt;&gt;"",KB[[#This Row],[DOC]],E604),"000")</f>
        <v>050</v>
      </c>
      <c r="F605" s="40">
        <v>43906</v>
      </c>
      <c r="G605" s="40" t="str">
        <f>TYPE</f>
        <v>A</v>
      </c>
      <c r="H605" s="153" t="s">
        <v>913</v>
      </c>
      <c r="I605" s="42" t="s">
        <v>79</v>
      </c>
      <c r="J605" s="43" t="s">
        <v>77</v>
      </c>
      <c r="K605" s="44">
        <v>1</v>
      </c>
      <c r="L605" s="49">
        <v>10270</v>
      </c>
      <c r="M605" s="49">
        <v>4500</v>
      </c>
      <c r="N605" s="49">
        <v>5770</v>
      </c>
      <c r="O605" s="49">
        <v>5</v>
      </c>
      <c r="P605" s="49">
        <v>288.5</v>
      </c>
      <c r="Q605" s="49">
        <v>5481.5</v>
      </c>
      <c r="R605" s="49">
        <v>3000</v>
      </c>
      <c r="S605" s="49">
        <v>16444500</v>
      </c>
      <c r="T605" s="49">
        <v>15.08</v>
      </c>
      <c r="U605" s="49">
        <v>3015.08</v>
      </c>
      <c r="V605" s="49">
        <v>16527161</v>
      </c>
      <c r="W605" s="49">
        <v>82636</v>
      </c>
      <c r="X605" s="49">
        <v>16444525</v>
      </c>
      <c r="Y605" s="530" t="str">
        <f>IFERROR(IF(FIND("/KM",KB[[#This Row],[SUPPLIER]])&gt;0,"LAUT"),"DARAT")</f>
        <v>DARAT</v>
      </c>
    </row>
    <row r="606" spans="2:25">
      <c r="B606" s="140" t="str">
        <f>IFERROR(LEFT(KB[[#This Row],[SUPPLIER]],FIND("/",KB[[#This Row],[SUPPLIER]])-1),KB[[#This Row],[SUPPLIER]])</f>
        <v>RUSLAN JAYA, SH</v>
      </c>
      <c r="C606" s="141" t="str">
        <f>TEXT(VLOOKUP(KB[[#This Row],[RELASI]],DBRELASI[[RELASI]:[DOCKB]],10,0)+COUNTIFS($B$2:B606,KB[[#This Row],[RELASI]],$D$2:D606,1),"000")</f>
        <v>044</v>
      </c>
      <c r="D606" s="141">
        <f>IF(COUNTIFS($B$3:B606,KB[[#This Row],[RELASI]],$F$3:F606,KB[[#This Row],[TANGGAL]])&lt;&gt;1,0,1)</f>
        <v>1</v>
      </c>
      <c r="E606" s="141" t="str">
        <f>TEXT(IF(KB[[#This Row],[DOC]]&lt;&gt;"",KB[[#This Row],[DOC]],E605),"000")</f>
        <v>044</v>
      </c>
      <c r="F606" s="40">
        <v>43906</v>
      </c>
      <c r="G606" s="40" t="str">
        <f>TYPE</f>
        <v>A</v>
      </c>
      <c r="H606" s="153" t="s">
        <v>905</v>
      </c>
      <c r="I606" s="42" t="s">
        <v>479</v>
      </c>
      <c r="J606" s="43" t="s">
        <v>475</v>
      </c>
      <c r="K606" s="44">
        <v>7</v>
      </c>
      <c r="L606" s="49">
        <v>60780</v>
      </c>
      <c r="M606" s="49">
        <v>22710</v>
      </c>
      <c r="N606" s="49">
        <v>38070</v>
      </c>
      <c r="O606" s="49">
        <v>5</v>
      </c>
      <c r="P606" s="49">
        <v>1903.5</v>
      </c>
      <c r="Q606" s="49">
        <v>36166.5</v>
      </c>
      <c r="R606" s="49">
        <v>2900</v>
      </c>
      <c r="S606" s="49">
        <v>104882850</v>
      </c>
      <c r="T606" s="49">
        <v>14.57</v>
      </c>
      <c r="U606" s="49">
        <v>2914.57</v>
      </c>
      <c r="V606" s="49">
        <v>105409794</v>
      </c>
      <c r="W606" s="49">
        <v>527049</v>
      </c>
      <c r="X606" s="49">
        <v>104882745</v>
      </c>
      <c r="Y606" s="530" t="str">
        <f>IFERROR(IF(FIND("/KM",KB[[#This Row],[SUPPLIER]])&gt;0,"LAUT"),"DARAT")</f>
        <v>DARAT</v>
      </c>
    </row>
    <row r="607" spans="2:25">
      <c r="B607" s="140" t="str">
        <f>IFERROR(LEFT(KB[[#This Row],[SUPPLIER]],FIND("/",KB[[#This Row],[SUPPLIER]])-1),KB[[#This Row],[SUPPLIER]])</f>
        <v>YANADI</v>
      </c>
      <c r="C607" s="141" t="str">
        <f>TEXT(VLOOKUP(KB[[#This Row],[RELASI]],DBRELASI[[RELASI]:[DOCKB]],10,0)+COUNTIFS($B$2:B607,KB[[#This Row],[RELASI]],$D$2:D607,1),"000")</f>
        <v>043</v>
      </c>
      <c r="D607" s="141">
        <f>IF(COUNTIFS($B$3:B607,KB[[#This Row],[RELASI]],$F$3:F607,KB[[#This Row],[TANGGAL]])&lt;&gt;1,0,1)</f>
        <v>1</v>
      </c>
      <c r="E607" s="141" t="str">
        <f>TEXT(IF(KB[[#This Row],[DOC]]&lt;&gt;"",KB[[#This Row],[DOC]],E606),"000")</f>
        <v>043</v>
      </c>
      <c r="F607" s="40">
        <v>43906</v>
      </c>
      <c r="G607" s="40" t="str">
        <f>TYPE</f>
        <v>A</v>
      </c>
      <c r="H607" s="153" t="s">
        <v>899</v>
      </c>
      <c r="I607" s="42" t="s">
        <v>137</v>
      </c>
      <c r="J607" s="43" t="s">
        <v>74</v>
      </c>
      <c r="K607" s="44">
        <v>2</v>
      </c>
      <c r="L607" s="49">
        <v>17920</v>
      </c>
      <c r="M607" s="49">
        <v>6230</v>
      </c>
      <c r="N607" s="49">
        <v>11690</v>
      </c>
      <c r="O607" s="49">
        <v>5</v>
      </c>
      <c r="P607" s="49">
        <v>584.5</v>
      </c>
      <c r="Q607" s="49">
        <v>11105.5</v>
      </c>
      <c r="R607" s="49">
        <v>2900</v>
      </c>
      <c r="S607" s="49">
        <v>32205950</v>
      </c>
      <c r="T607" s="49">
        <v>14.57</v>
      </c>
      <c r="U607" s="49">
        <v>2914.57</v>
      </c>
      <c r="V607" s="49">
        <v>32367757</v>
      </c>
      <c r="W607" s="49">
        <v>161839</v>
      </c>
      <c r="X607" s="49">
        <v>32205918</v>
      </c>
      <c r="Y607" s="530" t="str">
        <f>IFERROR(IF(FIND("/KM",KB[[#This Row],[SUPPLIER]])&gt;0,"LAUT"),"DARAT")</f>
        <v>DARAT</v>
      </c>
    </row>
    <row r="608" spans="2:25">
      <c r="B608" s="140" t="str">
        <f>IFERROR(LEFT(KB[[#This Row],[SUPPLIER]],FIND("/",KB[[#This Row],[SUPPLIER]])-1),KB[[#This Row],[SUPPLIER]])</f>
        <v>MARTONO</v>
      </c>
      <c r="C608" s="141" t="str">
        <f>TEXT(VLOOKUP(KB[[#This Row],[RELASI]],DBRELASI[[RELASI]:[DOCKB]],10,0)+COUNTIFS($B$2:B608,KB[[#This Row],[RELASI]],$D$2:D608,1),"000")</f>
        <v>047</v>
      </c>
      <c r="D608" s="141">
        <f>IF(COUNTIFS($B$3:B608,KB[[#This Row],[RELASI]],$F$3:F608,KB[[#This Row],[TANGGAL]])&lt;&gt;1,0,1)</f>
        <v>1</v>
      </c>
      <c r="E608" s="141" t="str">
        <f>TEXT(IF(KB[[#This Row],[DOC]]&lt;&gt;"",KB[[#This Row],[DOC]],E607),"000")</f>
        <v>047</v>
      </c>
      <c r="F608" s="40">
        <v>43906</v>
      </c>
      <c r="G608" s="40" t="str">
        <f>TYPE</f>
        <v>A</v>
      </c>
      <c r="H608" s="153" t="s">
        <v>909</v>
      </c>
      <c r="I608" s="42" t="s">
        <v>916</v>
      </c>
      <c r="J608" s="43" t="s">
        <v>83</v>
      </c>
      <c r="K608" s="44">
        <v>2</v>
      </c>
      <c r="L608" s="49">
        <v>15120</v>
      </c>
      <c r="M608" s="49">
        <v>7760</v>
      </c>
      <c r="N608" s="49">
        <v>7360</v>
      </c>
      <c r="O608" s="49">
        <v>6</v>
      </c>
      <c r="P608" s="49">
        <v>441.59999999999997</v>
      </c>
      <c r="Q608" s="49">
        <v>6918.4</v>
      </c>
      <c r="R608" s="49">
        <v>2950</v>
      </c>
      <c r="S608" s="49">
        <v>20409280</v>
      </c>
      <c r="T608" s="49">
        <v>14.82</v>
      </c>
      <c r="U608" s="49">
        <v>2964.82</v>
      </c>
      <c r="V608" s="49">
        <v>20511810</v>
      </c>
      <c r="W608" s="49">
        <v>102559</v>
      </c>
      <c r="X608" s="49">
        <v>20409251</v>
      </c>
      <c r="Y608" s="530" t="str">
        <f>IFERROR(IF(FIND("/KM",KB[[#This Row],[SUPPLIER]])&gt;0,"LAUT"),"DARAT")</f>
        <v>LAUT</v>
      </c>
    </row>
    <row r="609" spans="2:25">
      <c r="B609" s="140" t="str">
        <f>IFERROR(LEFT(KB[[#This Row],[SUPPLIER]],FIND("/",KB[[#This Row],[SUPPLIER]])-1),KB[[#This Row],[SUPPLIER]])</f>
        <v>MARTONO</v>
      </c>
      <c r="C609" s="141" t="str">
        <f>TEXT(VLOOKUP(KB[[#This Row],[RELASI]],DBRELASI[[RELASI]:[DOCKB]],10,0)+COUNTIFS($B$2:B609,KB[[#This Row],[RELASI]],$D$2:D609,1),"000")</f>
        <v>047</v>
      </c>
      <c r="D609" s="141">
        <f>IF(COUNTIFS($B$3:B609,KB[[#This Row],[RELASI]],$F$3:F609,KB[[#This Row],[TANGGAL]])&lt;&gt;1,0,1)</f>
        <v>0</v>
      </c>
      <c r="E609" s="141" t="str">
        <f>TEXT(IF(KB[[#This Row],[DOC]]&lt;&gt;"",KB[[#This Row],[DOC]],E608),"000")</f>
        <v>047</v>
      </c>
      <c r="F609" s="40">
        <v>43906</v>
      </c>
      <c r="G609" s="40" t="str">
        <f>TYPE</f>
        <v>A</v>
      </c>
      <c r="H609"/>
      <c r="I609" s="42" t="s">
        <v>528</v>
      </c>
      <c r="J609" s="43" t="s">
        <v>83</v>
      </c>
      <c r="K609" s="44">
        <v>1</v>
      </c>
      <c r="L609" s="49">
        <v>5280</v>
      </c>
      <c r="M609" s="49">
        <v>3950</v>
      </c>
      <c r="N609" s="49">
        <v>1330</v>
      </c>
      <c r="O609" s="49">
        <v>5.9999999999999991</v>
      </c>
      <c r="P609" s="49">
        <v>79.8</v>
      </c>
      <c r="Q609" s="49">
        <v>1250.2</v>
      </c>
      <c r="R609" s="49">
        <v>2950</v>
      </c>
      <c r="S609" s="49">
        <v>3688090</v>
      </c>
      <c r="T609" s="49">
        <v>14.82</v>
      </c>
      <c r="U609" s="49">
        <v>2964.82</v>
      </c>
      <c r="V609" s="49">
        <v>3706618</v>
      </c>
      <c r="W609" s="49">
        <v>18533</v>
      </c>
      <c r="X609" s="49">
        <v>3688085</v>
      </c>
      <c r="Y609" s="530" t="str">
        <f>IFERROR(IF(FIND("/KM",KB[[#This Row],[SUPPLIER]])&gt;0,"LAUT"),"DARAT")</f>
        <v>LAUT</v>
      </c>
    </row>
    <row r="610" spans="2:25">
      <c r="B610" s="140" t="str">
        <f>IFERROR(LEFT(KB[[#This Row],[SUPPLIER]],FIND("/",KB[[#This Row],[SUPPLIER]])-1),KB[[#This Row],[SUPPLIER]])</f>
        <v>MARTONO</v>
      </c>
      <c r="C610" s="141" t="str">
        <f>TEXT(VLOOKUP(KB[[#This Row],[RELASI]],DBRELASI[[RELASI]:[DOCKB]],10,0)+COUNTIFS($B$2:B610,KB[[#This Row],[RELASI]],$D$2:D610,1),"000")</f>
        <v>047</v>
      </c>
      <c r="D610" s="141">
        <f>IF(COUNTIFS($B$3:B610,KB[[#This Row],[RELASI]],$F$3:F610,KB[[#This Row],[TANGGAL]])&lt;&gt;1,0,1)</f>
        <v>0</v>
      </c>
      <c r="E610" s="141" t="str">
        <f>TEXT(IF(KB[[#This Row],[DOC]]&lt;&gt;"",KB[[#This Row],[DOC]],E609),"000")</f>
        <v>047</v>
      </c>
      <c r="F610" s="40">
        <v>43906</v>
      </c>
      <c r="G610" s="40" t="str">
        <f>TYPE</f>
        <v>A</v>
      </c>
      <c r="H610"/>
      <c r="I610" s="42" t="s">
        <v>509</v>
      </c>
      <c r="J610" s="43" t="s">
        <v>83</v>
      </c>
      <c r="K610" s="44">
        <v>1</v>
      </c>
      <c r="L610" s="49">
        <v>7160</v>
      </c>
      <c r="M610" s="49">
        <v>3800</v>
      </c>
      <c r="N610" s="49">
        <v>3360</v>
      </c>
      <c r="O610" s="49">
        <v>6</v>
      </c>
      <c r="P610" s="49">
        <v>201.6</v>
      </c>
      <c r="Q610" s="49">
        <v>3158.4</v>
      </c>
      <c r="R610" s="49">
        <v>2950</v>
      </c>
      <c r="S610" s="49">
        <v>9317280</v>
      </c>
      <c r="T610" s="49">
        <v>14.82</v>
      </c>
      <c r="U610" s="49">
        <v>2964.82</v>
      </c>
      <c r="V610" s="49">
        <v>9364087</v>
      </c>
      <c r="W610" s="49">
        <v>46820</v>
      </c>
      <c r="X610" s="49">
        <v>9317267</v>
      </c>
      <c r="Y610" s="530" t="str">
        <f>IFERROR(IF(FIND("/KM",KB[[#This Row],[SUPPLIER]])&gt;0,"LAUT"),"DARAT")</f>
        <v>LAUT</v>
      </c>
    </row>
    <row r="611" spans="2:25">
      <c r="B611" s="140" t="str">
        <f>IFERROR(LEFT(KB[[#This Row],[SUPPLIER]],FIND("/",KB[[#This Row],[SUPPLIER]])-1),KB[[#This Row],[SUPPLIER]])</f>
        <v>SUKAMTO</v>
      </c>
      <c r="C611" s="141" t="str">
        <f>TEXT(VLOOKUP(KB[[#This Row],[RELASI]],DBRELASI[[RELASI]:[DOCKB]],10,0)+COUNTIFS($B$2:B611,KB[[#This Row],[RELASI]],$D$2:D611,1),"000")</f>
        <v>016</v>
      </c>
      <c r="D611" s="141">
        <f>IF(COUNTIFS($B$3:B611,KB[[#This Row],[RELASI]],$F$3:F611,KB[[#This Row],[TANGGAL]])&lt;&gt;1,0,1)</f>
        <v>1</v>
      </c>
      <c r="E611" s="141" t="str">
        <f>TEXT(IF(KB[[#This Row],[DOC]]&lt;&gt;"",KB[[#This Row],[DOC]],E610),"000")</f>
        <v>016</v>
      </c>
      <c r="F611" s="40">
        <v>43906</v>
      </c>
      <c r="G611" s="40" t="str">
        <f>TYPE</f>
        <v>A</v>
      </c>
      <c r="H611" s="153" t="s">
        <v>796</v>
      </c>
      <c r="I611" s="42" t="s">
        <v>848</v>
      </c>
      <c r="J611" s="43" t="s">
        <v>524</v>
      </c>
      <c r="K611" s="44">
        <v>1</v>
      </c>
      <c r="L611" s="49">
        <v>8220</v>
      </c>
      <c r="M611" s="49">
        <v>3950</v>
      </c>
      <c r="N611" s="49">
        <v>4270</v>
      </c>
      <c r="O611" s="49">
        <v>5.9999999999999991</v>
      </c>
      <c r="P611" s="49">
        <v>256.2</v>
      </c>
      <c r="Q611" s="49">
        <v>4013.8</v>
      </c>
      <c r="R611" s="49">
        <v>2950</v>
      </c>
      <c r="S611" s="49">
        <v>11840710</v>
      </c>
      <c r="T611" s="49">
        <v>14.82</v>
      </c>
      <c r="U611" s="49">
        <v>2964.82</v>
      </c>
      <c r="V611" s="49">
        <v>11900195</v>
      </c>
      <c r="W611" s="49">
        <v>59501</v>
      </c>
      <c r="X611" s="49">
        <v>11840694</v>
      </c>
      <c r="Y611" s="530" t="str">
        <f>IFERROR(IF(FIND("/KM",KB[[#This Row],[SUPPLIER]])&gt;0,"LAUT"),"DARAT")</f>
        <v>LAUT</v>
      </c>
    </row>
    <row r="612" spans="2:25">
      <c r="B612" s="140" t="str">
        <f>IFERROR(LEFT(KB[[#This Row],[SUPPLIER]],FIND("/",KB[[#This Row],[SUPPLIER]])-1),KB[[#This Row],[SUPPLIER]])</f>
        <v>SUKAMTO</v>
      </c>
      <c r="C612" s="141" t="str">
        <f>TEXT(VLOOKUP(KB[[#This Row],[RELASI]],DBRELASI[[RELASI]:[DOCKB]],10,0)+COUNTIFS($B$2:B612,KB[[#This Row],[RELASI]],$D$2:D612,1),"000")</f>
        <v>016</v>
      </c>
      <c r="D612" s="141">
        <f>IF(COUNTIFS($B$3:B612,KB[[#This Row],[RELASI]],$F$3:F612,KB[[#This Row],[TANGGAL]])&lt;&gt;1,0,1)</f>
        <v>0</v>
      </c>
      <c r="E612" s="141" t="str">
        <f>TEXT(IF(KB[[#This Row],[DOC]]&lt;&gt;"",KB[[#This Row],[DOC]],E611),"000")</f>
        <v>016</v>
      </c>
      <c r="F612" s="40">
        <v>43906</v>
      </c>
      <c r="G612" s="40" t="str">
        <f>TYPE</f>
        <v>A</v>
      </c>
      <c r="H612"/>
      <c r="I612" s="46" t="s">
        <v>922</v>
      </c>
      <c r="J612" s="47" t="s">
        <v>524</v>
      </c>
      <c r="K612" s="48">
        <v>1</v>
      </c>
      <c r="L612" s="49">
        <v>9290</v>
      </c>
      <c r="M612" s="49">
        <v>4000</v>
      </c>
      <c r="N612" s="49">
        <v>5290</v>
      </c>
      <c r="O612" s="49">
        <v>6</v>
      </c>
      <c r="P612" s="49">
        <v>317.39999999999998</v>
      </c>
      <c r="Q612" s="49">
        <v>4972.6000000000004</v>
      </c>
      <c r="R612" s="49">
        <v>2950</v>
      </c>
      <c r="S612" s="49">
        <v>14669170</v>
      </c>
      <c r="T612" s="49">
        <v>14.82</v>
      </c>
      <c r="U612" s="49">
        <v>2964.82</v>
      </c>
      <c r="V612" s="49">
        <v>14742864</v>
      </c>
      <c r="W612" s="49">
        <v>73714</v>
      </c>
      <c r="X612" s="49">
        <v>14669150</v>
      </c>
      <c r="Y612" s="574" t="str">
        <f>IFERROR(IF(FIND("/KM",KB[[#This Row],[SUPPLIER]])&gt;0,"LAUT"),"DARAT")</f>
        <v>LAUT</v>
      </c>
    </row>
    <row r="613" spans="2:25">
      <c r="B613" s="140" t="str">
        <f>IFERROR(LEFT(KB[[#This Row],[SUPPLIER]],FIND("/",KB[[#This Row],[SUPPLIER]])-1),KB[[#This Row],[SUPPLIER]])</f>
        <v>ERAWATI</v>
      </c>
      <c r="C613" s="141" t="str">
        <f>TEXT(VLOOKUP(KB[[#This Row],[RELASI]],DBRELASI[[RELASI]:[DOCKB]],10,0)+COUNTIFS($B$2:B613,KB[[#This Row],[RELASI]],$D$2:D613,1),"000")</f>
        <v>057</v>
      </c>
      <c r="D613" s="141">
        <f>IF(COUNTIFS($B$3:B613,KB[[#This Row],[RELASI]],$F$3:F613,KB[[#This Row],[TANGGAL]])&lt;&gt;1,0,1)</f>
        <v>1</v>
      </c>
      <c r="E613" s="141" t="str">
        <f>TEXT(IF(KB[[#This Row],[DOC]]&lt;&gt;"",KB[[#This Row],[DOC]],E612),"000")</f>
        <v>057</v>
      </c>
      <c r="F613" s="40">
        <v>43907</v>
      </c>
      <c r="G613" s="40" t="str">
        <f>TYPE</f>
        <v>A</v>
      </c>
      <c r="H613" s="153" t="s">
        <v>923</v>
      </c>
      <c r="I613" s="42" t="s">
        <v>155</v>
      </c>
      <c r="J613" s="43" t="s">
        <v>77</v>
      </c>
      <c r="K613" s="44">
        <v>1</v>
      </c>
      <c r="L613" s="49">
        <v>10510</v>
      </c>
      <c r="M613" s="49">
        <v>4450</v>
      </c>
      <c r="N613" s="49">
        <v>6060</v>
      </c>
      <c r="O613" s="49">
        <v>5</v>
      </c>
      <c r="P613" s="49">
        <v>303</v>
      </c>
      <c r="Q613" s="49">
        <v>5757</v>
      </c>
      <c r="R613" s="49">
        <v>2900</v>
      </c>
      <c r="S613" s="49">
        <v>16695300</v>
      </c>
      <c r="T613" s="49">
        <v>14.57</v>
      </c>
      <c r="U613" s="49">
        <v>2914.57</v>
      </c>
      <c r="V613" s="49">
        <v>16779179</v>
      </c>
      <c r="W613" s="49">
        <v>83896</v>
      </c>
      <c r="X613" s="49">
        <v>16695283</v>
      </c>
      <c r="Y613" s="530" t="str">
        <f>IFERROR(IF(FIND("/KM",KB[[#This Row],[SUPPLIER]])&gt;0,"LAUT"),"DARAT")</f>
        <v>DARAT</v>
      </c>
    </row>
    <row r="614" spans="2:25">
      <c r="B614" s="140" t="str">
        <f>IFERROR(LEFT(KB[[#This Row],[SUPPLIER]],FIND("/",KB[[#This Row],[SUPPLIER]])-1),KB[[#This Row],[SUPPLIER]])</f>
        <v>INDRAYANI</v>
      </c>
      <c r="C614" s="141" t="str">
        <f>TEXT(VLOOKUP(KB[[#This Row],[RELASI]],DBRELASI[[RELASI]:[DOCKB]],10,0)+COUNTIFS($B$2:B614,KB[[#This Row],[RELASI]],$D$2:D614,1),"000")</f>
        <v>051</v>
      </c>
      <c r="D614" s="141">
        <f>IF(COUNTIFS($B$3:B614,KB[[#This Row],[RELASI]],$F$3:F614,KB[[#This Row],[TANGGAL]])&lt;&gt;1,0,1)</f>
        <v>1</v>
      </c>
      <c r="E614" s="141" t="str">
        <f>TEXT(IF(KB[[#This Row],[DOC]]&lt;&gt;"",KB[[#This Row],[DOC]],E613),"000")</f>
        <v>051</v>
      </c>
      <c r="F614" s="40">
        <v>43907</v>
      </c>
      <c r="G614" s="40" t="str">
        <f>TYPE</f>
        <v>A</v>
      </c>
      <c r="H614" s="153" t="s">
        <v>914</v>
      </c>
      <c r="I614" s="42" t="s">
        <v>79</v>
      </c>
      <c r="J614" s="43" t="s">
        <v>77</v>
      </c>
      <c r="K614" s="44">
        <v>1</v>
      </c>
      <c r="L614" s="49">
        <v>9460</v>
      </c>
      <c r="M614" s="49">
        <v>4440</v>
      </c>
      <c r="N614" s="49">
        <v>5020</v>
      </c>
      <c r="O614" s="49">
        <v>5</v>
      </c>
      <c r="P614" s="49">
        <v>251</v>
      </c>
      <c r="Q614" s="49">
        <v>4769</v>
      </c>
      <c r="R614" s="49">
        <v>3000</v>
      </c>
      <c r="S614" s="49">
        <v>14307000</v>
      </c>
      <c r="T614" s="49">
        <v>15.08</v>
      </c>
      <c r="U614" s="49">
        <v>3015.08</v>
      </c>
      <c r="V614" s="49">
        <v>14378917</v>
      </c>
      <c r="W614" s="49">
        <v>71895</v>
      </c>
      <c r="X614" s="49">
        <v>14307022</v>
      </c>
      <c r="Y614" s="530" t="str">
        <f>IFERROR(IF(FIND("/KM",KB[[#This Row],[SUPPLIER]])&gt;0,"LAUT"),"DARAT")</f>
        <v>DARAT</v>
      </c>
    </row>
    <row r="615" spans="2:25">
      <c r="B615" s="140" t="str">
        <f>IFERROR(LEFT(KB[[#This Row],[SUPPLIER]],FIND("/",KB[[#This Row],[SUPPLIER]])-1),KB[[#This Row],[SUPPLIER]])</f>
        <v>YANADI</v>
      </c>
      <c r="C615" s="141" t="str">
        <f>TEXT(VLOOKUP(KB[[#This Row],[RELASI]],DBRELASI[[RELASI]:[DOCKB]],10,0)+COUNTIFS($B$2:B615,KB[[#This Row],[RELASI]],$D$2:D615,1),"000")</f>
        <v>044</v>
      </c>
      <c r="D615" s="141">
        <f>IF(COUNTIFS($B$3:B615,KB[[#This Row],[RELASI]],$F$3:F615,KB[[#This Row],[TANGGAL]])&lt;&gt;1,0,1)</f>
        <v>1</v>
      </c>
      <c r="E615" s="141" t="str">
        <f>TEXT(IF(KB[[#This Row],[DOC]]&lt;&gt;"",KB[[#This Row],[DOC]],E614),"000")</f>
        <v>044</v>
      </c>
      <c r="F615" s="40">
        <v>43907</v>
      </c>
      <c r="G615" s="40" t="str">
        <f>TYPE</f>
        <v>A</v>
      </c>
      <c r="H615" s="153" t="s">
        <v>905</v>
      </c>
      <c r="I615" s="42" t="s">
        <v>137</v>
      </c>
      <c r="J615" s="43" t="s">
        <v>74</v>
      </c>
      <c r="K615" s="44">
        <v>2</v>
      </c>
      <c r="L615" s="49">
        <v>14800</v>
      </c>
      <c r="M615" s="49">
        <v>6160</v>
      </c>
      <c r="N615" s="49">
        <v>8640</v>
      </c>
      <c r="O615" s="49">
        <v>5</v>
      </c>
      <c r="P615" s="49">
        <v>432</v>
      </c>
      <c r="Q615" s="49">
        <v>8208</v>
      </c>
      <c r="R615" s="49">
        <v>2900</v>
      </c>
      <c r="S615" s="49">
        <v>23803200</v>
      </c>
      <c r="T615" s="49">
        <v>14.57</v>
      </c>
      <c r="U615" s="49">
        <v>2914.57</v>
      </c>
      <c r="V615" s="49">
        <v>23922790</v>
      </c>
      <c r="W615" s="49">
        <v>119614</v>
      </c>
      <c r="X615" s="49">
        <v>23803176</v>
      </c>
      <c r="Y615" s="530" t="str">
        <f>IFERROR(IF(FIND("/KM",KB[[#This Row],[SUPPLIER]])&gt;0,"LAUT"),"DARAT")</f>
        <v>DARAT</v>
      </c>
    </row>
    <row r="616" spans="2:25">
      <c r="B616" s="140" t="str">
        <f>IFERROR(LEFT(KB[[#This Row],[SUPPLIER]],FIND("/",KB[[#This Row],[SUPPLIER]])-1),KB[[#This Row],[SUPPLIER]])</f>
        <v>MARTONO</v>
      </c>
      <c r="C616" s="141" t="str">
        <f>TEXT(VLOOKUP(KB[[#This Row],[RELASI]],DBRELASI[[RELASI]:[DOCKB]],10,0)+COUNTIFS($B$2:B616,KB[[#This Row],[RELASI]],$D$2:D616,1),"000")</f>
        <v>048</v>
      </c>
      <c r="D616" s="141">
        <f>IF(COUNTIFS($B$3:B616,KB[[#This Row],[RELASI]],$F$3:F616,KB[[#This Row],[TANGGAL]])&lt;&gt;1,0,1)</f>
        <v>1</v>
      </c>
      <c r="E616" s="141" t="str">
        <f>TEXT(IF(KB[[#This Row],[DOC]]&lt;&gt;"",KB[[#This Row],[DOC]],E615),"000")</f>
        <v>048</v>
      </c>
      <c r="F616" s="40">
        <v>43907</v>
      </c>
      <c r="G616" s="40" t="str">
        <f>TYPE</f>
        <v>A</v>
      </c>
      <c r="H616" s="154" t="s">
        <v>910</v>
      </c>
      <c r="I616" s="46" t="s">
        <v>509</v>
      </c>
      <c r="J616" s="47" t="s">
        <v>83</v>
      </c>
      <c r="K616" s="48">
        <v>1</v>
      </c>
      <c r="L616" s="49">
        <v>6820</v>
      </c>
      <c r="M616" s="49">
        <v>3800</v>
      </c>
      <c r="N616" s="49">
        <v>3020</v>
      </c>
      <c r="O616" s="49">
        <v>6</v>
      </c>
      <c r="P616" s="49">
        <v>181.2</v>
      </c>
      <c r="Q616" s="49">
        <v>2838.8</v>
      </c>
      <c r="R616" s="49">
        <v>2950</v>
      </c>
      <c r="S616" s="49">
        <v>8374460</v>
      </c>
      <c r="T616" s="49">
        <v>14.82</v>
      </c>
      <c r="U616" s="49">
        <v>2964.82</v>
      </c>
      <c r="V616" s="49">
        <v>8416531</v>
      </c>
      <c r="W616" s="49">
        <v>42083</v>
      </c>
      <c r="X616" s="49">
        <v>8374448</v>
      </c>
      <c r="Y616" s="574" t="str">
        <f>IFERROR(IF(FIND("/KM",KB[[#This Row],[SUPPLIER]])&gt;0,"LAUT"),"DARAT")</f>
        <v>LAUT</v>
      </c>
    </row>
    <row r="617" spans="2:25">
      <c r="B617" s="140" t="str">
        <f>IFERROR(LEFT(KB[[#This Row],[SUPPLIER]],FIND("/",KB[[#This Row],[SUPPLIER]])-1),KB[[#This Row],[SUPPLIER]])</f>
        <v>ERAWATI</v>
      </c>
      <c r="C617" s="141" t="str">
        <f>TEXT(VLOOKUP(KB[[#This Row],[RELASI]],DBRELASI[[RELASI]:[DOCKB]],10,0)+COUNTIFS($B$2:B617,KB[[#This Row],[RELASI]],$D$2:D617,1),"000")</f>
        <v>058</v>
      </c>
      <c r="D617" s="141">
        <f>IF(COUNTIFS($B$3:B617,KB[[#This Row],[RELASI]],$F$3:F617,KB[[#This Row],[TANGGAL]])&lt;&gt;1,0,1)</f>
        <v>1</v>
      </c>
      <c r="E617" s="141" t="str">
        <f>TEXT(IF(KB[[#This Row],[DOC]]&lt;&gt;"",KB[[#This Row],[DOC]],E616),"000")</f>
        <v>058</v>
      </c>
      <c r="F617" s="40">
        <v>43908</v>
      </c>
      <c r="G617" s="40" t="str">
        <f>TYPE</f>
        <v>A</v>
      </c>
      <c r="H617" s="153" t="s">
        <v>924</v>
      </c>
      <c r="I617" s="42" t="s">
        <v>155</v>
      </c>
      <c r="J617" s="43" t="s">
        <v>77</v>
      </c>
      <c r="K617" s="44">
        <v>2</v>
      </c>
      <c r="L617" s="49">
        <v>14700</v>
      </c>
      <c r="M617" s="49">
        <v>5620</v>
      </c>
      <c r="N617" s="49">
        <v>9080</v>
      </c>
      <c r="O617" s="49">
        <v>5</v>
      </c>
      <c r="P617" s="49">
        <v>454</v>
      </c>
      <c r="Q617" s="49">
        <v>8626</v>
      </c>
      <c r="R617" s="49">
        <v>2900</v>
      </c>
      <c r="S617" s="49">
        <v>25015400</v>
      </c>
      <c r="T617" s="49">
        <v>14.57</v>
      </c>
      <c r="U617" s="49">
        <v>2914.57</v>
      </c>
      <c r="V617" s="49">
        <v>25141081</v>
      </c>
      <c r="W617" s="49">
        <v>125706</v>
      </c>
      <c r="X617" s="49">
        <v>25015375</v>
      </c>
      <c r="Y617" s="530" t="str">
        <f>IFERROR(IF(FIND("/KM",KB[[#This Row],[SUPPLIER]])&gt;0,"LAUT"),"DARAT")</f>
        <v>DARAT</v>
      </c>
    </row>
    <row r="618" spans="2:25">
      <c r="B618" s="140" t="str">
        <f>IFERROR(LEFT(KB[[#This Row],[SUPPLIER]],FIND("/",KB[[#This Row],[SUPPLIER]])-1),KB[[#This Row],[SUPPLIER]])</f>
        <v>ERAWATI</v>
      </c>
      <c r="C618" s="141" t="str">
        <f>TEXT(VLOOKUP(KB[[#This Row],[RELASI]],DBRELASI[[RELASI]:[DOCKB]],10,0)+COUNTIFS($B$2:B618,KB[[#This Row],[RELASI]],$D$2:D618,1),"000")</f>
        <v>058</v>
      </c>
      <c r="D618" s="141">
        <f>IF(COUNTIFS($B$3:B618,KB[[#This Row],[RELASI]],$F$3:F618,KB[[#This Row],[TANGGAL]])&lt;&gt;1,0,1)</f>
        <v>0</v>
      </c>
      <c r="E618" s="141" t="str">
        <f>TEXT(IF(KB[[#This Row],[DOC]]&lt;&gt;"",KB[[#This Row],[DOC]],E617),"000")</f>
        <v>058</v>
      </c>
      <c r="F618" s="40">
        <v>43908</v>
      </c>
      <c r="G618" s="40" t="str">
        <f>TYPE</f>
        <v>A</v>
      </c>
      <c r="H618"/>
      <c r="I618" s="42" t="s">
        <v>760</v>
      </c>
      <c r="J618" s="43" t="s">
        <v>77</v>
      </c>
      <c r="K618" s="44">
        <v>1</v>
      </c>
      <c r="L618" s="49">
        <v>8840</v>
      </c>
      <c r="M618" s="49">
        <v>3900</v>
      </c>
      <c r="N618" s="49">
        <v>4940</v>
      </c>
      <c r="O618" s="49">
        <v>6</v>
      </c>
      <c r="P618" s="49">
        <v>296.39999999999998</v>
      </c>
      <c r="Q618" s="49">
        <v>4643.6000000000004</v>
      </c>
      <c r="R618" s="49">
        <v>2949.9999999999995</v>
      </c>
      <c r="S618" s="49">
        <v>13698620</v>
      </c>
      <c r="T618" s="49">
        <v>14.82</v>
      </c>
      <c r="U618" s="49">
        <v>2964.8199999999997</v>
      </c>
      <c r="V618" s="49">
        <v>13767438</v>
      </c>
      <c r="W618" s="49">
        <v>68837</v>
      </c>
      <c r="X618" s="49">
        <v>13698601</v>
      </c>
      <c r="Y618" s="530" t="str">
        <f>IFERROR(IF(FIND("/KM",KB[[#This Row],[SUPPLIER]])&gt;0,"LAUT"),"DARAT")</f>
        <v>LAUT</v>
      </c>
    </row>
    <row r="619" spans="2:25">
      <c r="B619" s="140" t="str">
        <f>IFERROR(LEFT(KB[[#This Row],[SUPPLIER]],FIND("/",KB[[#This Row],[SUPPLIER]])-1),KB[[#This Row],[SUPPLIER]])</f>
        <v>INDRAYANI</v>
      </c>
      <c r="C619" s="141" t="str">
        <f>TEXT(VLOOKUP(KB[[#This Row],[RELASI]],DBRELASI[[RELASI]:[DOCKB]],10,0)+COUNTIFS($B$2:B619,KB[[#This Row],[RELASI]],$D$2:D619,1),"000")</f>
        <v>052</v>
      </c>
      <c r="D619" s="141">
        <f>IF(COUNTIFS($B$3:B619,KB[[#This Row],[RELASI]],$F$3:F619,KB[[#This Row],[TANGGAL]])&lt;&gt;1,0,1)</f>
        <v>1</v>
      </c>
      <c r="E619" s="141" t="str">
        <f>TEXT(IF(KB[[#This Row],[DOC]]&lt;&gt;"",KB[[#This Row],[DOC]],E618),"000")</f>
        <v>052</v>
      </c>
      <c r="F619" s="40">
        <v>43908</v>
      </c>
      <c r="G619" s="40" t="str">
        <f>TYPE</f>
        <v>A</v>
      </c>
      <c r="H619" s="153" t="s">
        <v>915</v>
      </c>
      <c r="I619" s="42" t="s">
        <v>79</v>
      </c>
      <c r="J619" s="43" t="s">
        <v>77</v>
      </c>
      <c r="K619" s="44">
        <v>2</v>
      </c>
      <c r="L619" s="49">
        <v>19500</v>
      </c>
      <c r="M619" s="49">
        <v>7760</v>
      </c>
      <c r="N619" s="49">
        <v>11740</v>
      </c>
      <c r="O619" s="49">
        <v>5</v>
      </c>
      <c r="P619" s="49">
        <v>587</v>
      </c>
      <c r="Q619" s="49">
        <v>11153</v>
      </c>
      <c r="R619" s="49">
        <v>3000</v>
      </c>
      <c r="S619" s="49">
        <v>33459000</v>
      </c>
      <c r="T619" s="49">
        <v>15.08</v>
      </c>
      <c r="U619" s="49">
        <v>3015.08</v>
      </c>
      <c r="V619" s="49">
        <v>33627187</v>
      </c>
      <c r="W619" s="49">
        <v>168136</v>
      </c>
      <c r="X619" s="49">
        <v>33459051</v>
      </c>
      <c r="Y619" s="530" t="str">
        <f>IFERROR(IF(FIND("/KM",KB[[#This Row],[SUPPLIER]])&gt;0,"LAUT"),"DARAT")</f>
        <v>DARAT</v>
      </c>
    </row>
    <row r="620" spans="2:25">
      <c r="B620" s="140" t="str">
        <f>IFERROR(LEFT(KB[[#This Row],[SUPPLIER]],FIND("/",KB[[#This Row],[SUPPLIER]])-1),KB[[#This Row],[SUPPLIER]])</f>
        <v>RUSLAN JAYA, SH</v>
      </c>
      <c r="C620" s="141" t="str">
        <f>TEXT(VLOOKUP(KB[[#This Row],[RELASI]],DBRELASI[[RELASI]:[DOCKB]],10,0)+COUNTIFS($B$2:B620,KB[[#This Row],[RELASI]],$D$2:D620,1),"000")</f>
        <v>045</v>
      </c>
      <c r="D620" s="141">
        <f>IF(COUNTIFS($B$3:B620,KB[[#This Row],[RELASI]],$F$3:F620,KB[[#This Row],[TANGGAL]])&lt;&gt;1,0,1)</f>
        <v>1</v>
      </c>
      <c r="E620" s="141" t="str">
        <f>TEXT(IF(KB[[#This Row],[DOC]]&lt;&gt;"",KB[[#This Row],[DOC]],E619),"000")</f>
        <v>045</v>
      </c>
      <c r="F620" s="40">
        <v>43908</v>
      </c>
      <c r="G620" s="40" t="str">
        <f>TYPE</f>
        <v>A</v>
      </c>
      <c r="H620" s="153" t="s">
        <v>907</v>
      </c>
      <c r="I620" s="42" t="s">
        <v>479</v>
      </c>
      <c r="J620" s="43" t="s">
        <v>475</v>
      </c>
      <c r="K620" s="44">
        <v>1</v>
      </c>
      <c r="L620" s="49">
        <v>12200</v>
      </c>
      <c r="M620" s="49">
        <v>4590</v>
      </c>
      <c r="N620" s="49">
        <v>7610</v>
      </c>
      <c r="O620" s="49">
        <v>6</v>
      </c>
      <c r="P620" s="49">
        <v>456.59999999999997</v>
      </c>
      <c r="Q620" s="49">
        <v>7153.4</v>
      </c>
      <c r="R620" s="49">
        <v>2900</v>
      </c>
      <c r="S620" s="49">
        <v>20744860</v>
      </c>
      <c r="T620" s="49">
        <v>14.57</v>
      </c>
      <c r="U620" s="49">
        <v>2914.57</v>
      </c>
      <c r="V620" s="49">
        <v>20849085</v>
      </c>
      <c r="W620" s="49">
        <v>104245</v>
      </c>
      <c r="X620" s="49">
        <v>20744840</v>
      </c>
      <c r="Y620" s="530" t="str">
        <f>IFERROR(IF(FIND("/KM",KB[[#This Row],[SUPPLIER]])&gt;0,"LAUT"),"DARAT")</f>
        <v>DARAT</v>
      </c>
    </row>
    <row r="621" spans="2:25">
      <c r="B621" s="140" t="str">
        <f>IFERROR(LEFT(KB[[#This Row],[SUPPLIER]],FIND("/",KB[[#This Row],[SUPPLIER]])-1),KB[[#This Row],[SUPPLIER]])</f>
        <v>YANADI</v>
      </c>
      <c r="C621" s="141" t="str">
        <f>TEXT(VLOOKUP(KB[[#This Row],[RELASI]],DBRELASI[[RELASI]:[DOCKB]],10,0)+COUNTIFS($B$2:B621,KB[[#This Row],[RELASI]],$D$2:D621,1),"000")</f>
        <v>045</v>
      </c>
      <c r="D621" s="141">
        <f>IF(COUNTIFS($B$3:B621,KB[[#This Row],[RELASI]],$F$3:F621,KB[[#This Row],[TANGGAL]])&lt;&gt;1,0,1)</f>
        <v>1</v>
      </c>
      <c r="E621" s="141" t="str">
        <f>TEXT(IF(KB[[#This Row],[DOC]]&lt;&gt;"",KB[[#This Row],[DOC]],E620),"000")</f>
        <v>045</v>
      </c>
      <c r="F621" s="40">
        <v>43908</v>
      </c>
      <c r="G621" s="40" t="str">
        <f>TYPE</f>
        <v>A</v>
      </c>
      <c r="H621" s="153" t="s">
        <v>907</v>
      </c>
      <c r="I621" s="42" t="s">
        <v>137</v>
      </c>
      <c r="J621" s="43" t="s">
        <v>74</v>
      </c>
      <c r="K621" s="44">
        <v>2</v>
      </c>
      <c r="L621" s="49">
        <v>7990</v>
      </c>
      <c r="M621" s="49">
        <v>3370</v>
      </c>
      <c r="N621" s="49">
        <v>4620</v>
      </c>
      <c r="O621" s="49">
        <v>5</v>
      </c>
      <c r="P621" s="49">
        <v>231</v>
      </c>
      <c r="Q621" s="49">
        <v>4389</v>
      </c>
      <c r="R621" s="49">
        <v>2900</v>
      </c>
      <c r="S621" s="49">
        <v>12728100</v>
      </c>
      <c r="T621" s="49">
        <v>14.57</v>
      </c>
      <c r="U621" s="49">
        <v>2914.57</v>
      </c>
      <c r="V621" s="49">
        <v>12792048</v>
      </c>
      <c r="W621" s="49">
        <v>63961</v>
      </c>
      <c r="X621" s="49">
        <v>12728087</v>
      </c>
      <c r="Y621" s="530" t="str">
        <f>IFERROR(IF(FIND("/KM",KB[[#This Row],[SUPPLIER]])&gt;0,"LAUT"),"DARAT")</f>
        <v>DARAT</v>
      </c>
    </row>
    <row r="622" spans="2:25">
      <c r="B622" s="140" t="str">
        <f>IFERROR(LEFT(KB[[#This Row],[SUPPLIER]],FIND("/",KB[[#This Row],[SUPPLIER]])-1),KB[[#This Row],[SUPPLIER]])</f>
        <v>MARTONO</v>
      </c>
      <c r="C622" s="141" t="str">
        <f>TEXT(VLOOKUP(KB[[#This Row],[RELASI]],DBRELASI[[RELASI]:[DOCKB]],10,0)+COUNTIFS($B$2:B622,KB[[#This Row],[RELASI]],$D$2:D622,1),"000")</f>
        <v>049</v>
      </c>
      <c r="D622" s="141">
        <f>IF(COUNTIFS($B$3:B622,KB[[#This Row],[RELASI]],$F$3:F622,KB[[#This Row],[TANGGAL]])&lt;&gt;1,0,1)</f>
        <v>1</v>
      </c>
      <c r="E622" s="141" t="str">
        <f>TEXT(IF(KB[[#This Row],[DOC]]&lt;&gt;"",KB[[#This Row],[DOC]],E621),"000")</f>
        <v>049</v>
      </c>
      <c r="F622" s="40">
        <v>43908</v>
      </c>
      <c r="G622" s="40" t="str">
        <f>TYPE</f>
        <v>A</v>
      </c>
      <c r="H622" s="153" t="s">
        <v>912</v>
      </c>
      <c r="I622" s="42" t="s">
        <v>902</v>
      </c>
      <c r="J622" s="43" t="s">
        <v>83</v>
      </c>
      <c r="K622" s="44">
        <v>1</v>
      </c>
      <c r="L622" s="49">
        <v>5360</v>
      </c>
      <c r="M622" s="49">
        <v>3950</v>
      </c>
      <c r="N622" s="49">
        <v>1410</v>
      </c>
      <c r="O622" s="49">
        <v>6</v>
      </c>
      <c r="P622" s="49">
        <v>84.6</v>
      </c>
      <c r="Q622" s="49">
        <v>1325.4</v>
      </c>
      <c r="R622" s="49">
        <v>2950</v>
      </c>
      <c r="S622" s="49">
        <v>3909930</v>
      </c>
      <c r="T622" s="49">
        <v>14.82</v>
      </c>
      <c r="U622" s="49">
        <v>2964.82</v>
      </c>
      <c r="V622" s="49">
        <v>3929572</v>
      </c>
      <c r="W622" s="49">
        <v>19648</v>
      </c>
      <c r="X622" s="49">
        <v>3909924</v>
      </c>
      <c r="Y622" s="530" t="str">
        <f>IFERROR(IF(FIND("/KM",KB[[#This Row],[SUPPLIER]])&gt;0,"LAUT"),"DARAT")</f>
        <v>LAUT</v>
      </c>
    </row>
    <row r="623" spans="2:25">
      <c r="B623" s="140" t="str">
        <f>IFERROR(LEFT(KB[[#This Row],[SUPPLIER]],FIND("/",KB[[#This Row],[SUPPLIER]])-1),KB[[#This Row],[SUPPLIER]])</f>
        <v>MARTONO</v>
      </c>
      <c r="C623" s="141" t="str">
        <f>TEXT(VLOOKUP(KB[[#This Row],[RELASI]],DBRELASI[[RELASI]:[DOCKB]],10,0)+COUNTIFS($B$2:B623,KB[[#This Row],[RELASI]],$D$2:D623,1),"000")</f>
        <v>049</v>
      </c>
      <c r="D623" s="141">
        <f>IF(COUNTIFS($B$3:B623,KB[[#This Row],[RELASI]],$F$3:F623,KB[[#This Row],[TANGGAL]])&lt;&gt;1,0,1)</f>
        <v>0</v>
      </c>
      <c r="E623" s="141" t="str">
        <f>TEXT(IF(KB[[#This Row],[DOC]]&lt;&gt;"",KB[[#This Row],[DOC]],E622),"000")</f>
        <v>049</v>
      </c>
      <c r="F623" s="40">
        <v>43908</v>
      </c>
      <c r="G623" s="40" t="str">
        <f>TYPE</f>
        <v>A</v>
      </c>
      <c r="H623"/>
      <c r="I623" s="46" t="s">
        <v>509</v>
      </c>
      <c r="J623" s="47" t="s">
        <v>83</v>
      </c>
      <c r="K623" s="48">
        <v>1</v>
      </c>
      <c r="L623" s="49">
        <v>7210</v>
      </c>
      <c r="M623" s="49">
        <v>3890</v>
      </c>
      <c r="N623" s="49">
        <v>3320</v>
      </c>
      <c r="O623" s="49">
        <v>5.9999999999999991</v>
      </c>
      <c r="P623" s="49">
        <v>199.2</v>
      </c>
      <c r="Q623" s="49">
        <v>3120.8</v>
      </c>
      <c r="R623" s="49">
        <v>2950</v>
      </c>
      <c r="S623" s="49">
        <v>9206360</v>
      </c>
      <c r="T623" s="49">
        <v>14.82</v>
      </c>
      <c r="U623" s="49">
        <v>2964.82</v>
      </c>
      <c r="V623" s="49">
        <v>9252610</v>
      </c>
      <c r="W623" s="49">
        <v>46263</v>
      </c>
      <c r="X623" s="49">
        <v>9206347</v>
      </c>
      <c r="Y623" s="574" t="str">
        <f>IFERROR(IF(FIND("/KM",KB[[#This Row],[SUPPLIER]])&gt;0,"LAUT"),"DARAT")</f>
        <v>LAUT</v>
      </c>
    </row>
    <row r="624" spans="2:25">
      <c r="B624" s="140" t="str">
        <f>IFERROR(LEFT(KB[[#This Row],[SUPPLIER]],FIND("/",KB[[#This Row],[SUPPLIER]])-1),KB[[#This Row],[SUPPLIER]])</f>
        <v>ERAWATI</v>
      </c>
      <c r="C624" s="141" t="str">
        <f>TEXT(VLOOKUP(KB[[#This Row],[RELASI]],DBRELASI[[RELASI]:[DOCKB]],10,0)+COUNTIFS($B$2:B624,KB[[#This Row],[RELASI]],$D$2:D624,1),"000")</f>
        <v>059</v>
      </c>
      <c r="D624" s="141">
        <f>IF(COUNTIFS($B$3:B624,KB[[#This Row],[RELASI]],$F$3:F624,KB[[#This Row],[TANGGAL]])&lt;&gt;1,0,1)</f>
        <v>1</v>
      </c>
      <c r="E624" s="141" t="str">
        <f>TEXT(IF(KB[[#This Row],[DOC]]&lt;&gt;"",KB[[#This Row],[DOC]],E623),"000")</f>
        <v>059</v>
      </c>
      <c r="F624" s="40">
        <v>43909</v>
      </c>
      <c r="G624" s="40" t="str">
        <f>TYPE</f>
        <v>A</v>
      </c>
      <c r="H624" s="153" t="s">
        <v>925</v>
      </c>
      <c r="I624" s="42" t="s">
        <v>155</v>
      </c>
      <c r="J624" s="43" t="s">
        <v>77</v>
      </c>
      <c r="K624" s="44">
        <v>1</v>
      </c>
      <c r="L624" s="49">
        <v>10790</v>
      </c>
      <c r="M624" s="49">
        <v>4380</v>
      </c>
      <c r="N624" s="49">
        <v>6410</v>
      </c>
      <c r="O624" s="49">
        <v>5</v>
      </c>
      <c r="P624" s="49">
        <v>320.5</v>
      </c>
      <c r="Q624" s="49">
        <v>6089.5</v>
      </c>
      <c r="R624" s="49">
        <v>2900</v>
      </c>
      <c r="S624" s="49">
        <v>17659550</v>
      </c>
      <c r="T624" s="49">
        <v>14.57</v>
      </c>
      <c r="U624" s="49">
        <v>2914.57</v>
      </c>
      <c r="V624" s="49">
        <v>17748274</v>
      </c>
      <c r="W624" s="49">
        <v>88741</v>
      </c>
      <c r="X624" s="49">
        <v>17659533</v>
      </c>
      <c r="Y624" s="530" t="str">
        <f>IFERROR(IF(FIND("/KM",KB[[#This Row],[SUPPLIER]])&gt;0,"LAUT"),"DARAT")</f>
        <v>DARAT</v>
      </c>
    </row>
    <row r="625" spans="2:25">
      <c r="B625" s="140" t="str">
        <f>IFERROR(LEFT(KB[[#This Row],[SUPPLIER]],FIND("/",KB[[#This Row],[SUPPLIER]])-1),KB[[#This Row],[SUPPLIER]])</f>
        <v>INDRAYANI</v>
      </c>
      <c r="C625" s="141" t="str">
        <f>TEXT(VLOOKUP(KB[[#This Row],[RELASI]],DBRELASI[[RELASI]:[DOCKB]],10,0)+COUNTIFS($B$2:B625,KB[[#This Row],[RELASI]],$D$2:D625,1),"000")</f>
        <v>053</v>
      </c>
      <c r="D625" s="141">
        <f>IF(COUNTIFS($B$3:B625,KB[[#This Row],[RELASI]],$F$3:F625,KB[[#This Row],[TANGGAL]])&lt;&gt;1,0,1)</f>
        <v>1</v>
      </c>
      <c r="E625" s="141" t="str">
        <f>TEXT(IF(KB[[#This Row],[DOC]]&lt;&gt;"",KB[[#This Row],[DOC]],E624),"000")</f>
        <v>053</v>
      </c>
      <c r="F625" s="40">
        <v>43909</v>
      </c>
      <c r="G625" s="40" t="str">
        <f>TYPE</f>
        <v>A</v>
      </c>
      <c r="H625" s="153" t="s">
        <v>918</v>
      </c>
      <c r="I625" s="42" t="s">
        <v>79</v>
      </c>
      <c r="J625" s="43" t="s">
        <v>77</v>
      </c>
      <c r="K625" s="44">
        <v>1</v>
      </c>
      <c r="L625" s="49">
        <v>12870</v>
      </c>
      <c r="M625" s="49">
        <v>4510</v>
      </c>
      <c r="N625" s="49">
        <v>8360</v>
      </c>
      <c r="O625" s="49">
        <v>5</v>
      </c>
      <c r="P625" s="49">
        <v>418</v>
      </c>
      <c r="Q625" s="49">
        <v>7942</v>
      </c>
      <c r="R625" s="49">
        <v>3000</v>
      </c>
      <c r="S625" s="49">
        <v>23826000</v>
      </c>
      <c r="T625" s="49">
        <v>15.08</v>
      </c>
      <c r="U625" s="49">
        <v>3015.08</v>
      </c>
      <c r="V625" s="49">
        <v>23945765</v>
      </c>
      <c r="W625" s="49">
        <v>119729</v>
      </c>
      <c r="X625" s="49">
        <v>23826036</v>
      </c>
      <c r="Y625" s="530" t="str">
        <f>IFERROR(IF(FIND("/KM",KB[[#This Row],[SUPPLIER]])&gt;0,"LAUT"),"DARAT")</f>
        <v>DARAT</v>
      </c>
    </row>
    <row r="626" spans="2:25">
      <c r="B626" s="140" t="str">
        <f>IFERROR(LEFT(KB[[#This Row],[SUPPLIER]],FIND("/",KB[[#This Row],[SUPPLIER]])-1),KB[[#This Row],[SUPPLIER]])</f>
        <v>YANADI</v>
      </c>
      <c r="C626" s="141" t="str">
        <f>TEXT(VLOOKUP(KB[[#This Row],[RELASI]],DBRELASI[[RELASI]:[DOCKB]],10,0)+COUNTIFS($B$2:B626,KB[[#This Row],[RELASI]],$D$2:D626,1),"000")</f>
        <v>046</v>
      </c>
      <c r="D626" s="141">
        <f>IF(COUNTIFS($B$3:B626,KB[[#This Row],[RELASI]],$F$3:F626,KB[[#This Row],[TANGGAL]])&lt;&gt;1,0,1)</f>
        <v>1</v>
      </c>
      <c r="E626" s="141" t="str">
        <f>TEXT(IF(KB[[#This Row],[DOC]]&lt;&gt;"",KB[[#This Row],[DOC]],E625),"000")</f>
        <v>046</v>
      </c>
      <c r="F626" s="40">
        <v>43909</v>
      </c>
      <c r="G626" s="40" t="str">
        <f>TYPE</f>
        <v>A</v>
      </c>
      <c r="H626" s="153" t="s">
        <v>908</v>
      </c>
      <c r="I626" s="42" t="s">
        <v>137</v>
      </c>
      <c r="J626" s="43" t="s">
        <v>74</v>
      </c>
      <c r="K626" s="44">
        <v>4</v>
      </c>
      <c r="L626" s="49">
        <v>31110</v>
      </c>
      <c r="M626" s="49">
        <v>11670</v>
      </c>
      <c r="N626" s="49">
        <v>19440</v>
      </c>
      <c r="O626" s="49">
        <v>5</v>
      </c>
      <c r="P626" s="49">
        <v>972</v>
      </c>
      <c r="Q626" s="49">
        <v>18468</v>
      </c>
      <c r="R626" s="49">
        <v>2900</v>
      </c>
      <c r="S626" s="49">
        <v>53557200</v>
      </c>
      <c r="T626" s="49">
        <v>14.57</v>
      </c>
      <c r="U626" s="49">
        <v>2914.57</v>
      </c>
      <c r="V626" s="49">
        <v>53826278</v>
      </c>
      <c r="W626" s="49">
        <v>269131</v>
      </c>
      <c r="X626" s="49">
        <v>53557147</v>
      </c>
      <c r="Y626" s="530" t="str">
        <f>IFERROR(IF(FIND("/KM",KB[[#This Row],[SUPPLIER]])&gt;0,"LAUT"),"DARAT")</f>
        <v>DARAT</v>
      </c>
    </row>
    <row r="627" spans="2:25">
      <c r="B627" s="140" t="str">
        <f>IFERROR(LEFT(KB[[#This Row],[SUPPLIER]],FIND("/",KB[[#This Row],[SUPPLIER]])-1),KB[[#This Row],[SUPPLIER]])</f>
        <v>MARTONO</v>
      </c>
      <c r="C627" s="141" t="str">
        <f>TEXT(VLOOKUP(KB[[#This Row],[RELASI]],DBRELASI[[RELASI]:[DOCKB]],10,0)+COUNTIFS($B$2:B627,KB[[#This Row],[RELASI]],$D$2:D627,1),"000")</f>
        <v>050</v>
      </c>
      <c r="D627" s="141">
        <f>IF(COUNTIFS($B$3:B627,KB[[#This Row],[RELASI]],$F$3:F627,KB[[#This Row],[TANGGAL]])&lt;&gt;1,0,1)</f>
        <v>1</v>
      </c>
      <c r="E627" s="141" t="str">
        <f>TEXT(IF(KB[[#This Row],[DOC]]&lt;&gt;"",KB[[#This Row],[DOC]],E626),"000")</f>
        <v>050</v>
      </c>
      <c r="F627" s="40">
        <v>43909</v>
      </c>
      <c r="G627" s="40" t="str">
        <f>TYPE</f>
        <v>A</v>
      </c>
      <c r="H627" s="154" t="s">
        <v>913</v>
      </c>
      <c r="I627" s="46" t="s">
        <v>519</v>
      </c>
      <c r="J627" s="47" t="s">
        <v>83</v>
      </c>
      <c r="K627" s="48">
        <v>2</v>
      </c>
      <c r="L627" s="49">
        <v>13240</v>
      </c>
      <c r="M627" s="49">
        <v>7840</v>
      </c>
      <c r="N627" s="49">
        <v>5400</v>
      </c>
      <c r="O627" s="49">
        <v>6</v>
      </c>
      <c r="P627" s="49">
        <v>324</v>
      </c>
      <c r="Q627" s="49">
        <v>5076</v>
      </c>
      <c r="R627" s="49">
        <v>2950</v>
      </c>
      <c r="S627" s="49">
        <v>14974200</v>
      </c>
      <c r="T627" s="49">
        <v>14.82</v>
      </c>
      <c r="U627" s="49">
        <v>2964.82</v>
      </c>
      <c r="V627" s="49">
        <v>15049427</v>
      </c>
      <c r="W627" s="49">
        <v>75247</v>
      </c>
      <c r="X627" s="49">
        <v>14974180</v>
      </c>
      <c r="Y627" s="574" t="str">
        <f>IFERROR(IF(FIND("/KM",KB[[#This Row],[SUPPLIER]])&gt;0,"LAUT"),"DARAT")</f>
        <v>LAUT</v>
      </c>
    </row>
    <row r="628" spans="2:25">
      <c r="B628" s="140" t="str">
        <f>IFERROR(LEFT(KB[[#This Row],[SUPPLIER]],FIND("/",KB[[#This Row],[SUPPLIER]])-1),KB[[#This Row],[SUPPLIER]])</f>
        <v>ERAWATI</v>
      </c>
      <c r="C628" s="141" t="str">
        <f>TEXT(VLOOKUP(KB[[#This Row],[RELASI]],DBRELASI[[RELASI]:[DOCKB]],10,0)+COUNTIFS($B$2:B628,KB[[#This Row],[RELASI]],$D$2:D628,1),"000")</f>
        <v>060</v>
      </c>
      <c r="D628" s="141">
        <f>IF(COUNTIFS($B$3:B628,KB[[#This Row],[RELASI]],$F$3:F628,KB[[#This Row],[TANGGAL]])&lt;&gt;1,0,1)</f>
        <v>1</v>
      </c>
      <c r="E628" s="141" t="str">
        <f>TEXT(IF(KB[[#This Row],[DOC]]&lt;&gt;"",KB[[#This Row],[DOC]],E627),"000")</f>
        <v>060</v>
      </c>
      <c r="F628" s="40">
        <v>43910</v>
      </c>
      <c r="G628" s="40" t="str">
        <f>TYPE</f>
        <v>A</v>
      </c>
      <c r="H628" s="153" t="s">
        <v>926</v>
      </c>
      <c r="I628" s="42" t="s">
        <v>155</v>
      </c>
      <c r="J628" s="43" t="s">
        <v>77</v>
      </c>
      <c r="K628" s="44">
        <v>1</v>
      </c>
      <c r="L628" s="49">
        <v>10720</v>
      </c>
      <c r="M628" s="49">
        <v>4400</v>
      </c>
      <c r="N628" s="49">
        <v>6320</v>
      </c>
      <c r="O628" s="49">
        <v>5</v>
      </c>
      <c r="P628" s="49">
        <v>316</v>
      </c>
      <c r="Q628" s="49">
        <v>6004</v>
      </c>
      <c r="R628" s="49">
        <v>2900</v>
      </c>
      <c r="S628" s="49">
        <v>17411600</v>
      </c>
      <c r="T628" s="49">
        <v>14.57</v>
      </c>
      <c r="U628" s="49">
        <v>2914.57</v>
      </c>
      <c r="V628" s="49">
        <v>17499078</v>
      </c>
      <c r="W628" s="49">
        <v>87495</v>
      </c>
      <c r="X628" s="49">
        <v>17411583</v>
      </c>
      <c r="Y628" s="530" t="str">
        <f>IFERROR(IF(FIND("/KM",KB[[#This Row],[SUPPLIER]])&gt;0,"LAUT"),"DARAT")</f>
        <v>DARAT</v>
      </c>
    </row>
    <row r="629" spans="2:25">
      <c r="B629" s="140" t="str">
        <f>IFERROR(LEFT(KB[[#This Row],[SUPPLIER]],FIND("/",KB[[#This Row],[SUPPLIER]])-1),KB[[#This Row],[SUPPLIER]])</f>
        <v>RUSLAN JAYA, SH</v>
      </c>
      <c r="C629" s="141" t="str">
        <f>TEXT(VLOOKUP(KB[[#This Row],[RELASI]],DBRELASI[[RELASI]:[DOCKB]],10,0)+COUNTIFS($B$2:B629,KB[[#This Row],[RELASI]],$D$2:D629,1),"000")</f>
        <v>046</v>
      </c>
      <c r="D629" s="141">
        <f>IF(COUNTIFS($B$3:B629,KB[[#This Row],[RELASI]],$F$3:F629,KB[[#This Row],[TANGGAL]])&lt;&gt;1,0,1)</f>
        <v>1</v>
      </c>
      <c r="E629" s="141" t="str">
        <f>TEXT(IF(KB[[#This Row],[DOC]]&lt;&gt;"",KB[[#This Row],[DOC]],E628),"000")</f>
        <v>046</v>
      </c>
      <c r="F629" s="40">
        <v>43910</v>
      </c>
      <c r="G629" s="40" t="str">
        <f>TYPE</f>
        <v>A</v>
      </c>
      <c r="H629" s="153" t="s">
        <v>908</v>
      </c>
      <c r="I629" s="42" t="s">
        <v>479</v>
      </c>
      <c r="J629" s="43" t="s">
        <v>475</v>
      </c>
      <c r="K629" s="44">
        <v>1</v>
      </c>
      <c r="L629" s="49">
        <v>12140</v>
      </c>
      <c r="M629" s="49">
        <v>4180</v>
      </c>
      <c r="N629" s="49">
        <v>7960</v>
      </c>
      <c r="O629" s="49">
        <v>5</v>
      </c>
      <c r="P629" s="49">
        <v>398</v>
      </c>
      <c r="Q629" s="49">
        <v>7562</v>
      </c>
      <c r="R629" s="49">
        <v>2900</v>
      </c>
      <c r="S629" s="49">
        <v>21929800</v>
      </c>
      <c r="T629" s="49">
        <v>14.57</v>
      </c>
      <c r="U629" s="49">
        <v>2914.57</v>
      </c>
      <c r="V629" s="49">
        <v>22039978</v>
      </c>
      <c r="W629" s="49">
        <v>110200</v>
      </c>
      <c r="X629" s="49">
        <v>21929778</v>
      </c>
      <c r="Y629" s="530" t="str">
        <f>IFERROR(IF(FIND("/KM",KB[[#This Row],[SUPPLIER]])&gt;0,"LAUT"),"DARAT")</f>
        <v>DARAT</v>
      </c>
    </row>
    <row r="630" spans="2:25">
      <c r="B630" s="140" t="str">
        <f>IFERROR(LEFT(KB[[#This Row],[SUPPLIER]],FIND("/",KB[[#This Row],[SUPPLIER]])-1),KB[[#This Row],[SUPPLIER]])</f>
        <v>YANADI</v>
      </c>
      <c r="C630" s="141" t="str">
        <f>TEXT(VLOOKUP(KB[[#This Row],[RELASI]],DBRELASI[[RELASI]:[DOCKB]],10,0)+COUNTIFS($B$2:B630,KB[[#This Row],[RELASI]],$D$2:D630,1),"000")</f>
        <v>047</v>
      </c>
      <c r="D630" s="141">
        <f>IF(COUNTIFS($B$3:B630,KB[[#This Row],[RELASI]],$F$3:F630,KB[[#This Row],[TANGGAL]])&lt;&gt;1,0,1)</f>
        <v>1</v>
      </c>
      <c r="E630" s="141" t="str">
        <f>TEXT(IF(KB[[#This Row],[DOC]]&lt;&gt;"",KB[[#This Row],[DOC]],E629),"000")</f>
        <v>047</v>
      </c>
      <c r="F630" s="40">
        <v>43910</v>
      </c>
      <c r="G630" s="40" t="str">
        <f>TYPE</f>
        <v>A</v>
      </c>
      <c r="H630" s="153" t="s">
        <v>909</v>
      </c>
      <c r="I630" s="42" t="s">
        <v>137</v>
      </c>
      <c r="J630" s="43" t="s">
        <v>74</v>
      </c>
      <c r="K630" s="44">
        <v>2</v>
      </c>
      <c r="L630" s="49">
        <v>17250</v>
      </c>
      <c r="M630" s="49">
        <v>6280</v>
      </c>
      <c r="N630" s="49">
        <v>10970</v>
      </c>
      <c r="O630" s="49">
        <v>5</v>
      </c>
      <c r="P630" s="49">
        <v>548.5</v>
      </c>
      <c r="Q630" s="49">
        <v>10421.5</v>
      </c>
      <c r="R630" s="49">
        <v>2900</v>
      </c>
      <c r="S630" s="49">
        <v>30222350</v>
      </c>
      <c r="T630" s="49">
        <v>14.57</v>
      </c>
      <c r="U630" s="49">
        <v>2914.57</v>
      </c>
      <c r="V630" s="49">
        <v>30374191</v>
      </c>
      <c r="W630" s="49">
        <v>151870</v>
      </c>
      <c r="X630" s="49">
        <v>30222321</v>
      </c>
      <c r="Y630" s="530" t="str">
        <f>IFERROR(IF(FIND("/KM",KB[[#This Row],[SUPPLIER]])&gt;0,"LAUT"),"DARAT")</f>
        <v>DARAT</v>
      </c>
    </row>
    <row r="631" spans="2:25">
      <c r="B631" s="140" t="str">
        <f>IFERROR(LEFT(KB[[#This Row],[SUPPLIER]],FIND("/",KB[[#This Row],[SUPPLIER]])-1),KB[[#This Row],[SUPPLIER]])</f>
        <v>HENDRI</v>
      </c>
      <c r="C631" s="141" t="str">
        <f>TEXT(VLOOKUP(KB[[#This Row],[RELASI]],DBRELASI[[RELASI]:[DOCKB]],10,0)+COUNTIFS($B$2:B631,KB[[#This Row],[RELASI]],$D$2:D631,1),"000")</f>
        <v>029</v>
      </c>
      <c r="D631" s="141">
        <f>IF(COUNTIFS($B$3:B631,KB[[#This Row],[RELASI]],$F$3:F631,KB[[#This Row],[TANGGAL]])&lt;&gt;1,0,1)</f>
        <v>1</v>
      </c>
      <c r="E631" s="141" t="str">
        <f>TEXT(IF(KB[[#This Row],[DOC]]&lt;&gt;"",KB[[#This Row],[DOC]],E630),"000")</f>
        <v>029</v>
      </c>
      <c r="F631" s="40">
        <v>43910</v>
      </c>
      <c r="G631" s="40" t="str">
        <f>TYPE</f>
        <v>A</v>
      </c>
      <c r="H631" s="154" t="s">
        <v>857</v>
      </c>
      <c r="I631" s="46" t="s">
        <v>507</v>
      </c>
      <c r="J631" s="47" t="s">
        <v>475</v>
      </c>
      <c r="K631" s="48">
        <v>1</v>
      </c>
      <c r="L631" s="49">
        <v>5320</v>
      </c>
      <c r="M631" s="49">
        <v>3800</v>
      </c>
      <c r="N631" s="49">
        <v>1520</v>
      </c>
      <c r="O631" s="49">
        <v>6.0000000000000009</v>
      </c>
      <c r="P631" s="49">
        <v>91.2</v>
      </c>
      <c r="Q631" s="49">
        <v>1428.8</v>
      </c>
      <c r="R631" s="49">
        <v>2950</v>
      </c>
      <c r="S631" s="49">
        <v>4214960</v>
      </c>
      <c r="T631" s="49">
        <v>14.82</v>
      </c>
      <c r="U631" s="49">
        <v>2964.82</v>
      </c>
      <c r="V631" s="49">
        <v>4236135</v>
      </c>
      <c r="W631" s="49">
        <v>21181</v>
      </c>
      <c r="X631" s="49">
        <v>4214954</v>
      </c>
      <c r="Y631" s="574" t="str">
        <f>IFERROR(IF(FIND("/KM",KB[[#This Row],[SUPPLIER]])&gt;0,"LAUT"),"DARAT")</f>
        <v>LAUT</v>
      </c>
    </row>
    <row r="632" spans="2:25">
      <c r="B632" s="140" t="str">
        <f>IFERROR(LEFT(KB[[#This Row],[SUPPLIER]],FIND("/",KB[[#This Row],[SUPPLIER]])-1),KB[[#This Row],[SUPPLIER]])</f>
        <v>ERAWATI</v>
      </c>
      <c r="C632" s="141" t="str">
        <f>TEXT(VLOOKUP(KB[[#This Row],[RELASI]],DBRELASI[[RELASI]:[DOCKB]],10,0)+COUNTIFS($B$2:B632,KB[[#This Row],[RELASI]],$D$2:D632,1),"000")</f>
        <v>061</v>
      </c>
      <c r="D632" s="141">
        <f>IF(COUNTIFS($B$3:B632,KB[[#This Row],[RELASI]],$F$3:F632,KB[[#This Row],[TANGGAL]])&lt;&gt;1,0,1)</f>
        <v>1</v>
      </c>
      <c r="E632" s="141" t="str">
        <f>TEXT(IF(KB[[#This Row],[DOC]]&lt;&gt;"",KB[[#This Row],[DOC]],E631),"000")</f>
        <v>061</v>
      </c>
      <c r="F632" s="40">
        <v>43911</v>
      </c>
      <c r="G632" s="40" t="str">
        <f>TYPE</f>
        <v>A</v>
      </c>
      <c r="H632" s="153" t="s">
        <v>927</v>
      </c>
      <c r="I632" s="42" t="s">
        <v>155</v>
      </c>
      <c r="J632" s="43" t="s">
        <v>77</v>
      </c>
      <c r="K632" s="44">
        <v>2</v>
      </c>
      <c r="L632" s="49">
        <v>23660</v>
      </c>
      <c r="M632" s="49">
        <v>8860</v>
      </c>
      <c r="N632" s="49">
        <v>14800</v>
      </c>
      <c r="O632" s="49">
        <v>5</v>
      </c>
      <c r="P632" s="49">
        <v>740</v>
      </c>
      <c r="Q632" s="49">
        <v>14060</v>
      </c>
      <c r="R632" s="49">
        <v>2900</v>
      </c>
      <c r="S632" s="49">
        <v>40774000</v>
      </c>
      <c r="T632" s="49">
        <v>14.57</v>
      </c>
      <c r="U632" s="49">
        <v>2914.57</v>
      </c>
      <c r="V632" s="49">
        <v>40978854</v>
      </c>
      <c r="W632" s="49">
        <v>204895</v>
      </c>
      <c r="X632" s="49">
        <v>40773959</v>
      </c>
      <c r="Y632" s="530" t="str">
        <f>IFERROR(IF(FIND("/KM",KB[[#This Row],[SUPPLIER]])&gt;0,"LAUT"),"DARAT")</f>
        <v>DARAT</v>
      </c>
    </row>
    <row r="633" spans="2:25">
      <c r="B633" s="140" t="str">
        <f>IFERROR(LEFT(KB[[#This Row],[SUPPLIER]],FIND("/",KB[[#This Row],[SUPPLIER]])-1),KB[[#This Row],[SUPPLIER]])</f>
        <v>RUSLAN JAYA, SH</v>
      </c>
      <c r="C633" s="141" t="str">
        <f>TEXT(VLOOKUP(KB[[#This Row],[RELASI]],DBRELASI[[RELASI]:[DOCKB]],10,0)+COUNTIFS($B$2:B633,KB[[#This Row],[RELASI]],$D$2:D633,1),"000")</f>
        <v>047</v>
      </c>
      <c r="D633" s="141">
        <f>IF(COUNTIFS($B$3:B633,KB[[#This Row],[RELASI]],$F$3:F633,KB[[#This Row],[TANGGAL]])&lt;&gt;1,0,1)</f>
        <v>1</v>
      </c>
      <c r="E633" s="141" t="str">
        <f>TEXT(IF(KB[[#This Row],[DOC]]&lt;&gt;"",KB[[#This Row],[DOC]],E632),"000")</f>
        <v>047</v>
      </c>
      <c r="F633" s="40">
        <v>43911</v>
      </c>
      <c r="G633" s="40" t="str">
        <f>TYPE</f>
        <v>A</v>
      </c>
      <c r="H633" s="153" t="s">
        <v>909</v>
      </c>
      <c r="I633" s="42" t="s">
        <v>479</v>
      </c>
      <c r="J633" s="43" t="s">
        <v>475</v>
      </c>
      <c r="K633" s="44">
        <v>1</v>
      </c>
      <c r="L633" s="49">
        <v>13450</v>
      </c>
      <c r="M633" s="49">
        <v>4450</v>
      </c>
      <c r="N633" s="49">
        <v>9000</v>
      </c>
      <c r="O633" s="49">
        <v>5</v>
      </c>
      <c r="P633" s="49">
        <v>450</v>
      </c>
      <c r="Q633" s="49">
        <v>8550</v>
      </c>
      <c r="R633" s="49">
        <v>2900</v>
      </c>
      <c r="S633" s="49">
        <v>24795000</v>
      </c>
      <c r="T633" s="49">
        <v>14.57</v>
      </c>
      <c r="U633" s="49">
        <v>2914.57</v>
      </c>
      <c r="V633" s="49">
        <v>24919574</v>
      </c>
      <c r="W633" s="49">
        <v>124598</v>
      </c>
      <c r="X633" s="49">
        <v>24794976</v>
      </c>
      <c r="Y633" s="530" t="str">
        <f>IFERROR(IF(FIND("/KM",KB[[#This Row],[SUPPLIER]])&gt;0,"LAUT"),"DARAT")</f>
        <v>DARAT</v>
      </c>
    </row>
    <row r="634" spans="2:25">
      <c r="B634" s="140" t="str">
        <f>IFERROR(LEFT(KB[[#This Row],[SUPPLIER]],FIND("/",KB[[#This Row],[SUPPLIER]])-1),KB[[#This Row],[SUPPLIER]])</f>
        <v>YANADI</v>
      </c>
      <c r="C634" s="141" t="str">
        <f>TEXT(VLOOKUP(KB[[#This Row],[RELASI]],DBRELASI[[RELASI]:[DOCKB]],10,0)+COUNTIFS($B$2:B634,KB[[#This Row],[RELASI]],$D$2:D634,1),"000")</f>
        <v>048</v>
      </c>
      <c r="D634" s="141">
        <f>IF(COUNTIFS($B$3:B634,KB[[#This Row],[RELASI]],$F$3:F634,KB[[#This Row],[TANGGAL]])&lt;&gt;1,0,1)</f>
        <v>1</v>
      </c>
      <c r="E634" s="141" t="str">
        <f>TEXT(IF(KB[[#This Row],[DOC]]&lt;&gt;"",KB[[#This Row],[DOC]],E633),"000")</f>
        <v>048</v>
      </c>
      <c r="F634" s="40">
        <v>43911</v>
      </c>
      <c r="G634" s="40" t="str">
        <f>TYPE</f>
        <v>A</v>
      </c>
      <c r="H634" s="154" t="s">
        <v>910</v>
      </c>
      <c r="I634" s="46" t="s">
        <v>137</v>
      </c>
      <c r="J634" s="47" t="s">
        <v>74</v>
      </c>
      <c r="K634" s="48">
        <v>2</v>
      </c>
      <c r="L634" s="49">
        <v>9560</v>
      </c>
      <c r="M634" s="49">
        <v>3360</v>
      </c>
      <c r="N634" s="49">
        <v>6200</v>
      </c>
      <c r="O634" s="49">
        <v>5</v>
      </c>
      <c r="P634" s="49">
        <v>310</v>
      </c>
      <c r="Q634" s="49">
        <v>5890</v>
      </c>
      <c r="R634" s="49">
        <v>2900</v>
      </c>
      <c r="S634" s="49">
        <v>17081000</v>
      </c>
      <c r="T634" s="49">
        <v>14.57</v>
      </c>
      <c r="U634" s="49">
        <v>2914.57</v>
      </c>
      <c r="V634" s="49">
        <v>17166818</v>
      </c>
      <c r="W634" s="49">
        <v>85834</v>
      </c>
      <c r="X634" s="49">
        <v>17080984</v>
      </c>
      <c r="Y634" s="574" t="str">
        <f>IFERROR(IF(FIND("/KM",KB[[#This Row],[SUPPLIER]])&gt;0,"LAUT"),"DARAT")</f>
        <v>DARAT</v>
      </c>
    </row>
    <row r="635" spans="2:25">
      <c r="B635" s="140" t="str">
        <f>IFERROR(LEFT(KB[[#This Row],[SUPPLIER]],FIND("/",KB[[#This Row],[SUPPLIER]])-1),KB[[#This Row],[SUPPLIER]])</f>
        <v>ERAWATI</v>
      </c>
      <c r="C635" s="141" t="str">
        <f>TEXT(VLOOKUP(KB[[#This Row],[RELASI]],DBRELASI[[RELASI]:[DOCKB]],10,0)+COUNTIFS($B$2:B635,KB[[#This Row],[RELASI]],$D$2:D635,1),"000")</f>
        <v>062</v>
      </c>
      <c r="D635" s="141">
        <f>IF(COUNTIFS($B$3:B635,KB[[#This Row],[RELASI]],$F$3:F635,KB[[#This Row],[TANGGAL]])&lt;&gt;1,0,1)</f>
        <v>1</v>
      </c>
      <c r="E635" s="141" t="str">
        <f>TEXT(IF(KB[[#This Row],[DOC]]&lt;&gt;"",KB[[#This Row],[DOC]],E634),"000")</f>
        <v>062</v>
      </c>
      <c r="F635" s="40">
        <v>43913</v>
      </c>
      <c r="G635" s="40" t="str">
        <f>TYPE</f>
        <v>A</v>
      </c>
      <c r="H635" s="153" t="s">
        <v>928</v>
      </c>
      <c r="I635" s="42" t="s">
        <v>155</v>
      </c>
      <c r="J635" s="43" t="s">
        <v>77</v>
      </c>
      <c r="K635" s="44">
        <v>2</v>
      </c>
      <c r="L635" s="49">
        <v>23610</v>
      </c>
      <c r="M635" s="49">
        <v>8960</v>
      </c>
      <c r="N635" s="49">
        <v>14650</v>
      </c>
      <c r="O635" s="49">
        <v>5</v>
      </c>
      <c r="P635" s="49">
        <v>732.5</v>
      </c>
      <c r="Q635" s="49">
        <v>13917.5</v>
      </c>
      <c r="R635" s="49">
        <v>2900</v>
      </c>
      <c r="S635" s="49">
        <v>40360750</v>
      </c>
      <c r="T635" s="49">
        <v>14.57</v>
      </c>
      <c r="U635" s="49">
        <v>2914.57</v>
      </c>
      <c r="V635" s="49">
        <v>40563528</v>
      </c>
      <c r="W635" s="49">
        <v>202818</v>
      </c>
      <c r="X635" s="49">
        <v>40360710</v>
      </c>
      <c r="Y635" s="530" t="str">
        <f>IFERROR(IF(FIND("/KM",KB[[#This Row],[SUPPLIER]])&gt;0,"LAUT"),"DARAT")</f>
        <v>DARAT</v>
      </c>
    </row>
    <row r="636" spans="2:25">
      <c r="B636" s="140" t="str">
        <f>IFERROR(LEFT(KB[[#This Row],[SUPPLIER]],FIND("/",KB[[#This Row],[SUPPLIER]])-1),KB[[#This Row],[SUPPLIER]])</f>
        <v>RUSLAN JAYA, SH</v>
      </c>
      <c r="C636" s="141" t="str">
        <f>TEXT(VLOOKUP(KB[[#This Row],[RELASI]],DBRELASI[[RELASI]:[DOCKB]],10,0)+COUNTIFS($B$2:B636,KB[[#This Row],[RELASI]],$D$2:D636,1),"000")</f>
        <v>048</v>
      </c>
      <c r="D636" s="141">
        <f>IF(COUNTIFS($B$3:B636,KB[[#This Row],[RELASI]],$F$3:F636,KB[[#This Row],[TANGGAL]])&lt;&gt;1,0,1)</f>
        <v>1</v>
      </c>
      <c r="E636" s="141" t="str">
        <f>TEXT(IF(KB[[#This Row],[DOC]]&lt;&gt;"",KB[[#This Row],[DOC]],E635),"000")</f>
        <v>048</v>
      </c>
      <c r="F636" s="40">
        <v>43913</v>
      </c>
      <c r="G636" s="40" t="str">
        <f>TYPE</f>
        <v>A</v>
      </c>
      <c r="H636" s="153" t="s">
        <v>910</v>
      </c>
      <c r="I636" s="42" t="s">
        <v>479</v>
      </c>
      <c r="J636" s="43" t="s">
        <v>475</v>
      </c>
      <c r="K636" s="44">
        <v>3</v>
      </c>
      <c r="L636" s="49">
        <v>36320</v>
      </c>
      <c r="M636" s="49">
        <v>16560</v>
      </c>
      <c r="N636" s="49">
        <v>19760</v>
      </c>
      <c r="O636" s="49">
        <v>5.3917004048582999</v>
      </c>
      <c r="P636" s="49">
        <v>1065.4000000000001</v>
      </c>
      <c r="Q636" s="49">
        <v>18694.599999999999</v>
      </c>
      <c r="R636" s="49">
        <v>2900</v>
      </c>
      <c r="S636" s="49">
        <v>54214340</v>
      </c>
      <c r="T636" s="49">
        <v>14.57</v>
      </c>
      <c r="U636" s="49">
        <v>2914.57</v>
      </c>
      <c r="V636" s="49">
        <v>54486720</v>
      </c>
      <c r="W636" s="49">
        <v>272434</v>
      </c>
      <c r="X636" s="49">
        <v>54214286</v>
      </c>
      <c r="Y636" s="530" t="str">
        <f>IFERROR(IF(FIND("/KM",KB[[#This Row],[SUPPLIER]])&gt;0,"LAUT"),"DARAT")</f>
        <v>DARAT</v>
      </c>
    </row>
    <row r="637" spans="2:25">
      <c r="B637" s="140" t="str">
        <f>IFERROR(LEFT(KB[[#This Row],[SUPPLIER]],FIND("/",KB[[#This Row],[SUPPLIER]])-1),KB[[#This Row],[SUPPLIER]])</f>
        <v>YANADI</v>
      </c>
      <c r="C637" s="141" t="str">
        <f>TEXT(VLOOKUP(KB[[#This Row],[RELASI]],DBRELASI[[RELASI]:[DOCKB]],10,0)+COUNTIFS($B$2:B637,KB[[#This Row],[RELASI]],$D$2:D637,1),"000")</f>
        <v>049</v>
      </c>
      <c r="D637" s="141">
        <f>IF(COUNTIFS($B$3:B637,KB[[#This Row],[RELASI]],$F$3:F637,KB[[#This Row],[TANGGAL]])&lt;&gt;1,0,1)</f>
        <v>1</v>
      </c>
      <c r="E637" s="141" t="str">
        <f>TEXT(IF(KB[[#This Row],[DOC]]&lt;&gt;"",KB[[#This Row],[DOC]],E636),"000")</f>
        <v>049</v>
      </c>
      <c r="F637" s="40">
        <v>43913</v>
      </c>
      <c r="G637" s="40" t="str">
        <f>TYPE</f>
        <v>A</v>
      </c>
      <c r="H637" s="153" t="s">
        <v>912</v>
      </c>
      <c r="I637" s="42" t="s">
        <v>137</v>
      </c>
      <c r="J637" s="43" t="s">
        <v>74</v>
      </c>
      <c r="K637" s="44">
        <v>1</v>
      </c>
      <c r="L637" s="49">
        <v>5140</v>
      </c>
      <c r="M637" s="49">
        <v>1520</v>
      </c>
      <c r="N637" s="49">
        <v>3620</v>
      </c>
      <c r="O637" s="49">
        <v>5</v>
      </c>
      <c r="P637" s="49">
        <v>181</v>
      </c>
      <c r="Q637" s="49">
        <v>3439</v>
      </c>
      <c r="R637" s="49">
        <v>2900</v>
      </c>
      <c r="S637" s="49">
        <v>9973100</v>
      </c>
      <c r="T637" s="49">
        <v>14.57</v>
      </c>
      <c r="U637" s="49">
        <v>2914.57</v>
      </c>
      <c r="V637" s="49">
        <v>10023206</v>
      </c>
      <c r="W637" s="49">
        <v>50116</v>
      </c>
      <c r="X637" s="49">
        <v>9973090</v>
      </c>
      <c r="Y637" s="530" t="str">
        <f>IFERROR(IF(FIND("/KM",KB[[#This Row],[SUPPLIER]])&gt;0,"LAUT"),"DARAT")</f>
        <v>DARAT</v>
      </c>
    </row>
    <row r="638" spans="2:25">
      <c r="B638" s="140" t="str">
        <f>IFERROR(LEFT(KB[[#This Row],[SUPPLIER]],FIND("/",KB[[#This Row],[SUPPLIER]])-1),KB[[#This Row],[SUPPLIER]])</f>
        <v>HENDRI</v>
      </c>
      <c r="C638" s="141" t="str">
        <f>TEXT(VLOOKUP(KB[[#This Row],[RELASI]],DBRELASI[[RELASI]:[DOCKB]],10,0)+COUNTIFS($B$2:B638,KB[[#This Row],[RELASI]],$D$2:D638,1),"000")</f>
        <v>030</v>
      </c>
      <c r="D638" s="141">
        <f>IF(COUNTIFS($B$3:B638,KB[[#This Row],[RELASI]],$F$3:F638,KB[[#This Row],[TANGGAL]])&lt;&gt;1,0,1)</f>
        <v>1</v>
      </c>
      <c r="E638" s="141" t="str">
        <f>TEXT(IF(KB[[#This Row],[DOC]]&lt;&gt;"",KB[[#This Row],[DOC]],E637),"000")</f>
        <v>030</v>
      </c>
      <c r="F638" s="40">
        <v>43913</v>
      </c>
      <c r="G638" s="40" t="str">
        <f>TYPE</f>
        <v>A</v>
      </c>
      <c r="H638" s="153" t="s">
        <v>860</v>
      </c>
      <c r="I638" s="42" t="s">
        <v>929</v>
      </c>
      <c r="J638" s="43" t="s">
        <v>475</v>
      </c>
      <c r="K638" s="44">
        <v>1</v>
      </c>
      <c r="L638" s="49">
        <v>6730</v>
      </c>
      <c r="M638" s="49">
        <v>3870</v>
      </c>
      <c r="N638" s="49">
        <v>2860</v>
      </c>
      <c r="O638" s="49">
        <v>5.9999999999999991</v>
      </c>
      <c r="P638" s="49">
        <v>171.6</v>
      </c>
      <c r="Q638" s="49">
        <v>2688.4</v>
      </c>
      <c r="R638" s="49">
        <v>2950</v>
      </c>
      <c r="S638" s="49">
        <v>7930780</v>
      </c>
      <c r="T638" s="49">
        <v>14.82</v>
      </c>
      <c r="U638" s="49">
        <v>2964.82</v>
      </c>
      <c r="V638" s="49">
        <v>7970622</v>
      </c>
      <c r="W638" s="49">
        <v>39853</v>
      </c>
      <c r="X638" s="49">
        <v>7930769</v>
      </c>
      <c r="Y638" s="530" t="str">
        <f>IFERROR(IF(FIND("/KM",KB[[#This Row],[SUPPLIER]])&gt;0,"LAUT"),"DARAT")</f>
        <v>LAUT</v>
      </c>
    </row>
    <row r="639" spans="2:25">
      <c r="B639" s="140" t="str">
        <f>IFERROR(LEFT(KB[[#This Row],[SUPPLIER]],FIND("/",KB[[#This Row],[SUPPLIER]])-1),KB[[#This Row],[SUPPLIER]])</f>
        <v>HENDRI</v>
      </c>
      <c r="C639" s="141" t="str">
        <f>TEXT(VLOOKUP(KB[[#This Row],[RELASI]],DBRELASI[[RELASI]:[DOCKB]],10,0)+COUNTIFS($B$2:B639,KB[[#This Row],[RELASI]],$D$2:D639,1),"000")</f>
        <v>030</v>
      </c>
      <c r="D639" s="141">
        <f>IF(COUNTIFS($B$3:B639,KB[[#This Row],[RELASI]],$F$3:F639,KB[[#This Row],[TANGGAL]])&lt;&gt;1,0,1)</f>
        <v>0</v>
      </c>
      <c r="E639" s="141" t="str">
        <f>TEXT(IF(KB[[#This Row],[DOC]]&lt;&gt;"",KB[[#This Row],[DOC]],E638),"000")</f>
        <v>030</v>
      </c>
      <c r="F639" s="40">
        <v>43913</v>
      </c>
      <c r="G639" s="40" t="str">
        <f>TYPE</f>
        <v>A</v>
      </c>
      <c r="H639"/>
      <c r="I639" s="42" t="s">
        <v>774</v>
      </c>
      <c r="J639" s="43" t="s">
        <v>475</v>
      </c>
      <c r="K639" s="44">
        <v>3</v>
      </c>
      <c r="L639" s="49">
        <v>23630</v>
      </c>
      <c r="M639" s="49">
        <v>11670</v>
      </c>
      <c r="N639" s="49">
        <v>11960</v>
      </c>
      <c r="O639" s="49">
        <v>5.9999999999999991</v>
      </c>
      <c r="P639" s="49">
        <v>717.59999999999991</v>
      </c>
      <c r="Q639" s="49">
        <v>11242.400000000001</v>
      </c>
      <c r="R639" s="49">
        <v>2999.9999999999995</v>
      </c>
      <c r="S639" s="49">
        <v>33727200</v>
      </c>
      <c r="T639" s="49">
        <v>15.08</v>
      </c>
      <c r="U639" s="49">
        <v>3015.0799999999995</v>
      </c>
      <c r="V639" s="49">
        <v>33896736</v>
      </c>
      <c r="W639" s="49">
        <v>169483</v>
      </c>
      <c r="X639" s="49">
        <v>33727253</v>
      </c>
      <c r="Y639" s="530" t="str">
        <f>IFERROR(IF(FIND("/KM",KB[[#This Row],[SUPPLIER]])&gt;0,"LAUT"),"DARAT")</f>
        <v>LAUT</v>
      </c>
    </row>
    <row r="640" spans="2:25">
      <c r="B640" s="140" t="str">
        <f>IFERROR(LEFT(KB[[#This Row],[SUPPLIER]],FIND("/",KB[[#This Row],[SUPPLIER]])-1),KB[[#This Row],[SUPPLIER]])</f>
        <v>WARTINI</v>
      </c>
      <c r="C640" s="141" t="str">
        <f>TEXT(VLOOKUP(KB[[#This Row],[RELASI]],DBRELASI[[RELASI]:[DOCKB]],10,0)+COUNTIFS($B$2:B640,KB[[#This Row],[RELASI]],$D$2:D640,1),"000")</f>
        <v>004</v>
      </c>
      <c r="D640" s="141">
        <f>IF(COUNTIFS($B$3:B640,KB[[#This Row],[RELASI]],$F$3:F640,KB[[#This Row],[TANGGAL]])&lt;&gt;1,0,1)</f>
        <v>1</v>
      </c>
      <c r="E640" s="141" t="str">
        <f>TEXT(IF(KB[[#This Row],[DOC]]&lt;&gt;"",KB[[#This Row],[DOC]],E639),"000")</f>
        <v>004</v>
      </c>
      <c r="F640" s="40">
        <v>43913</v>
      </c>
      <c r="G640" s="40" t="str">
        <f>TYPE</f>
        <v>A</v>
      </c>
      <c r="H640" s="154" t="s">
        <v>526</v>
      </c>
      <c r="I640" s="46" t="s">
        <v>930</v>
      </c>
      <c r="J640" s="47" t="s">
        <v>97</v>
      </c>
      <c r="K640" s="48">
        <v>27</v>
      </c>
      <c r="L640" s="49">
        <v>227970</v>
      </c>
      <c r="M640" s="49">
        <v>105140</v>
      </c>
      <c r="N640" s="49">
        <v>122830</v>
      </c>
      <c r="O640" s="49">
        <v>6.0000000000000009</v>
      </c>
      <c r="P640" s="49">
        <v>7369.8000000000011</v>
      </c>
      <c r="Q640" s="49">
        <v>115460.19999999998</v>
      </c>
      <c r="R640" s="49">
        <v>3200.0000000000005</v>
      </c>
      <c r="S640" s="49">
        <v>369472640</v>
      </c>
      <c r="T640" s="49">
        <v>16.079999999999998</v>
      </c>
      <c r="U640" s="49">
        <v>3216.0800000000004</v>
      </c>
      <c r="V640" s="49">
        <v>371329241</v>
      </c>
      <c r="W640" s="49">
        <v>1856646</v>
      </c>
      <c r="X640" s="49">
        <v>369472595</v>
      </c>
      <c r="Y640" s="574" t="str">
        <f>IFERROR(IF(FIND("/KM",KB[[#This Row],[SUPPLIER]])&gt;0,"LAUT"),"DARAT")</f>
        <v>LAUT</v>
      </c>
    </row>
    <row r="641" spans="2:25">
      <c r="B641" s="140" t="str">
        <f>IFERROR(LEFT(KB[[#This Row],[SUPPLIER]],FIND("/",KB[[#This Row],[SUPPLIER]])-1),KB[[#This Row],[SUPPLIER]])</f>
        <v>ERAWATI</v>
      </c>
      <c r="C641" s="141" t="str">
        <f>TEXT(VLOOKUP(KB[[#This Row],[RELASI]],DBRELASI[[RELASI]:[DOCKB]],10,0)+COUNTIFS($B$2:B641,KB[[#This Row],[RELASI]],$D$2:D641,1),"000")</f>
        <v>063</v>
      </c>
      <c r="D641" s="141">
        <f>IF(COUNTIFS($B$3:B641,KB[[#This Row],[RELASI]],$F$3:F641,KB[[#This Row],[TANGGAL]])&lt;&gt;1,0,1)</f>
        <v>1</v>
      </c>
      <c r="E641" s="141" t="str">
        <f>TEXT(IF(KB[[#This Row],[DOC]]&lt;&gt;"",KB[[#This Row],[DOC]],E640),"000")</f>
        <v>063</v>
      </c>
      <c r="F641" s="40">
        <v>43914</v>
      </c>
      <c r="G641" s="40" t="str">
        <f>TYPE</f>
        <v>A</v>
      </c>
      <c r="H641" s="153" t="s">
        <v>931</v>
      </c>
      <c r="I641" s="42" t="s">
        <v>155</v>
      </c>
      <c r="J641" s="43" t="s">
        <v>77</v>
      </c>
      <c r="K641" s="44">
        <v>1</v>
      </c>
      <c r="L641" s="49">
        <v>10660</v>
      </c>
      <c r="M641" s="49">
        <v>4820</v>
      </c>
      <c r="N641" s="49">
        <v>5840</v>
      </c>
      <c r="O641" s="49">
        <v>6</v>
      </c>
      <c r="P641" s="49">
        <v>350.4</v>
      </c>
      <c r="Q641" s="49">
        <v>5489.6</v>
      </c>
      <c r="R641" s="49">
        <v>2900</v>
      </c>
      <c r="S641" s="49">
        <v>15919840</v>
      </c>
      <c r="T641" s="49">
        <v>14.57</v>
      </c>
      <c r="U641" s="49">
        <v>2914.57</v>
      </c>
      <c r="V641" s="49">
        <v>15999823</v>
      </c>
      <c r="W641" s="49">
        <v>79999</v>
      </c>
      <c r="X641" s="49">
        <v>15919824</v>
      </c>
      <c r="Y641" s="530" t="str">
        <f>IFERROR(IF(FIND("/KM",KB[[#This Row],[SUPPLIER]])&gt;0,"LAUT"),"DARAT")</f>
        <v>DARAT</v>
      </c>
    </row>
    <row r="642" spans="2:25">
      <c r="B642" s="140" t="str">
        <f>IFERROR(LEFT(KB[[#This Row],[SUPPLIER]],FIND("/",KB[[#This Row],[SUPPLIER]])-1),KB[[#This Row],[SUPPLIER]])</f>
        <v>RUSLAN JAYA, SH</v>
      </c>
      <c r="C642" s="141" t="str">
        <f>TEXT(VLOOKUP(KB[[#This Row],[RELASI]],DBRELASI[[RELASI]:[DOCKB]],10,0)+COUNTIFS($B$2:B642,KB[[#This Row],[RELASI]],$D$2:D642,1),"000")</f>
        <v>049</v>
      </c>
      <c r="D642" s="141">
        <f>IF(COUNTIFS($B$3:B642,KB[[#This Row],[RELASI]],$F$3:F642,KB[[#This Row],[TANGGAL]])&lt;&gt;1,0,1)</f>
        <v>1</v>
      </c>
      <c r="E642" s="141" t="str">
        <f>TEXT(IF(KB[[#This Row],[DOC]]&lt;&gt;"",KB[[#This Row],[DOC]],E641),"000")</f>
        <v>049</v>
      </c>
      <c r="F642" s="40">
        <v>43914</v>
      </c>
      <c r="G642" s="40" t="str">
        <f>TYPE</f>
        <v>A</v>
      </c>
      <c r="H642" s="153" t="s">
        <v>912</v>
      </c>
      <c r="I642" s="42" t="s">
        <v>479</v>
      </c>
      <c r="J642" s="43" t="s">
        <v>475</v>
      </c>
      <c r="K642" s="44">
        <v>2</v>
      </c>
      <c r="L642" s="49">
        <v>16540</v>
      </c>
      <c r="M642" s="49">
        <v>6110</v>
      </c>
      <c r="N642" s="49">
        <v>10430</v>
      </c>
      <c r="O642" s="49">
        <v>5</v>
      </c>
      <c r="P642" s="49">
        <v>521.5</v>
      </c>
      <c r="Q642" s="49">
        <v>9908.5</v>
      </c>
      <c r="R642" s="49">
        <v>2900</v>
      </c>
      <c r="S642" s="49">
        <v>28734650</v>
      </c>
      <c r="T642" s="49">
        <v>14.57</v>
      </c>
      <c r="U642" s="49">
        <v>2914.57</v>
      </c>
      <c r="V642" s="49">
        <v>28879017</v>
      </c>
      <c r="W642" s="49">
        <v>144395</v>
      </c>
      <c r="X642" s="49">
        <v>28734622</v>
      </c>
      <c r="Y642" s="530" t="str">
        <f>IFERROR(IF(FIND("/KM",KB[[#This Row],[SUPPLIER]])&gt;0,"LAUT"),"DARAT")</f>
        <v>DARAT</v>
      </c>
    </row>
    <row r="643" spans="2:25">
      <c r="B643" s="140" t="str">
        <f>IFERROR(LEFT(KB[[#This Row],[SUPPLIER]],FIND("/",KB[[#This Row],[SUPPLIER]])-1),KB[[#This Row],[SUPPLIER]])</f>
        <v>YANADI</v>
      </c>
      <c r="C643" s="141" t="str">
        <f>TEXT(VLOOKUP(KB[[#This Row],[RELASI]],DBRELASI[[RELASI]:[DOCKB]],10,0)+COUNTIFS($B$2:B643,KB[[#This Row],[RELASI]],$D$2:D643,1),"000")</f>
        <v>050</v>
      </c>
      <c r="D643" s="141">
        <f>IF(COUNTIFS($B$3:B643,KB[[#This Row],[RELASI]],$F$3:F643,KB[[#This Row],[TANGGAL]])&lt;&gt;1,0,1)</f>
        <v>1</v>
      </c>
      <c r="E643" s="141" t="str">
        <f>TEXT(IF(KB[[#This Row],[DOC]]&lt;&gt;"",KB[[#This Row],[DOC]],E642),"000")</f>
        <v>050</v>
      </c>
      <c r="F643" s="40">
        <v>43914</v>
      </c>
      <c r="G643" s="40" t="str">
        <f>TYPE</f>
        <v>A</v>
      </c>
      <c r="H643" s="153" t="s">
        <v>913</v>
      </c>
      <c r="I643" s="42" t="s">
        <v>137</v>
      </c>
      <c r="J643" s="43" t="s">
        <v>74</v>
      </c>
      <c r="K643" s="44">
        <v>2</v>
      </c>
      <c r="L643" s="49">
        <v>17600</v>
      </c>
      <c r="M643" s="49">
        <v>6010</v>
      </c>
      <c r="N643" s="49">
        <v>11590</v>
      </c>
      <c r="O643" s="49">
        <v>5</v>
      </c>
      <c r="P643" s="49">
        <v>579.5</v>
      </c>
      <c r="Q643" s="49">
        <v>11010.5</v>
      </c>
      <c r="R643" s="49">
        <v>2827.0923209663501</v>
      </c>
      <c r="S643" s="49">
        <v>31127700</v>
      </c>
      <c r="T643" s="49">
        <v>14.21</v>
      </c>
      <c r="U643" s="49">
        <v>2841.3023209663502</v>
      </c>
      <c r="V643" s="49">
        <v>31284109</v>
      </c>
      <c r="W643" s="49">
        <v>156421</v>
      </c>
      <c r="X643" s="49">
        <v>31127688</v>
      </c>
      <c r="Y643" s="530" t="str">
        <f>IFERROR(IF(FIND("/KM",KB[[#This Row],[SUPPLIER]])&gt;0,"LAUT"),"DARAT")</f>
        <v>DARAT</v>
      </c>
    </row>
    <row r="644" spans="2:25">
      <c r="B644" s="140" t="str">
        <f>IFERROR(LEFT(KB[[#This Row],[SUPPLIER]],FIND("/",KB[[#This Row],[SUPPLIER]])-1),KB[[#This Row],[SUPPLIER]])</f>
        <v>DINI CHAIRANI</v>
      </c>
      <c r="C644" s="141" t="str">
        <f>TEXT(VLOOKUP(KB[[#This Row],[RELASI]],DBRELASI[[RELASI]:[DOCKB]],10,0)+COUNTIFS($B$2:B644,KB[[#This Row],[RELASI]],$D$2:D644,1),"000")</f>
        <v>041</v>
      </c>
      <c r="D644" s="141">
        <f>IF(COUNTIFS($B$3:B644,KB[[#This Row],[RELASI]],$F$3:F644,KB[[#This Row],[TANGGAL]])&lt;&gt;1,0,1)</f>
        <v>1</v>
      </c>
      <c r="E644" s="141" t="str">
        <f>TEXT(IF(KB[[#This Row],[DOC]]&lt;&gt;"",KB[[#This Row],[DOC]],E643),"000")</f>
        <v>041</v>
      </c>
      <c r="F644" s="40">
        <v>43914</v>
      </c>
      <c r="G644" s="40" t="str">
        <f>TYPE</f>
        <v>A</v>
      </c>
      <c r="H644" s="153" t="s">
        <v>895</v>
      </c>
      <c r="I644" s="42" t="s">
        <v>820</v>
      </c>
      <c r="J644" s="43" t="s">
        <v>95</v>
      </c>
      <c r="K644" s="44">
        <v>2</v>
      </c>
      <c r="L644" s="49">
        <v>13800</v>
      </c>
      <c r="M644" s="49">
        <v>7740</v>
      </c>
      <c r="N644" s="49">
        <v>6060</v>
      </c>
      <c r="O644" s="49">
        <v>5.9999999999999991</v>
      </c>
      <c r="P644" s="49">
        <v>363.59999999999997</v>
      </c>
      <c r="Q644" s="49">
        <v>5696.4</v>
      </c>
      <c r="R644" s="49">
        <v>2950</v>
      </c>
      <c r="S644" s="49">
        <v>16804380</v>
      </c>
      <c r="T644" s="49">
        <v>14.82</v>
      </c>
      <c r="U644" s="49">
        <v>2964.82</v>
      </c>
      <c r="V644" s="49">
        <v>16888801</v>
      </c>
      <c r="W644" s="49">
        <v>84444</v>
      </c>
      <c r="X644" s="49">
        <v>16804357</v>
      </c>
      <c r="Y644" s="530" t="str">
        <f>IFERROR(IF(FIND("/KM",KB[[#This Row],[SUPPLIER]])&gt;0,"LAUT"),"DARAT")</f>
        <v>LAUT</v>
      </c>
    </row>
    <row r="645" spans="2:25">
      <c r="B645" s="140" t="str">
        <f>IFERROR(LEFT(KB[[#This Row],[SUPPLIER]],FIND("/",KB[[#This Row],[SUPPLIER]])-1),KB[[#This Row],[SUPPLIER]])</f>
        <v>HENDRI</v>
      </c>
      <c r="C645" s="141" t="str">
        <f>TEXT(VLOOKUP(KB[[#This Row],[RELASI]],DBRELASI[[RELASI]:[DOCKB]],10,0)+COUNTIFS($B$2:B645,KB[[#This Row],[RELASI]],$D$2:D645,1),"000")</f>
        <v>031</v>
      </c>
      <c r="D645" s="141">
        <f>IF(COUNTIFS($B$3:B645,KB[[#This Row],[RELASI]],$F$3:F645,KB[[#This Row],[TANGGAL]])&lt;&gt;1,0,1)</f>
        <v>1</v>
      </c>
      <c r="E645" s="141" t="str">
        <f>TEXT(IF(KB[[#This Row],[DOC]]&lt;&gt;"",KB[[#This Row],[DOC]],E644),"000")</f>
        <v>031</v>
      </c>
      <c r="F645" s="40">
        <v>43914</v>
      </c>
      <c r="G645" s="40" t="str">
        <f>TYPE</f>
        <v>A</v>
      </c>
      <c r="H645" s="153" t="s">
        <v>863</v>
      </c>
      <c r="I645" s="42" t="s">
        <v>770</v>
      </c>
      <c r="J645" s="43" t="s">
        <v>475</v>
      </c>
      <c r="K645" s="44">
        <v>1</v>
      </c>
      <c r="L645" s="49">
        <v>9010</v>
      </c>
      <c r="M645" s="49">
        <v>3880</v>
      </c>
      <c r="N645" s="49">
        <v>5130</v>
      </c>
      <c r="O645" s="49">
        <v>6.0000000000000009</v>
      </c>
      <c r="P645" s="49">
        <v>307.8</v>
      </c>
      <c r="Q645" s="49">
        <v>4822.2</v>
      </c>
      <c r="R645" s="49">
        <v>2950</v>
      </c>
      <c r="S645" s="49">
        <v>14225490</v>
      </c>
      <c r="T645" s="49">
        <v>14.82</v>
      </c>
      <c r="U645" s="49">
        <v>2964.82</v>
      </c>
      <c r="V645" s="49">
        <v>14296955</v>
      </c>
      <c r="W645" s="49">
        <v>71485</v>
      </c>
      <c r="X645" s="49">
        <v>14225470</v>
      </c>
      <c r="Y645" s="530" t="str">
        <f>IFERROR(IF(FIND("/KM",KB[[#This Row],[SUPPLIER]])&gt;0,"LAUT"),"DARAT")</f>
        <v>LAUT</v>
      </c>
    </row>
    <row r="646" spans="2:25">
      <c r="B646" s="140" t="str">
        <f>IFERROR(LEFT(KB[[#This Row],[SUPPLIER]],FIND("/",KB[[#This Row],[SUPPLIER]])-1),KB[[#This Row],[SUPPLIER]])</f>
        <v>HENDRI</v>
      </c>
      <c r="C646" s="141" t="str">
        <f>TEXT(VLOOKUP(KB[[#This Row],[RELASI]],DBRELASI[[RELASI]:[DOCKB]],10,0)+COUNTIFS($B$2:B646,KB[[#This Row],[RELASI]],$D$2:D646,1),"000")</f>
        <v>031</v>
      </c>
      <c r="D646" s="141">
        <f>IF(COUNTIFS($B$3:B646,KB[[#This Row],[RELASI]],$F$3:F646,KB[[#This Row],[TANGGAL]])&lt;&gt;1,0,1)</f>
        <v>0</v>
      </c>
      <c r="E646" s="141" t="str">
        <f>TEXT(IF(KB[[#This Row],[DOC]]&lt;&gt;"",KB[[#This Row],[DOC]],E645),"000")</f>
        <v>031</v>
      </c>
      <c r="F646" s="40">
        <v>43914</v>
      </c>
      <c r="G646" s="40" t="str">
        <f>TYPE</f>
        <v>A</v>
      </c>
      <c r="H646"/>
      <c r="I646" s="42" t="s">
        <v>932</v>
      </c>
      <c r="J646" s="43" t="s">
        <v>475</v>
      </c>
      <c r="K646" s="44">
        <v>1</v>
      </c>
      <c r="L646" s="49">
        <v>6960</v>
      </c>
      <c r="M646" s="49">
        <v>3900</v>
      </c>
      <c r="N646" s="49">
        <v>3060</v>
      </c>
      <c r="O646" s="49">
        <v>5.9999999999999991</v>
      </c>
      <c r="P646" s="49">
        <v>183.6</v>
      </c>
      <c r="Q646" s="49">
        <v>2876.4</v>
      </c>
      <c r="R646" s="49">
        <v>2950</v>
      </c>
      <c r="S646" s="49">
        <v>8485380</v>
      </c>
      <c r="T646" s="49">
        <v>14.82</v>
      </c>
      <c r="U646" s="49">
        <v>2964.82</v>
      </c>
      <c r="V646" s="49">
        <v>8528008</v>
      </c>
      <c r="W646" s="49">
        <v>42640</v>
      </c>
      <c r="X646" s="49">
        <v>8485368</v>
      </c>
      <c r="Y646" s="530" t="str">
        <f>IFERROR(IF(FIND("/KM",KB[[#This Row],[SUPPLIER]])&gt;0,"LAUT"),"DARAT")</f>
        <v>LAUT</v>
      </c>
    </row>
    <row r="647" spans="2:25">
      <c r="B647" s="140" t="str">
        <f>IFERROR(LEFT(KB[[#This Row],[SUPPLIER]],FIND("/",KB[[#This Row],[SUPPLIER]])-1),KB[[#This Row],[SUPPLIER]])</f>
        <v>WARTINI</v>
      </c>
      <c r="C647" s="141" t="str">
        <f>TEXT(VLOOKUP(KB[[#This Row],[RELASI]],DBRELASI[[RELASI]:[DOCKB]],10,0)+COUNTIFS($B$2:B647,KB[[#This Row],[RELASI]],$D$2:D647,1),"000")</f>
        <v>005</v>
      </c>
      <c r="D647" s="141">
        <f>IF(COUNTIFS($B$3:B647,KB[[#This Row],[RELASI]],$F$3:F647,KB[[#This Row],[TANGGAL]])&lt;&gt;1,0,1)</f>
        <v>1</v>
      </c>
      <c r="E647" s="141" t="str">
        <f>TEXT(IF(KB[[#This Row],[DOC]]&lt;&gt;"",KB[[#This Row],[DOC]],E646),"000")</f>
        <v>005</v>
      </c>
      <c r="F647" s="40">
        <v>43914</v>
      </c>
      <c r="G647" s="40" t="str">
        <f>TYPE</f>
        <v>A</v>
      </c>
      <c r="H647" s="154" t="s">
        <v>532</v>
      </c>
      <c r="I647" s="46" t="s">
        <v>930</v>
      </c>
      <c r="J647" s="47" t="s">
        <v>97</v>
      </c>
      <c r="K647" s="48">
        <v>28</v>
      </c>
      <c r="L647" s="49">
        <v>226090</v>
      </c>
      <c r="M647" s="49">
        <v>109060</v>
      </c>
      <c r="N647" s="49">
        <v>117030</v>
      </c>
      <c r="O647" s="49">
        <v>6</v>
      </c>
      <c r="P647" s="49">
        <v>7021.7999999999993</v>
      </c>
      <c r="Q647" s="49">
        <v>110008.20000000001</v>
      </c>
      <c r="R647" s="49">
        <v>3199.9999999999995</v>
      </c>
      <c r="S647" s="49">
        <v>352026240</v>
      </c>
      <c r="T647" s="49">
        <v>16.079999999999998</v>
      </c>
      <c r="U647" s="49">
        <v>3216.0799999999995</v>
      </c>
      <c r="V647" s="49">
        <v>353795170</v>
      </c>
      <c r="W647" s="49">
        <v>1768977</v>
      </c>
      <c r="X647" s="49">
        <v>352026193</v>
      </c>
      <c r="Y647" s="574" t="str">
        <f>IFERROR(IF(FIND("/KM",KB[[#This Row],[SUPPLIER]])&gt;0,"LAUT"),"DARAT")</f>
        <v>LAUT</v>
      </c>
    </row>
    <row r="648" spans="2:25">
      <c r="B648" s="140" t="str">
        <f>IFERROR(LEFT(KB[[#This Row],[SUPPLIER]],FIND("/",KB[[#This Row],[SUPPLIER]])-1),KB[[#This Row],[SUPPLIER]])</f>
        <v>ERAWATI</v>
      </c>
      <c r="C648" s="141" t="str">
        <f>TEXT(VLOOKUP(KB[[#This Row],[RELASI]],DBRELASI[[RELASI]:[DOCKB]],10,0)+COUNTIFS($B$2:B648,KB[[#This Row],[RELASI]],$D$2:D648,1),"000")</f>
        <v>064</v>
      </c>
      <c r="D648" s="141">
        <f>IF(COUNTIFS($B$3:B648,KB[[#This Row],[RELASI]],$F$3:F648,KB[[#This Row],[TANGGAL]])&lt;&gt;1,0,1)</f>
        <v>1</v>
      </c>
      <c r="E648" s="141" t="str">
        <f>TEXT(IF(KB[[#This Row],[DOC]]&lt;&gt;"",KB[[#This Row],[DOC]],E647),"000")</f>
        <v>064</v>
      </c>
      <c r="F648" s="40">
        <v>43916</v>
      </c>
      <c r="G648" s="40" t="str">
        <f>TYPE</f>
        <v>A</v>
      </c>
      <c r="H648" s="153" t="s">
        <v>933</v>
      </c>
      <c r="I648" s="42" t="s">
        <v>155</v>
      </c>
      <c r="J648" s="43" t="s">
        <v>77</v>
      </c>
      <c r="K648" s="44">
        <v>3</v>
      </c>
      <c r="L648" s="49">
        <v>28630</v>
      </c>
      <c r="M648" s="49">
        <v>11750</v>
      </c>
      <c r="N648" s="49">
        <v>16880</v>
      </c>
      <c r="O648" s="49">
        <v>5.8761848341232232</v>
      </c>
      <c r="P648" s="49">
        <v>991.90000000000009</v>
      </c>
      <c r="Q648" s="49">
        <v>15888.099999999999</v>
      </c>
      <c r="R648" s="49">
        <v>2800.0000000000005</v>
      </c>
      <c r="S648" s="49">
        <v>44486680</v>
      </c>
      <c r="T648" s="49">
        <v>14.07</v>
      </c>
      <c r="U648" s="49">
        <v>2814.0700000000006</v>
      </c>
      <c r="V648" s="49">
        <v>44710225</v>
      </c>
      <c r="W648" s="49">
        <v>223551</v>
      </c>
      <c r="X648" s="49">
        <v>44486674</v>
      </c>
      <c r="Y648" s="530" t="str">
        <f>IFERROR(IF(FIND("/KM",KB[[#This Row],[SUPPLIER]])&gt;0,"LAUT"),"DARAT")</f>
        <v>DARAT</v>
      </c>
    </row>
    <row r="649" spans="2:25">
      <c r="B649" s="140" t="str">
        <f>IFERROR(LEFT(KB[[#This Row],[SUPPLIER]],FIND("/",KB[[#This Row],[SUPPLIER]])-1),KB[[#This Row],[SUPPLIER]])</f>
        <v>RUSLAN JAYA, SH</v>
      </c>
      <c r="C649" s="141" t="str">
        <f>TEXT(VLOOKUP(KB[[#This Row],[RELASI]],DBRELASI[[RELASI]:[DOCKB]],10,0)+COUNTIFS($B$2:B649,KB[[#This Row],[RELASI]],$D$2:D649,1),"000")</f>
        <v>050</v>
      </c>
      <c r="D649" s="141">
        <f>IF(COUNTIFS($B$3:B649,KB[[#This Row],[RELASI]],$F$3:F649,KB[[#This Row],[TANGGAL]])&lt;&gt;1,0,1)</f>
        <v>1</v>
      </c>
      <c r="E649" s="141" t="str">
        <f>TEXT(IF(KB[[#This Row],[DOC]]&lt;&gt;"",KB[[#This Row],[DOC]],E648),"000")</f>
        <v>050</v>
      </c>
      <c r="F649" s="40">
        <v>43916</v>
      </c>
      <c r="G649" s="40" t="str">
        <f>TYPE</f>
        <v>A</v>
      </c>
      <c r="H649" s="153" t="s">
        <v>913</v>
      </c>
      <c r="I649" s="42" t="s">
        <v>479</v>
      </c>
      <c r="J649" s="43" t="s">
        <v>475</v>
      </c>
      <c r="K649" s="44">
        <v>2</v>
      </c>
      <c r="L649" s="49">
        <v>25010</v>
      </c>
      <c r="M649" s="49">
        <v>9230</v>
      </c>
      <c r="N649" s="49">
        <v>15780</v>
      </c>
      <c r="O649" s="49">
        <v>5</v>
      </c>
      <c r="P649" s="49">
        <v>789</v>
      </c>
      <c r="Q649" s="49">
        <v>14991</v>
      </c>
      <c r="R649" s="49">
        <v>2800</v>
      </c>
      <c r="S649" s="49">
        <v>41974800</v>
      </c>
      <c r="T649" s="49">
        <v>14.07</v>
      </c>
      <c r="U649" s="49">
        <v>2814.07</v>
      </c>
      <c r="V649" s="49">
        <v>42185723</v>
      </c>
      <c r="W649" s="49">
        <v>210929</v>
      </c>
      <c r="X649" s="49">
        <v>41974794</v>
      </c>
      <c r="Y649" s="530" t="str">
        <f>IFERROR(IF(FIND("/KM",KB[[#This Row],[SUPPLIER]])&gt;0,"LAUT"),"DARAT")</f>
        <v>DARAT</v>
      </c>
    </row>
    <row r="650" spans="2:25">
      <c r="B650" s="140" t="str">
        <f>IFERROR(LEFT(KB[[#This Row],[SUPPLIER]],FIND("/",KB[[#This Row],[SUPPLIER]])-1),KB[[#This Row],[SUPPLIER]])</f>
        <v>YANADI</v>
      </c>
      <c r="C650" s="141" t="str">
        <f>TEXT(VLOOKUP(KB[[#This Row],[RELASI]],DBRELASI[[RELASI]:[DOCKB]],10,0)+COUNTIFS($B$2:B650,KB[[#This Row],[RELASI]],$D$2:D650,1),"000")</f>
        <v>051</v>
      </c>
      <c r="D650" s="141">
        <f>IF(COUNTIFS($B$3:B650,KB[[#This Row],[RELASI]],$F$3:F650,KB[[#This Row],[TANGGAL]])&lt;&gt;1,0,1)</f>
        <v>1</v>
      </c>
      <c r="E650" s="141" t="str">
        <f>TEXT(IF(KB[[#This Row],[DOC]]&lt;&gt;"",KB[[#This Row],[DOC]],E649),"000")</f>
        <v>051</v>
      </c>
      <c r="F650" s="40">
        <v>43916</v>
      </c>
      <c r="G650" s="40" t="str">
        <f>TYPE</f>
        <v>A</v>
      </c>
      <c r="H650" s="153" t="s">
        <v>914</v>
      </c>
      <c r="I650" s="42" t="s">
        <v>137</v>
      </c>
      <c r="J650" s="43" t="s">
        <v>74</v>
      </c>
      <c r="K650" s="44">
        <v>1</v>
      </c>
      <c r="L650" s="49">
        <v>4270</v>
      </c>
      <c r="M650" s="49">
        <v>1790</v>
      </c>
      <c r="N650" s="49">
        <v>2480</v>
      </c>
      <c r="O650" s="49">
        <v>5</v>
      </c>
      <c r="P650" s="49">
        <v>124</v>
      </c>
      <c r="Q650" s="49">
        <v>2356</v>
      </c>
      <c r="R650" s="49">
        <v>2800</v>
      </c>
      <c r="S650" s="49">
        <v>6596800</v>
      </c>
      <c r="T650" s="49">
        <v>14.07</v>
      </c>
      <c r="U650" s="49">
        <v>2814.07</v>
      </c>
      <c r="V650" s="49">
        <v>6629949</v>
      </c>
      <c r="W650" s="49">
        <v>33150</v>
      </c>
      <c r="X650" s="49">
        <v>6596799</v>
      </c>
      <c r="Y650" s="530" t="str">
        <f>IFERROR(IF(FIND("/KM",KB[[#This Row],[SUPPLIER]])&gt;0,"LAUT"),"DARAT")</f>
        <v>DARAT</v>
      </c>
    </row>
    <row r="651" spans="2:25">
      <c r="B651" s="140" t="str">
        <f>IFERROR(LEFT(KB[[#This Row],[SUPPLIER]],FIND("/",KB[[#This Row],[SUPPLIER]])-1),KB[[#This Row],[SUPPLIER]])</f>
        <v>HENDRI</v>
      </c>
      <c r="C651" s="141" t="str">
        <f>TEXT(VLOOKUP(KB[[#This Row],[RELASI]],DBRELASI[[RELASI]:[DOCKB]],10,0)+COUNTIFS($B$2:B651,KB[[#This Row],[RELASI]],$D$2:D651,1),"000")</f>
        <v>032</v>
      </c>
      <c r="D651" s="141">
        <f>IF(COUNTIFS($B$3:B651,KB[[#This Row],[RELASI]],$F$3:F651,KB[[#This Row],[TANGGAL]])&lt;&gt;1,0,1)</f>
        <v>1</v>
      </c>
      <c r="E651" s="141" t="str">
        <f>TEXT(IF(KB[[#This Row],[DOC]]&lt;&gt;"",KB[[#This Row],[DOC]],E650),"000")</f>
        <v>032</v>
      </c>
      <c r="F651" s="40">
        <v>43916</v>
      </c>
      <c r="G651" s="40" t="str">
        <f>TYPE</f>
        <v>A</v>
      </c>
      <c r="H651" s="153" t="s">
        <v>874</v>
      </c>
      <c r="I651" s="42" t="s">
        <v>929</v>
      </c>
      <c r="J651" s="43" t="s">
        <v>475</v>
      </c>
      <c r="K651" s="44">
        <v>1</v>
      </c>
      <c r="L651" s="49">
        <v>6780</v>
      </c>
      <c r="M651" s="49">
        <v>3870</v>
      </c>
      <c r="N651" s="49">
        <v>2910</v>
      </c>
      <c r="O651" s="49">
        <v>5.9999999999999991</v>
      </c>
      <c r="P651" s="49">
        <v>174.6</v>
      </c>
      <c r="Q651" s="49">
        <v>2735.4</v>
      </c>
      <c r="R651" s="49">
        <v>2850</v>
      </c>
      <c r="S651" s="49">
        <v>7795890</v>
      </c>
      <c r="T651" s="49">
        <v>14.32</v>
      </c>
      <c r="U651" s="49">
        <v>2864.32</v>
      </c>
      <c r="V651" s="49">
        <v>7835061</v>
      </c>
      <c r="W651" s="49">
        <v>39175</v>
      </c>
      <c r="X651" s="49">
        <v>7795886</v>
      </c>
      <c r="Y651" s="530" t="str">
        <f>IFERROR(IF(FIND("/KM",KB[[#This Row],[SUPPLIER]])&gt;0,"LAUT"),"DARAT")</f>
        <v>LAUT</v>
      </c>
    </row>
    <row r="652" spans="2:25">
      <c r="B652" s="140" t="str">
        <f>IFERROR(LEFT(KB[[#This Row],[SUPPLIER]],FIND("/",KB[[#This Row],[SUPPLIER]])-1),KB[[#This Row],[SUPPLIER]])</f>
        <v>WARTINI</v>
      </c>
      <c r="C652" s="141" t="str">
        <f>TEXT(VLOOKUP(KB[[#This Row],[RELASI]],DBRELASI[[RELASI]:[DOCKB]],10,0)+COUNTIFS($B$2:B652,KB[[#This Row],[RELASI]],$D$2:D652,1),"000")</f>
        <v>006</v>
      </c>
      <c r="D652" s="141">
        <f>IF(COUNTIFS($B$3:B652,KB[[#This Row],[RELASI]],$F$3:F652,KB[[#This Row],[TANGGAL]])&lt;&gt;1,0,1)</f>
        <v>1</v>
      </c>
      <c r="E652" s="141" t="str">
        <f>TEXT(IF(KB[[#This Row],[DOC]]&lt;&gt;"",KB[[#This Row],[DOC]],E651),"000")</f>
        <v>006</v>
      </c>
      <c r="F652" s="40">
        <v>43916</v>
      </c>
      <c r="G652" s="40" t="str">
        <f>TYPE</f>
        <v>A</v>
      </c>
      <c r="H652" s="154" t="s">
        <v>759</v>
      </c>
      <c r="I652" s="46" t="s">
        <v>930</v>
      </c>
      <c r="J652" s="47" t="s">
        <v>97</v>
      </c>
      <c r="K652" s="48">
        <v>10</v>
      </c>
      <c r="L652" s="49">
        <v>80690</v>
      </c>
      <c r="M652" s="49">
        <v>38750</v>
      </c>
      <c r="N652" s="49">
        <v>41940</v>
      </c>
      <c r="O652" s="49">
        <v>6.0000000000000009</v>
      </c>
      <c r="P652" s="49">
        <v>2516.4</v>
      </c>
      <c r="Q652" s="49">
        <v>39423.599999999999</v>
      </c>
      <c r="R652" s="49">
        <v>3200</v>
      </c>
      <c r="S652" s="49">
        <v>126155520</v>
      </c>
      <c r="T652" s="49">
        <v>16.079999999999998</v>
      </c>
      <c r="U652" s="49">
        <v>3216.08</v>
      </c>
      <c r="V652" s="49">
        <v>126789451</v>
      </c>
      <c r="W652" s="49">
        <v>633948</v>
      </c>
      <c r="X652" s="49">
        <v>126155503</v>
      </c>
      <c r="Y652" s="574" t="str">
        <f>IFERROR(IF(FIND("/KM",KB[[#This Row],[SUPPLIER]])&gt;0,"LAUT"),"DARAT")</f>
        <v>LAUT</v>
      </c>
    </row>
    <row r="653" spans="2:25">
      <c r="B653" s="140" t="str">
        <f>IFERROR(LEFT(KB[[#This Row],[SUPPLIER]],FIND("/",KB[[#This Row],[SUPPLIER]])-1),KB[[#This Row],[SUPPLIER]])</f>
        <v>RUSLAN JAYA, SH</v>
      </c>
      <c r="C653" s="141" t="str">
        <f>TEXT(VLOOKUP(KB[[#This Row],[RELASI]],DBRELASI[[RELASI]:[DOCKB]],10,0)+COUNTIFS($B$2:B653,KB[[#This Row],[RELASI]],$D$2:D653,1),"000")</f>
        <v>051</v>
      </c>
      <c r="D653" s="141">
        <f>IF(COUNTIFS($B$3:B653,KB[[#This Row],[RELASI]],$F$3:F653,KB[[#This Row],[TANGGAL]])&lt;&gt;1,0,1)</f>
        <v>1</v>
      </c>
      <c r="E653" s="141" t="str">
        <f>TEXT(IF(KB[[#This Row],[DOC]]&lt;&gt;"",KB[[#This Row],[DOC]],E652),"000")</f>
        <v>051</v>
      </c>
      <c r="F653" s="40">
        <v>43917</v>
      </c>
      <c r="G653" s="40" t="str">
        <f>TYPE</f>
        <v>A</v>
      </c>
      <c r="H653" s="153" t="s">
        <v>914</v>
      </c>
      <c r="I653" s="42" t="s">
        <v>479</v>
      </c>
      <c r="J653" s="43" t="s">
        <v>475</v>
      </c>
      <c r="K653" s="44">
        <v>1</v>
      </c>
      <c r="L653" s="49">
        <v>13090</v>
      </c>
      <c r="M653" s="49">
        <v>4420</v>
      </c>
      <c r="N653" s="49">
        <v>8670</v>
      </c>
      <c r="O653" s="49">
        <v>5</v>
      </c>
      <c r="P653" s="49">
        <v>433.5</v>
      </c>
      <c r="Q653" s="49">
        <v>8236.5</v>
      </c>
      <c r="R653" s="49">
        <v>2800</v>
      </c>
      <c r="S653" s="49">
        <v>23062200</v>
      </c>
      <c r="T653" s="49">
        <v>14.07</v>
      </c>
      <c r="U653" s="49">
        <v>2814.07</v>
      </c>
      <c r="V653" s="49">
        <v>23178088</v>
      </c>
      <c r="W653" s="49">
        <v>115890</v>
      </c>
      <c r="X653" s="49">
        <v>23062198</v>
      </c>
      <c r="Y653" s="530" t="str">
        <f>IFERROR(IF(FIND("/KM",KB[[#This Row],[SUPPLIER]])&gt;0,"LAUT"),"DARAT")</f>
        <v>DARAT</v>
      </c>
    </row>
    <row r="654" spans="2:25">
      <c r="B654" s="140" t="str">
        <f>IFERROR(LEFT(KB[[#This Row],[SUPPLIER]],FIND("/",KB[[#This Row],[SUPPLIER]])-1),KB[[#This Row],[SUPPLIER]])</f>
        <v>YANADI</v>
      </c>
      <c r="C654" s="141" t="str">
        <f>TEXT(VLOOKUP(KB[[#This Row],[RELASI]],DBRELASI[[RELASI]:[DOCKB]],10,0)+COUNTIFS($B$2:B654,KB[[#This Row],[RELASI]],$D$2:D654,1),"000")</f>
        <v>052</v>
      </c>
      <c r="D654" s="141">
        <f>IF(COUNTIFS($B$3:B654,KB[[#This Row],[RELASI]],$F$3:F654,KB[[#This Row],[TANGGAL]])&lt;&gt;1,0,1)</f>
        <v>1</v>
      </c>
      <c r="E654" s="141" t="str">
        <f>TEXT(IF(KB[[#This Row],[DOC]]&lt;&gt;"",KB[[#This Row],[DOC]],E653),"000")</f>
        <v>052</v>
      </c>
      <c r="F654" s="40">
        <v>43917</v>
      </c>
      <c r="G654" s="40" t="str">
        <f>TYPE</f>
        <v>A</v>
      </c>
      <c r="H654" s="153" t="s">
        <v>915</v>
      </c>
      <c r="I654" s="42" t="s">
        <v>137</v>
      </c>
      <c r="J654" s="43" t="s">
        <v>74</v>
      </c>
      <c r="K654" s="44">
        <v>2</v>
      </c>
      <c r="L654" s="49">
        <v>16720</v>
      </c>
      <c r="M654" s="49">
        <v>6170</v>
      </c>
      <c r="N654" s="49">
        <v>10550</v>
      </c>
      <c r="O654" s="49">
        <v>5</v>
      </c>
      <c r="P654" s="49">
        <v>527.5</v>
      </c>
      <c r="Q654" s="49">
        <v>10022.5</v>
      </c>
      <c r="R654" s="49">
        <v>2800</v>
      </c>
      <c r="S654" s="49">
        <v>28063000</v>
      </c>
      <c r="T654" s="49">
        <v>14.07</v>
      </c>
      <c r="U654" s="49">
        <v>2814.07</v>
      </c>
      <c r="V654" s="49">
        <v>28204016</v>
      </c>
      <c r="W654" s="49">
        <v>141020</v>
      </c>
      <c r="X654" s="49">
        <v>28062996</v>
      </c>
      <c r="Y654" s="530" t="str">
        <f>IFERROR(IF(FIND("/KM",KB[[#This Row],[SUPPLIER]])&gt;0,"LAUT"),"DARAT")</f>
        <v>DARAT</v>
      </c>
    </row>
    <row r="655" spans="2:25">
      <c r="B655" s="140" t="str">
        <f>IFERROR(LEFT(KB[[#This Row],[SUPPLIER]],FIND("/",KB[[#This Row],[SUPPLIER]])-1),KB[[#This Row],[SUPPLIER]])</f>
        <v>HENDRI</v>
      </c>
      <c r="C655" s="141" t="str">
        <f>TEXT(VLOOKUP(KB[[#This Row],[RELASI]],DBRELASI[[RELASI]:[DOCKB]],10,0)+COUNTIFS($B$2:B655,KB[[#This Row],[RELASI]],$D$2:D655,1),"000")</f>
        <v>033</v>
      </c>
      <c r="D655" s="141">
        <f>IF(COUNTIFS($B$3:B655,KB[[#This Row],[RELASI]],$F$3:F655,KB[[#This Row],[TANGGAL]])&lt;&gt;1,0,1)</f>
        <v>1</v>
      </c>
      <c r="E655" s="141" t="str">
        <f>TEXT(IF(KB[[#This Row],[DOC]]&lt;&gt;"",KB[[#This Row],[DOC]],E654),"000")</f>
        <v>033</v>
      </c>
      <c r="F655" s="40">
        <v>43917</v>
      </c>
      <c r="G655" s="40" t="str">
        <f>TYPE</f>
        <v>A</v>
      </c>
      <c r="H655" s="153" t="s">
        <v>880</v>
      </c>
      <c r="I655" s="42" t="s">
        <v>932</v>
      </c>
      <c r="J655" s="43" t="s">
        <v>475</v>
      </c>
      <c r="K655" s="44">
        <v>1</v>
      </c>
      <c r="L655" s="49">
        <v>5290</v>
      </c>
      <c r="M655" s="49">
        <v>3860</v>
      </c>
      <c r="N655" s="49">
        <v>1430</v>
      </c>
      <c r="O655" s="49">
        <v>5.9999999999999991</v>
      </c>
      <c r="P655" s="49">
        <v>85.8</v>
      </c>
      <c r="Q655" s="49">
        <v>1344.2</v>
      </c>
      <c r="R655" s="49">
        <v>2850</v>
      </c>
      <c r="S655" s="49">
        <v>3830970</v>
      </c>
      <c r="T655" s="49">
        <v>14.32</v>
      </c>
      <c r="U655" s="49">
        <v>2864.32</v>
      </c>
      <c r="V655" s="49">
        <v>3850219</v>
      </c>
      <c r="W655" s="49">
        <v>19251</v>
      </c>
      <c r="X655" s="49">
        <v>3830968</v>
      </c>
      <c r="Y655" s="530" t="str">
        <f>IFERROR(IF(FIND("/KM",KB[[#This Row],[SUPPLIER]])&gt;0,"LAUT"),"DARAT")</f>
        <v>LAUT</v>
      </c>
    </row>
    <row r="656" spans="2:25">
      <c r="B656" s="140" t="str">
        <f>IFERROR(LEFT(KB[[#This Row],[SUPPLIER]],FIND("/",KB[[#This Row],[SUPPLIER]])-1),KB[[#This Row],[SUPPLIER]])</f>
        <v>HENDRI</v>
      </c>
      <c r="C656" s="141" t="str">
        <f>TEXT(VLOOKUP(KB[[#This Row],[RELASI]],DBRELASI[[RELASI]:[DOCKB]],10,0)+COUNTIFS($B$2:B656,KB[[#This Row],[RELASI]],$D$2:D656,1),"000")</f>
        <v>033</v>
      </c>
      <c r="D656" s="141">
        <f>IF(COUNTIFS($B$3:B656,KB[[#This Row],[RELASI]],$F$3:F656,KB[[#This Row],[TANGGAL]])&lt;&gt;1,0,1)</f>
        <v>0</v>
      </c>
      <c r="E656" s="141" t="str">
        <f>TEXT(IF(KB[[#This Row],[DOC]]&lt;&gt;"",KB[[#This Row],[DOC]],E655),"000")</f>
        <v>033</v>
      </c>
      <c r="F656" s="40">
        <v>43917</v>
      </c>
      <c r="G656" s="40" t="str">
        <f>TYPE</f>
        <v>A</v>
      </c>
      <c r="I656" s="46" t="s">
        <v>934</v>
      </c>
      <c r="J656" s="47" t="s">
        <v>475</v>
      </c>
      <c r="K656" s="48">
        <v>1</v>
      </c>
      <c r="L656" s="49">
        <v>7630</v>
      </c>
      <c r="M656" s="49">
        <v>3870</v>
      </c>
      <c r="N656" s="49">
        <v>3760</v>
      </c>
      <c r="O656" s="49">
        <v>6</v>
      </c>
      <c r="P656" s="49">
        <v>225.6</v>
      </c>
      <c r="Q656" s="49">
        <v>3534.4</v>
      </c>
      <c r="R656" s="49">
        <v>2850</v>
      </c>
      <c r="S656" s="49">
        <v>10073040</v>
      </c>
      <c r="T656" s="49">
        <v>14.32</v>
      </c>
      <c r="U656" s="49">
        <v>2864.32</v>
      </c>
      <c r="V656" s="49">
        <v>10123653</v>
      </c>
      <c r="W656" s="49">
        <v>50618</v>
      </c>
      <c r="X656" s="49">
        <v>10073035</v>
      </c>
      <c r="Y656" s="574" t="str">
        <f>IFERROR(IF(FIND("/KM",KB[[#This Row],[SUPPLIER]])&gt;0,"LAUT"),"DARAT")</f>
        <v>LAUT</v>
      </c>
    </row>
    <row r="657" spans="2:25">
      <c r="B657" s="140" t="str">
        <f>IFERROR(LEFT(KB[[#This Row],[SUPPLIER]],FIND("/",KB[[#This Row],[SUPPLIER]])-1),KB[[#This Row],[SUPPLIER]])</f>
        <v>ERAWATI</v>
      </c>
      <c r="C657" s="141" t="str">
        <f>TEXT(VLOOKUP(KB[[#This Row],[RELASI]],DBRELASI[[RELASI]:[DOCKB]],10,0)+COUNTIFS($B$2:B657,KB[[#This Row],[RELASI]],$D$2:D657,1),"000")</f>
        <v>065</v>
      </c>
      <c r="D657" s="141">
        <f>IF(COUNTIFS($B$3:B657,KB[[#This Row],[RELASI]],$F$3:F657,KB[[#This Row],[TANGGAL]])&lt;&gt;1,0,1)</f>
        <v>1</v>
      </c>
      <c r="E657" s="141" t="str">
        <f>TEXT(IF(KB[[#This Row],[DOC]]&lt;&gt;"",KB[[#This Row],[DOC]],E656),"000")</f>
        <v>065</v>
      </c>
      <c r="F657" s="40">
        <v>43918</v>
      </c>
      <c r="G657" s="40" t="str">
        <f>TYPE</f>
        <v>A</v>
      </c>
      <c r="H657" s="153" t="s">
        <v>935</v>
      </c>
      <c r="I657" s="42" t="s">
        <v>155</v>
      </c>
      <c r="J657" s="43" t="s">
        <v>77</v>
      </c>
      <c r="K657" s="44">
        <v>1</v>
      </c>
      <c r="L657" s="49">
        <v>10150</v>
      </c>
      <c r="M657" s="49">
        <v>4450</v>
      </c>
      <c r="N657" s="49">
        <v>5700</v>
      </c>
      <c r="O657" s="49">
        <v>5</v>
      </c>
      <c r="P657" s="49">
        <v>285</v>
      </c>
      <c r="Q657" s="49">
        <v>5415</v>
      </c>
      <c r="R657" s="49">
        <v>2800</v>
      </c>
      <c r="S657" s="49">
        <v>15162000</v>
      </c>
      <c r="T657" s="49">
        <v>14.07</v>
      </c>
      <c r="U657" s="49">
        <v>2814.07</v>
      </c>
      <c r="V657" s="49">
        <v>15238189</v>
      </c>
      <c r="W657" s="49">
        <v>76191</v>
      </c>
      <c r="X657" s="49">
        <v>15161998</v>
      </c>
      <c r="Y657" s="530" t="str">
        <f>IFERROR(IF(FIND("/KM",KB[[#This Row],[SUPPLIER]])&gt;0,"LAUT"),"DARAT")</f>
        <v>DARAT</v>
      </c>
    </row>
    <row r="658" spans="2:25">
      <c r="B658" s="140" t="str">
        <f>IFERROR(LEFT(KB[[#This Row],[SUPPLIER]],FIND("/",KB[[#This Row],[SUPPLIER]])-1),KB[[#This Row],[SUPPLIER]])</f>
        <v>INDRAYANI</v>
      </c>
      <c r="C658" s="141" t="str">
        <f>TEXT(VLOOKUP(KB[[#This Row],[RELASI]],DBRELASI[[RELASI]:[DOCKB]],10,0)+COUNTIFS($B$2:B658,KB[[#This Row],[RELASI]],$D$2:D658,1),"000")</f>
        <v>054</v>
      </c>
      <c r="D658" s="141">
        <f>IF(COUNTIFS($B$3:B658,KB[[#This Row],[RELASI]],$F$3:F658,KB[[#This Row],[TANGGAL]])&lt;&gt;1,0,1)</f>
        <v>1</v>
      </c>
      <c r="E658" s="141" t="str">
        <f>TEXT(IF(KB[[#This Row],[DOC]]&lt;&gt;"",KB[[#This Row],[DOC]],E657),"000")</f>
        <v>054</v>
      </c>
      <c r="F658" s="40">
        <v>43918</v>
      </c>
      <c r="G658" s="40" t="str">
        <f>TYPE</f>
        <v>A</v>
      </c>
      <c r="H658" s="153" t="s">
        <v>919</v>
      </c>
      <c r="I658" s="42" t="s">
        <v>79</v>
      </c>
      <c r="J658" s="43" t="s">
        <v>77</v>
      </c>
      <c r="K658" s="44">
        <v>1</v>
      </c>
      <c r="L658" s="49">
        <v>7400</v>
      </c>
      <c r="M658" s="49">
        <v>4240</v>
      </c>
      <c r="N658" s="49">
        <v>3160</v>
      </c>
      <c r="O658" s="49">
        <v>5</v>
      </c>
      <c r="P658" s="49">
        <v>158</v>
      </c>
      <c r="Q658" s="49">
        <v>3002</v>
      </c>
      <c r="R658" s="49">
        <v>2900</v>
      </c>
      <c r="S658" s="49">
        <v>8705800</v>
      </c>
      <c r="T658" s="49">
        <v>14.57</v>
      </c>
      <c r="U658" s="49">
        <v>2914.57</v>
      </c>
      <c r="V658" s="49">
        <v>8749539</v>
      </c>
      <c r="W658" s="49">
        <v>43748</v>
      </c>
      <c r="X658" s="49">
        <v>8705791</v>
      </c>
      <c r="Y658" s="530" t="str">
        <f>IFERROR(IF(FIND("/KM",KB[[#This Row],[SUPPLIER]])&gt;0,"LAUT"),"DARAT")</f>
        <v>DARAT</v>
      </c>
    </row>
    <row r="659" spans="2:25">
      <c r="B659" s="140" t="str">
        <f>IFERROR(LEFT(KB[[#This Row],[SUPPLIER]],FIND("/",KB[[#This Row],[SUPPLIER]])-1),KB[[#This Row],[SUPPLIER]])</f>
        <v>RUSLAN JAYA, SH</v>
      </c>
      <c r="C659" s="141" t="str">
        <f>TEXT(VLOOKUP(KB[[#This Row],[RELASI]],DBRELASI[[RELASI]:[DOCKB]],10,0)+COUNTIFS($B$2:B659,KB[[#This Row],[RELASI]],$D$2:D659,1),"000")</f>
        <v>052</v>
      </c>
      <c r="D659" s="141">
        <f>IF(COUNTIFS($B$3:B659,KB[[#This Row],[RELASI]],$F$3:F659,KB[[#This Row],[TANGGAL]])&lt;&gt;1,0,1)</f>
        <v>1</v>
      </c>
      <c r="E659" s="141" t="str">
        <f>TEXT(IF(KB[[#This Row],[DOC]]&lt;&gt;"",KB[[#This Row],[DOC]],E658),"000")</f>
        <v>052</v>
      </c>
      <c r="F659" s="40">
        <v>43918</v>
      </c>
      <c r="G659" s="40" t="str">
        <f>TYPE</f>
        <v>A</v>
      </c>
      <c r="H659" s="153" t="s">
        <v>915</v>
      </c>
      <c r="I659" s="42" t="s">
        <v>479</v>
      </c>
      <c r="J659" s="43" t="s">
        <v>475</v>
      </c>
      <c r="K659" s="44">
        <v>1</v>
      </c>
      <c r="L659" s="49">
        <v>13270</v>
      </c>
      <c r="M659" s="49">
        <v>4820</v>
      </c>
      <c r="N659" s="49">
        <v>8450</v>
      </c>
      <c r="O659" s="49">
        <v>5</v>
      </c>
      <c r="P659" s="49">
        <v>422.5</v>
      </c>
      <c r="Q659" s="49">
        <v>8027.5</v>
      </c>
      <c r="R659" s="49">
        <v>2800</v>
      </c>
      <c r="S659" s="49">
        <v>22477000</v>
      </c>
      <c r="T659" s="49">
        <v>14.07</v>
      </c>
      <c r="U659" s="49">
        <v>2814.07</v>
      </c>
      <c r="V659" s="49">
        <v>22589947</v>
      </c>
      <c r="W659" s="49">
        <v>112950</v>
      </c>
      <c r="X659" s="49">
        <v>22476997</v>
      </c>
      <c r="Y659" s="530" t="str">
        <f>IFERROR(IF(FIND("/KM",KB[[#This Row],[SUPPLIER]])&gt;0,"LAUT"),"DARAT")</f>
        <v>DARAT</v>
      </c>
    </row>
    <row r="660" spans="2:25">
      <c r="B660" s="140" t="str">
        <f>IFERROR(LEFT(KB[[#This Row],[SUPPLIER]],FIND("/",KB[[#This Row],[SUPPLIER]])-1),KB[[#This Row],[SUPPLIER]])</f>
        <v>YANADI</v>
      </c>
      <c r="C660" s="141" t="str">
        <f>TEXT(VLOOKUP(KB[[#This Row],[RELASI]],DBRELASI[[RELASI]:[DOCKB]],10,0)+COUNTIFS($B$2:B660,KB[[#This Row],[RELASI]],$D$2:D660,1),"000")</f>
        <v>053</v>
      </c>
      <c r="D660" s="141">
        <f>IF(COUNTIFS($B$3:B660,KB[[#This Row],[RELASI]],$F$3:F660,KB[[#This Row],[TANGGAL]])&lt;&gt;1,0,1)</f>
        <v>1</v>
      </c>
      <c r="E660" s="141" t="str">
        <f>TEXT(IF(KB[[#This Row],[DOC]]&lt;&gt;"",KB[[#This Row],[DOC]],E659),"000")</f>
        <v>053</v>
      </c>
      <c r="F660" s="40">
        <v>43918</v>
      </c>
      <c r="G660" s="40" t="str">
        <f>TYPE</f>
        <v>A</v>
      </c>
      <c r="H660" s="153" t="s">
        <v>918</v>
      </c>
      <c r="I660" s="42" t="s">
        <v>137</v>
      </c>
      <c r="J660" s="43" t="s">
        <v>74</v>
      </c>
      <c r="K660" s="44">
        <v>3</v>
      </c>
      <c r="L660" s="49">
        <v>38250</v>
      </c>
      <c r="M660" s="49">
        <v>14740</v>
      </c>
      <c r="N660" s="49">
        <v>23510</v>
      </c>
      <c r="O660" s="49">
        <v>5</v>
      </c>
      <c r="P660" s="49">
        <v>1175.5</v>
      </c>
      <c r="Q660" s="49">
        <v>22334.5</v>
      </c>
      <c r="R660" s="49">
        <v>2800</v>
      </c>
      <c r="S660" s="49">
        <v>62536600</v>
      </c>
      <c r="T660" s="49">
        <v>14.07</v>
      </c>
      <c r="U660" s="49">
        <v>2814.07</v>
      </c>
      <c r="V660" s="49">
        <v>62850847</v>
      </c>
      <c r="W660" s="49">
        <v>314254</v>
      </c>
      <c r="X660" s="49">
        <v>62536593</v>
      </c>
      <c r="Y660" s="530" t="str">
        <f>IFERROR(IF(FIND("/KM",KB[[#This Row],[SUPPLIER]])&gt;0,"LAUT"),"DARAT")</f>
        <v>DARAT</v>
      </c>
    </row>
    <row r="661" spans="2:25">
      <c r="B661" s="140" t="str">
        <f>IFERROR(LEFT(KB[[#This Row],[SUPPLIER]],FIND("/",KB[[#This Row],[SUPPLIER]])-1),KB[[#This Row],[SUPPLIER]])</f>
        <v>HENDRI</v>
      </c>
      <c r="C661" s="141" t="str">
        <f>TEXT(VLOOKUP(KB[[#This Row],[RELASI]],DBRELASI[[RELASI]:[DOCKB]],10,0)+COUNTIFS($B$2:B661,KB[[#This Row],[RELASI]],$D$2:D661,1),"000")</f>
        <v>034</v>
      </c>
      <c r="D661" s="141">
        <f>IF(COUNTIFS($B$3:B661,KB[[#This Row],[RELASI]],$F$3:F661,KB[[#This Row],[TANGGAL]])&lt;&gt;1,0,1)</f>
        <v>1</v>
      </c>
      <c r="E661" s="141" t="str">
        <f>TEXT(IF(KB[[#This Row],[DOC]]&lt;&gt;"",KB[[#This Row],[DOC]],E660),"000")</f>
        <v>034</v>
      </c>
      <c r="F661" s="40">
        <v>43918</v>
      </c>
      <c r="G661" s="40" t="str">
        <f>TYPE</f>
        <v>A</v>
      </c>
      <c r="H661" s="154" t="s">
        <v>885</v>
      </c>
      <c r="I661" s="46" t="s">
        <v>936</v>
      </c>
      <c r="J661" s="47" t="s">
        <v>475</v>
      </c>
      <c r="K661" s="48">
        <v>1</v>
      </c>
      <c r="L661" s="49">
        <v>7800</v>
      </c>
      <c r="M661" s="49">
        <v>3860</v>
      </c>
      <c r="N661" s="49">
        <v>3940</v>
      </c>
      <c r="O661" s="49">
        <v>6</v>
      </c>
      <c r="P661" s="49">
        <v>236.39999999999998</v>
      </c>
      <c r="Q661" s="49">
        <v>3703.6</v>
      </c>
      <c r="R661" s="49">
        <v>2850</v>
      </c>
      <c r="S661" s="49">
        <v>10555260</v>
      </c>
      <c r="T661" s="49">
        <v>14.32</v>
      </c>
      <c r="U661" s="49">
        <v>2864.32</v>
      </c>
      <c r="V661" s="49">
        <v>10608296</v>
      </c>
      <c r="W661" s="49">
        <v>53041</v>
      </c>
      <c r="X661" s="49">
        <v>10555255</v>
      </c>
      <c r="Y661" s="574" t="str">
        <f>IFERROR(IF(FIND("/KM",KB[[#This Row],[SUPPLIER]])&gt;0,"LAUT"),"DARAT")</f>
        <v>LAUT</v>
      </c>
    </row>
    <row r="662" spans="2:25">
      <c r="B662" s="1048" t="str">
        <f>IFERROR(LEFT(KB[[#This Row],[SUPPLIER]],FIND("/",KB[[#This Row],[SUPPLIER]])-1),KB[[#This Row],[SUPPLIER]])</f>
        <v>ERAWATI</v>
      </c>
      <c r="C662" s="1049" t="str">
        <f>TEXT(VLOOKUP(KB[[#This Row],[RELASI]],DBRELASI[[RELASI]:[DOCKB]],10,0)+COUNTIFS($B$2:B662,KB[[#This Row],[RELASI]],$D$2:D662,1),"000")</f>
        <v>066</v>
      </c>
      <c r="D662" s="1049">
        <f>IF(COUNTIFS($B$3:B662,KB[[#This Row],[RELASI]],$F$3:F662,KB[[#This Row],[TANGGAL]])&lt;&gt;1,0,1)</f>
        <v>1</v>
      </c>
      <c r="E662" s="1049" t="str">
        <f>TEXT(IF(KB[[#This Row],[DOC]]&lt;&gt;"",KB[[#This Row],[DOC]],E661),"000")</f>
        <v>066</v>
      </c>
      <c r="F662" s="1050">
        <v>43920</v>
      </c>
      <c r="G662" s="1050" t="str">
        <f>TYPE</f>
        <v>A</v>
      </c>
      <c r="H662" s="1051" t="s">
        <v>938</v>
      </c>
      <c r="I662" s="1052" t="s">
        <v>155</v>
      </c>
      <c r="J662" s="1053" t="s">
        <v>77</v>
      </c>
      <c r="K662" s="1054">
        <v>4</v>
      </c>
      <c r="L662" s="1055">
        <v>48840</v>
      </c>
      <c r="M662" s="1055">
        <v>19110</v>
      </c>
      <c r="N662" s="1055">
        <v>29730</v>
      </c>
      <c r="O662" s="1055">
        <v>5.2455432223343426</v>
      </c>
      <c r="P662" s="1055">
        <v>1559.5</v>
      </c>
      <c r="Q662" s="1055">
        <v>28170.5</v>
      </c>
      <c r="R662" s="1055">
        <v>2800</v>
      </c>
      <c r="S662" s="1055">
        <v>78877400</v>
      </c>
      <c r="T662" s="1055">
        <v>14.07</v>
      </c>
      <c r="U662" s="1055">
        <v>2814.07</v>
      </c>
      <c r="V662" s="1055">
        <v>79273759</v>
      </c>
      <c r="W662" s="1055">
        <v>396368</v>
      </c>
      <c r="X662" s="1055">
        <v>78877391</v>
      </c>
      <c r="Y662" s="1056" t="str">
        <f>IFERROR(IF(FIND("/KM",KB[[#This Row],[SUPPLIER]])&gt;0,"LAUT"),"DARAT")</f>
        <v>DARAT</v>
      </c>
    </row>
    <row r="663" spans="2:25">
      <c r="B663" s="1048" t="str">
        <f>IFERROR(LEFT(KB[[#This Row],[SUPPLIER]],FIND("/",KB[[#This Row],[SUPPLIER]])-1),KB[[#This Row],[SUPPLIER]])</f>
        <v>INDRAYANI</v>
      </c>
      <c r="C663" s="1049" t="str">
        <f>TEXT(VLOOKUP(KB[[#This Row],[RELASI]],DBRELASI[[RELASI]:[DOCKB]],10,0)+COUNTIFS($B$2:B663,KB[[#This Row],[RELASI]],$D$2:D663,1),"000")</f>
        <v>055</v>
      </c>
      <c r="D663" s="1049">
        <f>IF(COUNTIFS($B$3:B663,KB[[#This Row],[RELASI]],$F$3:F663,KB[[#This Row],[TANGGAL]])&lt;&gt;1,0,1)</f>
        <v>1</v>
      </c>
      <c r="E663" s="1049" t="str">
        <f>TEXT(IF(KB[[#This Row],[DOC]]&lt;&gt;"",KB[[#This Row],[DOC]],E662),"000")</f>
        <v>055</v>
      </c>
      <c r="F663" s="1050">
        <v>43920</v>
      </c>
      <c r="G663" s="1050" t="str">
        <f>TYPE</f>
        <v>A</v>
      </c>
      <c r="H663" s="1051" t="s">
        <v>920</v>
      </c>
      <c r="I663" s="1052" t="s">
        <v>79</v>
      </c>
      <c r="J663" s="1053" t="s">
        <v>77</v>
      </c>
      <c r="K663" s="1054">
        <v>1</v>
      </c>
      <c r="L663" s="1055">
        <v>11820</v>
      </c>
      <c r="M663" s="1055">
        <v>4610</v>
      </c>
      <c r="N663" s="1055">
        <v>7210</v>
      </c>
      <c r="O663" s="1055">
        <v>5</v>
      </c>
      <c r="P663" s="1055">
        <v>360.5</v>
      </c>
      <c r="Q663" s="1055">
        <v>6849.5</v>
      </c>
      <c r="R663" s="1055">
        <v>2900</v>
      </c>
      <c r="S663" s="1055">
        <v>19863550</v>
      </c>
      <c r="T663" s="1055">
        <v>14.57</v>
      </c>
      <c r="U663" s="1055">
        <v>2914.57</v>
      </c>
      <c r="V663" s="1055">
        <v>19963347</v>
      </c>
      <c r="W663" s="1055">
        <v>99817</v>
      </c>
      <c r="X663" s="1055">
        <v>19863530</v>
      </c>
      <c r="Y663" s="1056" t="str">
        <f>IFERROR(IF(FIND("/KM",KB[[#This Row],[SUPPLIER]])&gt;0,"LAUT"),"DARAT")</f>
        <v>DARAT</v>
      </c>
    </row>
    <row r="664" spans="2:25">
      <c r="B664" s="1048" t="str">
        <f>IFERROR(LEFT(KB[[#This Row],[SUPPLIER]],FIND("/",KB[[#This Row],[SUPPLIER]])-1),KB[[#This Row],[SUPPLIER]])</f>
        <v>RUSLAN JAYA, SH</v>
      </c>
      <c r="C664" s="1049" t="str">
        <f>TEXT(VLOOKUP(KB[[#This Row],[RELASI]],DBRELASI[[RELASI]:[DOCKB]],10,0)+COUNTIFS($B$2:B664,KB[[#This Row],[RELASI]],$D$2:D664,1),"000")</f>
        <v>053</v>
      </c>
      <c r="D664" s="1049">
        <f>IF(COUNTIFS($B$3:B664,KB[[#This Row],[RELASI]],$F$3:F664,KB[[#This Row],[TANGGAL]])&lt;&gt;1,0,1)</f>
        <v>1</v>
      </c>
      <c r="E664" s="1049" t="str">
        <f>TEXT(IF(KB[[#This Row],[DOC]]&lt;&gt;"",KB[[#This Row],[DOC]],E663),"000")</f>
        <v>053</v>
      </c>
      <c r="F664" s="1050">
        <v>43920</v>
      </c>
      <c r="G664" s="1050" t="str">
        <f>TYPE</f>
        <v>A</v>
      </c>
      <c r="H664" s="1051" t="s">
        <v>918</v>
      </c>
      <c r="I664" s="1052" t="s">
        <v>479</v>
      </c>
      <c r="J664" s="1053" t="s">
        <v>475</v>
      </c>
      <c r="K664" s="1054">
        <v>3</v>
      </c>
      <c r="L664" s="1055">
        <v>36700</v>
      </c>
      <c r="M664" s="1055">
        <v>20000</v>
      </c>
      <c r="N664" s="1055">
        <v>16700</v>
      </c>
      <c r="O664" s="1055">
        <v>5</v>
      </c>
      <c r="P664" s="1055">
        <v>835</v>
      </c>
      <c r="Q664" s="1055">
        <v>15865</v>
      </c>
      <c r="R664" s="1055">
        <v>2800</v>
      </c>
      <c r="S664" s="1055">
        <v>44422000</v>
      </c>
      <c r="T664" s="1055">
        <v>14.07</v>
      </c>
      <c r="U664" s="1055">
        <v>2814.07</v>
      </c>
      <c r="V664" s="1055">
        <v>44645221</v>
      </c>
      <c r="W664" s="1055">
        <v>223226</v>
      </c>
      <c r="X664" s="1055">
        <v>44421995</v>
      </c>
      <c r="Y664" s="1056" t="str">
        <f>IFERROR(IF(FIND("/KM",KB[[#This Row],[SUPPLIER]])&gt;0,"LAUT"),"DARAT")</f>
        <v>DARAT</v>
      </c>
    </row>
    <row r="665" spans="2:25">
      <c r="B665" s="1048" t="str">
        <f>IFERROR(LEFT(KB[[#This Row],[SUPPLIER]],FIND("/",KB[[#This Row],[SUPPLIER]])-1),KB[[#This Row],[SUPPLIER]])</f>
        <v>SAIRI</v>
      </c>
      <c r="C665" s="1049" t="str">
        <f>TEXT(VLOOKUP(KB[[#This Row],[RELASI]],DBRELASI[[RELASI]:[DOCKB]],10,0)+COUNTIFS($B$2:B665,KB[[#This Row],[RELASI]],$D$2:D665,1),"000")</f>
        <v>029</v>
      </c>
      <c r="D665" s="1049">
        <f>IF(COUNTIFS($B$3:B665,KB[[#This Row],[RELASI]],$F$3:F665,KB[[#This Row],[TANGGAL]])&lt;&gt;1,0,1)</f>
        <v>1</v>
      </c>
      <c r="E665" s="1049" t="str">
        <f>TEXT(IF(KB[[#This Row],[DOC]]&lt;&gt;"",KB[[#This Row],[DOC]],E664),"000")</f>
        <v>029</v>
      </c>
      <c r="F665" s="1050">
        <v>43920</v>
      </c>
      <c r="G665" s="1050" t="str">
        <f>TYPE</f>
        <v>A</v>
      </c>
      <c r="H665" s="1051" t="s">
        <v>857</v>
      </c>
      <c r="I665" s="1052" t="s">
        <v>84</v>
      </c>
      <c r="J665" s="1053" t="s">
        <v>85</v>
      </c>
      <c r="K665" s="1054">
        <v>1</v>
      </c>
      <c r="L665" s="1055">
        <v>4780</v>
      </c>
      <c r="M665" s="1055">
        <v>1650</v>
      </c>
      <c r="N665" s="1055">
        <v>3130</v>
      </c>
      <c r="O665" s="1055">
        <v>5</v>
      </c>
      <c r="P665" s="1055">
        <v>156.5</v>
      </c>
      <c r="Q665" s="1055">
        <v>2973.5</v>
      </c>
      <c r="R665" s="1055">
        <v>2850</v>
      </c>
      <c r="S665" s="1055">
        <v>8474475</v>
      </c>
      <c r="T665" s="1055">
        <v>14.32</v>
      </c>
      <c r="U665" s="1055">
        <v>2864.32</v>
      </c>
      <c r="V665" s="1055">
        <v>8517056</v>
      </c>
      <c r="W665" s="1055">
        <v>42585</v>
      </c>
      <c r="X665" s="1055">
        <v>8474471</v>
      </c>
      <c r="Y665" s="1056" t="str">
        <f>IFERROR(IF(FIND("/KM",KB[[#This Row],[SUPPLIER]])&gt;0,"LAUT"),"DARAT")</f>
        <v>DARAT</v>
      </c>
    </row>
    <row r="666" spans="2:25">
      <c r="B666" s="1048" t="str">
        <f>IFERROR(LEFT(KB[[#This Row],[SUPPLIER]],FIND("/",KB[[#This Row],[SUPPLIER]])-1),KB[[#This Row],[SUPPLIER]])</f>
        <v>YANADI</v>
      </c>
      <c r="C666" s="1049" t="str">
        <f>TEXT(VLOOKUP(KB[[#This Row],[RELASI]],DBRELASI[[RELASI]:[DOCKB]],10,0)+COUNTIFS($B$2:B666,KB[[#This Row],[RELASI]],$D$2:D666,1),"000")</f>
        <v>054</v>
      </c>
      <c r="D666" s="1049">
        <f>IF(COUNTIFS($B$3:B666,KB[[#This Row],[RELASI]],$F$3:F666,KB[[#This Row],[TANGGAL]])&lt;&gt;1,0,1)</f>
        <v>1</v>
      </c>
      <c r="E666" s="1049" t="str">
        <f>TEXT(IF(KB[[#This Row],[DOC]]&lt;&gt;"",KB[[#This Row],[DOC]],E665),"000")</f>
        <v>054</v>
      </c>
      <c r="F666" s="1050">
        <v>43920</v>
      </c>
      <c r="G666" s="1050" t="str">
        <f>TYPE</f>
        <v>A</v>
      </c>
      <c r="H666" s="1051" t="s">
        <v>919</v>
      </c>
      <c r="I666" s="1052" t="s">
        <v>137</v>
      </c>
      <c r="J666" s="1053" t="s">
        <v>74</v>
      </c>
      <c r="K666" s="1054">
        <v>3</v>
      </c>
      <c r="L666" s="1055">
        <v>20300</v>
      </c>
      <c r="M666" s="1055">
        <v>8830</v>
      </c>
      <c r="N666" s="1055">
        <v>11470</v>
      </c>
      <c r="O666" s="1055">
        <v>5</v>
      </c>
      <c r="P666" s="1055">
        <v>573.5</v>
      </c>
      <c r="Q666" s="1055">
        <v>10896.5</v>
      </c>
      <c r="R666" s="1055">
        <v>2800</v>
      </c>
      <c r="S666" s="1055">
        <v>30510200</v>
      </c>
      <c r="T666" s="1055">
        <v>14.07</v>
      </c>
      <c r="U666" s="1055">
        <v>2814.07</v>
      </c>
      <c r="V666" s="1055">
        <v>30663514</v>
      </c>
      <c r="W666" s="1055">
        <v>153317</v>
      </c>
      <c r="X666" s="1055">
        <v>30510197</v>
      </c>
      <c r="Y666" s="1056" t="str">
        <f>IFERROR(IF(FIND("/KM",KB[[#This Row],[SUPPLIER]])&gt;0,"LAUT"),"DARAT")</f>
        <v>DARAT</v>
      </c>
    </row>
    <row r="667" spans="2:25">
      <c r="B667" s="1048" t="str">
        <f>IFERROR(LEFT(KB[[#This Row],[SUPPLIER]],FIND("/",KB[[#This Row],[SUPPLIER]])-1),KB[[#This Row],[SUPPLIER]])</f>
        <v>DINI CHAIRANI</v>
      </c>
      <c r="C667" s="1049" t="str">
        <f>TEXT(VLOOKUP(KB[[#This Row],[RELASI]],DBRELASI[[RELASI]:[DOCKB]],10,0)+COUNTIFS($B$2:B667,KB[[#This Row],[RELASI]],$D$2:D667,1),"000")</f>
        <v>042</v>
      </c>
      <c r="D667" s="1049">
        <f>IF(COUNTIFS($B$3:B667,KB[[#This Row],[RELASI]],$F$3:F667,KB[[#This Row],[TANGGAL]])&lt;&gt;1,0,1)</f>
        <v>1</v>
      </c>
      <c r="E667" s="1049" t="str">
        <f>TEXT(IF(KB[[#This Row],[DOC]]&lt;&gt;"",KB[[#This Row],[DOC]],E666),"000")</f>
        <v>042</v>
      </c>
      <c r="F667" s="1050">
        <v>43920</v>
      </c>
      <c r="G667" s="1050" t="str">
        <f>TYPE</f>
        <v>A</v>
      </c>
      <c r="H667" s="1051" t="s">
        <v>898</v>
      </c>
      <c r="I667" s="1052" t="s">
        <v>516</v>
      </c>
      <c r="J667" s="1053" t="s">
        <v>95</v>
      </c>
      <c r="K667" s="1054">
        <v>2</v>
      </c>
      <c r="L667" s="1055">
        <v>14260</v>
      </c>
      <c r="M667" s="1055">
        <v>7880</v>
      </c>
      <c r="N667" s="1055">
        <v>6380</v>
      </c>
      <c r="O667" s="1055">
        <v>5.9999999999999991</v>
      </c>
      <c r="P667" s="1055">
        <v>382.79999999999995</v>
      </c>
      <c r="Q667" s="1055">
        <v>5997.2000000000007</v>
      </c>
      <c r="R667" s="1055">
        <v>2849.9999999999995</v>
      </c>
      <c r="S667" s="1055">
        <v>17092020</v>
      </c>
      <c r="T667" s="1055">
        <v>14.32</v>
      </c>
      <c r="U667" s="1055">
        <v>2864.3199999999997</v>
      </c>
      <c r="V667" s="1055">
        <v>17177900</v>
      </c>
      <c r="W667" s="1055">
        <v>85890</v>
      </c>
      <c r="X667" s="1055">
        <v>17092010</v>
      </c>
      <c r="Y667" s="1056" t="str">
        <f>IFERROR(IF(FIND("/KM",KB[[#This Row],[SUPPLIER]])&gt;0,"LAUT"),"DARAT")</f>
        <v>LAUT</v>
      </c>
    </row>
    <row r="668" spans="2:25">
      <c r="B668" s="1048" t="str">
        <f>IFERROR(LEFT(KB[[#This Row],[SUPPLIER]],FIND("/",KB[[#This Row],[SUPPLIER]])-1),KB[[#This Row],[SUPPLIER]])</f>
        <v>DINI CHAIRANI</v>
      </c>
      <c r="C668" s="1049" t="str">
        <f>TEXT(VLOOKUP(KB[[#This Row],[RELASI]],DBRELASI[[RELASI]:[DOCKB]],10,0)+COUNTIFS($B$2:B668,KB[[#This Row],[RELASI]],$D$2:D668,1),"000")</f>
        <v>042</v>
      </c>
      <c r="D668" s="1049">
        <f>IF(COUNTIFS($B$3:B668,KB[[#This Row],[RELASI]],$F$3:F668,KB[[#This Row],[TANGGAL]])&lt;&gt;1,0,1)</f>
        <v>0</v>
      </c>
      <c r="E668" s="1049" t="str">
        <f>TEXT(IF(KB[[#This Row],[DOC]]&lt;&gt;"",KB[[#This Row],[DOC]],E667),"000")</f>
        <v>042</v>
      </c>
      <c r="F668" s="1050">
        <v>43920</v>
      </c>
      <c r="G668" s="1050" t="str">
        <f>TYPE</f>
        <v>A</v>
      </c>
      <c r="H668" s="1051"/>
      <c r="I668" s="1052" t="s">
        <v>820</v>
      </c>
      <c r="J668" s="1053" t="s">
        <v>95</v>
      </c>
      <c r="K668" s="1054">
        <v>2</v>
      </c>
      <c r="L668" s="1055">
        <v>15270</v>
      </c>
      <c r="M668" s="1055">
        <v>7960</v>
      </c>
      <c r="N668" s="1055">
        <v>7310</v>
      </c>
      <c r="O668" s="1055">
        <v>6</v>
      </c>
      <c r="P668" s="1055">
        <v>438.59999999999997</v>
      </c>
      <c r="Q668" s="1055">
        <v>6871.4</v>
      </c>
      <c r="R668" s="1055">
        <v>2850</v>
      </c>
      <c r="S668" s="1055">
        <v>19583490</v>
      </c>
      <c r="T668" s="1055">
        <v>14.32</v>
      </c>
      <c r="U668" s="1055">
        <v>2864.32</v>
      </c>
      <c r="V668" s="1055">
        <v>19681888</v>
      </c>
      <c r="W668" s="1055">
        <v>98410</v>
      </c>
      <c r="X668" s="1055">
        <v>19583478</v>
      </c>
      <c r="Y668" s="1056" t="str">
        <f>IFERROR(IF(FIND("/KM",KB[[#This Row],[SUPPLIER]])&gt;0,"LAUT"),"DARAT")</f>
        <v>LAUT</v>
      </c>
    </row>
    <row r="669" spans="2:25">
      <c r="B669" s="1048" t="str">
        <f>IFERROR(LEFT(KB[[#This Row],[SUPPLIER]],FIND("/",KB[[#This Row],[SUPPLIER]])-1),KB[[#This Row],[SUPPLIER]])</f>
        <v>HENDRI</v>
      </c>
      <c r="C669" s="1049" t="str">
        <f>TEXT(VLOOKUP(KB[[#This Row],[RELASI]],DBRELASI[[RELASI]:[DOCKB]],10,0)+COUNTIFS($B$2:B669,KB[[#This Row],[RELASI]],$D$2:D669,1),"000")</f>
        <v>035</v>
      </c>
      <c r="D669" s="1049">
        <f>IF(COUNTIFS($B$3:B669,KB[[#This Row],[RELASI]],$F$3:F669,KB[[#This Row],[TANGGAL]])&lt;&gt;1,0,1)</f>
        <v>1</v>
      </c>
      <c r="E669" s="1049" t="str">
        <f>TEXT(IF(KB[[#This Row],[DOC]]&lt;&gt;"",KB[[#This Row],[DOC]],E668),"000")</f>
        <v>035</v>
      </c>
      <c r="F669" s="1050">
        <v>43920</v>
      </c>
      <c r="G669" s="1050" t="str">
        <f>TYPE</f>
        <v>A</v>
      </c>
      <c r="H669" s="1051" t="s">
        <v>887</v>
      </c>
      <c r="I669" s="1052" t="s">
        <v>939</v>
      </c>
      <c r="J669" s="1053" t="s">
        <v>475</v>
      </c>
      <c r="K669" s="1054">
        <v>1</v>
      </c>
      <c r="L669" s="1055">
        <v>7280</v>
      </c>
      <c r="M669" s="1055">
        <v>3940</v>
      </c>
      <c r="N669" s="1055">
        <v>3340</v>
      </c>
      <c r="O669" s="1055">
        <v>6</v>
      </c>
      <c r="P669" s="1055">
        <v>200.4</v>
      </c>
      <c r="Q669" s="1055">
        <v>3139.6</v>
      </c>
      <c r="R669" s="1055">
        <v>2850</v>
      </c>
      <c r="S669" s="1055">
        <v>8947860</v>
      </c>
      <c r="T669" s="1055">
        <v>14.32</v>
      </c>
      <c r="U669" s="1055">
        <v>2864.32</v>
      </c>
      <c r="V669" s="1055">
        <v>8992819</v>
      </c>
      <c r="W669" s="1055">
        <v>44964</v>
      </c>
      <c r="X669" s="1055">
        <v>8947855</v>
      </c>
      <c r="Y669" s="1056" t="str">
        <f>IFERROR(IF(FIND("/KM",KB[[#This Row],[SUPPLIER]])&gt;0,"LAUT"),"DARAT")</f>
        <v>LAUT</v>
      </c>
    </row>
    <row r="670" spans="2:25">
      <c r="B670" s="1048" t="str">
        <f>IFERROR(LEFT(KB[[#This Row],[SUPPLIER]],FIND("/",KB[[#This Row],[SUPPLIER]])-1),KB[[#This Row],[SUPPLIER]])</f>
        <v>HENDRI</v>
      </c>
      <c r="C670" s="1049" t="str">
        <f>TEXT(VLOOKUP(KB[[#This Row],[RELASI]],DBRELASI[[RELASI]:[DOCKB]],10,0)+COUNTIFS($B$2:B670,KB[[#This Row],[RELASI]],$D$2:D670,1),"000")</f>
        <v>035</v>
      </c>
      <c r="D670" s="1049">
        <f>IF(COUNTIFS($B$3:B670,KB[[#This Row],[RELASI]],$F$3:F670,KB[[#This Row],[TANGGAL]])&lt;&gt;1,0,1)</f>
        <v>0</v>
      </c>
      <c r="E670" s="1049" t="str">
        <f>TEXT(IF(KB[[#This Row],[DOC]]&lt;&gt;"",KB[[#This Row],[DOC]],E669),"000")</f>
        <v>035</v>
      </c>
      <c r="F670" s="1050">
        <v>43920</v>
      </c>
      <c r="G670" s="1050" t="str">
        <f>TYPE</f>
        <v>A</v>
      </c>
      <c r="H670" s="1051"/>
      <c r="I670" s="1052" t="s">
        <v>507</v>
      </c>
      <c r="J670" s="1053" t="s">
        <v>475</v>
      </c>
      <c r="K670" s="1054">
        <v>1</v>
      </c>
      <c r="L670" s="1055">
        <v>7050</v>
      </c>
      <c r="M670" s="1055">
        <v>3890</v>
      </c>
      <c r="N670" s="1055">
        <v>3160</v>
      </c>
      <c r="O670" s="1055">
        <v>5.9999999999999991</v>
      </c>
      <c r="P670" s="1055">
        <v>189.6</v>
      </c>
      <c r="Q670" s="1055">
        <v>2970.4</v>
      </c>
      <c r="R670" s="1055">
        <v>2850</v>
      </c>
      <c r="S670" s="1055">
        <v>8465640</v>
      </c>
      <c r="T670" s="1055">
        <v>14.32</v>
      </c>
      <c r="U670" s="1055">
        <v>2864.32</v>
      </c>
      <c r="V670" s="1055">
        <v>8508176</v>
      </c>
      <c r="W670" s="1055">
        <v>42541</v>
      </c>
      <c r="X670" s="1055">
        <v>8465635</v>
      </c>
      <c r="Y670" s="1056" t="str">
        <f>IFERROR(IF(FIND("/KM",KB[[#This Row],[SUPPLIER]])&gt;0,"LAUT"),"DARAT")</f>
        <v>LAUT</v>
      </c>
    </row>
    <row r="671" spans="2:25">
      <c r="B671" s="1048" t="str">
        <f>IFERROR(LEFT(KB[[#This Row],[SUPPLIER]],FIND("/",KB[[#This Row],[SUPPLIER]])-1),KB[[#This Row],[SUPPLIER]])</f>
        <v>HENDRI</v>
      </c>
      <c r="C671" s="1049" t="str">
        <f>TEXT(VLOOKUP(KB[[#This Row],[RELASI]],DBRELASI[[RELASI]:[DOCKB]],10,0)+COUNTIFS($B$2:B671,KB[[#This Row],[RELASI]],$D$2:D671,1),"000")</f>
        <v>035</v>
      </c>
      <c r="D671" s="1049">
        <f>IF(COUNTIFS($B$3:B671,KB[[#This Row],[RELASI]],$F$3:F671,KB[[#This Row],[TANGGAL]])&lt;&gt;1,0,1)</f>
        <v>0</v>
      </c>
      <c r="E671" s="1049" t="str">
        <f>TEXT(IF(KB[[#This Row],[DOC]]&lt;&gt;"",KB[[#This Row],[DOC]],E670),"000")</f>
        <v>035</v>
      </c>
      <c r="F671" s="1050">
        <v>43920</v>
      </c>
      <c r="G671" s="1050" t="str">
        <f>TYPE</f>
        <v>A</v>
      </c>
      <c r="H671" s="1057"/>
      <c r="I671" s="1058" t="s">
        <v>774</v>
      </c>
      <c r="J671" s="1059" t="s">
        <v>475</v>
      </c>
      <c r="K671" s="1060">
        <v>2</v>
      </c>
      <c r="L671" s="1055">
        <v>16570</v>
      </c>
      <c r="M671" s="1055">
        <v>7780</v>
      </c>
      <c r="N671" s="1055">
        <v>8790</v>
      </c>
      <c r="O671" s="1055">
        <v>5.9999999999999991</v>
      </c>
      <c r="P671" s="1055">
        <v>527.4</v>
      </c>
      <c r="Q671" s="1055">
        <v>8262.5999999999985</v>
      </c>
      <c r="R671" s="1055">
        <v>2900.0000000000005</v>
      </c>
      <c r="S671" s="1055">
        <v>23961540</v>
      </c>
      <c r="T671" s="1055">
        <v>14.57</v>
      </c>
      <c r="U671" s="1055">
        <v>2914.5700000000006</v>
      </c>
      <c r="V671" s="1055">
        <v>24081926</v>
      </c>
      <c r="W671" s="1055">
        <v>120409</v>
      </c>
      <c r="X671" s="1055">
        <v>23961517</v>
      </c>
      <c r="Y671" s="1061" t="str">
        <f>IFERROR(IF(FIND("/KM",KB[[#This Row],[SUPPLIER]])&gt;0,"LAUT"),"DARAT")</f>
        <v>LAUT</v>
      </c>
    </row>
    <row r="672" spans="2:25">
      <c r="B672" s="140" t="str">
        <f>IFERROR(LEFT(KB[[#This Row],[SUPPLIER]],FIND("/",KB[[#This Row],[SUPPLIER]])-1),KB[[#This Row],[SUPPLIER]])</f>
        <v>HENDRI</v>
      </c>
      <c r="C672" s="141" t="str">
        <f>TEXT(VLOOKUP(KB[[#This Row],[RELASI]],DBRELASI[[RELASI]:[DOCKB]],10,0)+COUNTIFS($B$2:B672,KB[[#This Row],[RELASI]],$D$2:D672,1),"000")</f>
        <v>036</v>
      </c>
      <c r="D672" s="141">
        <f>IF(COUNTIFS($B$3:B672,KB[[#This Row],[RELASI]],$F$3:F672,KB[[#This Row],[TANGGAL]])&lt;&gt;1,0,1)</f>
        <v>1</v>
      </c>
      <c r="E672" s="141" t="str">
        <f>TEXT(IF(KB[[#This Row],[DOC]]&lt;&gt;"",KB[[#This Row],[DOC]],E671),"000")</f>
        <v>036</v>
      </c>
      <c r="F672" s="40">
        <v>43922</v>
      </c>
      <c r="G672" s="40" t="str">
        <f>TYPE</f>
        <v>A</v>
      </c>
      <c r="H672" s="153" t="s">
        <v>888</v>
      </c>
      <c r="I672" s="42" t="s">
        <v>940</v>
      </c>
      <c r="J672" s="43" t="s">
        <v>475</v>
      </c>
      <c r="K672" s="44">
        <v>1</v>
      </c>
      <c r="L672" s="49">
        <v>5940</v>
      </c>
      <c r="M672" s="49">
        <v>3890</v>
      </c>
      <c r="N672" s="49">
        <v>2050</v>
      </c>
      <c r="O672" s="49">
        <v>6</v>
      </c>
      <c r="P672" s="49">
        <v>123</v>
      </c>
      <c r="Q672" s="49">
        <v>1927</v>
      </c>
      <c r="R672" s="49">
        <v>2500</v>
      </c>
      <c r="S672" s="49">
        <v>4817500</v>
      </c>
      <c r="T672" s="49">
        <v>12.56</v>
      </c>
      <c r="U672" s="49">
        <v>2512.56</v>
      </c>
      <c r="V672" s="49">
        <v>4841703</v>
      </c>
      <c r="W672" s="49">
        <v>24209</v>
      </c>
      <c r="X672" s="49">
        <v>4817494</v>
      </c>
      <c r="Y672" s="530" t="str">
        <f>IFERROR(IF(FIND("/KM",KB[[#This Row],[SUPPLIER]])&gt;0,"LAUT"),"DARAT")</f>
        <v>LAUT</v>
      </c>
    </row>
    <row r="673" spans="2:25">
      <c r="B673" s="140" t="str">
        <f>IFERROR(LEFT(KB[[#This Row],[SUPPLIER]],FIND("/",KB[[#This Row],[SUPPLIER]])-1),KB[[#This Row],[SUPPLIER]])</f>
        <v>HENDRI</v>
      </c>
      <c r="C673" s="141" t="str">
        <f>TEXT(VLOOKUP(KB[[#This Row],[RELASI]],DBRELASI[[RELASI]:[DOCKB]],10,0)+COUNTIFS($B$2:B673,KB[[#This Row],[RELASI]],$D$2:D673,1),"000")</f>
        <v>036</v>
      </c>
      <c r="D673" s="141">
        <f>IF(COUNTIFS($B$3:B673,KB[[#This Row],[RELASI]],$F$3:F673,KB[[#This Row],[TANGGAL]])&lt;&gt;1,0,1)</f>
        <v>0</v>
      </c>
      <c r="E673" s="141" t="str">
        <f>TEXT(IF(KB[[#This Row],[DOC]]&lt;&gt;"",KB[[#This Row],[DOC]],E672),"000")</f>
        <v>036</v>
      </c>
      <c r="F673" s="40">
        <v>43922</v>
      </c>
      <c r="G673" s="40" t="str">
        <f>TYPE</f>
        <v>A</v>
      </c>
      <c r="I673" s="46" t="s">
        <v>941</v>
      </c>
      <c r="J673" s="47" t="s">
        <v>475</v>
      </c>
      <c r="K673" s="48">
        <v>1</v>
      </c>
      <c r="L673" s="49">
        <v>7930</v>
      </c>
      <c r="M673" s="49">
        <v>3940</v>
      </c>
      <c r="N673" s="49">
        <v>3990</v>
      </c>
      <c r="O673" s="49">
        <v>6</v>
      </c>
      <c r="P673" s="49">
        <v>239.39999999999998</v>
      </c>
      <c r="Q673" s="49">
        <v>3750.6</v>
      </c>
      <c r="R673" s="49">
        <v>2500</v>
      </c>
      <c r="S673" s="49">
        <v>9376500</v>
      </c>
      <c r="T673" s="49">
        <v>12.56</v>
      </c>
      <c r="U673" s="49">
        <v>2512.56</v>
      </c>
      <c r="V673" s="49">
        <v>9423608</v>
      </c>
      <c r="W673" s="49">
        <v>47118</v>
      </c>
      <c r="X673" s="49">
        <v>9376490</v>
      </c>
      <c r="Y673" s="574" t="str">
        <f>IFERROR(IF(FIND("/KM",KB[[#This Row],[SUPPLIER]])&gt;0,"LAUT"),"DARAT")</f>
        <v>LAUT</v>
      </c>
    </row>
    <row r="674" spans="2:25">
      <c r="B674" s="140" t="str">
        <f>IFERROR(LEFT(KB[[#This Row],[SUPPLIER]],FIND("/",KB[[#This Row],[SUPPLIER]])-1),KB[[#This Row],[SUPPLIER]])</f>
        <v>HENDRI</v>
      </c>
      <c r="C674" s="141" t="str">
        <f>TEXT(VLOOKUP(KB[[#This Row],[RELASI]],DBRELASI[[RELASI]:[DOCKB]],10,0)+COUNTIFS($B$2:B674,KB[[#This Row],[RELASI]],$D$2:D674,1),"000")</f>
        <v>037</v>
      </c>
      <c r="D674" s="141">
        <f>IF(COUNTIFS($B$3:B674,KB[[#This Row],[RELASI]],$F$3:F674,KB[[#This Row],[TANGGAL]])&lt;&gt;1,0,1)</f>
        <v>1</v>
      </c>
      <c r="E674" s="141" t="str">
        <f>TEXT(IF(KB[[#This Row],[DOC]]&lt;&gt;"",KB[[#This Row],[DOC]],E673),"000")</f>
        <v>037</v>
      </c>
      <c r="F674" s="40">
        <v>43923</v>
      </c>
      <c r="G674" s="40" t="str">
        <f>TYPE</f>
        <v>A</v>
      </c>
      <c r="H674" s="154" t="s">
        <v>889</v>
      </c>
      <c r="I674" s="46" t="s">
        <v>934</v>
      </c>
      <c r="J674" s="47" t="s">
        <v>475</v>
      </c>
      <c r="K674" s="48">
        <v>1</v>
      </c>
      <c r="L674" s="49">
        <v>7180</v>
      </c>
      <c r="M674" s="49">
        <v>3940</v>
      </c>
      <c r="N674" s="49">
        <v>3240</v>
      </c>
      <c r="O674" s="49">
        <v>6</v>
      </c>
      <c r="P674" s="49">
        <v>194.4</v>
      </c>
      <c r="Q674" s="49">
        <v>3045.6</v>
      </c>
      <c r="R674" s="49">
        <v>2500</v>
      </c>
      <c r="S674" s="49">
        <v>7614000</v>
      </c>
      <c r="T674" s="49">
        <v>12.56</v>
      </c>
      <c r="U674" s="49">
        <v>2512.56</v>
      </c>
      <c r="V674" s="49">
        <v>7652253</v>
      </c>
      <c r="W674" s="49">
        <v>38261</v>
      </c>
      <c r="X674" s="49">
        <v>7613992</v>
      </c>
      <c r="Y674" s="574" t="str">
        <f>IFERROR(IF(FIND("/KM",KB[[#This Row],[SUPPLIER]])&gt;0,"LAUT"),"DARAT")</f>
        <v>LAUT</v>
      </c>
    </row>
  </sheetData>
  <conditionalFormatting sqref="B1:B1048576">
    <cfRule type="expression" dxfId="136" priority="6">
      <formula>IF(COUNTIF(REL,B1)=1,FALSE,IF(B1="",FALSE,TRUE))</formula>
    </cfRule>
  </conditionalFormatting>
  <conditionalFormatting sqref="H1:H5 H7:H14 H16:H18 H20:H32 H35:H44 H46 H48:H57 H59:H61 H63:H69 H71:H77 H79:H83 H85:H87 H89:H96 H98 H101 H105:H107 H109:H111 H113 H116 H119:H123 H125:H128 H130:H132 H134:H135 H137:H142 H144:H146 H148:H151 H153 H155 H160 H164:H168 H170 H172:H173 H177:H178 H180:H182 H185:H189 H191:H195 H198:H202 H204:H205 H208 H212:H213 H222 H225:H230 H232 H234 H236 H238:H240 H247:H252 H256:H257 H259:H264 H266 H268 H272 H274:H275 H281:H288 H290 H292:H302 H305:H312 H315:H316 H318:H319 H322:H323 H325:H332 H336:H340 H342 H347:H353 H357:H362 H364 H368 H373 H378 H381:H385 H387 H389 H393:H395 H397:H401 H403 H408:H411 H413:H416 H418:H419 H424:H432 H434:H444 H448 H450:H456 H460:H465 H467:H469 H471:H477 H479:H482 H484:H485 H489:H492 H494:H501 H503 H505 H508:H512 H515:H518 H520:H528 H532:H547 H549:H550 H552:H555 H557:H565 H568:H575 H577:H581 H583 H585:H591 H593:H596 H599:H608 H611 H613:H617 H619:H622 H624:H638 H640:H645 H647:H1048576">
    <cfRule type="expression" dxfId="135" priority="2">
      <formula>IF(ISBLANK(H1)=1,0,IF(COUNTIFS(B:B,B1,G:G,G1,H:H,H1)&gt;1,TRUE,FALSE))</formula>
    </cfRule>
  </conditionalFormatting>
  <conditionalFormatting sqref="I1:I1048576">
    <cfRule type="expression" dxfId="134" priority="1">
      <formula>IF(COUNTIFS(F:F,F1,I:I,I1,G:G,G1)&gt;1,TRUE,FALSE)</formula>
    </cfRule>
  </conditionalFormatting>
  <pageMargins left="0.7" right="0.7" top="0.75" bottom="0.75" header="0.3" footer="0.3"/>
  <pageSetup orientation="portrait" horizontalDpi="180" verticalDpi="18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>
    <tabColor rgb="FFFFFF00"/>
  </sheetPr>
  <dimension ref="B1:L66"/>
  <sheetViews>
    <sheetView tabSelected="1" zoomScale="115" zoomScaleNormal="115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C8" sqref="C8"/>
    </sheetView>
  </sheetViews>
  <sheetFormatPr defaultRowHeight="15"/>
  <cols>
    <col min="1" max="1" width="4.5703125" customWidth="1"/>
    <col min="2" max="2" width="3.85546875" bestFit="1" customWidth="1"/>
    <col min="3" max="3" width="50.42578125" bestFit="1" customWidth="1"/>
    <col min="4" max="4" width="15.5703125" style="157" bestFit="1" customWidth="1"/>
    <col min="5" max="6" width="17.5703125" style="157" customWidth="1"/>
    <col min="7" max="7" width="19.140625" customWidth="1"/>
    <col min="8" max="8" width="17.5703125" customWidth="1"/>
  </cols>
  <sheetData>
    <row r="1" spans="2:12" ht="29.25" customHeight="1">
      <c r="D1"/>
      <c r="E1" s="1063" t="s">
        <v>503</v>
      </c>
      <c r="F1" s="1063"/>
      <c r="G1" s="1063"/>
    </row>
    <row r="2" spans="2:12" ht="29.25" customHeight="1">
      <c r="B2" s="1062" t="s">
        <v>294</v>
      </c>
      <c r="C2" s="1062"/>
      <c r="D2" s="165">
        <f>DATE(Kuitansi!AI2,Kuitansi!Z2,Kuitansi!Q2)</f>
        <v>43923</v>
      </c>
      <c r="E2" s="166" t="s">
        <v>942</v>
      </c>
      <c r="F2" s="164"/>
      <c r="G2" s="164"/>
      <c r="L2" s="730" t="s">
        <v>502</v>
      </c>
    </row>
    <row r="3" spans="2:12" ht="29.25" customHeight="1">
      <c r="D3"/>
      <c r="E3" s="125"/>
      <c r="F3"/>
    </row>
    <row r="4" spans="2:12" ht="30" customHeight="1">
      <c r="B4" s="156" t="s">
        <v>112</v>
      </c>
      <c r="C4" s="156" t="s">
        <v>55</v>
      </c>
      <c r="D4" s="156" t="s">
        <v>105</v>
      </c>
      <c r="E4" s="156" t="s">
        <v>60</v>
      </c>
      <c r="F4" s="156" t="s">
        <v>89</v>
      </c>
      <c r="G4" s="156" t="s">
        <v>73</v>
      </c>
      <c r="H4" s="156" t="s">
        <v>295</v>
      </c>
    </row>
    <row r="5" spans="2:12" s="723" customFormat="1">
      <c r="B5" s="723">
        <v>1</v>
      </c>
      <c r="C5" s="723" t="s">
        <v>934</v>
      </c>
      <c r="D5" s="157" t="s">
        <v>937</v>
      </c>
      <c r="E5" s="157">
        <v>3240</v>
      </c>
      <c r="F5" s="157">
        <v>3045.6</v>
      </c>
      <c r="G5" s="157">
        <v>7613992</v>
      </c>
      <c r="H5" s="730" t="s">
        <v>474</v>
      </c>
    </row>
    <row r="6" spans="2:12">
      <c r="B6" s="723"/>
      <c r="C6" s="723"/>
      <c r="G6" s="157"/>
      <c r="H6" s="730"/>
    </row>
    <row r="7" spans="2:12" s="723" customFormat="1">
      <c r="D7" s="157"/>
      <c r="E7" s="157"/>
      <c r="F7" s="157"/>
      <c r="G7" s="157"/>
      <c r="H7" s="730"/>
    </row>
    <row r="8" spans="2:12" s="723" customFormat="1">
      <c r="D8" s="157"/>
      <c r="E8" s="157"/>
      <c r="F8" s="157"/>
      <c r="G8" s="157"/>
      <c r="H8" s="730"/>
    </row>
    <row r="9" spans="2:12" s="723" customFormat="1">
      <c r="D9" s="157"/>
      <c r="E9" s="157"/>
      <c r="F9" s="157"/>
      <c r="G9" s="157"/>
      <c r="H9" s="730"/>
    </row>
    <row r="10" spans="2:12" s="723" customFormat="1">
      <c r="D10" s="157"/>
      <c r="E10" s="157"/>
      <c r="F10" s="157"/>
      <c r="G10" s="157"/>
      <c r="H10" s="730"/>
    </row>
    <row r="11" spans="2:12" s="723" customFormat="1">
      <c r="D11" s="157"/>
      <c r="E11" s="157"/>
      <c r="F11" s="157"/>
      <c r="G11" s="157"/>
      <c r="H11" s="730"/>
    </row>
    <row r="12" spans="2:12" s="723" customFormat="1">
      <c r="D12" s="157"/>
      <c r="E12" s="157"/>
      <c r="F12" s="157"/>
      <c r="G12" s="157"/>
      <c r="H12" s="730"/>
    </row>
    <row r="13" spans="2:12" s="723" customFormat="1">
      <c r="D13" s="157"/>
      <c r="E13" s="157"/>
      <c r="F13" s="157"/>
      <c r="G13" s="157"/>
      <c r="H13" s="730"/>
    </row>
    <row r="14" spans="2:12" s="723" customFormat="1">
      <c r="D14" s="157"/>
      <c r="E14" s="157"/>
      <c r="F14" s="157"/>
      <c r="G14" s="157"/>
      <c r="H14" s="730"/>
    </row>
    <row r="15" spans="2:12" s="723" customFormat="1">
      <c r="D15" s="157"/>
      <c r="E15" s="157"/>
      <c r="F15" s="157"/>
      <c r="G15" s="157"/>
      <c r="H15" s="730"/>
    </row>
    <row r="16" spans="2:12" s="723" customFormat="1">
      <c r="D16" s="157"/>
      <c r="E16" s="157"/>
      <c r="F16" s="157"/>
      <c r="G16" s="157"/>
      <c r="H16" s="730"/>
    </row>
    <row r="17" spans="3:8" s="723" customFormat="1">
      <c r="D17" s="157"/>
      <c r="E17" s="157"/>
      <c r="F17" s="157"/>
      <c r="G17" s="157"/>
      <c r="H17" s="730"/>
    </row>
    <row r="18" spans="3:8" s="723" customFormat="1">
      <c r="D18" s="157"/>
      <c r="E18" s="157"/>
      <c r="F18" s="157"/>
      <c r="G18" s="157"/>
      <c r="H18" s="730"/>
    </row>
    <row r="19" spans="3:8" s="723" customFormat="1">
      <c r="D19" s="157"/>
      <c r="E19" s="157"/>
      <c r="F19" s="157"/>
      <c r="G19" s="157"/>
      <c r="H19" s="730"/>
    </row>
    <row r="20" spans="3:8">
      <c r="C20" s="723"/>
      <c r="G20" s="157"/>
      <c r="H20" s="730"/>
    </row>
    <row r="21" spans="3:8">
      <c r="C21" s="723"/>
      <c r="G21" s="157"/>
      <c r="H21" s="730"/>
    </row>
    <row r="22" spans="3:8">
      <c r="C22" s="723"/>
      <c r="G22" s="157"/>
      <c r="H22" s="730"/>
    </row>
    <row r="23" spans="3:8">
      <c r="C23" s="723"/>
      <c r="G23" s="157"/>
      <c r="H23" s="730"/>
    </row>
    <row r="24" spans="3:8">
      <c r="C24" s="723"/>
      <c r="G24" s="157"/>
      <c r="H24" s="730"/>
    </row>
    <row r="25" spans="3:8">
      <c r="C25" s="723"/>
      <c r="G25" s="157"/>
      <c r="H25" s="730"/>
    </row>
    <row r="26" spans="3:8">
      <c r="C26" s="723"/>
      <c r="G26" s="157"/>
      <c r="H26" s="730"/>
    </row>
    <row r="27" spans="3:8">
      <c r="C27" s="723"/>
      <c r="G27" s="157"/>
      <c r="H27" s="730"/>
    </row>
    <row r="28" spans="3:8">
      <c r="C28" s="723"/>
      <c r="G28" s="157"/>
      <c r="H28" s="730"/>
    </row>
    <row r="29" spans="3:8">
      <c r="C29" s="723"/>
      <c r="G29" s="157"/>
      <c r="H29" s="730"/>
    </row>
    <row r="30" spans="3:8">
      <c r="C30" s="723"/>
      <c r="G30" s="157"/>
      <c r="H30" s="730"/>
    </row>
    <row r="31" spans="3:8">
      <c r="C31" s="723"/>
      <c r="G31" s="157"/>
      <c r="H31" s="730"/>
    </row>
    <row r="32" spans="3:8">
      <c r="C32" s="723"/>
      <c r="G32" s="157"/>
      <c r="H32" s="730"/>
    </row>
    <row r="33" spans="3:8">
      <c r="C33" s="723"/>
      <c r="G33" s="157"/>
      <c r="H33" s="730"/>
    </row>
    <row r="34" spans="3:8">
      <c r="C34" s="723"/>
      <c r="G34" s="157"/>
      <c r="H34" s="730"/>
    </row>
    <row r="35" spans="3:8">
      <c r="C35" s="723"/>
      <c r="G35" s="157"/>
      <c r="H35" s="730"/>
    </row>
    <row r="36" spans="3:8">
      <c r="C36" s="723"/>
      <c r="G36" s="157"/>
      <c r="H36" s="730"/>
    </row>
    <row r="37" spans="3:8">
      <c r="C37" s="723"/>
      <c r="G37" s="157"/>
      <c r="H37" s="730"/>
    </row>
    <row r="38" spans="3:8">
      <c r="C38" s="723"/>
      <c r="G38" s="157"/>
      <c r="H38" s="730"/>
    </row>
    <row r="39" spans="3:8">
      <c r="C39" s="723"/>
      <c r="G39" s="157"/>
      <c r="H39" s="730"/>
    </row>
    <row r="40" spans="3:8">
      <c r="C40" s="723"/>
      <c r="G40" s="157"/>
      <c r="H40" s="730"/>
    </row>
    <row r="41" spans="3:8">
      <c r="C41" s="723"/>
      <c r="G41" s="157"/>
      <c r="H41" s="730"/>
    </row>
    <row r="42" spans="3:8">
      <c r="C42" s="723"/>
      <c r="G42" s="157"/>
      <c r="H42" s="730"/>
    </row>
    <row r="43" spans="3:8">
      <c r="C43" s="723"/>
      <c r="G43" s="157"/>
      <c r="H43" s="730"/>
    </row>
    <row r="44" spans="3:8">
      <c r="C44" s="723"/>
      <c r="G44" s="157"/>
      <c r="H44" s="730"/>
    </row>
    <row r="45" spans="3:8">
      <c r="C45" s="723"/>
      <c r="G45" s="157"/>
      <c r="H45" s="730"/>
    </row>
    <row r="46" spans="3:8">
      <c r="C46" s="723"/>
      <c r="G46" s="157"/>
      <c r="H46" s="730"/>
    </row>
    <row r="47" spans="3:8">
      <c r="C47" s="723"/>
      <c r="G47" s="157"/>
      <c r="H47" s="730"/>
    </row>
    <row r="48" spans="3:8">
      <c r="C48" s="723"/>
      <c r="G48" s="157"/>
      <c r="H48" s="730"/>
    </row>
    <row r="49" spans="3:8">
      <c r="C49" s="723"/>
      <c r="G49" s="157"/>
      <c r="H49" s="730"/>
    </row>
    <row r="50" spans="3:8">
      <c r="C50" s="723"/>
      <c r="G50" s="157"/>
      <c r="H50" s="730"/>
    </row>
    <row r="51" spans="3:8">
      <c r="C51" s="723"/>
      <c r="G51" s="157"/>
      <c r="H51" s="730"/>
    </row>
    <row r="52" spans="3:8">
      <c r="C52" s="723"/>
      <c r="G52" s="157"/>
      <c r="H52" s="730"/>
    </row>
    <row r="53" spans="3:8">
      <c r="C53" s="723"/>
      <c r="G53" s="157"/>
      <c r="H53" s="730"/>
    </row>
    <row r="54" spans="3:8">
      <c r="C54" s="723"/>
      <c r="G54" s="157"/>
      <c r="H54" s="730"/>
    </row>
    <row r="55" spans="3:8">
      <c r="G55" s="157"/>
    </row>
    <row r="56" spans="3:8">
      <c r="G56" s="157"/>
    </row>
    <row r="57" spans="3:8">
      <c r="G57" s="157"/>
    </row>
    <row r="58" spans="3:8">
      <c r="G58" s="157"/>
    </row>
    <row r="59" spans="3:8">
      <c r="G59" s="157"/>
    </row>
    <row r="60" spans="3:8">
      <c r="G60" s="157"/>
    </row>
    <row r="61" spans="3:8">
      <c r="G61" s="157"/>
    </row>
    <row r="62" spans="3:8">
      <c r="G62" s="157"/>
    </row>
    <row r="63" spans="3:8">
      <c r="G63" s="157"/>
    </row>
    <row r="64" spans="3:8">
      <c r="G64" s="157"/>
    </row>
    <row r="65" spans="7:7">
      <c r="G65" s="157"/>
    </row>
    <row r="66" spans="7:7">
      <c r="G66" s="157"/>
    </row>
  </sheetData>
  <sheetProtection sheet="1" objects="1" scenarios="1"/>
  <sortState ref="C5:H41">
    <sortCondition ref="C4"/>
  </sortState>
  <mergeCells count="2">
    <mergeCell ref="B2:C2"/>
    <mergeCell ref="E1:G1"/>
  </mergeCells>
  <pageMargins left="0.7" right="0.7" top="0.75" bottom="0.75" header="0.3" footer="0.3"/>
  <pageSetup orientation="portrait" horizontalDpi="180" verticalDpi="18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indexed="62"/>
    <pageSetUpPr fitToPage="1"/>
  </sheetPr>
  <dimension ref="A1:CH31"/>
  <sheetViews>
    <sheetView showGridLines="0" zoomScale="55" zoomScaleNormal="55" zoomScaleSheetLayoutView="55" workbookViewId="0">
      <pane xSplit="77" ySplit="4" topLeftCell="BZ5" activePane="bottomRight" state="frozen"/>
      <selection activeCell="M3" sqref="M3:AO3"/>
      <selection pane="topRight" activeCell="M3" sqref="M3:AO3"/>
      <selection pane="bottomLeft" activeCell="M3" sqref="M3:AO3"/>
      <selection pane="bottomRight" activeCell="D19" sqref="D19:AE19"/>
    </sheetView>
  </sheetViews>
  <sheetFormatPr defaultColWidth="0" defaultRowHeight="30.75" customHeight="1"/>
  <cols>
    <col min="1" max="1" width="9.7109375" style="50" customWidth="1"/>
    <col min="2" max="26" width="2.7109375" style="50" customWidth="1"/>
    <col min="27" max="27" width="3.28515625" style="50" customWidth="1"/>
    <col min="28" max="34" width="2.7109375" style="50" customWidth="1"/>
    <col min="35" max="35" width="3.5703125" style="50" customWidth="1"/>
    <col min="36" max="75" width="2.7109375" style="50" customWidth="1"/>
    <col min="76" max="76" width="16.42578125" style="50" bestFit="1" customWidth="1"/>
    <col min="77" max="77" width="27.42578125" style="50" customWidth="1"/>
    <col min="78" max="81" width="5.42578125" style="52" customWidth="1"/>
    <col min="82" max="82" width="29.28515625" style="52" hidden="1" customWidth="1"/>
    <col min="83" max="83" width="18.85546875" style="52" hidden="1" customWidth="1"/>
    <col min="84" max="84" width="25.5703125" style="52" hidden="1" customWidth="1"/>
    <col min="85" max="85" width="43.28515625" style="52" hidden="1" customWidth="1"/>
    <col min="86" max="86" width="23.7109375" style="52" hidden="1" customWidth="1"/>
    <col min="87" max="16384" width="9.140625" style="52" hidden="1"/>
  </cols>
  <sheetData>
    <row r="1" spans="2:86" ht="18" customHeight="1">
      <c r="CD1" s="52">
        <f>COLUMN()</f>
        <v>82</v>
      </c>
    </row>
    <row r="2" spans="2:86" ht="30.75" customHeight="1">
      <c r="B2" s="80" t="s">
        <v>104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74" t="s">
        <v>106</v>
      </c>
      <c r="N2" s="75"/>
      <c r="O2" s="75"/>
      <c r="P2" s="76"/>
      <c r="Q2" s="1084">
        <v>2</v>
      </c>
      <c r="R2" s="1085"/>
      <c r="S2" s="145"/>
      <c r="T2" s="146"/>
      <c r="U2" s="77"/>
      <c r="V2" s="78" t="s">
        <v>107</v>
      </c>
      <c r="W2" s="75"/>
      <c r="X2" s="75"/>
      <c r="Y2" s="76"/>
      <c r="Z2" s="1084">
        <v>4</v>
      </c>
      <c r="AA2" s="1085"/>
      <c r="AB2" s="145"/>
      <c r="AC2" s="146"/>
      <c r="AD2" s="79"/>
      <c r="AE2" s="78" t="s">
        <v>108</v>
      </c>
      <c r="AF2" s="75"/>
      <c r="AG2" s="75"/>
      <c r="AH2" s="76"/>
      <c r="AI2" s="1081">
        <v>2020</v>
      </c>
      <c r="AJ2" s="1081"/>
      <c r="AK2" s="1081"/>
      <c r="AL2" s="1081"/>
      <c r="AM2" s="1081"/>
      <c r="AN2" s="1081"/>
      <c r="AO2" s="1081"/>
      <c r="AQ2" s="136"/>
      <c r="AR2" s="136"/>
      <c r="AS2" s="136"/>
      <c r="BX2" s="1080" t="str">
        <f>IF(49-COUNTIFS(CONF!O5:O54,"")&lt;0,0,CD3&amp;"/"&amp;49-COUNTIFS(CONF!O5:O54,""))</f>
        <v>1/1</v>
      </c>
      <c r="CD2" s="52">
        <f>49-COUNTIFS(CONF!O5:O54,"")</f>
        <v>1</v>
      </c>
    </row>
    <row r="3" spans="2:86" ht="30.75" customHeight="1">
      <c r="B3" s="80" t="s">
        <v>86</v>
      </c>
      <c r="C3" s="81"/>
      <c r="D3" s="81"/>
      <c r="E3" s="81"/>
      <c r="F3" s="81"/>
      <c r="G3" s="81"/>
      <c r="H3" s="81"/>
      <c r="I3" s="81"/>
      <c r="J3" s="81"/>
      <c r="K3" s="81"/>
      <c r="L3" s="81"/>
      <c r="M3" s="1082" t="str">
        <f>VLOOKUP(CD3+1,CONF!$B$5:$O$54,14,0)</f>
        <v>HENDRI</v>
      </c>
      <c r="N3" s="1082"/>
      <c r="O3" s="1082"/>
      <c r="P3" s="1082"/>
      <c r="Q3" s="1082"/>
      <c r="R3" s="1082"/>
      <c r="S3" s="1082"/>
      <c r="T3" s="1082"/>
      <c r="U3" s="1082"/>
      <c r="V3" s="1082"/>
      <c r="W3" s="1082"/>
      <c r="X3" s="1082"/>
      <c r="Y3" s="1082"/>
      <c r="Z3" s="1082"/>
      <c r="AA3" s="1082"/>
      <c r="AB3" s="1082"/>
      <c r="AC3" s="1082"/>
      <c r="AD3" s="1082"/>
      <c r="AE3" s="1082"/>
      <c r="AF3" s="1082"/>
      <c r="AG3" s="1082"/>
      <c r="AH3" s="1082"/>
      <c r="AI3" s="1082"/>
      <c r="AJ3" s="1082"/>
      <c r="AK3" s="1082"/>
      <c r="AL3" s="1082"/>
      <c r="AM3" s="1082"/>
      <c r="AN3" s="1082"/>
      <c r="AO3" s="1082"/>
      <c r="BX3" s="1080"/>
      <c r="CD3" s="149">
        <v>1</v>
      </c>
    </row>
    <row r="4" spans="2:86" ht="30.75" customHeight="1">
      <c r="B4" s="80" t="s">
        <v>105</v>
      </c>
      <c r="C4" s="81"/>
      <c r="D4" s="81"/>
      <c r="E4" s="81"/>
      <c r="F4" s="81"/>
      <c r="G4" s="81"/>
      <c r="H4" s="81"/>
      <c r="I4" s="81"/>
      <c r="J4" s="81"/>
      <c r="K4" s="81"/>
      <c r="L4" s="81"/>
      <c r="M4" s="1083" t="s">
        <v>260</v>
      </c>
      <c r="N4" s="1083"/>
      <c r="O4" s="1083"/>
      <c r="P4" s="1083"/>
      <c r="Q4" s="1083"/>
      <c r="R4" s="1083"/>
      <c r="S4" s="1083"/>
      <c r="T4" s="1083"/>
      <c r="U4" s="1083"/>
      <c r="V4" s="1083"/>
      <c r="W4" s="1083"/>
      <c r="X4" s="1083"/>
      <c r="Y4" s="1083"/>
      <c r="Z4" s="1083"/>
      <c r="AA4" s="1083"/>
      <c r="AB4" s="1083"/>
      <c r="AC4" s="1083"/>
      <c r="AD4" s="1083"/>
      <c r="AE4" s="1083"/>
      <c r="AF4" s="1083"/>
      <c r="AG4" s="1083"/>
      <c r="AH4" s="1083"/>
      <c r="AI4" s="1083"/>
      <c r="AJ4" s="1083"/>
      <c r="AK4" s="1083"/>
      <c r="AL4" s="1083"/>
      <c r="AM4" s="1083"/>
      <c r="AN4" s="1083"/>
      <c r="AO4" s="1083"/>
      <c r="BX4" s="148"/>
    </row>
    <row r="5" spans="2:86" ht="26.25" customHeight="1"/>
    <row r="6" spans="2:86" ht="9.9499999999999993" customHeight="1" thickBot="1"/>
    <row r="7" spans="2:86" ht="30.75" customHeight="1" thickTop="1">
      <c r="B7" s="69"/>
      <c r="C7" s="70"/>
      <c r="D7" s="70"/>
      <c r="E7" s="70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0"/>
      <c r="V7" s="70"/>
      <c r="W7" s="70"/>
      <c r="X7" s="70"/>
      <c r="Y7" s="70"/>
      <c r="Z7" s="70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  <c r="BQ7" s="72"/>
      <c r="BR7" s="72"/>
      <c r="BS7" s="72"/>
      <c r="BT7" s="72"/>
      <c r="BU7" s="72"/>
      <c r="BV7" s="72"/>
      <c r="BW7" s="73"/>
    </row>
    <row r="8" spans="2:86" ht="14.25">
      <c r="B8" s="51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3"/>
    </row>
    <row r="9" spans="2:86" ht="30.75" customHeight="1">
      <c r="B9" s="51"/>
      <c r="C9" s="52"/>
      <c r="D9" s="1088" t="s">
        <v>0</v>
      </c>
      <c r="E9" s="1088"/>
      <c r="F9" s="1088"/>
      <c r="G9" s="131" t="str">
        <f t="array" ref="G9">TEXT(VLOOKUP($M$3,IF(M4="KELAPA BULAT",IF(KB[TANGGAL]=DATE(AI2,Z2,Q2),KB[[RELASI]:[TANGGAL]],""),IF(M4="KELAPA BERSABUT",IF(KBS[TANGGAL]=DATE(AI2,Z2,Q2),KBS[[RELASI]:[TANGGAL]],""),IF(M4="KOPRA",IF(KPR[TANGGAL]=DATE(AI2,Z2,Q2),KPR[[RELASI]:[TANGGAL]],""),IF(M4="ARANG",IF(ARG[TANGGAL]=DATE(AI2,Z2,Q2),ARG[[RELASI]:[TANGGAL]],""))))),2,0),"0000")&amp;"/"&amp;VLOOKUP($M$3,DBRELASI[[RELASI]:[NAMA KWI]],7,0)</f>
        <v>0037/HENDRI</v>
      </c>
      <c r="H9" s="132"/>
      <c r="I9" s="132"/>
      <c r="J9" s="132"/>
      <c r="K9" s="132"/>
      <c r="L9" s="132"/>
      <c r="M9" s="132"/>
      <c r="N9" s="132"/>
      <c r="O9" s="132"/>
      <c r="P9" s="132"/>
      <c r="Q9" s="133"/>
      <c r="R9" s="134"/>
      <c r="S9" s="135"/>
      <c r="T9" s="135"/>
      <c r="U9" s="135"/>
      <c r="V9" s="13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1091" t="s">
        <v>1</v>
      </c>
      <c r="AI9" s="1091"/>
      <c r="AJ9" s="1091"/>
      <c r="AK9" s="1091"/>
      <c r="AL9" s="1091"/>
      <c r="AM9" s="1091"/>
      <c r="AN9" s="1091"/>
      <c r="AO9" s="1091"/>
      <c r="AP9" s="1091"/>
      <c r="AQ9" s="1091"/>
      <c r="AR9" s="1091"/>
      <c r="AS9" s="1091"/>
      <c r="AT9" s="1091"/>
      <c r="AU9" s="1091"/>
      <c r="AV9" s="1091"/>
      <c r="AW9" s="1091"/>
      <c r="AX9" s="1091"/>
      <c r="AY9" s="1091"/>
      <c r="AZ9" s="1091"/>
      <c r="BA9" s="1091"/>
      <c r="BB9" s="1091"/>
      <c r="BC9" s="1091"/>
      <c r="BD9" s="1091"/>
      <c r="BE9" s="1091"/>
      <c r="BF9" s="55"/>
      <c r="BG9" s="55"/>
      <c r="BH9" s="55"/>
      <c r="BI9" s="55"/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  <c r="BW9" s="53"/>
    </row>
    <row r="10" spans="2:86" ht="30.75" customHeight="1">
      <c r="B10" s="51"/>
      <c r="C10" s="52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1091"/>
      <c r="AI10" s="1091"/>
      <c r="AJ10" s="1091"/>
      <c r="AK10" s="1091"/>
      <c r="AL10" s="1091"/>
      <c r="AM10" s="1091"/>
      <c r="AN10" s="1091"/>
      <c r="AO10" s="1091"/>
      <c r="AP10" s="1091"/>
      <c r="AQ10" s="1091"/>
      <c r="AR10" s="1091"/>
      <c r="AS10" s="1091"/>
      <c r="AT10" s="1091"/>
      <c r="AU10" s="1091"/>
      <c r="AV10" s="1091"/>
      <c r="AW10" s="1091"/>
      <c r="AX10" s="1091"/>
      <c r="AY10" s="1091"/>
      <c r="AZ10" s="1091"/>
      <c r="BA10" s="1091"/>
      <c r="BB10" s="1091"/>
      <c r="BC10" s="1091"/>
      <c r="BD10" s="1091"/>
      <c r="BE10" s="1091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3"/>
    </row>
    <row r="11" spans="2:86" ht="30.75" customHeight="1">
      <c r="B11" s="51"/>
      <c r="C11" s="52"/>
      <c r="D11" s="58" t="s">
        <v>2</v>
      </c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 t="s">
        <v>3</v>
      </c>
      <c r="R11" s="1090" t="s">
        <v>52</v>
      </c>
      <c r="S11" s="1090"/>
      <c r="T11" s="1090"/>
      <c r="U11" s="1090"/>
      <c r="V11" s="1090"/>
      <c r="W11" s="1090"/>
      <c r="X11" s="1090"/>
      <c r="Y11" s="1090"/>
      <c r="Z11" s="1090"/>
      <c r="AA11" s="1090"/>
      <c r="AB11" s="1090"/>
      <c r="AC11" s="1090"/>
      <c r="AD11" s="1090"/>
      <c r="AE11" s="1090"/>
      <c r="AF11" s="1090"/>
      <c r="AG11" s="1090"/>
      <c r="AH11" s="1090"/>
      <c r="AI11" s="1090"/>
      <c r="AJ11" s="1090"/>
      <c r="AK11" s="1090"/>
      <c r="AL11" s="1090"/>
      <c r="AM11" s="1090"/>
      <c r="AN11" s="1090"/>
      <c r="AO11" s="1090"/>
      <c r="AP11" s="1090"/>
      <c r="AQ11" s="1090"/>
      <c r="AR11" s="1090"/>
      <c r="AS11" s="1090"/>
      <c r="AT11" s="1090"/>
      <c r="AU11" s="1090"/>
      <c r="AV11" s="1090"/>
      <c r="AW11" s="1090"/>
      <c r="AX11" s="1090"/>
      <c r="AY11" s="1090"/>
      <c r="AZ11" s="1090"/>
      <c r="BA11" s="1090"/>
      <c r="BB11" s="1090"/>
      <c r="BC11" s="1090"/>
      <c r="BD11" s="1090"/>
      <c r="BE11" s="1090"/>
      <c r="BF11" s="1090"/>
      <c r="BG11" s="1090"/>
      <c r="BH11" s="1090"/>
      <c r="BI11" s="1090"/>
      <c r="BJ11" s="1090"/>
      <c r="BK11" s="1090"/>
      <c r="BL11" s="1090"/>
      <c r="BM11" s="1090"/>
      <c r="BN11" s="1090"/>
      <c r="BO11" s="1090"/>
      <c r="BP11" s="1090"/>
      <c r="BQ11" s="1090"/>
      <c r="BR11" s="1090"/>
      <c r="BS11" s="1090"/>
      <c r="BT11" s="1090"/>
      <c r="BU11" s="1090"/>
      <c r="BV11" s="55"/>
      <c r="BW11" s="53"/>
    </row>
    <row r="12" spans="2:86" ht="12.75" customHeight="1">
      <c r="B12" s="51"/>
      <c r="C12" s="52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5"/>
      <c r="BW12" s="53"/>
      <c r="BY12" s="1086">
        <f>AT20</f>
        <v>7652253</v>
      </c>
    </row>
    <row r="13" spans="2:86" ht="30.75" customHeight="1">
      <c r="B13" s="51"/>
      <c r="C13" s="52"/>
      <c r="D13" s="1070" t="s">
        <v>4</v>
      </c>
      <c r="E13" s="1070"/>
      <c r="F13" s="1070"/>
      <c r="G13" s="1070"/>
      <c r="H13" s="1070"/>
      <c r="I13" s="1070"/>
      <c r="J13" s="1070"/>
      <c r="K13" s="1070"/>
      <c r="L13" s="1070"/>
      <c r="M13" s="1070"/>
      <c r="N13" s="1070"/>
      <c r="O13" s="1070"/>
      <c r="P13" s="1070"/>
      <c r="Q13" s="1071" t="s">
        <v>3</v>
      </c>
      <c r="R13" s="1066" t="str">
        <f>"# "&amp;PROPER('Rumus Terbilang'!C3&amp;" rupiah")&amp;" #"</f>
        <v># Tujuh Juta Enam Ratus Lima Puluh Dua Ribu Dua Ratus Lima Puluh Tiga Rupiah #</v>
      </c>
      <c r="S13" s="1067"/>
      <c r="T13" s="1067"/>
      <c r="U13" s="1067"/>
      <c r="V13" s="1067"/>
      <c r="W13" s="1067"/>
      <c r="X13" s="1067"/>
      <c r="Y13" s="1067"/>
      <c r="Z13" s="1067"/>
      <c r="AA13" s="1067"/>
      <c r="AB13" s="1067"/>
      <c r="AC13" s="1067"/>
      <c r="AD13" s="1067"/>
      <c r="AE13" s="1067"/>
      <c r="AF13" s="1067"/>
      <c r="AG13" s="1067"/>
      <c r="AH13" s="1067"/>
      <c r="AI13" s="1067"/>
      <c r="AJ13" s="1067"/>
      <c r="AK13" s="1067"/>
      <c r="AL13" s="1067"/>
      <c r="AM13" s="1067"/>
      <c r="AN13" s="1067"/>
      <c r="AO13" s="1067"/>
      <c r="AP13" s="1067"/>
      <c r="AQ13" s="1067"/>
      <c r="AR13" s="1067"/>
      <c r="AS13" s="1067"/>
      <c r="AT13" s="1067"/>
      <c r="AU13" s="1067"/>
      <c r="AV13" s="1067"/>
      <c r="AW13" s="1067"/>
      <c r="AX13" s="1067"/>
      <c r="AY13" s="1067"/>
      <c r="AZ13" s="1067"/>
      <c r="BA13" s="1067"/>
      <c r="BB13" s="1067"/>
      <c r="BC13" s="1067"/>
      <c r="BD13" s="1067"/>
      <c r="BE13" s="1067"/>
      <c r="BF13" s="1067"/>
      <c r="BG13" s="1067"/>
      <c r="BH13" s="1067"/>
      <c r="BI13" s="1067"/>
      <c r="BJ13" s="1067"/>
      <c r="BK13" s="1067"/>
      <c r="BL13" s="1067"/>
      <c r="BM13" s="1067"/>
      <c r="BN13" s="1067"/>
      <c r="BO13" s="1067"/>
      <c r="BP13" s="1067"/>
      <c r="BQ13" s="1067"/>
      <c r="BR13" s="1067"/>
      <c r="BS13" s="1067"/>
      <c r="BT13" s="1067"/>
      <c r="BU13" s="1067"/>
      <c r="BV13" s="55"/>
      <c r="BW13" s="53"/>
      <c r="BY13" s="1086"/>
    </row>
    <row r="14" spans="2:86" ht="32.25" customHeight="1">
      <c r="B14" s="51"/>
      <c r="C14" s="52"/>
      <c r="D14" s="1070"/>
      <c r="E14" s="1070"/>
      <c r="F14" s="1070"/>
      <c r="G14" s="1070"/>
      <c r="H14" s="1070"/>
      <c r="I14" s="1070"/>
      <c r="J14" s="1070"/>
      <c r="K14" s="1070"/>
      <c r="L14" s="1070"/>
      <c r="M14" s="1070"/>
      <c r="N14" s="1070"/>
      <c r="O14" s="1070"/>
      <c r="P14" s="1070"/>
      <c r="Q14" s="1071"/>
      <c r="R14" s="1067"/>
      <c r="S14" s="1067"/>
      <c r="T14" s="1067"/>
      <c r="U14" s="1067"/>
      <c r="V14" s="1067"/>
      <c r="W14" s="1067"/>
      <c r="X14" s="1067"/>
      <c r="Y14" s="1067"/>
      <c r="Z14" s="1067"/>
      <c r="AA14" s="1067"/>
      <c r="AB14" s="1067"/>
      <c r="AC14" s="1067"/>
      <c r="AD14" s="1067"/>
      <c r="AE14" s="1067"/>
      <c r="AF14" s="1067"/>
      <c r="AG14" s="1067"/>
      <c r="AH14" s="1067"/>
      <c r="AI14" s="1067"/>
      <c r="AJ14" s="1067"/>
      <c r="AK14" s="1067"/>
      <c r="AL14" s="1067"/>
      <c r="AM14" s="1067"/>
      <c r="AN14" s="1067"/>
      <c r="AO14" s="1067"/>
      <c r="AP14" s="1067"/>
      <c r="AQ14" s="1067"/>
      <c r="AR14" s="1067"/>
      <c r="AS14" s="1067"/>
      <c r="AT14" s="1067"/>
      <c r="AU14" s="1067"/>
      <c r="AV14" s="1067"/>
      <c r="AW14" s="1067"/>
      <c r="AX14" s="1067"/>
      <c r="AY14" s="1067"/>
      <c r="AZ14" s="1067"/>
      <c r="BA14" s="1067"/>
      <c r="BB14" s="1067"/>
      <c r="BC14" s="1067"/>
      <c r="BD14" s="1067"/>
      <c r="BE14" s="1067"/>
      <c r="BF14" s="1067"/>
      <c r="BG14" s="1067"/>
      <c r="BH14" s="1067"/>
      <c r="BI14" s="1067"/>
      <c r="BJ14" s="1067"/>
      <c r="BK14" s="1067"/>
      <c r="BL14" s="1067"/>
      <c r="BM14" s="1067"/>
      <c r="BN14" s="1067"/>
      <c r="BO14" s="1067"/>
      <c r="BP14" s="1067"/>
      <c r="BQ14" s="1067"/>
      <c r="BR14" s="1067"/>
      <c r="BS14" s="1067"/>
      <c r="BT14" s="1067"/>
      <c r="BU14" s="1067"/>
      <c r="BV14" s="55"/>
      <c r="BW14" s="53"/>
      <c r="BY14" s="1086"/>
      <c r="CE14" s="52" t="s">
        <v>270</v>
      </c>
      <c r="CF14" s="52" t="s">
        <v>269</v>
      </c>
    </row>
    <row r="15" spans="2:86" ht="12" customHeight="1">
      <c r="B15" s="51"/>
      <c r="C15" s="52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9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  <c r="AO15" s="84"/>
      <c r="AP15" s="84"/>
      <c r="AQ15" s="84"/>
      <c r="AR15" s="84"/>
      <c r="AS15" s="84"/>
      <c r="AT15" s="84"/>
      <c r="AU15" s="84"/>
      <c r="AV15" s="84"/>
      <c r="AW15" s="84"/>
      <c r="AX15" s="84"/>
      <c r="AY15" s="84"/>
      <c r="AZ15" s="84"/>
      <c r="BA15" s="84"/>
      <c r="BB15" s="84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84"/>
      <c r="BS15" s="84"/>
      <c r="BT15" s="84"/>
      <c r="BU15" s="84"/>
      <c r="BV15" s="55"/>
      <c r="BW15" s="53"/>
      <c r="BY15" s="1086"/>
      <c r="CD15" s="150"/>
      <c r="CE15" s="150"/>
      <c r="CF15" s="150"/>
    </row>
    <row r="16" spans="2:86" ht="30.75" customHeight="1">
      <c r="B16" s="51"/>
      <c r="C16" s="52"/>
      <c r="D16" s="58" t="s">
        <v>5</v>
      </c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 t="s">
        <v>3</v>
      </c>
      <c r="R16" s="1089" t="str">
        <f>"Pembelian "&amp;IF(M4&lt;&gt;"KELAPA BULAT",BD18,IF(BD19&lt;&gt;"",BD18&amp;" dan "&amp;BD19,BD18))&amp;" tanggal "&amp;TEXT(DATE(AI2,Z2,Q2),"[$-21]DD MMMM YYYY;@")</f>
        <v>Pembelian Kelapa Bulat Type A tanggal 02 April 2020</v>
      </c>
      <c r="S16" s="1089"/>
      <c r="T16" s="1089"/>
      <c r="U16" s="1089"/>
      <c r="V16" s="1089"/>
      <c r="W16" s="1089"/>
      <c r="X16" s="1089"/>
      <c r="Y16" s="1089"/>
      <c r="Z16" s="1089"/>
      <c r="AA16" s="1089"/>
      <c r="AB16" s="1089"/>
      <c r="AC16" s="1089"/>
      <c r="AD16" s="1089"/>
      <c r="AE16" s="1089"/>
      <c r="AF16" s="1089"/>
      <c r="AG16" s="1089"/>
      <c r="AH16" s="1089"/>
      <c r="AI16" s="1089"/>
      <c r="AJ16" s="1089"/>
      <c r="AK16" s="1089"/>
      <c r="AL16" s="1089"/>
      <c r="AM16" s="1089"/>
      <c r="AN16" s="1089"/>
      <c r="AO16" s="1089"/>
      <c r="AP16" s="1089"/>
      <c r="AQ16" s="1089"/>
      <c r="AR16" s="1089"/>
      <c r="AS16" s="1089"/>
      <c r="AT16" s="1089"/>
      <c r="AU16" s="1089"/>
      <c r="AV16" s="1089"/>
      <c r="AW16" s="1089"/>
      <c r="AX16" s="1089"/>
      <c r="AY16" s="1089"/>
      <c r="AZ16" s="1089"/>
      <c r="BA16" s="1089"/>
      <c r="BB16" s="1089"/>
      <c r="BC16" s="1089"/>
      <c r="BD16" s="1089"/>
      <c r="BE16" s="1089"/>
      <c r="BF16" s="1089"/>
      <c r="BG16" s="1089"/>
      <c r="BH16" s="1089"/>
      <c r="BI16" s="1089"/>
      <c r="BJ16" s="1089"/>
      <c r="BK16" s="1089"/>
      <c r="BL16" s="1089"/>
      <c r="BM16" s="1089"/>
      <c r="BN16" s="1089"/>
      <c r="BO16" s="1089"/>
      <c r="BP16" s="1089"/>
      <c r="BQ16" s="1089"/>
      <c r="BR16" s="1089"/>
      <c r="BS16" s="1089"/>
      <c r="BT16" s="1089"/>
      <c r="BU16" s="1089"/>
      <c r="BV16" s="55"/>
      <c r="BW16" s="53"/>
      <c r="BY16" s="1086"/>
      <c r="CD16" s="150" t="s">
        <v>260</v>
      </c>
      <c r="CE16" s="151">
        <f t="array" ref="CE16">SUMIFS(KB[NETTO2],KB[RELASI],M3,KB[NK],VLOOKUP($M$3,IF(KB[TANGGAL]=DATE(AI2,Z2,Q2),KB[[RELASI]:[TANGGAL]],""),2,0),KB[TYPE],"A")</f>
        <v>3045.6</v>
      </c>
      <c r="CF16" s="151">
        <f t="array" ref="CF16">SUMIFS(KB[TBAYAR2],KB[RELASI],M3,KB[NK],VLOOKUP($M$3,IF(KB[TANGGAL]=DATE(AI2,Z2,Q2),KB[[RELASI]:[TANGGAL]],""),2,0),KB[TYPE],"A")</f>
        <v>7652253</v>
      </c>
      <c r="CG16" s="52" t="str">
        <f t="array" ref="CG16">IFERROR(TEXT(VLOOKUP($M$3,IF(KB[NK]=VLOOKUP($M$3,IF(KB[TANGGAL]=DATE(AI2,Z2,Q2),KB[[RELASI]:[TANGGAL]],""),2,0),IF(KB[TYPE]="A",KB[[RELASI]:[TYPE]],""),""),4,0),"000")&amp;"/KB A-"&amp;M3&amp;"/PBL/"&amp;ROMAN(Z2)&amp;"/"&amp;AI2,"")</f>
        <v>037/KB A-HENDRI/PBL/IV/2020</v>
      </c>
      <c r="CH16" s="52" t="s">
        <v>53</v>
      </c>
    </row>
    <row r="17" spans="1:86" ht="30.75" customHeight="1">
      <c r="B17" s="51"/>
      <c r="C17" s="52"/>
      <c r="D17" s="62" t="s">
        <v>45</v>
      </c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94"/>
      <c r="Y17" s="94"/>
      <c r="Z17" s="94"/>
      <c r="AA17" s="94"/>
      <c r="AB17" s="94"/>
      <c r="AC17" s="94"/>
      <c r="AD17" s="94"/>
      <c r="AE17" s="94"/>
      <c r="AF17" s="1075" t="s">
        <v>44</v>
      </c>
      <c r="AG17" s="1075"/>
      <c r="AH17" s="1075"/>
      <c r="AI17" s="1075"/>
      <c r="AJ17" s="1075"/>
      <c r="AK17" s="1075"/>
      <c r="AL17" s="1075"/>
      <c r="AM17" s="62"/>
      <c r="AN17" s="62"/>
      <c r="AO17" s="93" t="s">
        <v>48</v>
      </c>
      <c r="AP17" s="93"/>
      <c r="AQ17" s="93"/>
      <c r="AR17" s="93"/>
      <c r="AS17" s="93"/>
      <c r="AT17" s="93"/>
      <c r="AU17" s="94"/>
      <c r="AV17" s="1075" t="s">
        <v>47</v>
      </c>
      <c r="AW17" s="1075"/>
      <c r="AX17" s="1075"/>
      <c r="AY17" s="1075"/>
      <c r="AZ17" s="1075"/>
      <c r="BA17" s="1075"/>
      <c r="BB17" s="1075"/>
      <c r="BC17" s="1075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55"/>
      <c r="BW17" s="53"/>
      <c r="BY17" s="1086"/>
      <c r="CD17" s="150" t="s">
        <v>264</v>
      </c>
      <c r="CE17" s="151">
        <f t="array" ref="CE17">SUMIFS(KB[NETTO2],KB[RELASI],M3,KB[NK],VLOOKUP($M$3,IF(KB[TANGGAL]=DATE(AI2,Z2,Q2),KB[[RELASI]:[TANGGAL]],""),2,0),KB[TYPE],"B")</f>
        <v>0</v>
      </c>
      <c r="CF17" s="151">
        <f t="array" ref="CF17">SUMIFS(KB[TBAYAR2],KB[RELASI],M3,KB[NK],VLOOKUP($M$3,IF(KB[TANGGAL]=DATE(AI2,Z2,Q2),KB[[RELASI]:[TANGGAL]],""),2,0),KB[TYPE],"B")</f>
        <v>0</v>
      </c>
      <c r="CG17" s="52" t="str">
        <f t="array" ref="CG17">IFERROR(TEXT(VLOOKUP($M$3,IF(KB[NK]=VLOOKUP($M$3,IF(KB[TANGGAL]=DATE(AI2,Z2,Q2),KB[[RELASI]:[TANGGAL]],""),2,0),IF(KB[TYPE]="B",KB[[RELASI]:[TYPE]],""),""),4,0),"000")&amp;"/KB B-"&amp;M3&amp;"/PBL/"&amp;ROMAN(Z2)&amp;"/"&amp;AI2,"")</f>
        <v/>
      </c>
      <c r="CH17" s="52" t="s">
        <v>49</v>
      </c>
    </row>
    <row r="18" spans="1:86" s="86" customFormat="1" ht="53.25" customHeight="1">
      <c r="A18" s="89"/>
      <c r="B18" s="85"/>
      <c r="D18" s="1065" t="str">
        <f>IFERROR(IF(VLOOKUP(M4,$CD$16:$CH$20,2,0)&lt;&gt;0,VLOOKUP(M4,$CD$16:$CH$20,4,0),VLOOKUP(M4&amp;" B",$CD$16:$CH$20,4,0)),VLOOKUP(M4,$CD$16:$CH$20,4,0))</f>
        <v>037/KB A-HENDRI/PBL/IV/2020</v>
      </c>
      <c r="E18" s="1065"/>
      <c r="F18" s="1065"/>
      <c r="G18" s="1065"/>
      <c r="H18" s="1065"/>
      <c r="I18" s="1065"/>
      <c r="J18" s="1065"/>
      <c r="K18" s="1065"/>
      <c r="L18" s="1065"/>
      <c r="M18" s="1065"/>
      <c r="N18" s="1065"/>
      <c r="O18" s="1065"/>
      <c r="P18" s="1065"/>
      <c r="Q18" s="1065"/>
      <c r="R18" s="1065"/>
      <c r="S18" s="1065"/>
      <c r="T18" s="1065"/>
      <c r="U18" s="1065"/>
      <c r="V18" s="1065"/>
      <c r="W18" s="1065"/>
      <c r="X18" s="1065"/>
      <c r="Y18" s="1065"/>
      <c r="Z18" s="1065"/>
      <c r="AA18" s="1065"/>
      <c r="AB18" s="1065"/>
      <c r="AC18" s="1065"/>
      <c r="AD18" s="1065"/>
      <c r="AE18" s="1065"/>
      <c r="AF18" s="1087">
        <f>IFERROR(IF(VLOOKUP(M4,$CD$16:$CH$20,2,0)&lt;&gt;0,VLOOKUP(M4,$CD$16:$CH$20,2,0),VLOOKUP(M4&amp;" B",$CD$16:$CH$20,2,0)),VLOOKUP(M4,$CD$16:$CH$20,2,0))</f>
        <v>3045.6</v>
      </c>
      <c r="AG18" s="1087"/>
      <c r="AH18" s="1087"/>
      <c r="AI18" s="1087"/>
      <c r="AJ18" s="1087"/>
      <c r="AK18" s="1087"/>
      <c r="AL18" s="1087"/>
      <c r="AM18" s="90" t="s">
        <v>46</v>
      </c>
      <c r="AN18" s="90"/>
      <c r="AO18" s="1078">
        <f>HARGA</f>
        <v>2512.560086682427</v>
      </c>
      <c r="AP18" s="1078"/>
      <c r="AQ18" s="1078"/>
      <c r="AR18" s="1078"/>
      <c r="AS18" s="1078"/>
      <c r="AT18" s="1078"/>
      <c r="AU18" s="1078"/>
      <c r="AV18" s="1077">
        <f>IFERROR(IF(VLOOKUP(M4,$CD$16:$CH$20,2,0)&lt;&gt;0,VLOOKUP(M4,$CD$16:$CH$20,3,0),VLOOKUP(M4&amp;" B",$CD$16:$CH$20,3,0)),VLOOKUP(M4,$CD$16:$CH$20,3,FALSE))</f>
        <v>7652253</v>
      </c>
      <c r="AW18" s="1077"/>
      <c r="AX18" s="1077"/>
      <c r="AY18" s="1077"/>
      <c r="AZ18" s="1077"/>
      <c r="BA18" s="1077"/>
      <c r="BB18" s="1077"/>
      <c r="BC18" s="1077"/>
      <c r="BD18" s="91" t="str">
        <f>IFERROR(IF(VLOOKUP(M4,$CD$16:$CH$20,2,0)&lt;&gt;0,VLOOKUP(M4,$CD$16:$CH$20,5,0),VLOOKUP(M4&amp;" B",$CD$16:$CH$20,5,0)),VLOOKUP(M4,$CD$16:$CH$20,5,0))</f>
        <v>Kelapa Bulat Type A</v>
      </c>
      <c r="BE18" s="92"/>
      <c r="BF18" s="92"/>
      <c r="BG18" s="92"/>
      <c r="BH18" s="92"/>
      <c r="BI18" s="92"/>
      <c r="BJ18" s="92"/>
      <c r="BK18" s="92"/>
      <c r="BL18" s="92"/>
      <c r="BM18" s="92"/>
      <c r="BN18" s="92"/>
      <c r="BO18" s="92"/>
      <c r="BP18" s="92"/>
      <c r="BQ18" s="92"/>
      <c r="BR18" s="92"/>
      <c r="BS18" s="92"/>
      <c r="BT18" s="92"/>
      <c r="BU18" s="92"/>
      <c r="BV18" s="87"/>
      <c r="BW18" s="88"/>
      <c r="BX18" s="89"/>
      <c r="BY18" s="1086"/>
      <c r="CD18" s="150" t="s">
        <v>261</v>
      </c>
      <c r="CE18" s="151">
        <f t="array" ref="CE18">SUMIFS(KBS[NETTO2],KBS[RELASI],M3,KBS[NK],VLOOKUP($M$3,IF(KBS[TANGGAL]=DATE(AI2,Z2,Q2),KBS[[RELASI]:[TANGGAL]],""),2,0))</f>
        <v>0</v>
      </c>
      <c r="CF18" s="151">
        <f t="array" ref="CF18">SUMIFS(KBS[TBAYAR2],KBS[RELASI],M3,KBS[NK],VLOOKUP($M$3,IF(KBS[TANGGAL]=DATE(AI2,Z2,Q2),KBS[[RELASI]:[TANGGAL]],""),2,0))</f>
        <v>0</v>
      </c>
      <c r="CG18" s="52" t="str">
        <f t="array" ref="CG18">IFERROR(VLOOKUP($M$3,IF(KBS[TANGGAL]=DATE(AI2,Z2,Q2),KBS[[RELASI]:[TANGGAL]],""),4,FALSE)&amp;"/KBS-"&amp;M3&amp;"/PBL/"&amp;ROMAN(Z2)&amp;"/"&amp;AI2,"")</f>
        <v/>
      </c>
      <c r="CH18" s="52" t="s">
        <v>265</v>
      </c>
    </row>
    <row r="19" spans="1:86" s="86" customFormat="1" ht="53.25" customHeight="1">
      <c r="A19" s="89"/>
      <c r="B19" s="85"/>
      <c r="D19" s="1065" t="str">
        <f>IFERROR(IF(D18&lt;&gt;VLOOKUP(M4&amp;" B",$CD$16:$CH$20,4,0),VLOOKUP(M4&amp;" B",$CD$16:$CH$20,4,0),""),"")</f>
        <v/>
      </c>
      <c r="E19" s="1065"/>
      <c r="F19" s="1065"/>
      <c r="G19" s="1065"/>
      <c r="H19" s="1065"/>
      <c r="I19" s="1065"/>
      <c r="J19" s="1065"/>
      <c r="K19" s="1065"/>
      <c r="L19" s="1065"/>
      <c r="M19" s="1065"/>
      <c r="N19" s="1065"/>
      <c r="O19" s="1065"/>
      <c r="P19" s="1065"/>
      <c r="Q19" s="1065"/>
      <c r="R19" s="1065"/>
      <c r="S19" s="1065"/>
      <c r="T19" s="1065"/>
      <c r="U19" s="1065"/>
      <c r="V19" s="1065"/>
      <c r="W19" s="1065"/>
      <c r="X19" s="1065"/>
      <c r="Y19" s="1065"/>
      <c r="Z19" s="1065"/>
      <c r="AA19" s="1065"/>
      <c r="AB19" s="1065"/>
      <c r="AC19" s="1065"/>
      <c r="AD19" s="1065"/>
      <c r="AE19" s="1065"/>
      <c r="AF19" s="1087" t="str">
        <f>IFERROR(IF(D19&lt;&gt;"",IF(D18&lt;&gt;VLOOKUP(M4&amp;" B",$CD$16:$CH$20,4,0),VLOOKUP(M4&amp;" B",$CD$16:$CH$20,2,0),""),""),"")</f>
        <v/>
      </c>
      <c r="AG19" s="1087"/>
      <c r="AH19" s="1087"/>
      <c r="AI19" s="1087"/>
      <c r="AJ19" s="1087"/>
      <c r="AK19" s="1087"/>
      <c r="AL19" s="1087"/>
      <c r="AM19" s="90" t="str">
        <f>IF(AF19&lt;&gt;"","Kg","")</f>
        <v/>
      </c>
      <c r="AN19" s="90"/>
      <c r="AO19" s="1078" t="str">
        <f>HARGA</f>
        <v/>
      </c>
      <c r="AP19" s="1078"/>
      <c r="AQ19" s="1078"/>
      <c r="AR19" s="1078"/>
      <c r="AS19" s="1078"/>
      <c r="AT19" s="1078"/>
      <c r="AU19" s="1078"/>
      <c r="AV19" s="1077" t="str">
        <f>IFERROR(IF(D19&lt;&gt;"",IF(D18&lt;&gt;VLOOKUP(M4&amp;" B",$CD$16:$CH$20,4,0),VLOOKUP(M4&amp;" B",$CD$16:$CH$20,3,0),""),""),"")</f>
        <v/>
      </c>
      <c r="AW19" s="1077"/>
      <c r="AX19" s="1077"/>
      <c r="AY19" s="1077"/>
      <c r="AZ19" s="1077"/>
      <c r="BA19" s="1077"/>
      <c r="BB19" s="1077"/>
      <c r="BC19" s="1077"/>
      <c r="BD19" s="91" t="str">
        <f>IFERROR(IF(D19&lt;&gt;"",IF(D18&lt;&gt;VLOOKUP(M4&amp;" B",$CD$16:$CH$20,4,0),VLOOKUP(M4&amp;" B",$CD$16:$CH$20,5,0),""),""),"")</f>
        <v/>
      </c>
      <c r="BE19" s="92"/>
      <c r="BF19" s="92"/>
      <c r="BG19" s="92"/>
      <c r="BH19" s="92"/>
      <c r="BI19" s="92"/>
      <c r="BJ19" s="92"/>
      <c r="BK19" s="92"/>
      <c r="BL19" s="92"/>
      <c r="BM19" s="92"/>
      <c r="BN19" s="92"/>
      <c r="BO19" s="92"/>
      <c r="BP19" s="92"/>
      <c r="BQ19" s="92"/>
      <c r="BR19" s="92"/>
      <c r="BS19" s="92"/>
      <c r="BT19" s="92"/>
      <c r="BU19" s="92"/>
      <c r="BV19" s="87"/>
      <c r="BW19" s="88"/>
      <c r="BX19" s="89"/>
      <c r="BY19" s="1086"/>
      <c r="CD19" s="150" t="s">
        <v>251</v>
      </c>
      <c r="CE19" s="151">
        <f t="array" ref="CE19">SUMIFS(KPR[NETTOB],KPR[RELASI],M3,KPR[NK],VLOOKUP($M$3,IF(KPR[TANGGAL]=DATE(AI2,Z2,Q2),KPR[[RELASI]:[TANGGAL]],""),2,0))</f>
        <v>0</v>
      </c>
      <c r="CF19" s="151">
        <f t="array" ref="CF19">SUMIFS(KPR[TBAYAR2],KPR[RELASI],M3,KPR[NK],VLOOKUP($M$3,IF(KPR[TANGGAL]=DATE(AI2,Z2,Q2),KPR[[RELASI]:[TANGGAL]],""),2,0))</f>
        <v>0</v>
      </c>
      <c r="CG19" s="52" t="str">
        <f t="array" ref="CG19">IFERROR(VLOOKUP($M$3,IF(KPR[TANGGAL]=DATE(AI2,Z2,Q2),KPR[[RELASI]:[TANGGAL]],""),4,FALSE)&amp;"/KPR-"&amp;M3&amp;"/PBL/"&amp;ROMAN(Z2)&amp;"/"&amp;AI2,"")</f>
        <v/>
      </c>
      <c r="CH19" s="52" t="s">
        <v>259</v>
      </c>
    </row>
    <row r="20" spans="1:86" ht="45.75" customHeight="1">
      <c r="B20" s="51"/>
      <c r="C20" s="52"/>
      <c r="D20" s="61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82"/>
      <c r="AA20" s="62"/>
      <c r="AB20" s="62"/>
      <c r="AC20" s="62"/>
      <c r="AD20" s="82">
        <v>0</v>
      </c>
      <c r="AG20" s="95"/>
      <c r="AH20" s="95"/>
      <c r="AI20" s="95"/>
      <c r="AK20" s="95"/>
      <c r="AL20" s="95"/>
      <c r="AM20" s="63" t="s">
        <v>50</v>
      </c>
      <c r="AN20" s="143"/>
      <c r="AO20" s="143"/>
      <c r="AP20" s="143"/>
      <c r="AQ20" s="143"/>
      <c r="AR20" s="143"/>
      <c r="AS20" s="143"/>
      <c r="AT20" s="1076">
        <f>SUM(AV18:BC19)</f>
        <v>7652253</v>
      </c>
      <c r="AU20" s="1076"/>
      <c r="AV20" s="1076"/>
      <c r="AW20" s="1076"/>
      <c r="AX20" s="1076"/>
      <c r="AY20" s="1076"/>
      <c r="AZ20" s="1076"/>
      <c r="BA20" s="1076"/>
      <c r="BB20" s="1076"/>
      <c r="BC20" s="1076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55"/>
      <c r="BW20" s="53"/>
      <c r="BY20" s="1086"/>
      <c r="CD20" s="150" t="s">
        <v>262</v>
      </c>
      <c r="CE20" s="151">
        <f t="array" ref="CE20">SUMIFS(ARG[NETTO3],ARG[RELASI],M3,ARG[NK],VLOOKUP($M$3,IF(ARG[TANGGAL]=DATE(AI2,Z2,Q2),ARG[[RELASI]:[TANGGAL]],""),2,0))</f>
        <v>0</v>
      </c>
      <c r="CF20" s="151">
        <f t="array" ref="CF20">SUMIFS(ARG[TBAYAR2],ARG[RELASI],M3,ARG[NK],VLOOKUP($M$3,IF(ARG[TANGGAL]=DATE(AI2,Z2,Q2),ARG[[RELASI]:[TANGGAL]],""),2,0))</f>
        <v>0</v>
      </c>
      <c r="CG20" s="52" t="str">
        <f t="array" ref="CG20">IFERROR(VLOOKUP($M$3,IF(ARG[TANGGAL]=DATE(AI2,Z2,Q2),ARG[[RELASI]:[TANGGAL]],""),2,FALSE)&amp;"/KOPRA-"&amp;M3&amp;"/PBL/"&amp;ROMAN(Z2)&amp;"/"&amp;AI2,"")</f>
        <v/>
      </c>
      <c r="CH20" s="52" t="s">
        <v>263</v>
      </c>
    </row>
    <row r="21" spans="1:86" ht="30.75" customHeight="1">
      <c r="B21" s="51"/>
      <c r="C21" s="52"/>
      <c r="D21" s="1072" t="str">
        <f>IFERROR("Mohon dapat di Transfer ke Rekening atas nama "&amp;VLOOKUP(M3,DBRELASI[[RELASI]:[CABANG]],3,0)&amp;", no Rek: "&amp;VLOOKUP(M3,DBRELASI[[RELASI]:[CABANG]],4,0)&amp;", "&amp;VLOOKUP(M3,DBRELASI[[RELASI]:[CABANG]],5,0)&amp;" "&amp;VLOOKUP(M3,DBRELASI[[RELASI]:[CABANG]],6,0)&amp;"","")&amp;"."</f>
        <v>Mohon dapat di Transfer ke Rekening atas nama HENDRI SE, no Rek: 0175-01-001023-56-9, BRI Kanca Tembilahan.</v>
      </c>
      <c r="E21" s="1073"/>
      <c r="F21" s="1073"/>
      <c r="G21" s="1073"/>
      <c r="H21" s="1073"/>
      <c r="I21" s="1073"/>
      <c r="J21" s="1073"/>
      <c r="K21" s="1073"/>
      <c r="L21" s="1073"/>
      <c r="M21" s="1073"/>
      <c r="N21" s="1073"/>
      <c r="O21" s="1073"/>
      <c r="P21" s="1073"/>
      <c r="Q21" s="1073"/>
      <c r="R21" s="1073"/>
      <c r="S21" s="1073"/>
      <c r="T21" s="1073"/>
      <c r="U21" s="1073"/>
      <c r="V21" s="1073"/>
      <c r="W21" s="1073"/>
      <c r="X21" s="1073"/>
      <c r="Y21" s="1073"/>
      <c r="Z21" s="1073"/>
      <c r="AA21" s="1073"/>
      <c r="AB21" s="1073"/>
      <c r="AC21" s="1073"/>
      <c r="AD21" s="1073"/>
      <c r="AE21" s="1073"/>
      <c r="AF21" s="1073"/>
      <c r="AG21" s="1073"/>
      <c r="AH21" s="1073"/>
      <c r="AI21" s="1073"/>
      <c r="AJ21" s="1073"/>
      <c r="AK21" s="1073"/>
      <c r="AL21" s="1073"/>
      <c r="AM21" s="1073"/>
      <c r="AN21" s="1073"/>
      <c r="AO21" s="1073"/>
      <c r="AP21" s="1073"/>
      <c r="AQ21" s="1073"/>
      <c r="AR21" s="1073"/>
      <c r="AS21" s="1073"/>
      <c r="AT21" s="1073"/>
      <c r="AU21" s="1073"/>
      <c r="AV21" s="1073"/>
      <c r="AW21" s="1073"/>
      <c r="AX21" s="1073"/>
      <c r="AY21" s="1073"/>
      <c r="AZ21" s="1073"/>
      <c r="BA21" s="1073"/>
      <c r="BB21" s="1073"/>
      <c r="BC21" s="1073"/>
      <c r="BD21" s="1073"/>
      <c r="BE21" s="1073"/>
      <c r="BF21" s="1073"/>
      <c r="BG21" s="1073"/>
      <c r="BH21" s="1073"/>
      <c r="BI21" s="1073"/>
      <c r="BJ21" s="1073"/>
      <c r="BK21" s="1073"/>
      <c r="BL21" s="1073"/>
      <c r="BM21" s="1073"/>
      <c r="BN21" s="1073"/>
      <c r="BO21" s="1073"/>
      <c r="BP21" s="1073"/>
      <c r="BQ21" s="1073"/>
      <c r="BR21" s="1073"/>
      <c r="BS21" s="1073"/>
      <c r="BT21" s="1073"/>
      <c r="BU21" s="1073"/>
      <c r="BV21" s="55"/>
      <c r="BW21" s="53"/>
    </row>
    <row r="22" spans="1:86" ht="30.75" customHeight="1">
      <c r="B22" s="51"/>
      <c r="C22" s="52"/>
      <c r="D22" s="1074"/>
      <c r="E22" s="1074"/>
      <c r="F22" s="1074"/>
      <c r="G22" s="1074"/>
      <c r="H22" s="1074"/>
      <c r="I22" s="1074"/>
      <c r="J22" s="1074"/>
      <c r="K22" s="1074"/>
      <c r="L22" s="1074"/>
      <c r="M22" s="1074"/>
      <c r="N22" s="1074"/>
      <c r="O22" s="1074"/>
      <c r="P22" s="1074"/>
      <c r="Q22" s="1074"/>
      <c r="R22" s="1074"/>
      <c r="S22" s="1074"/>
      <c r="T22" s="1074"/>
      <c r="U22" s="1074"/>
      <c r="V22" s="1074"/>
      <c r="W22" s="1074"/>
      <c r="X22" s="1074"/>
      <c r="Y22" s="1074"/>
      <c r="Z22" s="1074"/>
      <c r="AA22" s="1074"/>
      <c r="AB22" s="1074"/>
      <c r="AC22" s="1074"/>
      <c r="AD22" s="1074"/>
      <c r="AE22" s="1074"/>
      <c r="AF22" s="1074"/>
      <c r="AG22" s="1074"/>
      <c r="AH22" s="1074"/>
      <c r="AI22" s="1074"/>
      <c r="AJ22" s="1074"/>
      <c r="AK22" s="1074"/>
      <c r="AL22" s="1074"/>
      <c r="AM22" s="1074"/>
      <c r="AN22" s="1074"/>
      <c r="AO22" s="1074"/>
      <c r="AP22" s="1074"/>
      <c r="AQ22" s="1074"/>
      <c r="AR22" s="1074"/>
      <c r="AS22" s="1074"/>
      <c r="AT22" s="1074"/>
      <c r="AU22" s="1074"/>
      <c r="AV22" s="1074"/>
      <c r="AW22" s="1074"/>
      <c r="AX22" s="1074"/>
      <c r="AY22" s="1074"/>
      <c r="AZ22" s="1074"/>
      <c r="BA22" s="1074"/>
      <c r="BB22" s="1074"/>
      <c r="BC22" s="1074"/>
      <c r="BD22" s="1074"/>
      <c r="BE22" s="1074"/>
      <c r="BF22" s="1074"/>
      <c r="BG22" s="1074"/>
      <c r="BH22" s="1074"/>
      <c r="BI22" s="1074"/>
      <c r="BJ22" s="1074"/>
      <c r="BK22" s="1074"/>
      <c r="BL22" s="1074"/>
      <c r="BM22" s="1074"/>
      <c r="BN22" s="1074"/>
      <c r="BO22" s="1074"/>
      <c r="BP22" s="1074"/>
      <c r="BQ22" s="1074"/>
      <c r="BR22" s="1074"/>
      <c r="BS22" s="1074"/>
      <c r="BT22" s="1074"/>
      <c r="BU22" s="1074"/>
      <c r="BV22" s="55"/>
      <c r="BW22" s="53"/>
    </row>
    <row r="23" spans="1:86" ht="12.75" customHeight="1" thickBot="1">
      <c r="B23" s="51"/>
      <c r="C23" s="52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5"/>
      <c r="BW23" s="53"/>
    </row>
    <row r="24" spans="1:86" ht="30.75" customHeight="1" thickTop="1" thickBot="1">
      <c r="B24" s="51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1079" t="str">
        <f>IFERROR(VLOOKUP($M$3,DBRELASI[[RELASI]:[NAMA KWI]],2,0)&amp;", "&amp;TEXT(DATE(AI2,Z2,Q2)+BY24,"[$-21]DD MMMM YYYY;@"),"")</f>
        <v>Tembilahan, 03 April 2020</v>
      </c>
      <c r="AU24" s="1079"/>
      <c r="AV24" s="1079"/>
      <c r="AW24" s="1079"/>
      <c r="AX24" s="1079"/>
      <c r="AY24" s="1079"/>
      <c r="AZ24" s="1079"/>
      <c r="BA24" s="1079"/>
      <c r="BB24" s="1079"/>
      <c r="BC24" s="1079"/>
      <c r="BD24" s="1079"/>
      <c r="BE24" s="1079"/>
      <c r="BF24" s="1079"/>
      <c r="BG24" s="1079"/>
      <c r="BH24" s="1079"/>
      <c r="BI24" s="1079"/>
      <c r="BJ24" s="1079"/>
      <c r="BK24" s="1079"/>
      <c r="BL24" s="1079"/>
      <c r="BM24" s="1079"/>
      <c r="BN24" s="1079"/>
      <c r="BO24" s="1079"/>
      <c r="BP24" s="1079"/>
      <c r="BQ24" s="1079"/>
      <c r="BR24" s="1079"/>
      <c r="BS24" s="1079"/>
      <c r="BT24" s="1079"/>
      <c r="BU24" s="1079"/>
      <c r="BV24" s="55"/>
      <c r="BW24" s="53"/>
      <c r="BY24" s="144">
        <v>1</v>
      </c>
    </row>
    <row r="25" spans="1:86" ht="31.5" customHeight="1" thickTop="1" thickBot="1">
      <c r="B25" s="51"/>
      <c r="C25" s="52"/>
      <c r="D25" s="54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52"/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5"/>
      <c r="BW25" s="53"/>
    </row>
    <row r="26" spans="1:86" ht="67.5" customHeight="1" thickBot="1">
      <c r="B26" s="51"/>
      <c r="C26" s="52"/>
      <c r="D26" s="1068" t="s">
        <v>6</v>
      </c>
      <c r="E26" s="1068"/>
      <c r="F26" s="1068"/>
      <c r="G26" s="1068"/>
      <c r="H26" s="1069">
        <f>AT20</f>
        <v>7652253</v>
      </c>
      <c r="I26" s="1069"/>
      <c r="J26" s="1069"/>
      <c r="K26" s="1069"/>
      <c r="L26" s="1069"/>
      <c r="M26" s="1069"/>
      <c r="N26" s="1069"/>
      <c r="O26" s="1069"/>
      <c r="P26" s="1069"/>
      <c r="Q26" s="1069"/>
      <c r="R26" s="1069"/>
      <c r="S26" s="1069"/>
      <c r="T26" s="1069"/>
      <c r="U26" s="1069"/>
      <c r="V26" s="1069"/>
      <c r="W26" s="1069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65"/>
      <c r="AW26" s="65"/>
      <c r="AX26" s="65"/>
      <c r="AY26" s="65"/>
      <c r="AZ26" s="65"/>
      <c r="BA26" s="65"/>
      <c r="BB26" s="65"/>
      <c r="BC26" s="65"/>
      <c r="BD26" s="65"/>
      <c r="BE26" s="52"/>
      <c r="BF26" s="52"/>
      <c r="BG26" s="52"/>
      <c r="BH26" s="52"/>
      <c r="BI26" s="52"/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5"/>
      <c r="BW26" s="53"/>
    </row>
    <row r="27" spans="1:86" ht="30.75" customHeight="1">
      <c r="B27" s="51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BQ27" s="52"/>
      <c r="BR27" s="52"/>
      <c r="BS27" s="52"/>
      <c r="BT27" s="52"/>
      <c r="BU27" s="52"/>
      <c r="BV27" s="55"/>
      <c r="BW27" s="53"/>
    </row>
    <row r="28" spans="1:86" ht="30.75" customHeight="1">
      <c r="B28" s="51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7" t="s">
        <v>7</v>
      </c>
      <c r="AX28" s="1064" t="str">
        <f>IFERROR(VLOOKUP($M$3,DBRELASI[[RELASI]:[NAMA KWI]],1,FALSE),"")</f>
        <v>HENDRI</v>
      </c>
      <c r="AY28" s="1064"/>
      <c r="AZ28" s="1064"/>
      <c r="BA28" s="1064"/>
      <c r="BB28" s="1064"/>
      <c r="BC28" s="1064"/>
      <c r="BD28" s="1064"/>
      <c r="BE28" s="1064"/>
      <c r="BF28" s="1064"/>
      <c r="BG28" s="1064"/>
      <c r="BH28" s="1064"/>
      <c r="BI28" s="1064"/>
      <c r="BJ28" s="1064"/>
      <c r="BK28" s="1064"/>
      <c r="BL28" s="1064"/>
      <c r="BM28" s="1064"/>
      <c r="BN28" s="1064"/>
      <c r="BO28" s="1064"/>
      <c r="BP28" s="1064"/>
      <c r="BQ28" s="1064"/>
      <c r="BR28" s="57" t="s">
        <v>8</v>
      </c>
      <c r="BS28" s="52"/>
      <c r="BT28" s="52"/>
      <c r="BU28" s="52"/>
      <c r="BV28" s="55"/>
      <c r="BW28" s="53"/>
    </row>
    <row r="29" spans="1:86" ht="30.75" customHeight="1">
      <c r="B29" s="51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0"/>
      <c r="BO29" s="60"/>
      <c r="BP29" s="60"/>
      <c r="BQ29" s="52"/>
      <c r="BR29" s="52"/>
      <c r="BS29" s="52"/>
      <c r="BT29" s="52"/>
      <c r="BU29" s="52"/>
      <c r="BV29" s="55"/>
      <c r="BW29" s="53"/>
    </row>
    <row r="30" spans="1:86" ht="32.25" customHeight="1" thickBot="1">
      <c r="B30" s="66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7"/>
      <c r="BH30" s="67"/>
      <c r="BI30" s="67"/>
      <c r="BJ30" s="67"/>
      <c r="BK30" s="67"/>
      <c r="BL30" s="67"/>
      <c r="BM30" s="67"/>
      <c r="BN30" s="67"/>
      <c r="BO30" s="67"/>
      <c r="BP30" s="67"/>
      <c r="BQ30" s="67"/>
      <c r="BR30" s="67"/>
      <c r="BS30" s="67"/>
      <c r="BT30" s="67"/>
      <c r="BU30" s="67"/>
      <c r="BV30" s="67"/>
      <c r="BW30" s="68"/>
    </row>
    <row r="31" spans="1:86" ht="30.75" customHeight="1" thickTop="1"/>
  </sheetData>
  <sheetProtection sheet="1" objects="1" scenarios="1"/>
  <mergeCells count="30">
    <mergeCell ref="BY12:BY20"/>
    <mergeCell ref="AF18:AL18"/>
    <mergeCell ref="AF19:AL19"/>
    <mergeCell ref="AV18:BC18"/>
    <mergeCell ref="D9:F9"/>
    <mergeCell ref="R16:BU16"/>
    <mergeCell ref="R11:BU11"/>
    <mergeCell ref="AH9:BE10"/>
    <mergeCell ref="BX2:BX3"/>
    <mergeCell ref="AI2:AO2"/>
    <mergeCell ref="M3:AO3"/>
    <mergeCell ref="M4:AO4"/>
    <mergeCell ref="Q2:R2"/>
    <mergeCell ref="Z2:AA2"/>
    <mergeCell ref="AX28:BQ28"/>
    <mergeCell ref="D18:AE18"/>
    <mergeCell ref="D19:AE19"/>
    <mergeCell ref="R13:BU14"/>
    <mergeCell ref="D26:G26"/>
    <mergeCell ref="H26:W26"/>
    <mergeCell ref="D13:P14"/>
    <mergeCell ref="Q13:Q14"/>
    <mergeCell ref="D21:BU22"/>
    <mergeCell ref="AV17:BC17"/>
    <mergeCell ref="AF17:AL17"/>
    <mergeCell ref="AT20:BC20"/>
    <mergeCell ref="AV19:BC19"/>
    <mergeCell ref="AO18:AU18"/>
    <mergeCell ref="AT24:BU24"/>
    <mergeCell ref="AO19:AU19"/>
  </mergeCells>
  <conditionalFormatting sqref="BY21:BY22">
    <cfRule type="cellIs" dxfId="83" priority="2" operator="greaterThan">
      <formula>300000000</formula>
    </cfRule>
  </conditionalFormatting>
  <conditionalFormatting sqref="BY12:BY20">
    <cfRule type="cellIs" dxfId="82" priority="1" operator="greaterThan">
      <formula>300000000</formula>
    </cfRule>
  </conditionalFormatting>
  <dataValidations count="1">
    <dataValidation type="list" allowBlank="1" showInputMessage="1" showErrorMessage="1" sqref="M4:AO4">
      <formula1>"KELAPA BULAT,KELAPA BERSABUT,KOPRA,ARANG,"</formula1>
    </dataValidation>
  </dataValidations>
  <pageMargins left="0.7" right="0.39" top="0.75" bottom="0.75" header="0.3" footer="0.3"/>
  <pageSetup paperSize="10002" scale="45" fitToHeight="0" orientation="portrait" horizontalDpi="300" verticalDpi="300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/>
  <dimension ref="A1:Q6"/>
  <sheetViews>
    <sheetView zoomScale="55" zoomScaleNormal="5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6" sqref="A6"/>
    </sheetView>
  </sheetViews>
  <sheetFormatPr defaultRowHeight="15"/>
  <cols>
    <col min="1" max="1" width="148.5703125" bestFit="1" customWidth="1"/>
    <col min="3" max="4" width="9.28515625" hidden="1" customWidth="1"/>
    <col min="5" max="5" width="9.5703125" hidden="1" customWidth="1"/>
    <col min="6" max="10" width="0" hidden="1" customWidth="1"/>
  </cols>
  <sheetData>
    <row r="1" spans="1:17" ht="99.95" customHeight="1">
      <c r="Q1" s="731" t="str">
        <f>Kuitansi!BX2</f>
        <v>1/1</v>
      </c>
    </row>
    <row r="2" spans="1:17" ht="93">
      <c r="A2" s="724" t="s">
        <v>464</v>
      </c>
      <c r="F2" t="s">
        <v>466</v>
      </c>
      <c r="G2" t="s">
        <v>468</v>
      </c>
      <c r="H2" s="157">
        <v>11.7</v>
      </c>
      <c r="I2" t="s">
        <v>469</v>
      </c>
    </row>
    <row r="3" spans="1:17" ht="99.75">
      <c r="A3" s="725"/>
      <c r="G3" t="s">
        <v>467</v>
      </c>
      <c r="H3" s="157">
        <v>8.3000000000000007</v>
      </c>
    </row>
    <row r="4" spans="1:17" ht="62.25">
      <c r="A4" s="727" t="s">
        <v>477</v>
      </c>
      <c r="H4" t="s">
        <v>465</v>
      </c>
    </row>
    <row r="5" spans="1:17" ht="87.75">
      <c r="A5" s="726" t="str">
        <f>UPPER(TEXT(DATE(E5,D5,C5),"[$-21]dd mmmm yyyy;@"))</f>
        <v>02 APRIL 2020</v>
      </c>
      <c r="C5" s="728">
        <f>Kuitansi!Q2</f>
        <v>2</v>
      </c>
      <c r="D5" s="728">
        <f>Kuitansi!Z2</f>
        <v>4</v>
      </c>
      <c r="E5" s="728">
        <f>Kuitansi!AI2</f>
        <v>2020</v>
      </c>
      <c r="F5" s="120"/>
      <c r="L5" t="s">
        <v>11</v>
      </c>
    </row>
    <row r="6" spans="1:17" ht="99.95" customHeight="1"/>
  </sheetData>
  <sheetProtection password="C46B" sheet="1" objects="1" scenarios="1"/>
  <printOptions horizontalCentered="1" verticalCentered="1"/>
  <pageMargins left="0.25" right="0.25" top="0.46" bottom="0.25" header="0.47" footer="0.3"/>
  <pageSetup paperSize="10000" orientation="landscape" horizontalDpi="180" verticalDpi="180" r:id="rId1"/>
  <drawing r:id="rId2"/>
  <legacyDrawing r:id="rId3"/>
  <legacyDrawingHF r:id="rId4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2">
    <tabColor theme="9" tint="-0.499984740745262"/>
  </sheetPr>
  <dimension ref="A1:AT43"/>
  <sheetViews>
    <sheetView zoomScale="85" zoomScaleNormal="85" workbookViewId="0">
      <pane xSplit="2" ySplit="6" topLeftCell="C7" activePane="bottomRight" state="frozen"/>
      <selection activeCell="G21" sqref="G21"/>
      <selection pane="topRight" activeCell="G21" sqref="G21"/>
      <selection pane="bottomLeft" activeCell="G21" sqref="G21"/>
      <selection pane="bottomRight" activeCell="K13" sqref="K13"/>
    </sheetView>
  </sheetViews>
  <sheetFormatPr defaultRowHeight="15"/>
  <cols>
    <col min="1" max="1" width="6.5703125" style="172" customWidth="1"/>
    <col min="2" max="2" width="15.7109375" style="172" customWidth="1"/>
    <col min="3" max="3" width="6" style="202" customWidth="1"/>
    <col min="4" max="4" width="5.5703125" style="202" bestFit="1" customWidth="1"/>
    <col min="5" max="5" width="6" style="172" bestFit="1" customWidth="1"/>
    <col min="6" max="6" width="13.7109375" style="172" customWidth="1"/>
    <col min="7" max="7" width="11.5703125" style="172" bestFit="1" customWidth="1"/>
    <col min="8" max="9" width="10.5703125" style="173" bestFit="1" customWidth="1"/>
    <col min="10" max="10" width="9.5703125" style="173" bestFit="1" customWidth="1"/>
    <col min="11" max="11" width="15.28515625" style="173" bestFit="1" customWidth="1"/>
    <col min="12" max="12" width="12" style="173" customWidth="1"/>
    <col min="13" max="13" width="10.140625" style="173" bestFit="1" customWidth="1"/>
    <col min="14" max="16" width="10.140625" style="173" customWidth="1"/>
    <col min="17" max="17" width="19.28515625" style="173" customWidth="1"/>
    <col min="18" max="18" width="4.28515625" style="202" customWidth="1"/>
    <col min="19" max="20" width="7.42578125" style="173" customWidth="1"/>
    <col min="21" max="22" width="12" style="173" customWidth="1"/>
    <col min="23" max="26" width="19" style="173" customWidth="1"/>
    <col min="27" max="27" width="19.28515625" style="173" customWidth="1"/>
    <col min="28" max="28" width="4.28515625" style="202" customWidth="1"/>
    <col min="29" max="30" width="7.42578125" style="173" customWidth="1"/>
    <col min="31" max="32" width="12" style="173" customWidth="1"/>
    <col min="33" max="33" width="19" style="173" customWidth="1"/>
    <col min="34" max="34" width="19.28515625" style="173" customWidth="1"/>
    <col min="35" max="35" width="4.28515625" style="202" customWidth="1"/>
    <col min="36" max="37" width="7.42578125" style="173" customWidth="1"/>
    <col min="38" max="39" width="12" style="173" customWidth="1"/>
    <col min="40" max="40" width="19" style="173" customWidth="1"/>
    <col min="41" max="41" width="19.28515625" style="173" customWidth="1"/>
    <col min="42" max="42" width="2.42578125" style="173" customWidth="1"/>
    <col min="43" max="43" width="24.28515625" style="173" bestFit="1" customWidth="1"/>
    <col min="44" max="16384" width="9.140625" style="173"/>
  </cols>
  <sheetData>
    <row r="1" spans="1:46" ht="8.25" customHeight="1">
      <c r="C1" s="172"/>
      <c r="D1" s="172"/>
      <c r="R1" s="172"/>
      <c r="AB1" s="172"/>
      <c r="AI1" s="172"/>
    </row>
    <row r="2" spans="1:46" ht="26.25">
      <c r="B2" s="174" t="s">
        <v>281</v>
      </c>
      <c r="C2" s="175"/>
      <c r="D2" s="176" t="s">
        <v>287</v>
      </c>
      <c r="E2" s="1092">
        <v>2020</v>
      </c>
      <c r="F2" s="1093"/>
      <c r="G2" s="1093"/>
      <c r="H2" s="1093"/>
      <c r="R2" s="172"/>
      <c r="AB2" s="172"/>
      <c r="AI2" s="172"/>
    </row>
    <row r="3" spans="1:46" ht="36">
      <c r="B3" s="174" t="s">
        <v>282</v>
      </c>
      <c r="C3" s="175"/>
      <c r="D3" s="176" t="s">
        <v>287</v>
      </c>
      <c r="E3" s="1094">
        <v>2</v>
      </c>
      <c r="F3" s="1095"/>
      <c r="G3" s="1095"/>
      <c r="H3" s="1095"/>
      <c r="R3" s="172"/>
      <c r="AB3" s="172"/>
      <c r="AI3" s="172"/>
    </row>
    <row r="4" spans="1:46" ht="3.75" customHeight="1">
      <c r="B4" s="177"/>
      <c r="C4" s="178"/>
      <c r="D4" s="176"/>
      <c r="E4" s="179"/>
      <c r="F4" s="178"/>
      <c r="G4" s="180"/>
      <c r="R4" s="172"/>
      <c r="AB4" s="172"/>
      <c r="AI4" s="172"/>
    </row>
    <row r="5" spans="1:46" ht="26.25">
      <c r="B5" s="174" t="s">
        <v>86</v>
      </c>
      <c r="C5" s="175"/>
      <c r="D5" s="176" t="s">
        <v>287</v>
      </c>
      <c r="E5" s="1092" t="s">
        <v>84</v>
      </c>
      <c r="F5" s="1093"/>
      <c r="G5" s="1093"/>
      <c r="H5" s="1093"/>
      <c r="R5" s="172"/>
      <c r="AA5" s="181"/>
      <c r="AB5" s="172"/>
      <c r="AH5" s="181"/>
      <c r="AI5" s="172"/>
      <c r="AO5" s="181"/>
      <c r="AQ5" s="181"/>
    </row>
    <row r="6" spans="1:46" s="186" customFormat="1" ht="8.25" customHeight="1">
      <c r="A6" s="182"/>
      <c r="B6" s="183"/>
      <c r="C6" s="184"/>
      <c r="D6" s="185"/>
      <c r="R6" s="182"/>
      <c r="AB6" s="182"/>
      <c r="AI6" s="182"/>
    </row>
    <row r="7" spans="1:46" s="186" customFormat="1" ht="30" customHeight="1" thickBot="1">
      <c r="A7" s="182"/>
      <c r="B7" s="187" t="s">
        <v>260</v>
      </c>
      <c r="C7" s="188"/>
      <c r="D7" s="188"/>
      <c r="E7" s="188"/>
      <c r="F7" s="188"/>
      <c r="G7" s="188"/>
      <c r="H7" s="188"/>
      <c r="I7" s="188"/>
      <c r="J7" s="188"/>
      <c r="K7" s="188"/>
      <c r="L7" s="188"/>
      <c r="M7" s="188"/>
      <c r="N7" s="1042"/>
      <c r="O7" s="1042"/>
      <c r="P7" s="1042"/>
      <c r="Q7" s="188"/>
      <c r="R7" s="187" t="s">
        <v>251</v>
      </c>
      <c r="S7" s="188"/>
      <c r="T7" s="188"/>
      <c r="U7" s="188"/>
      <c r="V7" s="188"/>
      <c r="W7" s="188"/>
      <c r="X7" s="290"/>
      <c r="Y7" s="290"/>
      <c r="Z7" s="290"/>
      <c r="AB7" s="187" t="s">
        <v>261</v>
      </c>
      <c r="AC7" s="188"/>
      <c r="AD7" s="188"/>
      <c r="AE7" s="188"/>
      <c r="AF7" s="188"/>
      <c r="AG7" s="188"/>
      <c r="AI7" s="187" t="s">
        <v>262</v>
      </c>
      <c r="AJ7" s="188"/>
      <c r="AK7" s="188"/>
      <c r="AL7" s="188"/>
      <c r="AM7" s="188"/>
      <c r="AN7" s="188"/>
      <c r="AP7" s="188"/>
    </row>
    <row r="8" spans="1:46" ht="30.75" customHeight="1" thickTop="1" thickBot="1">
      <c r="B8" s="189" t="s">
        <v>104</v>
      </c>
      <c r="C8" s="190" t="s">
        <v>249</v>
      </c>
      <c r="D8" s="190" t="s">
        <v>109</v>
      </c>
      <c r="E8" s="190" t="s">
        <v>809</v>
      </c>
      <c r="F8" s="190" t="s">
        <v>58</v>
      </c>
      <c r="G8" s="190" t="s">
        <v>59</v>
      </c>
      <c r="H8" s="190" t="s">
        <v>98</v>
      </c>
      <c r="I8" s="190" t="s">
        <v>89</v>
      </c>
      <c r="J8" s="190" t="s">
        <v>67</v>
      </c>
      <c r="K8" s="191" t="s">
        <v>280</v>
      </c>
      <c r="L8" s="192"/>
      <c r="M8" s="193" t="s">
        <v>109</v>
      </c>
      <c r="N8" s="190" t="s">
        <v>809</v>
      </c>
      <c r="O8" s="190" t="s">
        <v>58</v>
      </c>
      <c r="P8" s="190" t="s">
        <v>59</v>
      </c>
      <c r="Q8" s="190" t="s">
        <v>98</v>
      </c>
      <c r="R8" s="190" t="s">
        <v>89</v>
      </c>
      <c r="S8" s="190" t="s">
        <v>67</v>
      </c>
      <c r="T8" s="190" t="s">
        <v>280</v>
      </c>
      <c r="V8" s="195" t="s">
        <v>249</v>
      </c>
      <c r="W8" s="196" t="s">
        <v>109</v>
      </c>
      <c r="X8" s="196" t="s">
        <v>809</v>
      </c>
      <c r="Y8" s="196" t="s">
        <v>58</v>
      </c>
      <c r="Z8" s="196" t="s">
        <v>59</v>
      </c>
      <c r="AA8" s="196" t="s">
        <v>98</v>
      </c>
      <c r="AB8" s="196" t="s">
        <v>89</v>
      </c>
      <c r="AC8" s="196" t="s">
        <v>67</v>
      </c>
      <c r="AD8" s="197" t="s">
        <v>280</v>
      </c>
      <c r="AF8" s="264" t="s">
        <v>249</v>
      </c>
      <c r="AG8" s="265" t="s">
        <v>109</v>
      </c>
      <c r="AH8" s="265" t="s">
        <v>98</v>
      </c>
      <c r="AI8" s="265" t="s">
        <v>89</v>
      </c>
      <c r="AJ8" s="265" t="s">
        <v>67</v>
      </c>
      <c r="AK8" s="266" t="s">
        <v>280</v>
      </c>
      <c r="AM8" s="198" t="s">
        <v>249</v>
      </c>
      <c r="AN8" s="199" t="s">
        <v>109</v>
      </c>
      <c r="AO8" s="199" t="s">
        <v>98</v>
      </c>
      <c r="AP8" s="199" t="s">
        <v>89</v>
      </c>
      <c r="AQ8" s="199" t="s">
        <v>67</v>
      </c>
      <c r="AR8" s="200" t="s">
        <v>280</v>
      </c>
      <c r="AT8" s="201" t="s">
        <v>280</v>
      </c>
    </row>
    <row r="9" spans="1:46" ht="5.0999999999999996" customHeight="1" thickTop="1">
      <c r="A9" s="202"/>
      <c r="B9" s="203"/>
      <c r="C9" s="204"/>
      <c r="D9" s="204"/>
      <c r="E9" s="204"/>
      <c r="F9" s="204"/>
      <c r="G9" s="204"/>
      <c r="H9" s="204"/>
      <c r="I9" s="204"/>
      <c r="J9" s="204"/>
      <c r="K9" s="205"/>
      <c r="L9" s="206"/>
      <c r="M9" s="207"/>
      <c r="N9" s="207"/>
      <c r="O9" s="207"/>
      <c r="P9" s="207"/>
      <c r="Q9" s="207"/>
      <c r="R9" s="204"/>
      <c r="S9" s="204"/>
      <c r="T9" s="204"/>
      <c r="V9" s="208"/>
      <c r="W9" s="209"/>
      <c r="X9" s="209"/>
      <c r="Y9" s="209"/>
      <c r="Z9" s="209"/>
      <c r="AA9" s="209"/>
      <c r="AB9" s="209"/>
      <c r="AC9" s="209"/>
      <c r="AD9" s="210"/>
      <c r="AF9" s="208"/>
      <c r="AG9" s="209"/>
      <c r="AH9" s="209"/>
      <c r="AI9" s="209"/>
      <c r="AJ9" s="209"/>
      <c r="AK9" s="210"/>
      <c r="AM9" s="208"/>
      <c r="AN9" s="209"/>
      <c r="AO9" s="209"/>
      <c r="AP9" s="209"/>
      <c r="AQ9" s="209"/>
      <c r="AR9" s="210"/>
      <c r="AT9" s="210"/>
    </row>
    <row r="10" spans="1:46">
      <c r="B10" s="211">
        <f t="shared" ref="B10:B37" si="0">DATE($E$2,$E$3,ROW()-9)</f>
        <v>43862</v>
      </c>
      <c r="C10" s="212" t="str">
        <f t="array" ref="C10">IFERROR(TEXT(VLOOKUP($E$5,IF($B$7="KELAPA BULAT",IF(KB[TANGGAL]=B10,KB[[RELASI]:[TANGGAL]],""),IF($B$7="KELAPA BERSABUT",IF(KBS[TANGGAL]=B10,KBS[[RELASI]:[TANGGAL]],""),IF($B$7="KOPRA",IF(KPR[TANGGAL]=B10,KPR[[RELASI]:[TANGGAL]],""),IF($B$7="ARANG",IF(ARG[TANGGAL]=B10,ARG[[RELASI]:[TANGGAL]],""))))),2,0),"0000"),"")</f>
        <v/>
      </c>
      <c r="D10" s="213" t="str">
        <f t="array" ref="D10">IFERROR(TEXT(VLOOKUP($E$5,IF($B$7="KELAPA BULAT",IF(KB[TANGGAL]=B10,KB[[RELASI]:[TANGGAL]],""),IF($B$7="KELAPA BERSABUT",IF(KBS[TANGGAL]=B10,KBS[[RELASI]:[TANGGAL]],""),IF($B$7="KOPRA",IF(KPR[TANGGAL]=B10,KPR[[RELASI]:[TANGGAL]],""),IF($B$7="ARANG",IF(ARG[TANGGAL]=B10,ARG[[RELASI]:[TANGGAL]],""))))),4,0),"000"),"")</f>
        <v/>
      </c>
      <c r="E10" s="1041">
        <f>SUMIFS(KB[TN],KB[RELASI],'rek-bulanan'!$E$5,KB[TANGGAL],'rek-bulanan'!B10,KB[TYPE],"A")</f>
        <v>0</v>
      </c>
      <c r="F10" s="214">
        <f>SUMIFS(KB[BRUTO],KB[RELASI],'rek-bulanan'!$E$5,KB[TANGGAL],'rek-bulanan'!B10,KB[TYPE],"A")</f>
        <v>0</v>
      </c>
      <c r="G10" s="214">
        <f>SUMIFS(KB[TARRA],KB[RELASI],'rek-bulanan'!$E$5,KB[TANGGAL],'rek-bulanan'!B10,KB[TYPE],"A")</f>
        <v>0</v>
      </c>
      <c r="H10" s="214">
        <f>SUMIFS(KB[NETTO],KB[RELASI],'rek-bulanan'!$E$5,KB[TANGGAL],'rek-bulanan'!B10,KB[TYPE],"A")</f>
        <v>0</v>
      </c>
      <c r="I10" s="214">
        <f>SUMIFS(KB[NETTO2],KB[RELASI],'rek-bulanan'!$E$5,KB[TANGGAL],'rek-bulanan'!B10,KB[TYPE],"A")</f>
        <v>0</v>
      </c>
      <c r="J10" s="214" t="str">
        <f>IFERROR(K10/I10,"")</f>
        <v/>
      </c>
      <c r="K10" s="215">
        <f>SUMIFS(KB[TPEMBAYARAN],KB[RELASI],'rek-bulanan'!$E$5,KB[TANGGAL],'rek-bulanan'!B10,KB[TYPE],"A")</f>
        <v>0</v>
      </c>
      <c r="L10" s="216"/>
      <c r="M10" s="213" t="str">
        <f t="array" ref="M10">IFERROR(IF($B$7&lt;&gt;"KELAPA BULAT","",TEXT(VLOOKUP($E$5,IF(KB[NK]=VLOOKUP($E$5,IF(KB[TANGGAL]=B10,KB[[RELASI]:[TANGGAL]],""),2,0),IF(KB[TYPE]="B",KB[[RELASI]:[TYPE]],""),""),4,0),"000")),"")</f>
        <v/>
      </c>
      <c r="N10" s="213"/>
      <c r="O10" s="213"/>
      <c r="P10" s="213"/>
      <c r="Q10" s="214">
        <f>SUMIFS(KB[NETTO],KB[RELASI],'rek-bulanan'!$E$5,KB[TANGGAL],'rek-bulanan'!B10,KB[TYPE],"B")</f>
        <v>0</v>
      </c>
      <c r="R10" s="214">
        <f>SUMIFS(KB[NETTO2],KB[RELASI],'rek-bulanan'!$E$5,KB[TANGGAL],'rek-bulanan'!B10,KB[TYPE],"B")</f>
        <v>0</v>
      </c>
      <c r="S10" s="214" t="str">
        <f t="shared" ref="S10" si="1">IFERROR(T10/R10,"")</f>
        <v/>
      </c>
      <c r="T10" s="214">
        <f>SUMIFS(KB[TPEMBAYARAN],KB[RELASI],'rek-bulanan'!$E$5,KB[TANGGAL],'rek-bulanan'!B10,KB[TYPE],"B")</f>
        <v>0</v>
      </c>
      <c r="V10" s="218" t="str">
        <f t="array" ref="V10">IFERROR(TEXT(VLOOKUP($E$5,IF($R$7="KELAPA BULAT",IF(KB[TANGGAL]=B10,KB[[RELASI]:[TANGGAL]],""),IF($R$7="KELAPA BERSABUT",IF(KBS[TANGGAL]=B10,KBS[[RELASI]:[TANGGAL]],""),IF($R$7="KOPRA",IF(KPR[TANGGAL]=B10,KPR[[RELASI]:[TANGGAL]],""),IF($R$7="ARANG",IF(ARG[TANGGAL]=B10,ARG[[RELASI]:[TANGGAL]],""))))),2,0),"0000"),"")</f>
        <v/>
      </c>
      <c r="W10" s="213" t="str">
        <f t="array" ref="W10">IFERROR(TEXT(VLOOKUP($E$5,IF($R$7="KELAPA BULAT",IF(KB[TANGGAL]=B10,KB[[RELASI]:[TANGGAL]],""),IF($R$7="KELAPA BERSABUT",IF(KBS[TANGGAL]=B10,KBS[[RELASI]:[TANGGAL]],""),IF($R$7="KOPRA",IF(KPR[TANGGAL]=B10,KPR[[RELASI]:[TANGGAL]],""),IF($R$7="ARANG",IF(ARG[TANGGAL]=B10,ARG[[RELASI]:[TANGGAL]],""))))),4,0),"000"),"")</f>
        <v/>
      </c>
      <c r="X10" s="213"/>
      <c r="Y10" s="213"/>
      <c r="Z10" s="213"/>
      <c r="AA10" s="214">
        <f>SUMIFS(KPR[NETTO],KPR[RELASI],'rek-bulanan'!$E$5,KPR[TANGGAL],'rek-bulanan'!B10)</f>
        <v>0</v>
      </c>
      <c r="AB10" s="214">
        <f>SUMIFS(KPR[NETTOB],KPR[RELASI],'rek-bulanan'!$E$5,KPR[TANGGAL],'rek-bulanan'!B10)</f>
        <v>0</v>
      </c>
      <c r="AC10" s="214" t="str">
        <f>IFERROR(AD10/AA10,"")</f>
        <v/>
      </c>
      <c r="AD10" s="217">
        <f>SUMIFS(KPR[TPEMBAYARAN],KPR[RELASI],'rek-bulanan'!$E$5,KPR[TANGGAL],'rek-bulanan'!B10)</f>
        <v>0</v>
      </c>
      <c r="AF10" s="218" t="str">
        <f t="array" ref="AF10">IFERROR(TEXT(VLOOKUP($E$5,IF($AB$7="KELAPA BULAT",IF(KB[TANGGAL]=B10,KB[[RELASI]:[TANGGAL]],""),IF($AB$7="KELAPA BERSABUT",IF(KBS[TANGGAL]=B10,KBS[[RELASI]:[TANGGAL]],""),IF($AB$7="KOPRA",IF(KPR[TANGGAL]=B10,KPR[[RELASI]:[TANGGAL]],""),IF($AB$7="ARANG",IF(ARG[TANGGAL]=B10,ARG[[RELASI]:[TANGGAL]],""))))),2,0),"0000"),"")</f>
        <v/>
      </c>
      <c r="AG10" s="213" t="str">
        <f t="array" ref="AG10">IFERROR(TEXT(VLOOKUP($E$5,IF($AB$7="KELAPA BULAT",IF(KB[TANGGAL]=B10,KB[[RELASI]:[TANGGAL]],""),IF($AB$7="KELAPA BERSABUT",IF(KBS[TANGGAL]=B10,KBS[[RELASI]:[TANGGAL]],""),IF($AB$7="KOPRA",IF(KPR[TANGGAL]=B10,KPR[[RELASI]:[TANGGAL]],""),IF($AB$7="ARANG",IF(ARG[TANGGAL]=B10,ARG[[RELASI]:[TANGGAL]],""))))),4,0),"000"),"")</f>
        <v/>
      </c>
      <c r="AH10" s="214">
        <f>SUMIFS(KBS[NETTO],KBS[RELASI],'rek-bulanan'!$E$5,KBS[TANGGAL],'rek-bulanan'!B10)</f>
        <v>0</v>
      </c>
      <c r="AI10" s="214">
        <f>SUMIFS(KBS[NETTO2],KBS[RELASI],'rek-bulanan'!$E$5,KBS[TANGGAL],'rek-bulanan'!B10)</f>
        <v>0</v>
      </c>
      <c r="AJ10" s="214" t="str">
        <f>IFERROR(AK10/AH10,"")</f>
        <v/>
      </c>
      <c r="AK10" s="217">
        <f>SUMIFS(KBS[TPEMBAYARAN],KBS[RELASI],'rek-bulanan'!$E$5,KBS[TANGGAL],'rek-bulanan'!B10)</f>
        <v>0</v>
      </c>
      <c r="AM10" s="218" t="str">
        <f t="array" ref="AM10">IFERROR(TEXT(VLOOKUP($E$5,IF($B$7="KELAPA BULAT",IF(KB[TANGGAL]=AL10,KB[[RELASI]:[TANGGAL]],""),IF($B$7="KELAPA BERSABUT",IF(KBS[TANGGAL]=AL10,KBS[[RELASI]:[TANGGAL]],""),IF($B$7="KOPRA",IF(KPR[TANGGAL]=AL10,KPR[[RELASI]:[TANGGAL]],""),IF($B$7="ARANG",IF(ARG[TANGGAL]=AL10,ARG[[RELASI]:[TANGGAL]],""))))),2,0),"0000"),"")</f>
        <v/>
      </c>
      <c r="AN10" s="213" t="str">
        <f t="array" ref="AN10">IFERROR(TEXT(VLOOKUP($E$5,IF($B$7="KELAPA BULAT",IF(KB[TANGGAL]=AL10,KB[[RELASI]:[TANGGAL]],""),IF($B$7="KELAPA BERSABUT",IF(KBS[TANGGAL]=AL10,KBS[[RELASI]:[TANGGAL]],""),IF($B$7="KOPRA",IF(KPR[TANGGAL]=AL10,KPR[[RELASI]:[TANGGAL]],""),IF($B$7="ARANG",IF(ARG[TANGGAL]=AL10,ARG[[RELASI]:[TANGGAL]],""))))),4,0),"000"),"")</f>
        <v/>
      </c>
      <c r="AO10" s="214">
        <f>SUMIFS(ARG[NETTO1],ARG[RELASI],'rek-bulanan'!$E$5,ARG[TANGGAL],'rek-bulanan'!B10)</f>
        <v>0</v>
      </c>
      <c r="AP10" s="214">
        <f>SUMIFS(ARG[NETTO3],ARG[RELASI],'rek-bulanan'!$E$5,ARG[TANGGAL],'rek-bulanan'!B10)</f>
        <v>0</v>
      </c>
      <c r="AQ10" s="214" t="str">
        <f>IFERROR(AR10/AO10,"")</f>
        <v/>
      </c>
      <c r="AR10" s="217">
        <f>SUMIFS(ARG[TPEMBAYARAN],ARG[RELASI],'rek-bulanan'!$E$5,ARG[TANGGAL],'rek-bulanan'!B10)</f>
        <v>0</v>
      </c>
      <c r="AT10" s="217">
        <f>SUM(AR10,AK10,AD10,T10,K10)</f>
        <v>0</v>
      </c>
    </row>
    <row r="11" spans="1:46">
      <c r="B11" s="211">
        <f t="shared" si="0"/>
        <v>43863</v>
      </c>
      <c r="C11" s="212" t="str">
        <f t="array" ref="C11">IFERROR(TEXT(VLOOKUP($E$5,IF($B$7="KELAPA BULAT",IF(KB[TANGGAL]=B11,KB[[RELASI]:[TANGGAL]],""),IF($B$7="KELAPA BERSABUT",IF(KBS[TANGGAL]=B11,KBS[[RELASI]:[TANGGAL]],""),IF($B$7="KOPRA",IF(KPR[TANGGAL]=B11,KPR[[RELASI]:[TANGGAL]],""),IF($B$7="ARANG",IF(ARG[TANGGAL]=B11,ARG[[RELASI]:[TANGGAL]],""))))),2,0),"0000"),"")</f>
        <v/>
      </c>
      <c r="D11" s="213" t="str">
        <f t="array" ref="D11">IFERROR(TEXT(VLOOKUP($E$5,IF($B$7="KELAPA BULAT",IF(KB[TANGGAL]=B11,KB[[RELASI]:[TANGGAL]],""),IF($B$7="KELAPA BERSABUT",IF(KBS[TANGGAL]=B11,KBS[[RELASI]:[TANGGAL]],""),IF($B$7="KOPRA",IF(KPR[TANGGAL]=B11,KPR[[RELASI]:[TANGGAL]],""),IF($B$7="ARANG",IF(ARG[TANGGAL]=B11,ARG[[RELASI]:[TANGGAL]],""))))),4,0),"000"),"")</f>
        <v/>
      </c>
      <c r="E11" s="1041">
        <f>SUMIFS(KB[TN],KB[RELASI],'rek-bulanan'!$E$5,KB[TANGGAL],'rek-bulanan'!B11,KB[TYPE],"A")</f>
        <v>0</v>
      </c>
      <c r="F11" s="214">
        <f>SUMIFS(KB[BRUTO],KB[RELASI],'rek-bulanan'!$E$5,KB[TANGGAL],'rek-bulanan'!B11,KB[TYPE],"A")</f>
        <v>0</v>
      </c>
      <c r="G11" s="214">
        <f>SUMIFS(KB[TARRA],KB[RELASI],'rek-bulanan'!$E$5,KB[TANGGAL],'rek-bulanan'!B11,KB[TYPE],"A")</f>
        <v>0</v>
      </c>
      <c r="H11" s="214">
        <f>SUMIFS(KB[NETTO],KB[RELASI],'rek-bulanan'!$E$5,KB[TANGGAL],'rek-bulanan'!B11,KB[TYPE],"A")</f>
        <v>0</v>
      </c>
      <c r="I11" s="214">
        <f>SUMIFS(KB[NETTO2],KB[RELASI],'rek-bulanan'!$E$5,KB[TANGGAL],'rek-bulanan'!B11,KB[TYPE],"A")</f>
        <v>0</v>
      </c>
      <c r="J11" s="214" t="str">
        <f t="shared" ref="J11:J40" si="2">IFERROR(K11/I11,"")</f>
        <v/>
      </c>
      <c r="K11" s="215">
        <f>SUMIFS(KB[TPEMBAYARAN],KB[RELASI],'rek-bulanan'!$E$5,KB[TANGGAL],'rek-bulanan'!B11,KB[TYPE],"A")</f>
        <v>0</v>
      </c>
      <c r="L11" s="206"/>
      <c r="M11" s="213" t="str">
        <f t="array" ref="M11">IFERROR(IF($B$7&lt;&gt;"KELAPA BULAT","",TEXT(VLOOKUP($E$5,IF(KB[NK]=VLOOKUP($E$5,IF(KB[TANGGAL]=B11,KB[[RELASI]:[TANGGAL]],""),2,0),IF(KB[TYPE]="B",KB[[RELASI]:[TYPE]],""),""),4,0),"000")),"")</f>
        <v/>
      </c>
      <c r="N11" s="213"/>
      <c r="O11" s="213"/>
      <c r="P11" s="213"/>
      <c r="Q11" s="214">
        <f>SUMIFS(KB[NETTO],KB[RELASI],'rek-bulanan'!$E$5,KB[TANGGAL],'rek-bulanan'!B11,KB[TYPE],"B")</f>
        <v>0</v>
      </c>
      <c r="R11" s="214">
        <f>SUMIFS(KB[NETTO2],KB[RELASI],'rek-bulanan'!$E$5,KB[TANGGAL],'rek-bulanan'!B11,KB[TYPE],"B")</f>
        <v>0</v>
      </c>
      <c r="S11" s="214" t="str">
        <f>IFERROR(T11/R11,"")</f>
        <v/>
      </c>
      <c r="T11" s="214">
        <f>SUMIFS(KB[TPEMBAYARAN],KB[RELASI],'rek-bulanan'!$E$5,KB[TANGGAL],'rek-bulanan'!B11,KB[TYPE],"B")</f>
        <v>0</v>
      </c>
      <c r="V11" s="218" t="str">
        <f t="array" ref="V11">IFERROR(TEXT(VLOOKUP($E$5,IF($R$7="KELAPA BULAT",IF(KB[TANGGAL]=B11,KB[[RELASI]:[TANGGAL]],""),IF($R$7="KELAPA BERSABUT",IF(KBS[TANGGAL]=B11,KBS[[RELASI]:[TANGGAL]],""),IF($R$7="KOPRA",IF(KPR[TANGGAL]=B11,KPR[[RELASI]:[TANGGAL]],""),IF($R$7="ARANG",IF(ARG[TANGGAL]=B11,ARG[[RELASI]:[TANGGAL]],""))))),2,0),"0000"),"")</f>
        <v/>
      </c>
      <c r="W11" s="213" t="str">
        <f t="array" ref="W11">IFERROR(TEXT(VLOOKUP($E$5,IF($R$7="KELAPA BULAT",IF(KB[TANGGAL]=B11,KB[[RELASI]:[TANGGAL]],""),IF($R$7="KELAPA BERSABUT",IF(KBS[TANGGAL]=B11,KBS[[RELASI]:[TANGGAL]],""),IF($R$7="KOPRA",IF(KPR[TANGGAL]=B11,KPR[[RELASI]:[TANGGAL]],""),IF($R$7="ARANG",IF(ARG[TANGGAL]=B11,ARG[[RELASI]:[TANGGAL]],""))))),4,0),"000"),"")</f>
        <v/>
      </c>
      <c r="X11" s="213"/>
      <c r="Y11" s="213"/>
      <c r="Z11" s="213"/>
      <c r="AA11" s="214">
        <f>SUMIFS(KPR[NETTO],KPR[RELASI],'rek-bulanan'!$E$5,KPR[TANGGAL],'rek-bulanan'!B11)</f>
        <v>0</v>
      </c>
      <c r="AB11" s="214">
        <f>SUMIFS(KPR[NETTOB],KPR[RELASI],'rek-bulanan'!$E$5,KPR[TANGGAL],'rek-bulanan'!B11)</f>
        <v>0</v>
      </c>
      <c r="AC11" s="214" t="str">
        <f t="shared" ref="AC11:AC40" si="3">IFERROR(AD11/AA11,"")</f>
        <v/>
      </c>
      <c r="AD11" s="217">
        <f>SUMIFS(KPR[TPEMBAYARAN],KPR[RELASI],'rek-bulanan'!$E$5,KPR[TANGGAL],'rek-bulanan'!B11)</f>
        <v>0</v>
      </c>
      <c r="AF11" s="218" t="str">
        <f t="array" ref="AF11">IFERROR(TEXT(VLOOKUP($E$5,IF($AB$7="KELAPA BULAT",IF(KB[TANGGAL]=B11,KB[[RELASI]:[TANGGAL]],""),IF($AB$7="KELAPA BERSABUT",IF(KBS[TANGGAL]=B11,KBS[[RELASI]:[TANGGAL]],""),IF($AB$7="KOPRA",IF(KPR[TANGGAL]=B11,KPR[[RELASI]:[TANGGAL]],""),IF($AB$7="ARANG",IF(ARG[TANGGAL]=B11,ARG[[RELASI]:[TANGGAL]],""))))),2,0),"0000"),"")</f>
        <v/>
      </c>
      <c r="AG11" s="213" t="str">
        <f t="array" ref="AG11">IFERROR(TEXT(VLOOKUP($E$5,IF($AB$7="KELAPA BULAT",IF(KB[TANGGAL]=B11,KB[[RELASI]:[TANGGAL]],""),IF($AB$7="KELAPA BERSABUT",IF(KBS[TANGGAL]=B11,KBS[[RELASI]:[TANGGAL]],""),IF($AB$7="KOPRA",IF(KPR[TANGGAL]=B11,KPR[[RELASI]:[TANGGAL]],""),IF($AB$7="ARANG",IF(ARG[TANGGAL]=B11,ARG[[RELASI]:[TANGGAL]],""))))),4,0),"000"),"")</f>
        <v/>
      </c>
      <c r="AH11" s="214">
        <f>SUMIFS(KBS[NETTO2],KBS[RELASI],'rek-bulanan'!$E$5,KBS[TANGGAL],'rek-bulanan'!B11)</f>
        <v>0</v>
      </c>
      <c r="AI11" s="214">
        <f>SUMIFS(KBS[NETTO2],KBS[RELASI],'rek-bulanan'!$E$5,KBS[TANGGAL],'rek-bulanan'!B11)</f>
        <v>0</v>
      </c>
      <c r="AJ11" s="214" t="str">
        <f t="shared" ref="AJ11:AJ40" si="4">IFERROR(AK11/AH11,"")</f>
        <v/>
      </c>
      <c r="AK11" s="217">
        <f>SUMIFS(KBS[TPEMBAYARAN],KBS[RELASI],'rek-bulanan'!$E$5,KBS[TANGGAL],'rek-bulanan'!B11)</f>
        <v>0</v>
      </c>
      <c r="AM11" s="218" t="str">
        <f t="array" ref="AM11">IFERROR(TEXT(VLOOKUP($E$5,IF($B$7="KELAPA BULAT",IF(KB[TANGGAL]=AL11,KB[[RELASI]:[TANGGAL]],""),IF($B$7="KELAPA BERSABUT",IF(KBS[TANGGAL]=AL11,KBS[[RELASI]:[TANGGAL]],""),IF($B$7="KOPRA",IF(KPR[TANGGAL]=AL11,KPR[[RELASI]:[TANGGAL]],""),IF($B$7="ARANG",IF(ARG[TANGGAL]=AL11,ARG[[RELASI]:[TANGGAL]],""))))),2,0),"0000"),"")</f>
        <v/>
      </c>
      <c r="AN11" s="213" t="str">
        <f t="array" ref="AN11">IFERROR(IF($B$7&lt;&gt;"KELAPA BULAT","",TEXT(VLOOKUP($E$5,IF(KB[NK]=VLOOKUP($E$5,IF(KB[TANGGAL]=AE11,KB[[RELASI]:[TANGGAL]],""),2,0),IF(KB[TYPE]="B",KB[[RELASI]:[TYPE]],""),""),4,0),"000")),"")</f>
        <v/>
      </c>
      <c r="AO11" s="214">
        <f>SUMIFS(ARG[NETTO1],ARG[RELASI],'rek-bulanan'!$E$5,ARG[TANGGAL],'rek-bulanan'!B11)</f>
        <v>0</v>
      </c>
      <c r="AP11" s="214">
        <f>SUMIFS(ARG[NETTO3],ARG[RELASI],'rek-bulanan'!$E$5,ARG[TANGGAL],'rek-bulanan'!B11)</f>
        <v>0</v>
      </c>
      <c r="AQ11" s="214" t="str">
        <f t="shared" ref="AQ11:AQ40" si="5">IFERROR(AR11/AO11,"")</f>
        <v/>
      </c>
      <c r="AR11" s="217">
        <f>SUMIFS(ARG[TPEMBAYARAN],ARG[RELASI],'rek-bulanan'!$E$5,ARG[TANGGAL],'rek-bulanan'!B11)</f>
        <v>0</v>
      </c>
      <c r="AT11" s="217">
        <f t="shared" ref="AT11:AT40" si="6">SUM(AR11,AK11,AD11,T11,K11)</f>
        <v>0</v>
      </c>
    </row>
    <row r="12" spans="1:46">
      <c r="B12" s="211">
        <f t="shared" si="0"/>
        <v>43864</v>
      </c>
      <c r="C12" s="212" t="str">
        <f t="array" ref="C12">IFERROR(TEXT(VLOOKUP($E$5,IF($B$7="KELAPA BULAT",IF(KB[TANGGAL]=B12,KB[[RELASI]:[TANGGAL]],""),IF($B$7="KELAPA BERSABUT",IF(KBS[TANGGAL]=B12,KBS[[RELASI]:[TANGGAL]],""),IF($B$7="KOPRA",IF(KPR[TANGGAL]=B12,KPR[[RELASI]:[TANGGAL]],""),IF($B$7="ARANG",IF(ARG[TANGGAL]=B12,ARG[[RELASI]:[TANGGAL]],""))))),2,0),"0000"),"")</f>
        <v>0017</v>
      </c>
      <c r="D12" s="213" t="str">
        <f t="array" ref="D12">IFERROR(TEXT(VLOOKUP($E$5,IF($B$7="KELAPA BULAT",IF(KB[TANGGAL]=B12,KB[[RELASI]:[TANGGAL]],""),IF($B$7="KELAPA BERSABUT",IF(KBS[TANGGAL]=B12,KBS[[RELASI]:[TANGGAL]],""),IF($B$7="KOPRA",IF(KPR[TANGGAL]=B12,KPR[[RELASI]:[TANGGAL]],""),IF($B$7="ARANG",IF(ARG[TANGGAL]=B12,ARG[[RELASI]:[TANGGAL]],""))))),4,0),"000"),"")</f>
        <v>017</v>
      </c>
      <c r="E12" s="1041">
        <f>SUMIFS(KB[TN],KB[RELASI],'rek-bulanan'!$E$5,KB[TANGGAL],'rek-bulanan'!B12,KB[TYPE],"A")</f>
        <v>3</v>
      </c>
      <c r="F12" s="214">
        <f>SUMIFS(KB[BRUTO],KB[RELASI],'rek-bulanan'!$E$5,KB[TANGGAL],'rek-bulanan'!B12,KB[TYPE],"A")</f>
        <v>19780</v>
      </c>
      <c r="G12" s="214">
        <f>SUMIFS(KB[TARRA],KB[RELASI],'rek-bulanan'!$E$5,KB[TANGGAL],'rek-bulanan'!B12,KB[TYPE],"A")</f>
        <v>10240</v>
      </c>
      <c r="H12" s="214">
        <f>SUMIFS(KB[NETTO],KB[RELASI],'rek-bulanan'!$E$5,KB[TANGGAL],'rek-bulanan'!B12,KB[TYPE],"A")</f>
        <v>9540</v>
      </c>
      <c r="I12" s="214">
        <f>SUMIFS(KB[NETTO2],KB[RELASI],'rek-bulanan'!$E$5,KB[TANGGAL],'rek-bulanan'!B12,KB[TYPE],"A")</f>
        <v>9063</v>
      </c>
      <c r="J12" s="214">
        <f t="shared" si="2"/>
        <v>2849.9984552576411</v>
      </c>
      <c r="K12" s="215">
        <f>SUMIFS(KB[TPEMBAYARAN],KB[RELASI],'rek-bulanan'!$E$5,KB[TANGGAL],'rek-bulanan'!B12,KB[TYPE],"A")</f>
        <v>25829536</v>
      </c>
      <c r="L12" s="206"/>
      <c r="M12" s="213" t="str">
        <f t="array" ref="M12">IFERROR(IF($B$7&lt;&gt;"KELAPA BULAT","",TEXT(VLOOKUP($E$5,IF(KB[NK]=VLOOKUP($E$5,IF(KB[TANGGAL]=B12,KB[[RELASI]:[TANGGAL]],""),2,0),IF(KB[TYPE]="B",KB[[RELASI]:[TYPE]],""),""),4,0),"000")),"")</f>
        <v/>
      </c>
      <c r="N12" s="213"/>
      <c r="O12" s="213"/>
      <c r="P12" s="213"/>
      <c r="Q12" s="214">
        <f>SUMIFS(KB[NETTO],KB[RELASI],'rek-bulanan'!$E$5,KB[TANGGAL],'rek-bulanan'!B12,KB[TYPE],"B")</f>
        <v>0</v>
      </c>
      <c r="R12" s="214">
        <f>SUMIFS(KB[NETTO2],KB[RELASI],'rek-bulanan'!$E$5,KB[TANGGAL],'rek-bulanan'!B12,KB[TYPE],"B")</f>
        <v>0</v>
      </c>
      <c r="S12" s="214" t="str">
        <f t="shared" ref="S12:S40" si="7">IFERROR(T12/R12,"")</f>
        <v/>
      </c>
      <c r="T12" s="214">
        <f>SUMIFS(KB[TPEMBAYARAN],KB[RELASI],'rek-bulanan'!$E$5,KB[TANGGAL],'rek-bulanan'!B12,KB[TYPE],"B")</f>
        <v>0</v>
      </c>
      <c r="V12" s="218" t="str">
        <f t="array" ref="V12">IFERROR(TEXT(VLOOKUP($E$5,IF($R$7="KELAPA BULAT",IF(KB[TANGGAL]=B12,KB[[RELASI]:[TANGGAL]],""),IF($R$7="KELAPA BERSABUT",IF(KBS[TANGGAL]=B12,KBS[[RELASI]:[TANGGAL]],""),IF($R$7="KOPRA",IF(KPR[TANGGAL]=B12,KPR[[RELASI]:[TANGGAL]],""),IF($R$7="ARANG",IF(ARG[TANGGAL]=B12,ARG[[RELASI]:[TANGGAL]],""))))),2,0),"0000"),"")</f>
        <v/>
      </c>
      <c r="W12" s="213" t="str">
        <f t="array" ref="W12">IFERROR(TEXT(VLOOKUP($E$5,IF($R$7="KELAPA BULAT",IF(KB[TANGGAL]=B12,KB[[RELASI]:[TANGGAL]],""),IF($R$7="KELAPA BERSABUT",IF(KBS[TANGGAL]=B12,KBS[[RELASI]:[TANGGAL]],""),IF($R$7="KOPRA",IF(KPR[TANGGAL]=B12,KPR[[RELASI]:[TANGGAL]],""),IF($R$7="ARANG",IF(ARG[TANGGAL]=B12,ARG[[RELASI]:[TANGGAL]],""))))),4,0),"000"),"")</f>
        <v/>
      </c>
      <c r="X12" s="213"/>
      <c r="Y12" s="213"/>
      <c r="Z12" s="213"/>
      <c r="AA12" s="214">
        <f>SUMIFS(KPR[NETTO],KPR[RELASI],'rek-bulanan'!$E$5,KPR[TANGGAL],'rek-bulanan'!B12)</f>
        <v>0</v>
      </c>
      <c r="AB12" s="214">
        <f>SUMIFS(KPR[NETTOB],KPR[RELASI],'rek-bulanan'!$E$5,KPR[TANGGAL],'rek-bulanan'!B12)</f>
        <v>0</v>
      </c>
      <c r="AC12" s="214" t="str">
        <f t="shared" si="3"/>
        <v/>
      </c>
      <c r="AD12" s="217">
        <f>SUMIFS(KPR[TPEMBAYARAN],KPR[RELASI],'rek-bulanan'!$E$5,KPR[TANGGAL],'rek-bulanan'!B12)</f>
        <v>0</v>
      </c>
      <c r="AF12" s="218" t="str">
        <f t="array" ref="AF12">IFERROR(TEXT(VLOOKUP($E$5,IF($AB$7="KELAPA BULAT",IF(KB[TANGGAL]=B12,KB[[RELASI]:[TANGGAL]],""),IF($AB$7="KELAPA BERSABUT",IF(KBS[TANGGAL]=B12,KBS[[RELASI]:[TANGGAL]],""),IF($AB$7="KOPRA",IF(KPR[TANGGAL]=B12,KPR[[RELASI]:[TANGGAL]],""),IF($AB$7="ARANG",IF(ARG[TANGGAL]=B12,ARG[[RELASI]:[TANGGAL]],""))))),2,0),"0000"),"")</f>
        <v/>
      </c>
      <c r="AG12" s="213" t="str">
        <f t="array" ref="AG12">IFERROR(TEXT(VLOOKUP($E$5,IF($AB$7="KELAPA BULAT",IF(KB[TANGGAL]=B12,KB[[RELASI]:[TANGGAL]],""),IF($AB$7="KELAPA BERSABUT",IF(KBS[TANGGAL]=B12,KBS[[RELASI]:[TANGGAL]],""),IF($AB$7="KOPRA",IF(KPR[TANGGAL]=B12,KPR[[RELASI]:[TANGGAL]],""),IF($AB$7="ARANG",IF(ARG[TANGGAL]=B12,ARG[[RELASI]:[TANGGAL]],""))))),4,0),"000"),"")</f>
        <v/>
      </c>
      <c r="AH12" s="214">
        <f>SUMIFS(KBS[NETTO2],KBS[RELASI],'rek-bulanan'!$E$5,KBS[TANGGAL],'rek-bulanan'!B12)</f>
        <v>0</v>
      </c>
      <c r="AI12" s="214">
        <f>SUMIFS(KBS[NETTO2],KBS[RELASI],'rek-bulanan'!$E$5,KBS[TANGGAL],'rek-bulanan'!B12)</f>
        <v>0</v>
      </c>
      <c r="AJ12" s="214" t="str">
        <f t="shared" si="4"/>
        <v/>
      </c>
      <c r="AK12" s="217">
        <f>SUMIFS(KBS[TPEMBAYARAN],KBS[RELASI],'rek-bulanan'!$E$5,KBS[TANGGAL],'rek-bulanan'!B12)</f>
        <v>0</v>
      </c>
      <c r="AM12" s="218" t="str">
        <f t="array" ref="AM12">IFERROR(TEXT(VLOOKUP($E$5,IF($B$7="KELAPA BULAT",IF(KB[TANGGAL]=AL12,KB[[RELASI]:[TANGGAL]],""),IF($B$7="KELAPA BERSABUT",IF(KBS[TANGGAL]=AL12,KBS[[RELASI]:[TANGGAL]],""),IF($B$7="KOPRA",IF(KPR[TANGGAL]=AL12,KPR[[RELASI]:[TANGGAL]],""),IF($B$7="ARANG",IF(ARG[TANGGAL]=AL12,ARG[[RELASI]:[TANGGAL]],""))))),2,0),"0000"),"")</f>
        <v/>
      </c>
      <c r="AN12" s="213" t="str">
        <f t="array" ref="AN12">IFERROR(IF($B$7&lt;&gt;"KELAPA BULAT","",TEXT(VLOOKUP($E$5,IF(KB[NK]=VLOOKUP($E$5,IF(KB[TANGGAL]=AE12,KB[[RELASI]:[TANGGAL]],""),2,0),IF(KB[TYPE]="B",KB[[RELASI]:[TYPE]],""),""),4,0),"000")),"")</f>
        <v/>
      </c>
      <c r="AO12" s="214">
        <f>SUMIFS(ARG[NETTO1],ARG[RELASI],'rek-bulanan'!$E$5,ARG[TANGGAL],'rek-bulanan'!B12)</f>
        <v>0</v>
      </c>
      <c r="AP12" s="214">
        <f>SUMIFS(ARG[NETTO3],ARG[RELASI],'rek-bulanan'!$E$5,ARG[TANGGAL],'rek-bulanan'!B12)</f>
        <v>0</v>
      </c>
      <c r="AQ12" s="214" t="str">
        <f t="shared" si="5"/>
        <v/>
      </c>
      <c r="AR12" s="217">
        <f>SUMIFS(ARG[TPEMBAYARAN],ARG[RELASI],'rek-bulanan'!$E$5,ARG[TANGGAL],'rek-bulanan'!B12)</f>
        <v>0</v>
      </c>
      <c r="AT12" s="217">
        <f t="shared" si="6"/>
        <v>25829536</v>
      </c>
    </row>
    <row r="13" spans="1:46">
      <c r="B13" s="211">
        <f t="shared" si="0"/>
        <v>43865</v>
      </c>
      <c r="C13" s="212" t="str">
        <f t="array" ref="C13">IFERROR(TEXT(VLOOKUP($E$5,IF($B$7="KELAPA BULAT",IF(KB[TANGGAL]=B13,KB[[RELASI]:[TANGGAL]],""),IF($B$7="KELAPA BERSABUT",IF(KBS[TANGGAL]=B13,KBS[[RELASI]:[TANGGAL]],""),IF($B$7="KOPRA",IF(KPR[TANGGAL]=B13,KPR[[RELASI]:[TANGGAL]],""),IF($B$7="ARANG",IF(ARG[TANGGAL]=B13,ARG[[RELASI]:[TANGGAL]],""))))),2,0),"0000"),"")</f>
        <v>0018</v>
      </c>
      <c r="D13" s="213" t="str">
        <f t="array" ref="D13">IFERROR(TEXT(VLOOKUP($E$5,IF($B$7="KELAPA BULAT",IF(KB[TANGGAL]=B13,KB[[RELASI]:[TANGGAL]],""),IF($B$7="KELAPA BERSABUT",IF(KBS[TANGGAL]=B13,KBS[[RELASI]:[TANGGAL]],""),IF($B$7="KOPRA",IF(KPR[TANGGAL]=B13,KPR[[RELASI]:[TANGGAL]],""),IF($B$7="ARANG",IF(ARG[TANGGAL]=B13,ARG[[RELASI]:[TANGGAL]],""))))),4,0),"000"),"")</f>
        <v>018</v>
      </c>
      <c r="E13" s="1041">
        <f>SUMIFS(KB[TN],KB[RELASI],'rek-bulanan'!$E$5,KB[TANGGAL],'rek-bulanan'!B13,KB[TYPE],"A")</f>
        <v>1</v>
      </c>
      <c r="F13" s="214">
        <f>SUMIFS(KB[BRUTO],KB[RELASI],'rek-bulanan'!$E$5,KB[TANGGAL],'rek-bulanan'!B13,KB[TYPE],"A")</f>
        <v>3010</v>
      </c>
      <c r="G13" s="214">
        <f>SUMIFS(KB[TARRA],KB[RELASI],'rek-bulanan'!$E$5,KB[TANGGAL],'rek-bulanan'!B13,KB[TYPE],"A")</f>
        <v>1590</v>
      </c>
      <c r="H13" s="214">
        <f>SUMIFS(KB[NETTO],KB[RELASI],'rek-bulanan'!$E$5,KB[TANGGAL],'rek-bulanan'!B13,KB[TYPE],"A")</f>
        <v>1420</v>
      </c>
      <c r="I13" s="214">
        <f>SUMIFS(KB[NETTO2],KB[RELASI],'rek-bulanan'!$E$5,KB[TANGGAL],'rek-bulanan'!B13,KB[TYPE],"A")</f>
        <v>1349</v>
      </c>
      <c r="J13" s="214">
        <f t="shared" si="2"/>
        <v>2849.9985174203111</v>
      </c>
      <c r="K13" s="215">
        <f>SUMIFS(KB[TPEMBAYARAN],KB[RELASI],'rek-bulanan'!$E$5,KB[TANGGAL],'rek-bulanan'!B13,KB[TYPE],"A")</f>
        <v>3844648</v>
      </c>
      <c r="L13" s="206"/>
      <c r="M13" s="213" t="str">
        <f t="array" ref="M13">IFERROR(IF($B$7&lt;&gt;"KELAPA BULAT","",TEXT(VLOOKUP($E$5,IF(KB[NK]=VLOOKUP($E$5,IF(KB[TANGGAL]=B13,KB[[RELASI]:[TANGGAL]],""),2,0),IF(KB[TYPE]="B",KB[[RELASI]:[TYPE]],""),""),4,0),"000")),"")</f>
        <v/>
      </c>
      <c r="N13" s="213"/>
      <c r="O13" s="213"/>
      <c r="P13" s="213"/>
      <c r="Q13" s="214">
        <f>SUMIFS(KB[NETTO],KB[RELASI],'rek-bulanan'!$E$5,KB[TANGGAL],'rek-bulanan'!B13,KB[TYPE],"B")</f>
        <v>0</v>
      </c>
      <c r="R13" s="214">
        <f>SUMIFS(KB[NETTO2],KB[RELASI],'rek-bulanan'!$E$5,KB[TANGGAL],'rek-bulanan'!B13,KB[TYPE],"B")</f>
        <v>0</v>
      </c>
      <c r="S13" s="214" t="str">
        <f t="shared" si="7"/>
        <v/>
      </c>
      <c r="T13" s="214">
        <f>SUMIFS(KB[TPEMBAYARAN],KB[RELASI],'rek-bulanan'!$E$5,KB[TANGGAL],'rek-bulanan'!B13,KB[TYPE],"B")</f>
        <v>0</v>
      </c>
      <c r="V13" s="218" t="str">
        <f t="array" ref="V13">IFERROR(TEXT(VLOOKUP($E$5,IF($R$7="KELAPA BULAT",IF(KB[TANGGAL]=B13,KB[[RELASI]:[TANGGAL]],""),IF($R$7="KELAPA BERSABUT",IF(KBS[TANGGAL]=B13,KBS[[RELASI]:[TANGGAL]],""),IF($R$7="KOPRA",IF(KPR[TANGGAL]=B13,KPR[[RELASI]:[TANGGAL]],""),IF($R$7="ARANG",IF(ARG[TANGGAL]=B13,ARG[[RELASI]:[TANGGAL]],""))))),2,0),"0000"),"")</f>
        <v/>
      </c>
      <c r="W13" s="213" t="str">
        <f t="array" ref="W13">IFERROR(TEXT(VLOOKUP($E$5,IF($R$7="KELAPA BULAT",IF(KB[TANGGAL]=B13,KB[[RELASI]:[TANGGAL]],""),IF($R$7="KELAPA BERSABUT",IF(KBS[TANGGAL]=B13,KBS[[RELASI]:[TANGGAL]],""),IF($R$7="KOPRA",IF(KPR[TANGGAL]=B13,KPR[[RELASI]:[TANGGAL]],""),IF($R$7="ARANG",IF(ARG[TANGGAL]=B13,ARG[[RELASI]:[TANGGAL]],""))))),4,0),"000"),"")</f>
        <v/>
      </c>
      <c r="X13" s="213"/>
      <c r="Y13" s="213"/>
      <c r="Z13" s="213"/>
      <c r="AA13" s="214">
        <f>SUMIFS(KPR[NETTO],KPR[RELASI],'rek-bulanan'!$E$5,KPR[TANGGAL],'rek-bulanan'!B13)</f>
        <v>0</v>
      </c>
      <c r="AB13" s="214">
        <f>SUMIFS(KPR[NETTOB],KPR[RELASI],'rek-bulanan'!$E$5,KPR[TANGGAL],'rek-bulanan'!B13)</f>
        <v>0</v>
      </c>
      <c r="AC13" s="214" t="str">
        <f t="shared" si="3"/>
        <v/>
      </c>
      <c r="AD13" s="217">
        <f>SUMIFS(KPR[TPEMBAYARAN],KPR[RELASI],'rek-bulanan'!$E$5,KPR[TANGGAL],'rek-bulanan'!B13)</f>
        <v>0</v>
      </c>
      <c r="AF13" s="218" t="str">
        <f t="array" ref="AF13">IFERROR(TEXT(VLOOKUP($E$5,IF($AB$7="KELAPA BULAT",IF(KB[TANGGAL]=B13,KB[[RELASI]:[TANGGAL]],""),IF($AB$7="KELAPA BERSABUT",IF(KBS[TANGGAL]=B13,KBS[[RELASI]:[TANGGAL]],""),IF($AB$7="KOPRA",IF(KPR[TANGGAL]=B13,KPR[[RELASI]:[TANGGAL]],""),IF($AB$7="ARANG",IF(ARG[TANGGAL]=B13,ARG[[RELASI]:[TANGGAL]],""))))),2,0),"0000"),"")</f>
        <v/>
      </c>
      <c r="AG13" s="213" t="str">
        <f t="array" ref="AG13">IFERROR(TEXT(VLOOKUP($E$5,IF($AB$7="KELAPA BULAT",IF(KB[TANGGAL]=B13,KB[[RELASI]:[TANGGAL]],""),IF($AB$7="KELAPA BERSABUT",IF(KBS[TANGGAL]=B13,KBS[[RELASI]:[TANGGAL]],""),IF($AB$7="KOPRA",IF(KPR[TANGGAL]=B13,KPR[[RELASI]:[TANGGAL]],""),IF($AB$7="ARANG",IF(ARG[TANGGAL]=B13,ARG[[RELASI]:[TANGGAL]],""))))),4,0),"000"),"")</f>
        <v/>
      </c>
      <c r="AH13" s="214">
        <f>SUMIFS(KBS[NETTO2],KBS[RELASI],'rek-bulanan'!$E$5,KBS[TANGGAL],'rek-bulanan'!B13)</f>
        <v>0</v>
      </c>
      <c r="AI13" s="214">
        <f>SUMIFS(KBS[NETTO2],KBS[RELASI],'rek-bulanan'!$E$5,KBS[TANGGAL],'rek-bulanan'!B13)</f>
        <v>0</v>
      </c>
      <c r="AJ13" s="214" t="str">
        <f t="shared" si="4"/>
        <v/>
      </c>
      <c r="AK13" s="217">
        <f>SUMIFS(KBS[TPEMBAYARAN],KBS[RELASI],'rek-bulanan'!$E$5,KBS[TANGGAL],'rek-bulanan'!B13)</f>
        <v>0</v>
      </c>
      <c r="AM13" s="218" t="str">
        <f t="array" ref="AM13">IFERROR(TEXT(VLOOKUP($E$5,IF($B$7="KELAPA BULAT",IF(KB[TANGGAL]=AL13,KB[[RELASI]:[TANGGAL]],""),IF($B$7="KELAPA BERSABUT",IF(KBS[TANGGAL]=AL13,KBS[[RELASI]:[TANGGAL]],""),IF($B$7="KOPRA",IF(KPR[TANGGAL]=AL13,KPR[[RELASI]:[TANGGAL]],""),IF($B$7="ARANG",IF(ARG[TANGGAL]=AL13,ARG[[RELASI]:[TANGGAL]],""))))),2,0),"0000"),"")</f>
        <v/>
      </c>
      <c r="AN13" s="213" t="str">
        <f t="array" ref="AN13">IFERROR(IF($B$7&lt;&gt;"KELAPA BULAT","",TEXT(VLOOKUP($E$5,IF(KB[NK]=VLOOKUP($E$5,IF(KB[TANGGAL]=AE13,KB[[RELASI]:[TANGGAL]],""),2,0),IF(KB[TYPE]="B",KB[[RELASI]:[TYPE]],""),""),4,0),"000")),"")</f>
        <v/>
      </c>
      <c r="AO13" s="214">
        <f>SUMIFS(ARG[NETTO1],ARG[RELASI],'rek-bulanan'!$E$5,ARG[TANGGAL],'rek-bulanan'!B13)</f>
        <v>0</v>
      </c>
      <c r="AP13" s="214">
        <f>SUMIFS(ARG[NETTO3],ARG[RELASI],'rek-bulanan'!$E$5,ARG[TANGGAL],'rek-bulanan'!B13)</f>
        <v>0</v>
      </c>
      <c r="AQ13" s="214" t="str">
        <f t="shared" si="5"/>
        <v/>
      </c>
      <c r="AR13" s="217">
        <f>SUMIFS(ARG[TPEMBAYARAN],ARG[RELASI],'rek-bulanan'!$E$5,ARG[TANGGAL],'rek-bulanan'!B13)</f>
        <v>0</v>
      </c>
      <c r="AT13" s="217">
        <f t="shared" si="6"/>
        <v>3844648</v>
      </c>
    </row>
    <row r="14" spans="1:46">
      <c r="B14" s="211">
        <f t="shared" si="0"/>
        <v>43866</v>
      </c>
      <c r="C14" s="212" t="str">
        <f t="array" ref="C14">IFERROR(TEXT(VLOOKUP($E$5,IF($B$7="KELAPA BULAT",IF(KB[TANGGAL]=B14,KB[[RELASI]:[TANGGAL]],""),IF($B$7="KELAPA BERSABUT",IF(KBS[TANGGAL]=B14,KBS[[RELASI]:[TANGGAL]],""),IF($B$7="KOPRA",IF(KPR[TANGGAL]=B14,KPR[[RELASI]:[TANGGAL]],""),IF($B$7="ARANG",IF(ARG[TANGGAL]=B14,ARG[[RELASI]:[TANGGAL]],""))))),2,0),"0000"),"")</f>
        <v>0019</v>
      </c>
      <c r="D14" s="213" t="str">
        <f t="array" ref="D14">IFERROR(TEXT(VLOOKUP($E$5,IF($B$7="KELAPA BULAT",IF(KB[TANGGAL]=B14,KB[[RELASI]:[TANGGAL]],""),IF($B$7="KELAPA BERSABUT",IF(KBS[TANGGAL]=B14,KBS[[RELASI]:[TANGGAL]],""),IF($B$7="KOPRA",IF(KPR[TANGGAL]=B14,KPR[[RELASI]:[TANGGAL]],""),IF($B$7="ARANG",IF(ARG[TANGGAL]=B14,ARG[[RELASI]:[TANGGAL]],""))))),4,0),"000"),"")</f>
        <v>019</v>
      </c>
      <c r="E14" s="1041">
        <f>SUMIFS(KB[TN],KB[RELASI],'rek-bulanan'!$E$5,KB[TANGGAL],'rek-bulanan'!B14,KB[TYPE],"A")</f>
        <v>3</v>
      </c>
      <c r="F14" s="214">
        <f>SUMIFS(KB[BRUTO],KB[RELASI],'rek-bulanan'!$E$5,KB[TANGGAL],'rek-bulanan'!B14,KB[TYPE],"A")</f>
        <v>16940</v>
      </c>
      <c r="G14" s="214">
        <f>SUMIFS(KB[TARRA],KB[RELASI],'rek-bulanan'!$E$5,KB[TANGGAL],'rek-bulanan'!B14,KB[TYPE],"A")</f>
        <v>8390</v>
      </c>
      <c r="H14" s="214">
        <f>SUMIFS(KB[NETTO],KB[RELASI],'rek-bulanan'!$E$5,KB[TANGGAL],'rek-bulanan'!B14,KB[TYPE],"A")</f>
        <v>8550</v>
      </c>
      <c r="I14" s="214">
        <f>SUMIFS(KB[NETTO2],KB[RELASI],'rek-bulanan'!$E$5,KB[TANGGAL],'rek-bulanan'!B14,KB[TYPE],"A")</f>
        <v>8122.5</v>
      </c>
      <c r="J14" s="214">
        <f t="shared" si="2"/>
        <v>2849.9982763927364</v>
      </c>
      <c r="K14" s="215">
        <f>SUMIFS(KB[TPEMBAYARAN],KB[RELASI],'rek-bulanan'!$E$5,KB[TANGGAL],'rek-bulanan'!B14,KB[TYPE],"A")</f>
        <v>23149111</v>
      </c>
      <c r="L14" s="206"/>
      <c r="M14" s="213" t="str">
        <f t="array" ref="M14">IFERROR(IF($B$7&lt;&gt;"KELAPA BULAT","",TEXT(VLOOKUP($E$5,IF(KB[NK]=VLOOKUP($E$5,IF(KB[TANGGAL]=B14,KB[[RELASI]:[TANGGAL]],""),2,0),IF(KB[TYPE]="B",KB[[RELASI]:[TYPE]],""),""),4,0),"000")),"")</f>
        <v/>
      </c>
      <c r="N14" s="213"/>
      <c r="O14" s="213"/>
      <c r="P14" s="213"/>
      <c r="Q14" s="214">
        <f>SUMIFS(KB[NETTO],KB[RELASI],'rek-bulanan'!$E$5,KB[TANGGAL],'rek-bulanan'!B14,KB[TYPE],"B")</f>
        <v>0</v>
      </c>
      <c r="R14" s="214">
        <f>SUMIFS(KB[NETTO2],KB[RELASI],'rek-bulanan'!$E$5,KB[TANGGAL],'rek-bulanan'!B14,KB[TYPE],"B")</f>
        <v>0</v>
      </c>
      <c r="S14" s="214" t="str">
        <f t="shared" si="7"/>
        <v/>
      </c>
      <c r="T14" s="214">
        <f>SUMIFS(KB[TPEMBAYARAN],KB[RELASI],'rek-bulanan'!$E$5,KB[TANGGAL],'rek-bulanan'!B14,KB[TYPE],"B")</f>
        <v>0</v>
      </c>
      <c r="V14" s="218" t="str">
        <f t="array" ref="V14">IFERROR(TEXT(VLOOKUP($E$5,IF($R$7="KELAPA BULAT",IF(KB[TANGGAL]=B14,KB[[RELASI]:[TANGGAL]],""),IF($R$7="KELAPA BERSABUT",IF(KBS[TANGGAL]=B14,KBS[[RELASI]:[TANGGAL]],""),IF($R$7="KOPRA",IF(KPR[TANGGAL]=B14,KPR[[RELASI]:[TANGGAL]],""),IF($R$7="ARANG",IF(ARG[TANGGAL]=B14,ARG[[RELASI]:[TANGGAL]],""))))),2,0),"0000"),"")</f>
        <v/>
      </c>
      <c r="W14" s="213" t="str">
        <f t="array" ref="W14">IFERROR(TEXT(VLOOKUP($E$5,IF($R$7="KELAPA BULAT",IF(KB[TANGGAL]=B14,KB[[RELASI]:[TANGGAL]],""),IF($R$7="KELAPA BERSABUT",IF(KBS[TANGGAL]=B14,KBS[[RELASI]:[TANGGAL]],""),IF($R$7="KOPRA",IF(KPR[TANGGAL]=B14,KPR[[RELASI]:[TANGGAL]],""),IF($R$7="ARANG",IF(ARG[TANGGAL]=B14,ARG[[RELASI]:[TANGGAL]],""))))),4,0),"000"),"")</f>
        <v/>
      </c>
      <c r="X14" s="213"/>
      <c r="Y14" s="213"/>
      <c r="Z14" s="213"/>
      <c r="AA14" s="214">
        <f>SUMIFS(KPR[NETTO],KPR[RELASI],'rek-bulanan'!$E$5,KPR[TANGGAL],'rek-bulanan'!B14)</f>
        <v>0</v>
      </c>
      <c r="AB14" s="214">
        <f>SUMIFS(KPR[NETTOB],KPR[RELASI],'rek-bulanan'!$E$5,KPR[TANGGAL],'rek-bulanan'!B14)</f>
        <v>0</v>
      </c>
      <c r="AC14" s="214" t="str">
        <f t="shared" si="3"/>
        <v/>
      </c>
      <c r="AD14" s="217">
        <f>SUMIFS(KPR[TPEMBAYARAN],KPR[RELASI],'rek-bulanan'!$E$5,KPR[TANGGAL],'rek-bulanan'!B14)</f>
        <v>0</v>
      </c>
      <c r="AF14" s="218" t="str">
        <f t="array" ref="AF14">IFERROR(TEXT(VLOOKUP($E$5,IF($AB$7="KELAPA BULAT",IF(KB[TANGGAL]=B14,KB[[RELASI]:[TANGGAL]],""),IF($AB$7="KELAPA BERSABUT",IF(KBS[TANGGAL]=B14,KBS[[RELASI]:[TANGGAL]],""),IF($AB$7="KOPRA",IF(KPR[TANGGAL]=B14,KPR[[RELASI]:[TANGGAL]],""),IF($AB$7="ARANG",IF(ARG[TANGGAL]=B14,ARG[[RELASI]:[TANGGAL]],""))))),2,0),"0000"),"")</f>
        <v/>
      </c>
      <c r="AG14" s="213" t="str">
        <f t="array" ref="AG14">IFERROR(TEXT(VLOOKUP($E$5,IF($AB$7="KELAPA BULAT",IF(KB[TANGGAL]=B14,KB[[RELASI]:[TANGGAL]],""),IF($AB$7="KELAPA BERSABUT",IF(KBS[TANGGAL]=B14,KBS[[RELASI]:[TANGGAL]],""),IF($AB$7="KOPRA",IF(KPR[TANGGAL]=B14,KPR[[RELASI]:[TANGGAL]],""),IF($AB$7="ARANG",IF(ARG[TANGGAL]=B14,ARG[[RELASI]:[TANGGAL]],""))))),4,0),"000"),"")</f>
        <v/>
      </c>
      <c r="AH14" s="214">
        <f>SUMIFS(KBS[NETTO2],KBS[RELASI],'rek-bulanan'!$E$5,KBS[TANGGAL],'rek-bulanan'!B14)</f>
        <v>0</v>
      </c>
      <c r="AI14" s="214">
        <f>SUMIFS(KBS[NETTO2],KBS[RELASI],'rek-bulanan'!$E$5,KBS[TANGGAL],'rek-bulanan'!B14)</f>
        <v>0</v>
      </c>
      <c r="AJ14" s="214" t="str">
        <f t="shared" si="4"/>
        <v/>
      </c>
      <c r="AK14" s="217">
        <f>SUMIFS(KBS[TPEMBAYARAN],KBS[RELASI],'rek-bulanan'!$E$5,KBS[TANGGAL],'rek-bulanan'!B14)</f>
        <v>0</v>
      </c>
      <c r="AM14" s="218" t="str">
        <f t="array" ref="AM14">IFERROR(TEXT(VLOOKUP($E$5,IF($B$7="KELAPA BULAT",IF(KB[TANGGAL]=AL14,KB[[RELASI]:[TANGGAL]],""),IF($B$7="KELAPA BERSABUT",IF(KBS[TANGGAL]=AL14,KBS[[RELASI]:[TANGGAL]],""),IF($B$7="KOPRA",IF(KPR[TANGGAL]=AL14,KPR[[RELASI]:[TANGGAL]],""),IF($B$7="ARANG",IF(ARG[TANGGAL]=AL14,ARG[[RELASI]:[TANGGAL]],""))))),2,0),"0000"),"")</f>
        <v/>
      </c>
      <c r="AN14" s="213" t="str">
        <f t="array" ref="AN14">IFERROR(IF($B$7&lt;&gt;"KELAPA BULAT","",TEXT(VLOOKUP($E$5,IF(KB[NK]=VLOOKUP($E$5,IF(KB[TANGGAL]=AE14,KB[[RELASI]:[TANGGAL]],""),2,0),IF(KB[TYPE]="B",KB[[RELASI]:[TYPE]],""),""),4,0),"000")),"")</f>
        <v/>
      </c>
      <c r="AO14" s="214">
        <f>SUMIFS(ARG[NETTO1],ARG[RELASI],'rek-bulanan'!$E$5,ARG[TANGGAL],'rek-bulanan'!B14)</f>
        <v>0</v>
      </c>
      <c r="AP14" s="214">
        <f>SUMIFS(ARG[NETTO3],ARG[RELASI],'rek-bulanan'!$E$5,ARG[TANGGAL],'rek-bulanan'!B14)</f>
        <v>0</v>
      </c>
      <c r="AQ14" s="214" t="str">
        <f t="shared" si="5"/>
        <v/>
      </c>
      <c r="AR14" s="217">
        <f>SUMIFS(ARG[TPEMBAYARAN],ARG[RELASI],'rek-bulanan'!$E$5,ARG[TANGGAL],'rek-bulanan'!B14)</f>
        <v>0</v>
      </c>
      <c r="AT14" s="217">
        <f t="shared" si="6"/>
        <v>23149111</v>
      </c>
    </row>
    <row r="15" spans="1:46">
      <c r="B15" s="211">
        <f t="shared" si="0"/>
        <v>43867</v>
      </c>
      <c r="C15" s="212" t="str">
        <f t="array" ref="C15">IFERROR(TEXT(VLOOKUP($E$5,IF($B$7="KELAPA BULAT",IF(KB[TANGGAL]=B15,KB[[RELASI]:[TANGGAL]],""),IF($B$7="KELAPA BERSABUT",IF(KBS[TANGGAL]=B15,KBS[[RELASI]:[TANGGAL]],""),IF($B$7="KOPRA",IF(KPR[TANGGAL]=B15,KPR[[RELASI]:[TANGGAL]],""),IF($B$7="ARANG",IF(ARG[TANGGAL]=B15,ARG[[RELASI]:[TANGGAL]],""))))),2,0),"0000"),"")</f>
        <v/>
      </c>
      <c r="D15" s="213" t="str">
        <f t="array" ref="D15">IFERROR(TEXT(VLOOKUP($E$5,IF($B$7="KELAPA BULAT",IF(KB[TANGGAL]=B15,KB[[RELASI]:[TANGGAL]],""),IF($B$7="KELAPA BERSABUT",IF(KBS[TANGGAL]=B15,KBS[[RELASI]:[TANGGAL]],""),IF($B$7="KOPRA",IF(KPR[TANGGAL]=B15,KPR[[RELASI]:[TANGGAL]],""),IF($B$7="ARANG",IF(ARG[TANGGAL]=B15,ARG[[RELASI]:[TANGGAL]],""))))),4,0),"000"),"")</f>
        <v/>
      </c>
      <c r="E15" s="1041">
        <f>SUMIFS(KB[TN],KB[RELASI],'rek-bulanan'!$E$5,KB[TANGGAL],'rek-bulanan'!B15,KB[TYPE],"A")</f>
        <v>0</v>
      </c>
      <c r="F15" s="214">
        <f>SUMIFS(KB[BRUTO],KB[RELASI],'rek-bulanan'!$E$5,KB[TANGGAL],'rek-bulanan'!B15,KB[TYPE],"A")</f>
        <v>0</v>
      </c>
      <c r="G15" s="214">
        <f>SUMIFS(KB[TARRA],KB[RELASI],'rek-bulanan'!$E$5,KB[TANGGAL],'rek-bulanan'!B15,KB[TYPE],"A")</f>
        <v>0</v>
      </c>
      <c r="H15" s="214">
        <f>SUMIFS(KB[NETTO],KB[RELASI],'rek-bulanan'!$E$5,KB[TANGGAL],'rek-bulanan'!B15,KB[TYPE],"A")</f>
        <v>0</v>
      </c>
      <c r="I15" s="214">
        <f>SUMIFS(KB[NETTO2],KB[RELASI],'rek-bulanan'!$E$5,KB[TANGGAL],'rek-bulanan'!B15,KB[TYPE],"A")</f>
        <v>0</v>
      </c>
      <c r="J15" s="214" t="str">
        <f t="shared" si="2"/>
        <v/>
      </c>
      <c r="K15" s="215">
        <f>SUMIFS(KB[TPEMBAYARAN],KB[RELASI],'rek-bulanan'!$E$5,KB[TANGGAL],'rek-bulanan'!B15,KB[TYPE],"A")</f>
        <v>0</v>
      </c>
      <c r="L15" s="206"/>
      <c r="M15" s="213" t="str">
        <f t="array" ref="M15">IFERROR(IF($B$7&lt;&gt;"KELAPA BULAT","",TEXT(VLOOKUP($E$5,IF(KB[NK]=VLOOKUP($E$5,IF(KB[TANGGAL]=B15,KB[[RELASI]:[TANGGAL]],""),2,0),IF(KB[TYPE]="B",KB[[RELASI]:[TYPE]],""),""),4,0),"000")),"")</f>
        <v/>
      </c>
      <c r="N15" s="213"/>
      <c r="O15" s="213"/>
      <c r="P15" s="213"/>
      <c r="Q15" s="214">
        <f>SUMIFS(KB[NETTO],KB[RELASI],'rek-bulanan'!$E$5,KB[TANGGAL],'rek-bulanan'!B15,KB[TYPE],"B")</f>
        <v>0</v>
      </c>
      <c r="R15" s="214">
        <f>SUMIFS(KB[NETTO2],KB[RELASI],'rek-bulanan'!$E$5,KB[TANGGAL],'rek-bulanan'!B15,KB[TYPE],"B")</f>
        <v>0</v>
      </c>
      <c r="S15" s="214" t="str">
        <f t="shared" si="7"/>
        <v/>
      </c>
      <c r="T15" s="214">
        <f>SUMIFS(KB[TPEMBAYARAN],KB[RELASI],'rek-bulanan'!$E$5,KB[TANGGAL],'rek-bulanan'!B15,KB[TYPE],"B")</f>
        <v>0</v>
      </c>
      <c r="V15" s="218" t="str">
        <f t="array" ref="V15">IFERROR(TEXT(VLOOKUP($E$5,IF($R$7="KELAPA BULAT",IF(KB[TANGGAL]=B15,KB[[RELASI]:[TANGGAL]],""),IF($R$7="KELAPA BERSABUT",IF(KBS[TANGGAL]=B15,KBS[[RELASI]:[TANGGAL]],""),IF($R$7="KOPRA",IF(KPR[TANGGAL]=B15,KPR[[RELASI]:[TANGGAL]],""),IF($R$7="ARANG",IF(ARG[TANGGAL]=B15,ARG[[RELASI]:[TANGGAL]],""))))),2,0),"0000"),"")</f>
        <v/>
      </c>
      <c r="W15" s="213" t="str">
        <f t="array" ref="W15">IFERROR(TEXT(VLOOKUP($E$5,IF($R$7="KELAPA BULAT",IF(KB[TANGGAL]=B15,KB[[RELASI]:[TANGGAL]],""),IF($R$7="KELAPA BERSABUT",IF(KBS[TANGGAL]=B15,KBS[[RELASI]:[TANGGAL]],""),IF($R$7="KOPRA",IF(KPR[TANGGAL]=B15,KPR[[RELASI]:[TANGGAL]],""),IF($R$7="ARANG",IF(ARG[TANGGAL]=B15,ARG[[RELASI]:[TANGGAL]],""))))),4,0),"000"),"")</f>
        <v/>
      </c>
      <c r="X15" s="213"/>
      <c r="Y15" s="213"/>
      <c r="Z15" s="213"/>
      <c r="AA15" s="214">
        <f>SUMIFS(KPR[NETTO],KPR[RELASI],'rek-bulanan'!$E$5,KPR[TANGGAL],'rek-bulanan'!B15)</f>
        <v>0</v>
      </c>
      <c r="AB15" s="214">
        <f>SUMIFS(KPR[NETTOB],KPR[RELASI],'rek-bulanan'!$E$5,KPR[TANGGAL],'rek-bulanan'!B15)</f>
        <v>0</v>
      </c>
      <c r="AC15" s="214" t="str">
        <f t="shared" si="3"/>
        <v/>
      </c>
      <c r="AD15" s="217">
        <f>SUMIFS(KPR[TPEMBAYARAN],KPR[RELASI],'rek-bulanan'!$E$5,KPR[TANGGAL],'rek-bulanan'!B15)</f>
        <v>0</v>
      </c>
      <c r="AF15" s="218" t="str">
        <f t="array" ref="AF15">IFERROR(TEXT(VLOOKUP($E$5,IF($AB$7="KELAPA BULAT",IF(KB[TANGGAL]=B15,KB[[RELASI]:[TANGGAL]],""),IF($AB$7="KELAPA BERSABUT",IF(KBS[TANGGAL]=B15,KBS[[RELASI]:[TANGGAL]],""),IF($AB$7="KOPRA",IF(KPR[TANGGAL]=B15,KPR[[RELASI]:[TANGGAL]],""),IF($AB$7="ARANG",IF(ARG[TANGGAL]=B15,ARG[[RELASI]:[TANGGAL]],""))))),2,0),"0000"),"")</f>
        <v/>
      </c>
      <c r="AG15" s="213" t="str">
        <f t="array" ref="AG15">IFERROR(TEXT(VLOOKUP($E$5,IF($AB$7="KELAPA BULAT",IF(KB[TANGGAL]=B15,KB[[RELASI]:[TANGGAL]],""),IF($AB$7="KELAPA BERSABUT",IF(KBS[TANGGAL]=B15,KBS[[RELASI]:[TANGGAL]],""),IF($AB$7="KOPRA",IF(KPR[TANGGAL]=B15,KPR[[RELASI]:[TANGGAL]],""),IF($AB$7="ARANG",IF(ARG[TANGGAL]=B15,ARG[[RELASI]:[TANGGAL]],""))))),4,0),"000"),"")</f>
        <v/>
      </c>
      <c r="AH15" s="214">
        <f>SUMIFS(KBS[NETTO2],KBS[RELASI],'rek-bulanan'!$E$5,KBS[TANGGAL],'rek-bulanan'!B15)</f>
        <v>0</v>
      </c>
      <c r="AI15" s="214">
        <f>SUMIFS(KBS[NETTO2],KBS[RELASI],'rek-bulanan'!$E$5,KBS[TANGGAL],'rek-bulanan'!B15)</f>
        <v>0</v>
      </c>
      <c r="AJ15" s="214" t="str">
        <f t="shared" si="4"/>
        <v/>
      </c>
      <c r="AK15" s="217">
        <f>SUMIFS(KBS[TPEMBAYARAN],KBS[RELASI],'rek-bulanan'!$E$5,KBS[TANGGAL],'rek-bulanan'!B15)</f>
        <v>0</v>
      </c>
      <c r="AM15" s="218" t="str">
        <f t="array" ref="AM15">IFERROR(TEXT(VLOOKUP($E$5,IF($B$7="KELAPA BULAT",IF(KB[TANGGAL]=AL15,KB[[RELASI]:[TANGGAL]],""),IF($B$7="KELAPA BERSABUT",IF(KBS[TANGGAL]=AL15,KBS[[RELASI]:[TANGGAL]],""),IF($B$7="KOPRA",IF(KPR[TANGGAL]=AL15,KPR[[RELASI]:[TANGGAL]],""),IF($B$7="ARANG",IF(ARG[TANGGAL]=AL15,ARG[[RELASI]:[TANGGAL]],""))))),2,0),"0000"),"")</f>
        <v/>
      </c>
      <c r="AN15" s="213" t="str">
        <f t="array" ref="AN15">IFERROR(IF($B$7&lt;&gt;"KELAPA BULAT","",TEXT(VLOOKUP($E$5,IF(KB[NK]=VLOOKUP($E$5,IF(KB[TANGGAL]=AE15,KB[[RELASI]:[TANGGAL]],""),2,0),IF(KB[TYPE]="B",KB[[RELASI]:[TYPE]],""),""),4,0),"000")),"")</f>
        <v/>
      </c>
      <c r="AO15" s="214">
        <f>SUMIFS(ARG[NETTO1],ARG[RELASI],'rek-bulanan'!$E$5,ARG[TANGGAL],'rek-bulanan'!B15)</f>
        <v>0</v>
      </c>
      <c r="AP15" s="214">
        <f>SUMIFS(ARG[NETTO3],ARG[RELASI],'rek-bulanan'!$E$5,ARG[TANGGAL],'rek-bulanan'!B15)</f>
        <v>0</v>
      </c>
      <c r="AQ15" s="214" t="str">
        <f t="shared" si="5"/>
        <v/>
      </c>
      <c r="AR15" s="217">
        <f>SUMIFS(ARG[TPEMBAYARAN],ARG[RELASI],'rek-bulanan'!$E$5,ARG[TANGGAL],'rek-bulanan'!B15)</f>
        <v>0</v>
      </c>
      <c r="AT15" s="217">
        <f t="shared" si="6"/>
        <v>0</v>
      </c>
    </row>
    <row r="16" spans="1:46">
      <c r="B16" s="211">
        <f t="shared" si="0"/>
        <v>43868</v>
      </c>
      <c r="C16" s="212" t="str">
        <f t="array" ref="C16">IFERROR(TEXT(VLOOKUP($E$5,IF($B$7="KELAPA BULAT",IF(KB[TANGGAL]=B16,KB[[RELASI]:[TANGGAL]],""),IF($B$7="KELAPA BERSABUT",IF(KBS[TANGGAL]=B16,KBS[[RELASI]:[TANGGAL]],""),IF($B$7="KOPRA",IF(KPR[TANGGAL]=B16,KPR[[RELASI]:[TANGGAL]],""),IF($B$7="ARANG",IF(ARG[TANGGAL]=B16,ARG[[RELASI]:[TANGGAL]],""))))),2,0),"0000"),"")</f>
        <v>0020</v>
      </c>
      <c r="D16" s="213" t="str">
        <f t="array" ref="D16">IFERROR(TEXT(VLOOKUP($E$5,IF($B$7="KELAPA BULAT",IF(KB[TANGGAL]=B16,KB[[RELASI]:[TANGGAL]],""),IF($B$7="KELAPA BERSABUT",IF(KBS[TANGGAL]=B16,KBS[[RELASI]:[TANGGAL]],""),IF($B$7="KOPRA",IF(KPR[TANGGAL]=B16,KPR[[RELASI]:[TANGGAL]],""),IF($B$7="ARANG",IF(ARG[TANGGAL]=B16,ARG[[RELASI]:[TANGGAL]],""))))),4,0),"000"),"")</f>
        <v>020</v>
      </c>
      <c r="E16" s="1041">
        <f>SUMIFS(KB[TN],KB[RELASI],'rek-bulanan'!$E$5,KB[TANGGAL],'rek-bulanan'!B16,KB[TYPE],"A")</f>
        <v>1</v>
      </c>
      <c r="F16" s="214">
        <f>SUMIFS(KB[BRUTO],KB[RELASI],'rek-bulanan'!$E$5,KB[TANGGAL],'rek-bulanan'!B16,KB[TYPE],"A")</f>
        <v>8160</v>
      </c>
      <c r="G16" s="214">
        <f>SUMIFS(KB[TARRA],KB[RELASI],'rek-bulanan'!$E$5,KB[TANGGAL],'rek-bulanan'!B16,KB[TYPE],"A")</f>
        <v>4350</v>
      </c>
      <c r="H16" s="214">
        <f>SUMIFS(KB[NETTO],KB[RELASI],'rek-bulanan'!$E$5,KB[TANGGAL],'rek-bulanan'!B16,KB[TYPE],"A")</f>
        <v>3810</v>
      </c>
      <c r="I16" s="214">
        <f>SUMIFS(KB[NETTO2],KB[RELASI],'rek-bulanan'!$E$5,KB[TANGGAL],'rek-bulanan'!B16,KB[TYPE],"A")</f>
        <v>3619.5</v>
      </c>
      <c r="J16" s="214">
        <f t="shared" si="2"/>
        <v>2849.9983423124741</v>
      </c>
      <c r="K16" s="215">
        <f>SUMIFS(KB[TPEMBAYARAN],KB[RELASI],'rek-bulanan'!$E$5,KB[TANGGAL],'rek-bulanan'!B16,KB[TYPE],"A")</f>
        <v>10315569</v>
      </c>
      <c r="L16" s="206"/>
      <c r="M16" s="213" t="str">
        <f t="array" ref="M16">IFERROR(IF($B$7&lt;&gt;"KELAPA BULAT","",TEXT(VLOOKUP($E$5,IF(KB[NK]=VLOOKUP($E$5,IF(KB[TANGGAL]=B16,KB[[RELASI]:[TANGGAL]],""),2,0),IF(KB[TYPE]="B",KB[[RELASI]:[TYPE]],""),""),4,0),"000")),"")</f>
        <v/>
      </c>
      <c r="N16" s="213"/>
      <c r="O16" s="213"/>
      <c r="P16" s="213"/>
      <c r="Q16" s="214">
        <f>SUMIFS(KB[NETTO],KB[RELASI],'rek-bulanan'!$E$5,KB[TANGGAL],'rek-bulanan'!B16,KB[TYPE],"B")</f>
        <v>0</v>
      </c>
      <c r="R16" s="214">
        <f>SUMIFS(KB[NETTO2],KB[RELASI],'rek-bulanan'!$E$5,KB[TANGGAL],'rek-bulanan'!B16,KB[TYPE],"B")</f>
        <v>0</v>
      </c>
      <c r="S16" s="214" t="str">
        <f t="shared" si="7"/>
        <v/>
      </c>
      <c r="T16" s="214">
        <f>SUMIFS(KB[TPEMBAYARAN],KB[RELASI],'rek-bulanan'!$E$5,KB[TANGGAL],'rek-bulanan'!B16,KB[TYPE],"B")</f>
        <v>0</v>
      </c>
      <c r="V16" s="218" t="str">
        <f t="array" ref="V16">IFERROR(TEXT(VLOOKUP($E$5,IF($R$7="KELAPA BULAT",IF(KB[TANGGAL]=B16,KB[[RELASI]:[TANGGAL]],""),IF($R$7="KELAPA BERSABUT",IF(KBS[TANGGAL]=B16,KBS[[RELASI]:[TANGGAL]],""),IF($R$7="KOPRA",IF(KPR[TANGGAL]=B16,KPR[[RELASI]:[TANGGAL]],""),IF($R$7="ARANG",IF(ARG[TANGGAL]=B16,ARG[[RELASI]:[TANGGAL]],""))))),2,0),"0000"),"")</f>
        <v/>
      </c>
      <c r="W16" s="213" t="str">
        <f t="array" ref="W16">IFERROR(TEXT(VLOOKUP($E$5,IF($R$7="KELAPA BULAT",IF(KB[TANGGAL]=B16,KB[[RELASI]:[TANGGAL]],""),IF($R$7="KELAPA BERSABUT",IF(KBS[TANGGAL]=B16,KBS[[RELASI]:[TANGGAL]],""),IF($R$7="KOPRA",IF(KPR[TANGGAL]=B16,KPR[[RELASI]:[TANGGAL]],""),IF($R$7="ARANG",IF(ARG[TANGGAL]=B16,ARG[[RELASI]:[TANGGAL]],""))))),4,0),"000"),"")</f>
        <v/>
      </c>
      <c r="X16" s="213"/>
      <c r="Y16" s="213"/>
      <c r="Z16" s="213"/>
      <c r="AA16" s="214">
        <f>SUMIFS(KPR[NETTO],KPR[RELASI],'rek-bulanan'!$E$5,KPR[TANGGAL],'rek-bulanan'!B16)</f>
        <v>0</v>
      </c>
      <c r="AB16" s="214">
        <f>SUMIFS(KPR[NETTOB],KPR[RELASI],'rek-bulanan'!$E$5,KPR[TANGGAL],'rek-bulanan'!B16)</f>
        <v>0</v>
      </c>
      <c r="AC16" s="214" t="str">
        <f t="shared" si="3"/>
        <v/>
      </c>
      <c r="AD16" s="217">
        <f>SUMIFS(KPR[TPEMBAYARAN],KPR[RELASI],'rek-bulanan'!$E$5,KPR[TANGGAL],'rek-bulanan'!B16)</f>
        <v>0</v>
      </c>
      <c r="AF16" s="218" t="str">
        <f t="array" ref="AF16">IFERROR(TEXT(VLOOKUP($E$5,IF($AB$7="KELAPA BULAT",IF(KB[TANGGAL]=B16,KB[[RELASI]:[TANGGAL]],""),IF($AB$7="KELAPA BERSABUT",IF(KBS[TANGGAL]=B16,KBS[[RELASI]:[TANGGAL]],""),IF($AB$7="KOPRA",IF(KPR[TANGGAL]=B16,KPR[[RELASI]:[TANGGAL]],""),IF($AB$7="ARANG",IF(ARG[TANGGAL]=B16,ARG[[RELASI]:[TANGGAL]],""))))),2,0),"0000"),"")</f>
        <v/>
      </c>
      <c r="AG16" s="213" t="str">
        <f t="array" ref="AG16">IFERROR(TEXT(VLOOKUP($E$5,IF($AB$7="KELAPA BULAT",IF(KB[TANGGAL]=B16,KB[[RELASI]:[TANGGAL]],""),IF($AB$7="KELAPA BERSABUT",IF(KBS[TANGGAL]=B16,KBS[[RELASI]:[TANGGAL]],""),IF($AB$7="KOPRA",IF(KPR[TANGGAL]=B16,KPR[[RELASI]:[TANGGAL]],""),IF($AB$7="ARANG",IF(ARG[TANGGAL]=B16,ARG[[RELASI]:[TANGGAL]],""))))),4,0),"000"),"")</f>
        <v/>
      </c>
      <c r="AH16" s="214">
        <f>SUMIFS(KBS[NETTO2],KBS[RELASI],'rek-bulanan'!$E$5,KBS[TANGGAL],'rek-bulanan'!B16)</f>
        <v>0</v>
      </c>
      <c r="AI16" s="214">
        <f>SUMIFS(KBS[NETTO2],KBS[RELASI],'rek-bulanan'!$E$5,KBS[TANGGAL],'rek-bulanan'!B16)</f>
        <v>0</v>
      </c>
      <c r="AJ16" s="214" t="str">
        <f t="shared" si="4"/>
        <v/>
      </c>
      <c r="AK16" s="217">
        <f>SUMIFS(KBS[TPEMBAYARAN],KBS[RELASI],'rek-bulanan'!$E$5,KBS[TANGGAL],'rek-bulanan'!B16)</f>
        <v>0</v>
      </c>
      <c r="AM16" s="218" t="str">
        <f t="array" ref="AM16">IFERROR(TEXT(VLOOKUP($E$5,IF($B$7="KELAPA BULAT",IF(KB[TANGGAL]=AL16,KB[[RELASI]:[TANGGAL]],""),IF($B$7="KELAPA BERSABUT",IF(KBS[TANGGAL]=AL16,KBS[[RELASI]:[TANGGAL]],""),IF($B$7="KOPRA",IF(KPR[TANGGAL]=AL16,KPR[[RELASI]:[TANGGAL]],""),IF($B$7="ARANG",IF(ARG[TANGGAL]=AL16,ARG[[RELASI]:[TANGGAL]],""))))),2,0),"0000"),"")</f>
        <v/>
      </c>
      <c r="AN16" s="213" t="str">
        <f t="array" ref="AN16">IFERROR(IF($B$7&lt;&gt;"KELAPA BULAT","",TEXT(VLOOKUP($E$5,IF(KB[NK]=VLOOKUP($E$5,IF(KB[TANGGAL]=AE16,KB[[RELASI]:[TANGGAL]],""),2,0),IF(KB[TYPE]="B",KB[[RELASI]:[TYPE]],""),""),4,0),"000")),"")</f>
        <v/>
      </c>
      <c r="AO16" s="214">
        <f>SUMIFS(ARG[NETTO1],ARG[RELASI],'rek-bulanan'!$E$5,ARG[TANGGAL],'rek-bulanan'!B16)</f>
        <v>0</v>
      </c>
      <c r="AP16" s="214">
        <f>SUMIFS(ARG[NETTO3],ARG[RELASI],'rek-bulanan'!$E$5,ARG[TANGGAL],'rek-bulanan'!B16)</f>
        <v>0</v>
      </c>
      <c r="AQ16" s="214" t="str">
        <f t="shared" si="5"/>
        <v/>
      </c>
      <c r="AR16" s="217">
        <f>SUMIFS(ARG[TPEMBAYARAN],ARG[RELASI],'rek-bulanan'!$E$5,ARG[TANGGAL],'rek-bulanan'!B16)</f>
        <v>0</v>
      </c>
      <c r="AT16" s="217">
        <f t="shared" si="6"/>
        <v>10315569</v>
      </c>
    </row>
    <row r="17" spans="2:46">
      <c r="B17" s="211">
        <f t="shared" si="0"/>
        <v>43869</v>
      </c>
      <c r="C17" s="212" t="str">
        <f t="array" ref="C17">IFERROR(TEXT(VLOOKUP($E$5,IF($B$7="KELAPA BULAT",IF(KB[TANGGAL]=B17,KB[[RELASI]:[TANGGAL]],""),IF($B$7="KELAPA BERSABUT",IF(KBS[TANGGAL]=B17,KBS[[RELASI]:[TANGGAL]],""),IF($B$7="KOPRA",IF(KPR[TANGGAL]=B17,KPR[[RELASI]:[TANGGAL]],""),IF($B$7="ARANG",IF(ARG[TANGGAL]=B17,ARG[[RELASI]:[TANGGAL]],""))))),2,0),"0000"),"")</f>
        <v/>
      </c>
      <c r="D17" s="213" t="str">
        <f t="array" ref="D17">IFERROR(TEXT(VLOOKUP($E$5,IF($B$7="KELAPA BULAT",IF(KB[TANGGAL]=B17,KB[[RELASI]:[TANGGAL]],""),IF($B$7="KELAPA BERSABUT",IF(KBS[TANGGAL]=B17,KBS[[RELASI]:[TANGGAL]],""),IF($B$7="KOPRA",IF(KPR[TANGGAL]=B17,KPR[[RELASI]:[TANGGAL]],""),IF($B$7="ARANG",IF(ARG[TANGGAL]=B17,ARG[[RELASI]:[TANGGAL]],""))))),4,0),"000"),"")</f>
        <v/>
      </c>
      <c r="E17" s="1041">
        <f>SUMIFS(KB[TN],KB[RELASI],'rek-bulanan'!$E$5,KB[TANGGAL],'rek-bulanan'!B17,KB[TYPE],"A")</f>
        <v>0</v>
      </c>
      <c r="F17" s="214">
        <f>SUMIFS(KB[BRUTO],KB[RELASI],'rek-bulanan'!$E$5,KB[TANGGAL],'rek-bulanan'!B17,KB[TYPE],"A")</f>
        <v>0</v>
      </c>
      <c r="G17" s="214">
        <f>SUMIFS(KB[TARRA],KB[RELASI],'rek-bulanan'!$E$5,KB[TANGGAL],'rek-bulanan'!B17,KB[TYPE],"A")</f>
        <v>0</v>
      </c>
      <c r="H17" s="214">
        <f>SUMIFS(KB[NETTO],KB[RELASI],'rek-bulanan'!$E$5,KB[TANGGAL],'rek-bulanan'!B17,KB[TYPE],"A")</f>
        <v>0</v>
      </c>
      <c r="I17" s="214">
        <f>SUMIFS(KB[NETTO2],KB[RELASI],'rek-bulanan'!$E$5,KB[TANGGAL],'rek-bulanan'!B17,KB[TYPE],"A")</f>
        <v>0</v>
      </c>
      <c r="J17" s="214" t="str">
        <f t="shared" si="2"/>
        <v/>
      </c>
      <c r="K17" s="215">
        <f>SUMIFS(KB[TPEMBAYARAN],KB[RELASI],'rek-bulanan'!$E$5,KB[TANGGAL],'rek-bulanan'!B17,KB[TYPE],"A")</f>
        <v>0</v>
      </c>
      <c r="L17" s="206"/>
      <c r="M17" s="213" t="str">
        <f t="array" ref="M17">IFERROR(IF($B$7&lt;&gt;"KELAPA BULAT","",TEXT(VLOOKUP($E$5,IF(KB[NK]=VLOOKUP($E$5,IF(KB[TANGGAL]=B17,KB[[RELASI]:[TANGGAL]],""),2,0),IF(KB[TYPE]="B",KB[[RELASI]:[TYPE]],""),""),4,0),"000")),"")</f>
        <v/>
      </c>
      <c r="N17" s="213"/>
      <c r="O17" s="213"/>
      <c r="P17" s="213"/>
      <c r="Q17" s="214">
        <f>SUMIFS(KB[NETTO],KB[RELASI],'rek-bulanan'!$E$5,KB[TANGGAL],'rek-bulanan'!B17,KB[TYPE],"B")</f>
        <v>0</v>
      </c>
      <c r="R17" s="214">
        <f>SUMIFS(KB[NETTO2],KB[RELASI],'rek-bulanan'!$E$5,KB[TANGGAL],'rek-bulanan'!B17,KB[TYPE],"B")</f>
        <v>0</v>
      </c>
      <c r="S17" s="214" t="str">
        <f t="shared" si="7"/>
        <v/>
      </c>
      <c r="T17" s="214">
        <f>SUMIFS(KB[TPEMBAYARAN],KB[RELASI],'rek-bulanan'!$E$5,KB[TANGGAL],'rek-bulanan'!B17,KB[TYPE],"B")</f>
        <v>0</v>
      </c>
      <c r="V17" s="218" t="str">
        <f t="array" ref="V17">IFERROR(TEXT(VLOOKUP($E$5,IF($R$7="KELAPA BULAT",IF(KB[TANGGAL]=B17,KB[[RELASI]:[TANGGAL]],""),IF($R$7="KELAPA BERSABUT",IF(KBS[TANGGAL]=B17,KBS[[RELASI]:[TANGGAL]],""),IF($R$7="KOPRA",IF(KPR[TANGGAL]=B17,KPR[[RELASI]:[TANGGAL]],""),IF($R$7="ARANG",IF(ARG[TANGGAL]=B17,ARG[[RELASI]:[TANGGAL]],""))))),2,0),"0000"),"")</f>
        <v/>
      </c>
      <c r="W17" s="213" t="str">
        <f t="array" ref="W17">IFERROR(TEXT(VLOOKUP($E$5,IF($R$7="KELAPA BULAT",IF(KB[TANGGAL]=B17,KB[[RELASI]:[TANGGAL]],""),IF($R$7="KELAPA BERSABUT",IF(KBS[TANGGAL]=B17,KBS[[RELASI]:[TANGGAL]],""),IF($R$7="KOPRA",IF(KPR[TANGGAL]=B17,KPR[[RELASI]:[TANGGAL]],""),IF($R$7="ARANG",IF(ARG[TANGGAL]=B17,ARG[[RELASI]:[TANGGAL]],""))))),4,0),"000"),"")</f>
        <v/>
      </c>
      <c r="X17" s="213"/>
      <c r="Y17" s="213"/>
      <c r="Z17" s="213"/>
      <c r="AA17" s="214">
        <f>SUMIFS(KPR[NETTO],KPR[RELASI],'rek-bulanan'!$E$5,KPR[TANGGAL],'rek-bulanan'!B17)</f>
        <v>0</v>
      </c>
      <c r="AB17" s="214">
        <f>SUMIFS(KPR[NETTOB],KPR[RELASI],'rek-bulanan'!$E$5,KPR[TANGGAL],'rek-bulanan'!B17)</f>
        <v>0</v>
      </c>
      <c r="AC17" s="214" t="str">
        <f t="shared" si="3"/>
        <v/>
      </c>
      <c r="AD17" s="217">
        <f>SUMIFS(KPR[TPEMBAYARAN],KPR[RELASI],'rek-bulanan'!$E$5,KPR[TANGGAL],'rek-bulanan'!B17)</f>
        <v>0</v>
      </c>
      <c r="AF17" s="218" t="str">
        <f t="array" ref="AF17">IFERROR(TEXT(VLOOKUP($E$5,IF($AB$7="KELAPA BULAT",IF(KB[TANGGAL]=B17,KB[[RELASI]:[TANGGAL]],""),IF($AB$7="KELAPA BERSABUT",IF(KBS[TANGGAL]=B17,KBS[[RELASI]:[TANGGAL]],""),IF($AB$7="KOPRA",IF(KPR[TANGGAL]=B17,KPR[[RELASI]:[TANGGAL]],""),IF($AB$7="ARANG",IF(ARG[TANGGAL]=B17,ARG[[RELASI]:[TANGGAL]],""))))),2,0),"0000"),"")</f>
        <v/>
      </c>
      <c r="AG17" s="213" t="str">
        <f t="array" ref="AG17">IFERROR(TEXT(VLOOKUP($E$5,IF($AB$7="KELAPA BULAT",IF(KB[TANGGAL]=B17,KB[[RELASI]:[TANGGAL]],""),IF($AB$7="KELAPA BERSABUT",IF(KBS[TANGGAL]=B17,KBS[[RELASI]:[TANGGAL]],""),IF($AB$7="KOPRA",IF(KPR[TANGGAL]=B17,KPR[[RELASI]:[TANGGAL]],""),IF($AB$7="ARANG",IF(ARG[TANGGAL]=B17,ARG[[RELASI]:[TANGGAL]],""))))),4,0),"000"),"")</f>
        <v/>
      </c>
      <c r="AH17" s="214">
        <f>SUMIFS(KBS[NETTO2],KBS[RELASI],'rek-bulanan'!$E$5,KBS[TANGGAL],'rek-bulanan'!B17)</f>
        <v>0</v>
      </c>
      <c r="AI17" s="214">
        <f>SUMIFS(KBS[NETTO2],KBS[RELASI],'rek-bulanan'!$E$5,KBS[TANGGAL],'rek-bulanan'!B17)</f>
        <v>0</v>
      </c>
      <c r="AJ17" s="214" t="str">
        <f t="shared" si="4"/>
        <v/>
      </c>
      <c r="AK17" s="217">
        <f>SUMIFS(KBS[TPEMBAYARAN],KBS[RELASI],'rek-bulanan'!$E$5,KBS[TANGGAL],'rek-bulanan'!B17)</f>
        <v>0</v>
      </c>
      <c r="AM17" s="218" t="str">
        <f t="array" ref="AM17">IFERROR(TEXT(VLOOKUP($E$5,IF($B$7="KELAPA BULAT",IF(KB[TANGGAL]=AL17,KB[[RELASI]:[TANGGAL]],""),IF($B$7="KELAPA BERSABUT",IF(KBS[TANGGAL]=AL17,KBS[[RELASI]:[TANGGAL]],""),IF($B$7="KOPRA",IF(KPR[TANGGAL]=AL17,KPR[[RELASI]:[TANGGAL]],""),IF($B$7="ARANG",IF(ARG[TANGGAL]=AL17,ARG[[RELASI]:[TANGGAL]],""))))),2,0),"0000"),"")</f>
        <v/>
      </c>
      <c r="AN17" s="213" t="str">
        <f t="array" ref="AN17">IFERROR(IF($B$7&lt;&gt;"KELAPA BULAT","",TEXT(VLOOKUP($E$5,IF(KB[NK]=VLOOKUP($E$5,IF(KB[TANGGAL]=AE17,KB[[RELASI]:[TANGGAL]],""),2,0),IF(KB[TYPE]="B",KB[[RELASI]:[TYPE]],""),""),4,0),"000")),"")</f>
        <v/>
      </c>
      <c r="AO17" s="214">
        <f>SUMIFS(ARG[NETTO1],ARG[RELASI],'rek-bulanan'!$E$5,ARG[TANGGAL],'rek-bulanan'!B17)</f>
        <v>0</v>
      </c>
      <c r="AP17" s="214">
        <f>SUMIFS(ARG[NETTO3],ARG[RELASI],'rek-bulanan'!$E$5,ARG[TANGGAL],'rek-bulanan'!B17)</f>
        <v>0</v>
      </c>
      <c r="AQ17" s="214" t="str">
        <f t="shared" si="5"/>
        <v/>
      </c>
      <c r="AR17" s="217">
        <f>SUMIFS(ARG[TPEMBAYARAN],ARG[RELASI],'rek-bulanan'!$E$5,ARG[TANGGAL],'rek-bulanan'!B17)</f>
        <v>0</v>
      </c>
      <c r="AT17" s="217">
        <f t="shared" si="6"/>
        <v>0</v>
      </c>
    </row>
    <row r="18" spans="2:46">
      <c r="B18" s="211">
        <f t="shared" si="0"/>
        <v>43870</v>
      </c>
      <c r="C18" s="212" t="str">
        <f t="array" ref="C18">IFERROR(TEXT(VLOOKUP($E$5,IF($B$7="KELAPA BULAT",IF(KB[TANGGAL]=B18,KB[[RELASI]:[TANGGAL]],""),IF($B$7="KELAPA BERSABUT",IF(KBS[TANGGAL]=B18,KBS[[RELASI]:[TANGGAL]],""),IF($B$7="KOPRA",IF(KPR[TANGGAL]=B18,KPR[[RELASI]:[TANGGAL]],""),IF($B$7="ARANG",IF(ARG[TANGGAL]=B18,ARG[[RELASI]:[TANGGAL]],""))))),2,0),"0000"),"")</f>
        <v/>
      </c>
      <c r="D18" s="213" t="str">
        <f t="array" ref="D18">IFERROR(TEXT(VLOOKUP($E$5,IF($B$7="KELAPA BULAT",IF(KB[TANGGAL]=B18,KB[[RELASI]:[TANGGAL]],""),IF($B$7="KELAPA BERSABUT",IF(KBS[TANGGAL]=B18,KBS[[RELASI]:[TANGGAL]],""),IF($B$7="KOPRA",IF(KPR[TANGGAL]=B18,KPR[[RELASI]:[TANGGAL]],""),IF($B$7="ARANG",IF(ARG[TANGGAL]=B18,ARG[[RELASI]:[TANGGAL]],""))))),4,0),"000"),"")</f>
        <v/>
      </c>
      <c r="E18" s="1041">
        <f>SUMIFS(KB[TN],KB[RELASI],'rek-bulanan'!$E$5,KB[TANGGAL],'rek-bulanan'!B18,KB[TYPE],"A")</f>
        <v>0</v>
      </c>
      <c r="F18" s="214">
        <f>SUMIFS(KB[BRUTO],KB[RELASI],'rek-bulanan'!$E$5,KB[TANGGAL],'rek-bulanan'!B18,KB[TYPE],"A")</f>
        <v>0</v>
      </c>
      <c r="G18" s="214">
        <f>SUMIFS(KB[TARRA],KB[RELASI],'rek-bulanan'!$E$5,KB[TANGGAL],'rek-bulanan'!B18,KB[TYPE],"A")</f>
        <v>0</v>
      </c>
      <c r="H18" s="214">
        <f>SUMIFS(KB[NETTO],KB[RELASI],'rek-bulanan'!$E$5,KB[TANGGAL],'rek-bulanan'!B18,KB[TYPE],"A")</f>
        <v>0</v>
      </c>
      <c r="I18" s="214">
        <f>SUMIFS(KB[NETTO2],KB[RELASI],'rek-bulanan'!$E$5,KB[TANGGAL],'rek-bulanan'!B18,KB[TYPE],"A")</f>
        <v>0</v>
      </c>
      <c r="J18" s="214" t="str">
        <f t="shared" si="2"/>
        <v/>
      </c>
      <c r="K18" s="215">
        <f>SUMIFS(KB[TPEMBAYARAN],KB[RELASI],'rek-bulanan'!$E$5,KB[TANGGAL],'rek-bulanan'!B18,KB[TYPE],"A")</f>
        <v>0</v>
      </c>
      <c r="L18" s="206"/>
      <c r="M18" s="213" t="str">
        <f t="array" ref="M18">IFERROR(IF($B$7&lt;&gt;"KELAPA BULAT","",TEXT(VLOOKUP($E$5,IF(KB[NK]=VLOOKUP($E$5,IF(KB[TANGGAL]=B18,KB[[RELASI]:[TANGGAL]],""),2,0),IF(KB[TYPE]="B",KB[[RELASI]:[TYPE]],""),""),4,0),"000")),"")</f>
        <v/>
      </c>
      <c r="N18" s="213"/>
      <c r="O18" s="213"/>
      <c r="P18" s="213"/>
      <c r="Q18" s="214">
        <f>SUMIFS(KB[NETTO],KB[RELASI],'rek-bulanan'!$E$5,KB[TANGGAL],'rek-bulanan'!B18,KB[TYPE],"B")</f>
        <v>0</v>
      </c>
      <c r="R18" s="214">
        <f>SUMIFS(KB[NETTO2],KB[RELASI],'rek-bulanan'!$E$5,KB[TANGGAL],'rek-bulanan'!B18,KB[TYPE],"B")</f>
        <v>0</v>
      </c>
      <c r="S18" s="214" t="str">
        <f t="shared" si="7"/>
        <v/>
      </c>
      <c r="T18" s="214">
        <f>SUMIFS(KB[TPEMBAYARAN],KB[RELASI],'rek-bulanan'!$E$5,KB[TANGGAL],'rek-bulanan'!B18,KB[TYPE],"B")</f>
        <v>0</v>
      </c>
      <c r="V18" s="218" t="str">
        <f t="array" ref="V18">IFERROR(TEXT(VLOOKUP($E$5,IF($R$7="KELAPA BULAT",IF(KB[TANGGAL]=B18,KB[[RELASI]:[TANGGAL]],""),IF($R$7="KELAPA BERSABUT",IF(KBS[TANGGAL]=B18,KBS[[RELASI]:[TANGGAL]],""),IF($R$7="KOPRA",IF(KPR[TANGGAL]=B18,KPR[[RELASI]:[TANGGAL]],""),IF($R$7="ARANG",IF(ARG[TANGGAL]=B18,ARG[[RELASI]:[TANGGAL]],""))))),2,0),"0000"),"")</f>
        <v/>
      </c>
      <c r="W18" s="213" t="str">
        <f t="array" ref="W18">IFERROR(TEXT(VLOOKUP($E$5,IF($R$7="KELAPA BULAT",IF(KB[TANGGAL]=B18,KB[[RELASI]:[TANGGAL]],""),IF($R$7="KELAPA BERSABUT",IF(KBS[TANGGAL]=B18,KBS[[RELASI]:[TANGGAL]],""),IF($R$7="KOPRA",IF(KPR[TANGGAL]=B18,KPR[[RELASI]:[TANGGAL]],""),IF($R$7="ARANG",IF(ARG[TANGGAL]=B18,ARG[[RELASI]:[TANGGAL]],""))))),4,0),"000"),"")</f>
        <v/>
      </c>
      <c r="X18" s="213"/>
      <c r="Y18" s="213"/>
      <c r="Z18" s="213"/>
      <c r="AA18" s="214">
        <f>SUMIFS(KPR[NETTO],KPR[RELASI],'rek-bulanan'!$E$5,KPR[TANGGAL],'rek-bulanan'!B18)</f>
        <v>0</v>
      </c>
      <c r="AB18" s="214">
        <f>SUMIFS(KPR[NETTOB],KPR[RELASI],'rek-bulanan'!$E$5,KPR[TANGGAL],'rek-bulanan'!B18)</f>
        <v>0</v>
      </c>
      <c r="AC18" s="214" t="str">
        <f t="shared" si="3"/>
        <v/>
      </c>
      <c r="AD18" s="217">
        <f>SUMIFS(KPR[TPEMBAYARAN],KPR[RELASI],'rek-bulanan'!$E$5,KPR[TANGGAL],'rek-bulanan'!B18)</f>
        <v>0</v>
      </c>
      <c r="AF18" s="218" t="str">
        <f t="array" ref="AF18">IFERROR(TEXT(VLOOKUP($E$5,IF($AB$7="KELAPA BULAT",IF(KB[TANGGAL]=B18,KB[[RELASI]:[TANGGAL]],""),IF($AB$7="KELAPA BERSABUT",IF(KBS[TANGGAL]=B18,KBS[[RELASI]:[TANGGAL]],""),IF($AB$7="KOPRA",IF(KPR[TANGGAL]=B18,KPR[[RELASI]:[TANGGAL]],""),IF($AB$7="ARANG",IF(ARG[TANGGAL]=B18,ARG[[RELASI]:[TANGGAL]],""))))),2,0),"0000"),"")</f>
        <v/>
      </c>
      <c r="AG18" s="213" t="str">
        <f t="array" ref="AG18">IFERROR(TEXT(VLOOKUP($E$5,IF($AB$7="KELAPA BULAT",IF(KB[TANGGAL]=B18,KB[[RELASI]:[TANGGAL]],""),IF($AB$7="KELAPA BERSABUT",IF(KBS[TANGGAL]=B18,KBS[[RELASI]:[TANGGAL]],""),IF($AB$7="KOPRA",IF(KPR[TANGGAL]=B18,KPR[[RELASI]:[TANGGAL]],""),IF($AB$7="ARANG",IF(ARG[TANGGAL]=B18,ARG[[RELASI]:[TANGGAL]],""))))),4,0),"000"),"")</f>
        <v/>
      </c>
      <c r="AH18" s="214">
        <f>SUMIFS(KBS[NETTO2],KBS[RELASI],'rek-bulanan'!$E$5,KBS[TANGGAL],'rek-bulanan'!B18)</f>
        <v>0</v>
      </c>
      <c r="AI18" s="214">
        <f>SUMIFS(KBS[NETTO2],KBS[RELASI],'rek-bulanan'!$E$5,KBS[TANGGAL],'rek-bulanan'!B18)</f>
        <v>0</v>
      </c>
      <c r="AJ18" s="214" t="str">
        <f t="shared" si="4"/>
        <v/>
      </c>
      <c r="AK18" s="217">
        <f>SUMIFS(KBS[TPEMBAYARAN],KBS[RELASI],'rek-bulanan'!$E$5,KBS[TANGGAL],'rek-bulanan'!B18)</f>
        <v>0</v>
      </c>
      <c r="AM18" s="218" t="str">
        <f t="array" ref="AM18">IFERROR(TEXT(VLOOKUP($E$5,IF($B$7="KELAPA BULAT",IF(KB[TANGGAL]=AL18,KB[[RELASI]:[TANGGAL]],""),IF($B$7="KELAPA BERSABUT",IF(KBS[TANGGAL]=AL18,KBS[[RELASI]:[TANGGAL]],""),IF($B$7="KOPRA",IF(KPR[TANGGAL]=AL18,KPR[[RELASI]:[TANGGAL]],""),IF($B$7="ARANG",IF(ARG[TANGGAL]=AL18,ARG[[RELASI]:[TANGGAL]],""))))),2,0),"0000"),"")</f>
        <v/>
      </c>
      <c r="AN18" s="213" t="str">
        <f t="array" ref="AN18">IFERROR(IF($B$7&lt;&gt;"KELAPA BULAT","",TEXT(VLOOKUP($E$5,IF(KB[NK]=VLOOKUP($E$5,IF(KB[TANGGAL]=AE18,KB[[RELASI]:[TANGGAL]],""),2,0),IF(KB[TYPE]="B",KB[[RELASI]:[TYPE]],""),""),4,0),"000")),"")</f>
        <v/>
      </c>
      <c r="AO18" s="214">
        <f>SUMIFS(ARG[NETTO1],ARG[RELASI],'rek-bulanan'!$E$5,ARG[TANGGAL],'rek-bulanan'!B18)</f>
        <v>0</v>
      </c>
      <c r="AP18" s="214">
        <f>SUMIFS(ARG[NETTO3],ARG[RELASI],'rek-bulanan'!$E$5,ARG[TANGGAL],'rek-bulanan'!B18)</f>
        <v>0</v>
      </c>
      <c r="AQ18" s="214" t="str">
        <f t="shared" si="5"/>
        <v/>
      </c>
      <c r="AR18" s="217">
        <f>SUMIFS(ARG[TPEMBAYARAN],ARG[RELASI],'rek-bulanan'!$E$5,ARG[TANGGAL],'rek-bulanan'!B18)</f>
        <v>0</v>
      </c>
      <c r="AT18" s="217">
        <f t="shared" si="6"/>
        <v>0</v>
      </c>
    </row>
    <row r="19" spans="2:46">
      <c r="B19" s="211">
        <f t="shared" si="0"/>
        <v>43871</v>
      </c>
      <c r="C19" s="212" t="str">
        <f t="array" ref="C19">IFERROR(TEXT(VLOOKUP($E$5,IF($B$7="KELAPA BULAT",IF(KB[TANGGAL]=B19,KB[[RELASI]:[TANGGAL]],""),IF($B$7="KELAPA BERSABUT",IF(KBS[TANGGAL]=B19,KBS[[RELASI]:[TANGGAL]],""),IF($B$7="KOPRA",IF(KPR[TANGGAL]=B19,KPR[[RELASI]:[TANGGAL]],""),IF($B$7="ARANG",IF(ARG[TANGGAL]=B19,ARG[[RELASI]:[TANGGAL]],""))))),2,0),"0000"),"")</f>
        <v/>
      </c>
      <c r="D19" s="213" t="str">
        <f t="array" ref="D19">IFERROR(TEXT(VLOOKUP($E$5,IF($B$7="KELAPA BULAT",IF(KB[TANGGAL]=B19,KB[[RELASI]:[TANGGAL]],""),IF($B$7="KELAPA BERSABUT",IF(KBS[TANGGAL]=B19,KBS[[RELASI]:[TANGGAL]],""),IF($B$7="KOPRA",IF(KPR[TANGGAL]=B19,KPR[[RELASI]:[TANGGAL]],""),IF($B$7="ARANG",IF(ARG[TANGGAL]=B19,ARG[[RELASI]:[TANGGAL]],""))))),4,0),"000"),"")</f>
        <v/>
      </c>
      <c r="E19" s="1041">
        <f>SUMIFS(KB[TN],KB[RELASI],'rek-bulanan'!$E$5,KB[TANGGAL],'rek-bulanan'!B19,KB[TYPE],"A")</f>
        <v>0</v>
      </c>
      <c r="F19" s="214">
        <f>SUMIFS(KB[BRUTO],KB[RELASI],'rek-bulanan'!$E$5,KB[TANGGAL],'rek-bulanan'!B19,KB[TYPE],"A")</f>
        <v>0</v>
      </c>
      <c r="G19" s="214">
        <f>SUMIFS(KB[TARRA],KB[RELASI],'rek-bulanan'!$E$5,KB[TANGGAL],'rek-bulanan'!B19,KB[TYPE],"A")</f>
        <v>0</v>
      </c>
      <c r="H19" s="214">
        <f>SUMIFS(KB[NETTO],KB[RELASI],'rek-bulanan'!$E$5,KB[TANGGAL],'rek-bulanan'!B19,KB[TYPE],"A")</f>
        <v>0</v>
      </c>
      <c r="I19" s="214">
        <f>SUMIFS(KB[NETTO2],KB[RELASI],'rek-bulanan'!$E$5,KB[TANGGAL],'rek-bulanan'!B19,KB[TYPE],"A")</f>
        <v>0</v>
      </c>
      <c r="J19" s="214" t="str">
        <f t="shared" si="2"/>
        <v/>
      </c>
      <c r="K19" s="215">
        <f>SUMIFS(KB[TPEMBAYARAN],KB[RELASI],'rek-bulanan'!$E$5,KB[TANGGAL],'rek-bulanan'!B19,KB[TYPE],"A")</f>
        <v>0</v>
      </c>
      <c r="L19" s="206"/>
      <c r="M19" s="213" t="str">
        <f t="array" ref="M19">IFERROR(IF($B$7&lt;&gt;"KELAPA BULAT","",TEXT(VLOOKUP($E$5,IF(KB[NK]=VLOOKUP($E$5,IF(KB[TANGGAL]=B19,KB[[RELASI]:[TANGGAL]],""),2,0),IF(KB[TYPE]="B",KB[[RELASI]:[TYPE]],""),""),4,0),"000")),"")</f>
        <v/>
      </c>
      <c r="N19" s="213"/>
      <c r="O19" s="213"/>
      <c r="P19" s="213"/>
      <c r="Q19" s="214">
        <f>SUMIFS(KB[NETTO],KB[RELASI],'rek-bulanan'!$E$5,KB[TANGGAL],'rek-bulanan'!B19,KB[TYPE],"B")</f>
        <v>0</v>
      </c>
      <c r="R19" s="214">
        <f>SUMIFS(KB[NETTO2],KB[RELASI],'rek-bulanan'!$E$5,KB[TANGGAL],'rek-bulanan'!B19,KB[TYPE],"B")</f>
        <v>0</v>
      </c>
      <c r="S19" s="214" t="str">
        <f t="shared" si="7"/>
        <v/>
      </c>
      <c r="T19" s="214">
        <f>SUMIFS(KB[TPEMBAYARAN],KB[RELASI],'rek-bulanan'!$E$5,KB[TANGGAL],'rek-bulanan'!B19,KB[TYPE],"B")</f>
        <v>0</v>
      </c>
      <c r="V19" s="218" t="str">
        <f t="array" ref="V19">IFERROR(TEXT(VLOOKUP($E$5,IF($R$7="KELAPA BULAT",IF(KB[TANGGAL]=B19,KB[[RELASI]:[TANGGAL]],""),IF($R$7="KELAPA BERSABUT",IF(KBS[TANGGAL]=B19,KBS[[RELASI]:[TANGGAL]],""),IF($R$7="KOPRA",IF(KPR[TANGGAL]=B19,KPR[[RELASI]:[TANGGAL]],""),IF($R$7="ARANG",IF(ARG[TANGGAL]=B19,ARG[[RELASI]:[TANGGAL]],""))))),2,0),"0000"),"")</f>
        <v/>
      </c>
      <c r="W19" s="213" t="str">
        <f t="array" ref="W19">IFERROR(TEXT(VLOOKUP($E$5,IF($R$7="KELAPA BULAT",IF(KB[TANGGAL]=B19,KB[[RELASI]:[TANGGAL]],""),IF($R$7="KELAPA BERSABUT",IF(KBS[TANGGAL]=B19,KBS[[RELASI]:[TANGGAL]],""),IF($R$7="KOPRA",IF(KPR[TANGGAL]=B19,KPR[[RELASI]:[TANGGAL]],""),IF($R$7="ARANG",IF(ARG[TANGGAL]=B19,ARG[[RELASI]:[TANGGAL]],""))))),4,0),"000"),"")</f>
        <v/>
      </c>
      <c r="X19" s="213"/>
      <c r="Y19" s="213"/>
      <c r="Z19" s="213"/>
      <c r="AA19" s="214">
        <f>SUMIFS(KPR[NETTO],KPR[RELASI],'rek-bulanan'!$E$5,KPR[TANGGAL],'rek-bulanan'!B19)</f>
        <v>0</v>
      </c>
      <c r="AB19" s="214">
        <f>SUMIFS(KPR[NETTOB],KPR[RELASI],'rek-bulanan'!$E$5,KPR[TANGGAL],'rek-bulanan'!B19)</f>
        <v>0</v>
      </c>
      <c r="AC19" s="214" t="str">
        <f t="shared" si="3"/>
        <v/>
      </c>
      <c r="AD19" s="217">
        <f>SUMIFS(KPR[TPEMBAYARAN],KPR[RELASI],'rek-bulanan'!$E$5,KPR[TANGGAL],'rek-bulanan'!B19)</f>
        <v>0</v>
      </c>
      <c r="AF19" s="218" t="str">
        <f t="array" ref="AF19">IFERROR(TEXT(VLOOKUP($E$5,IF($AB$7="KELAPA BULAT",IF(KB[TANGGAL]=B19,KB[[RELASI]:[TANGGAL]],""),IF($AB$7="KELAPA BERSABUT",IF(KBS[TANGGAL]=B19,KBS[[RELASI]:[TANGGAL]],""),IF($AB$7="KOPRA",IF(KPR[TANGGAL]=B19,KPR[[RELASI]:[TANGGAL]],""),IF($AB$7="ARANG",IF(ARG[TANGGAL]=B19,ARG[[RELASI]:[TANGGAL]],""))))),2,0),"0000"),"")</f>
        <v/>
      </c>
      <c r="AG19" s="213" t="str">
        <f t="array" ref="AG19">IFERROR(TEXT(VLOOKUP($E$5,IF($AB$7="KELAPA BULAT",IF(KB[TANGGAL]=B19,KB[[RELASI]:[TANGGAL]],""),IF($AB$7="KELAPA BERSABUT",IF(KBS[TANGGAL]=B19,KBS[[RELASI]:[TANGGAL]],""),IF($AB$7="KOPRA",IF(KPR[TANGGAL]=B19,KPR[[RELASI]:[TANGGAL]],""),IF($AB$7="ARANG",IF(ARG[TANGGAL]=B19,ARG[[RELASI]:[TANGGAL]],""))))),4,0),"000"),"")</f>
        <v/>
      </c>
      <c r="AH19" s="214">
        <f>SUMIFS(KBS[NETTO2],KBS[RELASI],'rek-bulanan'!$E$5,KBS[TANGGAL],'rek-bulanan'!B19)</f>
        <v>0</v>
      </c>
      <c r="AI19" s="214">
        <f>SUMIFS(KBS[NETTO2],KBS[RELASI],'rek-bulanan'!$E$5,KBS[TANGGAL],'rek-bulanan'!B19)</f>
        <v>0</v>
      </c>
      <c r="AJ19" s="214" t="str">
        <f t="shared" si="4"/>
        <v/>
      </c>
      <c r="AK19" s="217">
        <f>SUMIFS(KBS[TPEMBAYARAN],KBS[RELASI],'rek-bulanan'!$E$5,KBS[TANGGAL],'rek-bulanan'!B19)</f>
        <v>0</v>
      </c>
      <c r="AM19" s="218" t="str">
        <f t="array" ref="AM19">IFERROR(TEXT(VLOOKUP($E$5,IF($B$7="KELAPA BULAT",IF(KB[TANGGAL]=AL19,KB[[RELASI]:[TANGGAL]],""),IF($B$7="KELAPA BERSABUT",IF(KBS[TANGGAL]=AL19,KBS[[RELASI]:[TANGGAL]],""),IF($B$7="KOPRA",IF(KPR[TANGGAL]=AL19,KPR[[RELASI]:[TANGGAL]],""),IF($B$7="ARANG",IF(ARG[TANGGAL]=AL19,ARG[[RELASI]:[TANGGAL]],""))))),2,0),"0000"),"")</f>
        <v/>
      </c>
      <c r="AN19" s="213" t="str">
        <f t="array" ref="AN19">IFERROR(IF($B$7&lt;&gt;"KELAPA BULAT","",TEXT(VLOOKUP($E$5,IF(KB[NK]=VLOOKUP($E$5,IF(KB[TANGGAL]=AE19,KB[[RELASI]:[TANGGAL]],""),2,0),IF(KB[TYPE]="B",KB[[RELASI]:[TYPE]],""),""),4,0),"000")),"")</f>
        <v/>
      </c>
      <c r="AO19" s="214">
        <f>SUMIFS(ARG[NETTO1],ARG[RELASI],'rek-bulanan'!$E$5,ARG[TANGGAL],'rek-bulanan'!B19)</f>
        <v>0</v>
      </c>
      <c r="AP19" s="214">
        <f>SUMIFS(ARG[NETTO3],ARG[RELASI],'rek-bulanan'!$E$5,ARG[TANGGAL],'rek-bulanan'!B19)</f>
        <v>0</v>
      </c>
      <c r="AQ19" s="214" t="str">
        <f t="shared" si="5"/>
        <v/>
      </c>
      <c r="AR19" s="217">
        <f>SUMIFS(ARG[TPEMBAYARAN],ARG[RELASI],'rek-bulanan'!$E$5,ARG[TANGGAL],'rek-bulanan'!B19)</f>
        <v>0</v>
      </c>
      <c r="AT19" s="217">
        <f t="shared" si="6"/>
        <v>0</v>
      </c>
    </row>
    <row r="20" spans="2:46">
      <c r="B20" s="211">
        <f t="shared" si="0"/>
        <v>43872</v>
      </c>
      <c r="C20" s="212" t="str">
        <f t="array" ref="C20">IFERROR(TEXT(VLOOKUP($E$5,IF($B$7="KELAPA BULAT",IF(KB[TANGGAL]=B20,KB[[RELASI]:[TANGGAL]],""),IF($B$7="KELAPA BERSABUT",IF(KBS[TANGGAL]=B20,KBS[[RELASI]:[TANGGAL]],""),IF($B$7="KOPRA",IF(KPR[TANGGAL]=B20,KPR[[RELASI]:[TANGGAL]],""),IF($B$7="ARANG",IF(ARG[TANGGAL]=B20,ARG[[RELASI]:[TANGGAL]],""))))),2,0),"0000"),"")</f>
        <v/>
      </c>
      <c r="D20" s="213" t="str">
        <f t="array" ref="D20">IFERROR(TEXT(VLOOKUP($E$5,IF($B$7="KELAPA BULAT",IF(KB[TANGGAL]=B20,KB[[RELASI]:[TANGGAL]],""),IF($B$7="KELAPA BERSABUT",IF(KBS[TANGGAL]=B20,KBS[[RELASI]:[TANGGAL]],""),IF($B$7="KOPRA",IF(KPR[TANGGAL]=B20,KPR[[RELASI]:[TANGGAL]],""),IF($B$7="ARANG",IF(ARG[TANGGAL]=B20,ARG[[RELASI]:[TANGGAL]],""))))),4,0),"000"),"")</f>
        <v/>
      </c>
      <c r="E20" s="1041">
        <f>SUMIFS(KB[TN],KB[RELASI],'rek-bulanan'!$E$5,KB[TANGGAL],'rek-bulanan'!B20,KB[TYPE],"A")</f>
        <v>0</v>
      </c>
      <c r="F20" s="214">
        <f>SUMIFS(KB[BRUTO],KB[RELASI],'rek-bulanan'!$E$5,KB[TANGGAL],'rek-bulanan'!B20,KB[TYPE],"A")</f>
        <v>0</v>
      </c>
      <c r="G20" s="214">
        <f>SUMIFS(KB[TARRA],KB[RELASI],'rek-bulanan'!$E$5,KB[TANGGAL],'rek-bulanan'!B20,KB[TYPE],"A")</f>
        <v>0</v>
      </c>
      <c r="H20" s="214">
        <f>SUMIFS(KB[NETTO],KB[RELASI],'rek-bulanan'!$E$5,KB[TANGGAL],'rek-bulanan'!B20,KB[TYPE],"A")</f>
        <v>0</v>
      </c>
      <c r="I20" s="214">
        <f>SUMIFS(KB[NETTO2],KB[RELASI],'rek-bulanan'!$E$5,KB[TANGGAL],'rek-bulanan'!B20,KB[TYPE],"A")</f>
        <v>0</v>
      </c>
      <c r="J20" s="214" t="str">
        <f t="shared" si="2"/>
        <v/>
      </c>
      <c r="K20" s="215">
        <f>SUMIFS(KB[TPEMBAYARAN],KB[RELASI],'rek-bulanan'!$E$5,KB[TANGGAL],'rek-bulanan'!B20,KB[TYPE],"A")</f>
        <v>0</v>
      </c>
      <c r="L20" s="206"/>
      <c r="M20" s="213" t="str">
        <f t="array" ref="M20">IFERROR(IF($B$7&lt;&gt;"KELAPA BULAT","",TEXT(VLOOKUP($E$5,IF(KB[NK]=VLOOKUP($E$5,IF(KB[TANGGAL]=B20,KB[[RELASI]:[TANGGAL]],""),2,0),IF(KB[TYPE]="B",KB[[RELASI]:[TYPE]],""),""),4,0),"000")),"")</f>
        <v/>
      </c>
      <c r="N20" s="213"/>
      <c r="O20" s="213"/>
      <c r="P20" s="213"/>
      <c r="Q20" s="214">
        <f>SUMIFS(KB[NETTO],KB[RELASI],'rek-bulanan'!$E$5,KB[TANGGAL],'rek-bulanan'!B20,KB[TYPE],"B")</f>
        <v>0</v>
      </c>
      <c r="R20" s="214">
        <f>SUMIFS(KB[NETTO2],KB[RELASI],'rek-bulanan'!$E$5,KB[TANGGAL],'rek-bulanan'!B20,KB[TYPE],"B")</f>
        <v>0</v>
      </c>
      <c r="S20" s="214" t="str">
        <f t="shared" si="7"/>
        <v/>
      </c>
      <c r="T20" s="214">
        <f>SUMIFS(KB[TPEMBAYARAN],KB[RELASI],'rek-bulanan'!$E$5,KB[TANGGAL],'rek-bulanan'!B20,KB[TYPE],"B")</f>
        <v>0</v>
      </c>
      <c r="V20" s="218" t="str">
        <f t="array" ref="V20">IFERROR(TEXT(VLOOKUP($E$5,IF($R$7="KELAPA BULAT",IF(KB[TANGGAL]=B20,KB[[RELASI]:[TANGGAL]],""),IF($R$7="KELAPA BERSABUT",IF(KBS[TANGGAL]=B20,KBS[[RELASI]:[TANGGAL]],""),IF($R$7="KOPRA",IF(KPR[TANGGAL]=B20,KPR[[RELASI]:[TANGGAL]],""),IF($R$7="ARANG",IF(ARG[TANGGAL]=B20,ARG[[RELASI]:[TANGGAL]],""))))),2,0),"0000"),"")</f>
        <v/>
      </c>
      <c r="W20" s="213" t="str">
        <f t="array" ref="W20">IFERROR(TEXT(VLOOKUP($E$5,IF($R$7="KELAPA BULAT",IF(KB[TANGGAL]=B20,KB[[RELASI]:[TANGGAL]],""),IF($R$7="KELAPA BERSABUT",IF(KBS[TANGGAL]=B20,KBS[[RELASI]:[TANGGAL]],""),IF($R$7="KOPRA",IF(KPR[TANGGAL]=B20,KPR[[RELASI]:[TANGGAL]],""),IF($R$7="ARANG",IF(ARG[TANGGAL]=B20,ARG[[RELASI]:[TANGGAL]],""))))),4,0),"000"),"")</f>
        <v/>
      </c>
      <c r="X20" s="213"/>
      <c r="Y20" s="213"/>
      <c r="Z20" s="213"/>
      <c r="AA20" s="214">
        <f>SUMIFS(KPR[NETTO],KPR[RELASI],'rek-bulanan'!$E$5,KPR[TANGGAL],'rek-bulanan'!B20)</f>
        <v>0</v>
      </c>
      <c r="AB20" s="214">
        <f>SUMIFS(KPR[NETTOB],KPR[RELASI],'rek-bulanan'!$E$5,KPR[TANGGAL],'rek-bulanan'!B20)</f>
        <v>0</v>
      </c>
      <c r="AC20" s="214" t="str">
        <f t="shared" si="3"/>
        <v/>
      </c>
      <c r="AD20" s="217">
        <f>SUMIFS(KPR[TPEMBAYARAN],KPR[RELASI],'rek-bulanan'!$E$5,KPR[TANGGAL],'rek-bulanan'!B20)</f>
        <v>0</v>
      </c>
      <c r="AF20" s="218" t="str">
        <f t="array" ref="AF20">IFERROR(TEXT(VLOOKUP($E$5,IF($AB$7="KELAPA BULAT",IF(KB[TANGGAL]=B20,KB[[RELASI]:[TANGGAL]],""),IF($AB$7="KELAPA BERSABUT",IF(KBS[TANGGAL]=B20,KBS[[RELASI]:[TANGGAL]],""),IF($AB$7="KOPRA",IF(KPR[TANGGAL]=B20,KPR[[RELASI]:[TANGGAL]],""),IF($AB$7="ARANG",IF(ARG[TANGGAL]=B20,ARG[[RELASI]:[TANGGAL]],""))))),2,0),"0000"),"")</f>
        <v/>
      </c>
      <c r="AG20" s="213" t="str">
        <f t="array" ref="AG20">IFERROR(TEXT(VLOOKUP($E$5,IF($AB$7="KELAPA BULAT",IF(KB[TANGGAL]=B20,KB[[RELASI]:[TANGGAL]],""),IF($AB$7="KELAPA BERSABUT",IF(KBS[TANGGAL]=B20,KBS[[RELASI]:[TANGGAL]],""),IF($AB$7="KOPRA",IF(KPR[TANGGAL]=B20,KPR[[RELASI]:[TANGGAL]],""),IF($AB$7="ARANG",IF(ARG[TANGGAL]=B20,ARG[[RELASI]:[TANGGAL]],""))))),4,0),"000"),"")</f>
        <v/>
      </c>
      <c r="AH20" s="214">
        <f>SUMIFS(KBS[NETTO2],KBS[RELASI],'rek-bulanan'!$E$5,KBS[TANGGAL],'rek-bulanan'!B20)</f>
        <v>0</v>
      </c>
      <c r="AI20" s="214">
        <f>SUMIFS(KBS[NETTO2],KBS[RELASI],'rek-bulanan'!$E$5,KBS[TANGGAL],'rek-bulanan'!B20)</f>
        <v>0</v>
      </c>
      <c r="AJ20" s="214" t="str">
        <f t="shared" si="4"/>
        <v/>
      </c>
      <c r="AK20" s="217">
        <f>SUMIFS(KBS[TPEMBAYARAN],KBS[RELASI],'rek-bulanan'!$E$5,KBS[TANGGAL],'rek-bulanan'!B20)</f>
        <v>0</v>
      </c>
      <c r="AM20" s="218" t="str">
        <f t="array" ref="AM20">IFERROR(TEXT(VLOOKUP($E$5,IF($B$7="KELAPA BULAT",IF(KB[TANGGAL]=AL20,KB[[RELASI]:[TANGGAL]],""),IF($B$7="KELAPA BERSABUT",IF(KBS[TANGGAL]=AL20,KBS[[RELASI]:[TANGGAL]],""),IF($B$7="KOPRA",IF(KPR[TANGGAL]=AL20,KPR[[RELASI]:[TANGGAL]],""),IF($B$7="ARANG",IF(ARG[TANGGAL]=AL20,ARG[[RELASI]:[TANGGAL]],""))))),2,0),"0000"),"")</f>
        <v/>
      </c>
      <c r="AN20" s="213" t="str">
        <f t="array" ref="AN20">IFERROR(IF($B$7&lt;&gt;"KELAPA BULAT","",TEXT(VLOOKUP($E$5,IF(KB[NK]=VLOOKUP($E$5,IF(KB[TANGGAL]=AE20,KB[[RELASI]:[TANGGAL]],""),2,0),IF(KB[TYPE]="B",KB[[RELASI]:[TYPE]],""),""),4,0),"000")),"")</f>
        <v/>
      </c>
      <c r="AO20" s="214">
        <f>SUMIFS(ARG[NETTO1],ARG[RELASI],'rek-bulanan'!$E$5,ARG[TANGGAL],'rek-bulanan'!B20)</f>
        <v>0</v>
      </c>
      <c r="AP20" s="214">
        <f>SUMIFS(ARG[NETTO3],ARG[RELASI],'rek-bulanan'!$E$5,ARG[TANGGAL],'rek-bulanan'!B20)</f>
        <v>0</v>
      </c>
      <c r="AQ20" s="214" t="str">
        <f t="shared" si="5"/>
        <v/>
      </c>
      <c r="AR20" s="217">
        <f>SUMIFS(ARG[TPEMBAYARAN],ARG[RELASI],'rek-bulanan'!$E$5,ARG[TANGGAL],'rek-bulanan'!B20)</f>
        <v>0</v>
      </c>
      <c r="AT20" s="217">
        <f t="shared" si="6"/>
        <v>0</v>
      </c>
    </row>
    <row r="21" spans="2:46">
      <c r="B21" s="211">
        <f t="shared" si="0"/>
        <v>43873</v>
      </c>
      <c r="C21" s="212" t="str">
        <f t="array" ref="C21">IFERROR(TEXT(VLOOKUP($E$5,IF($B$7="KELAPA BULAT",IF(KB[TANGGAL]=B21,KB[[RELASI]:[TANGGAL]],""),IF($B$7="KELAPA BERSABUT",IF(KBS[TANGGAL]=B21,KBS[[RELASI]:[TANGGAL]],""),IF($B$7="KOPRA",IF(KPR[TANGGAL]=B21,KPR[[RELASI]:[TANGGAL]],""),IF($B$7="ARANG",IF(ARG[TANGGAL]=B21,ARG[[RELASI]:[TANGGAL]],""))))),2,0),"0000"),"")</f>
        <v/>
      </c>
      <c r="D21" s="213" t="str">
        <f t="array" ref="D21">IFERROR(TEXT(VLOOKUP($E$5,IF($B$7="KELAPA BULAT",IF(KB[TANGGAL]=B21,KB[[RELASI]:[TANGGAL]],""),IF($B$7="KELAPA BERSABUT",IF(KBS[TANGGAL]=B21,KBS[[RELASI]:[TANGGAL]],""),IF($B$7="KOPRA",IF(KPR[TANGGAL]=B21,KPR[[RELASI]:[TANGGAL]],""),IF($B$7="ARANG",IF(ARG[TANGGAL]=B21,ARG[[RELASI]:[TANGGAL]],""))))),4,0),"000"),"")</f>
        <v/>
      </c>
      <c r="E21" s="1041">
        <f>SUMIFS(KB[TN],KB[RELASI],'rek-bulanan'!$E$5,KB[TANGGAL],'rek-bulanan'!B21,KB[TYPE],"A")</f>
        <v>0</v>
      </c>
      <c r="F21" s="214">
        <f>SUMIFS(KB[BRUTO],KB[RELASI],'rek-bulanan'!$E$5,KB[TANGGAL],'rek-bulanan'!B21,KB[TYPE],"A")</f>
        <v>0</v>
      </c>
      <c r="G21" s="214">
        <f>SUMIFS(KB[TARRA],KB[RELASI],'rek-bulanan'!$E$5,KB[TANGGAL],'rek-bulanan'!B21,KB[TYPE],"A")</f>
        <v>0</v>
      </c>
      <c r="H21" s="214">
        <f>SUMIFS(KB[NETTO],KB[RELASI],'rek-bulanan'!$E$5,KB[TANGGAL],'rek-bulanan'!B21,KB[TYPE],"A")</f>
        <v>0</v>
      </c>
      <c r="I21" s="214">
        <f>SUMIFS(KB[NETTO2],KB[RELASI],'rek-bulanan'!$E$5,KB[TANGGAL],'rek-bulanan'!B21,KB[TYPE],"A")</f>
        <v>0</v>
      </c>
      <c r="J21" s="214" t="str">
        <f t="shared" si="2"/>
        <v/>
      </c>
      <c r="K21" s="215">
        <f>SUMIFS(KB[TPEMBAYARAN],KB[RELASI],'rek-bulanan'!$E$5,KB[TANGGAL],'rek-bulanan'!B21,KB[TYPE],"A")</f>
        <v>0</v>
      </c>
      <c r="L21" s="206"/>
      <c r="M21" s="213" t="str">
        <f t="array" ref="M21">IFERROR(IF($B$7&lt;&gt;"KELAPA BULAT","",TEXT(VLOOKUP($E$5,IF(KB[NK]=VLOOKUP($E$5,IF(KB[TANGGAL]=B21,KB[[RELASI]:[TANGGAL]],""),2,0),IF(KB[TYPE]="B",KB[[RELASI]:[TYPE]],""),""),4,0),"000")),"")</f>
        <v/>
      </c>
      <c r="N21" s="213"/>
      <c r="O21" s="213"/>
      <c r="P21" s="213"/>
      <c r="Q21" s="214">
        <f>SUMIFS(KB[NETTO],KB[RELASI],'rek-bulanan'!$E$5,KB[TANGGAL],'rek-bulanan'!B21,KB[TYPE],"B")</f>
        <v>0</v>
      </c>
      <c r="R21" s="214">
        <f>SUMIFS(KB[NETTO2],KB[RELASI],'rek-bulanan'!$E$5,KB[TANGGAL],'rek-bulanan'!B21,KB[TYPE],"B")</f>
        <v>0</v>
      </c>
      <c r="S21" s="214" t="str">
        <f t="shared" si="7"/>
        <v/>
      </c>
      <c r="T21" s="214">
        <f>SUMIFS(KB[TPEMBAYARAN],KB[RELASI],'rek-bulanan'!$E$5,KB[TANGGAL],'rek-bulanan'!B21,KB[TYPE],"B")</f>
        <v>0</v>
      </c>
      <c r="V21" s="218" t="str">
        <f t="array" ref="V21">IFERROR(TEXT(VLOOKUP($E$5,IF($R$7="KELAPA BULAT",IF(KB[TANGGAL]=B21,KB[[RELASI]:[TANGGAL]],""),IF($R$7="KELAPA BERSABUT",IF(KBS[TANGGAL]=B21,KBS[[RELASI]:[TANGGAL]],""),IF($R$7="KOPRA",IF(KPR[TANGGAL]=B21,KPR[[RELASI]:[TANGGAL]],""),IF($R$7="ARANG",IF(ARG[TANGGAL]=B21,ARG[[RELASI]:[TANGGAL]],""))))),2,0),"0000"),"")</f>
        <v/>
      </c>
      <c r="W21" s="213" t="str">
        <f t="array" ref="W21">IFERROR(TEXT(VLOOKUP($E$5,IF($R$7="KELAPA BULAT",IF(KB[TANGGAL]=B21,KB[[RELASI]:[TANGGAL]],""),IF($R$7="KELAPA BERSABUT",IF(KBS[TANGGAL]=B21,KBS[[RELASI]:[TANGGAL]],""),IF($R$7="KOPRA",IF(KPR[TANGGAL]=B21,KPR[[RELASI]:[TANGGAL]],""),IF($R$7="ARANG",IF(ARG[TANGGAL]=B21,ARG[[RELASI]:[TANGGAL]],""))))),4,0),"000"),"")</f>
        <v/>
      </c>
      <c r="X21" s="213"/>
      <c r="Y21" s="213"/>
      <c r="Z21" s="213"/>
      <c r="AA21" s="214">
        <f>SUMIFS(KPR[NETTO],KPR[RELASI],'rek-bulanan'!$E$5,KPR[TANGGAL],'rek-bulanan'!B21)</f>
        <v>0</v>
      </c>
      <c r="AB21" s="214">
        <f>SUMIFS(KPR[NETTOB],KPR[RELASI],'rek-bulanan'!$E$5,KPR[TANGGAL],'rek-bulanan'!B21)</f>
        <v>0</v>
      </c>
      <c r="AC21" s="214" t="str">
        <f t="shared" si="3"/>
        <v/>
      </c>
      <c r="AD21" s="217">
        <f>SUMIFS(KPR[TPEMBAYARAN],KPR[RELASI],'rek-bulanan'!$E$5,KPR[TANGGAL],'rek-bulanan'!B21)</f>
        <v>0</v>
      </c>
      <c r="AF21" s="218" t="str">
        <f t="array" ref="AF21">IFERROR(TEXT(VLOOKUP($E$5,IF($AB$7="KELAPA BULAT",IF(KB[TANGGAL]=B21,KB[[RELASI]:[TANGGAL]],""),IF($AB$7="KELAPA BERSABUT",IF(KBS[TANGGAL]=B21,KBS[[RELASI]:[TANGGAL]],""),IF($AB$7="KOPRA",IF(KPR[TANGGAL]=B21,KPR[[RELASI]:[TANGGAL]],""),IF($AB$7="ARANG",IF(ARG[TANGGAL]=B21,ARG[[RELASI]:[TANGGAL]],""))))),2,0),"0000"),"")</f>
        <v/>
      </c>
      <c r="AG21" s="213" t="str">
        <f t="array" ref="AG21">IFERROR(TEXT(VLOOKUP($E$5,IF($AB$7="KELAPA BULAT",IF(KB[TANGGAL]=B21,KB[[RELASI]:[TANGGAL]],""),IF($AB$7="KELAPA BERSABUT",IF(KBS[TANGGAL]=B21,KBS[[RELASI]:[TANGGAL]],""),IF($AB$7="KOPRA",IF(KPR[TANGGAL]=B21,KPR[[RELASI]:[TANGGAL]],""),IF($AB$7="ARANG",IF(ARG[TANGGAL]=B21,ARG[[RELASI]:[TANGGAL]],""))))),4,0),"000"),"")</f>
        <v/>
      </c>
      <c r="AH21" s="214">
        <f>SUMIFS(KBS[NETTO2],KBS[RELASI],'rek-bulanan'!$E$5,KBS[TANGGAL],'rek-bulanan'!B21)</f>
        <v>0</v>
      </c>
      <c r="AI21" s="214">
        <f>SUMIFS(KBS[NETTO2],KBS[RELASI],'rek-bulanan'!$E$5,KBS[TANGGAL],'rek-bulanan'!B21)</f>
        <v>0</v>
      </c>
      <c r="AJ21" s="214" t="str">
        <f t="shared" si="4"/>
        <v/>
      </c>
      <c r="AK21" s="217">
        <f>SUMIFS(KBS[TPEMBAYARAN],KBS[RELASI],'rek-bulanan'!$E$5,KBS[TANGGAL],'rek-bulanan'!B21)</f>
        <v>0</v>
      </c>
      <c r="AM21" s="218" t="str">
        <f t="array" ref="AM21">IFERROR(TEXT(VLOOKUP($E$5,IF($B$7="KELAPA BULAT",IF(KB[TANGGAL]=AL21,KB[[RELASI]:[TANGGAL]],""),IF($B$7="KELAPA BERSABUT",IF(KBS[TANGGAL]=AL21,KBS[[RELASI]:[TANGGAL]],""),IF($B$7="KOPRA",IF(KPR[TANGGAL]=AL21,KPR[[RELASI]:[TANGGAL]],""),IF($B$7="ARANG",IF(ARG[TANGGAL]=AL21,ARG[[RELASI]:[TANGGAL]],""))))),2,0),"0000"),"")</f>
        <v/>
      </c>
      <c r="AN21" s="213" t="str">
        <f t="array" ref="AN21">IFERROR(IF($B$7&lt;&gt;"KELAPA BULAT","",TEXT(VLOOKUP($E$5,IF(KB[NK]=VLOOKUP($E$5,IF(KB[TANGGAL]=AE21,KB[[RELASI]:[TANGGAL]],""),2,0),IF(KB[TYPE]="B",KB[[RELASI]:[TYPE]],""),""),4,0),"000")),"")</f>
        <v/>
      </c>
      <c r="AO21" s="214">
        <f>SUMIFS(ARG[NETTO1],ARG[RELASI],'rek-bulanan'!$E$5,ARG[TANGGAL],'rek-bulanan'!B21)</f>
        <v>0</v>
      </c>
      <c r="AP21" s="214">
        <f>SUMIFS(ARG[NETTO3],ARG[RELASI],'rek-bulanan'!$E$5,ARG[TANGGAL],'rek-bulanan'!B21)</f>
        <v>0</v>
      </c>
      <c r="AQ21" s="214" t="str">
        <f t="shared" si="5"/>
        <v/>
      </c>
      <c r="AR21" s="217">
        <f>SUMIFS(ARG[TPEMBAYARAN],ARG[RELASI],'rek-bulanan'!$E$5,ARG[TANGGAL],'rek-bulanan'!B21)</f>
        <v>0</v>
      </c>
      <c r="AT21" s="217">
        <f t="shared" si="6"/>
        <v>0</v>
      </c>
    </row>
    <row r="22" spans="2:46">
      <c r="B22" s="211">
        <f t="shared" si="0"/>
        <v>43874</v>
      </c>
      <c r="C22" s="212" t="str">
        <f t="array" ref="C22">IFERROR(TEXT(VLOOKUP($E$5,IF($B$7="KELAPA BULAT",IF(KB[TANGGAL]=B22,KB[[RELASI]:[TANGGAL]],""),IF($B$7="KELAPA BERSABUT",IF(KBS[TANGGAL]=B22,KBS[[RELASI]:[TANGGAL]],""),IF($B$7="KOPRA",IF(KPR[TANGGAL]=B22,KPR[[RELASI]:[TANGGAL]],""),IF($B$7="ARANG",IF(ARG[TANGGAL]=B22,ARG[[RELASI]:[TANGGAL]],""))))),2,0),"0000"),"")</f>
        <v>0021</v>
      </c>
      <c r="D22" s="213" t="str">
        <f t="array" ref="D22">IFERROR(TEXT(VLOOKUP($E$5,IF($B$7="KELAPA BULAT",IF(KB[TANGGAL]=B22,KB[[RELASI]:[TANGGAL]],""),IF($B$7="KELAPA BERSABUT",IF(KBS[TANGGAL]=B22,KBS[[RELASI]:[TANGGAL]],""),IF($B$7="KOPRA",IF(KPR[TANGGAL]=B22,KPR[[RELASI]:[TANGGAL]],""),IF($B$7="ARANG",IF(ARG[TANGGAL]=B22,ARG[[RELASI]:[TANGGAL]],""))))),4,0),"000"),"")</f>
        <v>021</v>
      </c>
      <c r="E22" s="1041">
        <f>SUMIFS(KB[TN],KB[RELASI],'rek-bulanan'!$E$5,KB[TANGGAL],'rek-bulanan'!B22,KB[TYPE],"A")</f>
        <v>2</v>
      </c>
      <c r="F22" s="214">
        <f>SUMIFS(KB[BRUTO],KB[RELASI],'rek-bulanan'!$E$5,KB[TANGGAL],'rek-bulanan'!B22,KB[TYPE],"A")</f>
        <v>14260</v>
      </c>
      <c r="G22" s="214">
        <f>SUMIFS(KB[TARRA],KB[RELASI],'rek-bulanan'!$E$5,KB[TANGGAL],'rek-bulanan'!B22,KB[TYPE],"A")</f>
        <v>7370</v>
      </c>
      <c r="H22" s="214">
        <f>SUMIFS(KB[NETTO],KB[RELASI],'rek-bulanan'!$E$5,KB[TANGGAL],'rek-bulanan'!B22,KB[TYPE],"A")</f>
        <v>6890</v>
      </c>
      <c r="I22" s="214">
        <f>SUMIFS(KB[NETTO2],KB[RELASI],'rek-bulanan'!$E$5,KB[TANGGAL],'rek-bulanan'!B22,KB[TYPE],"A")</f>
        <v>6545.5</v>
      </c>
      <c r="J22" s="214">
        <f t="shared" si="2"/>
        <v>2849.9984722328318</v>
      </c>
      <c r="K22" s="215">
        <f>SUMIFS(KB[TPEMBAYARAN],KB[RELASI],'rek-bulanan'!$E$5,KB[TANGGAL],'rek-bulanan'!B22,KB[TYPE],"A")</f>
        <v>18654665</v>
      </c>
      <c r="L22" s="206"/>
      <c r="M22" s="213" t="str">
        <f t="array" ref="M22">IFERROR(IF($B$7&lt;&gt;"KELAPA BULAT","",TEXT(VLOOKUP($E$5,IF(KB[NK]=VLOOKUP($E$5,IF(KB[TANGGAL]=B22,KB[[RELASI]:[TANGGAL]],""),2,0),IF(KB[TYPE]="B",KB[[RELASI]:[TYPE]],""),""),4,0),"000")),"")</f>
        <v/>
      </c>
      <c r="N22" s="213"/>
      <c r="O22" s="213"/>
      <c r="P22" s="213"/>
      <c r="Q22" s="214">
        <f>SUMIFS(KB[NETTO],KB[RELASI],'rek-bulanan'!$E$5,KB[TANGGAL],'rek-bulanan'!B22,KB[TYPE],"B")</f>
        <v>0</v>
      </c>
      <c r="R22" s="214">
        <f>SUMIFS(KB[NETTO2],KB[RELASI],'rek-bulanan'!$E$5,KB[TANGGAL],'rek-bulanan'!B22,KB[TYPE],"B")</f>
        <v>0</v>
      </c>
      <c r="S22" s="214" t="str">
        <f t="shared" si="7"/>
        <v/>
      </c>
      <c r="T22" s="214">
        <f>SUMIFS(KB[TPEMBAYARAN],KB[RELASI],'rek-bulanan'!$E$5,KB[TANGGAL],'rek-bulanan'!B22,KB[TYPE],"B")</f>
        <v>0</v>
      </c>
      <c r="V22" s="218" t="str">
        <f t="array" ref="V22">IFERROR(TEXT(VLOOKUP($E$5,IF($R$7="KELAPA BULAT",IF(KB[TANGGAL]=B22,KB[[RELASI]:[TANGGAL]],""),IF($R$7="KELAPA BERSABUT",IF(KBS[TANGGAL]=B22,KBS[[RELASI]:[TANGGAL]],""),IF($R$7="KOPRA",IF(KPR[TANGGAL]=B22,KPR[[RELASI]:[TANGGAL]],""),IF($R$7="ARANG",IF(ARG[TANGGAL]=B22,ARG[[RELASI]:[TANGGAL]],""))))),2,0),"0000"),"")</f>
        <v/>
      </c>
      <c r="W22" s="213" t="str">
        <f t="array" ref="W22">IFERROR(TEXT(VLOOKUP($E$5,IF($R$7="KELAPA BULAT",IF(KB[TANGGAL]=B22,KB[[RELASI]:[TANGGAL]],""),IF($R$7="KELAPA BERSABUT",IF(KBS[TANGGAL]=B22,KBS[[RELASI]:[TANGGAL]],""),IF($R$7="KOPRA",IF(KPR[TANGGAL]=B22,KPR[[RELASI]:[TANGGAL]],""),IF($R$7="ARANG",IF(ARG[TANGGAL]=B22,ARG[[RELASI]:[TANGGAL]],""))))),4,0),"000"),"")</f>
        <v/>
      </c>
      <c r="X22" s="213"/>
      <c r="Y22" s="213"/>
      <c r="Z22" s="213"/>
      <c r="AA22" s="214">
        <f>SUMIFS(KPR[NETTO],KPR[RELASI],'rek-bulanan'!$E$5,KPR[TANGGAL],'rek-bulanan'!B22)</f>
        <v>0</v>
      </c>
      <c r="AB22" s="214">
        <f>SUMIFS(KPR[NETTOB],KPR[RELASI],'rek-bulanan'!$E$5,KPR[TANGGAL],'rek-bulanan'!B22)</f>
        <v>0</v>
      </c>
      <c r="AC22" s="214" t="str">
        <f t="shared" si="3"/>
        <v/>
      </c>
      <c r="AD22" s="217">
        <f>SUMIFS(KPR[TPEMBAYARAN],KPR[RELASI],'rek-bulanan'!$E$5,KPR[TANGGAL],'rek-bulanan'!B22)</f>
        <v>0</v>
      </c>
      <c r="AF22" s="218" t="str">
        <f t="array" ref="AF22">IFERROR(TEXT(VLOOKUP($E$5,IF($AB$7="KELAPA BULAT",IF(KB[TANGGAL]=B22,KB[[RELASI]:[TANGGAL]],""),IF($AB$7="KELAPA BERSABUT",IF(KBS[TANGGAL]=B22,KBS[[RELASI]:[TANGGAL]],""),IF($AB$7="KOPRA",IF(KPR[TANGGAL]=B22,KPR[[RELASI]:[TANGGAL]],""),IF($AB$7="ARANG",IF(ARG[TANGGAL]=B22,ARG[[RELASI]:[TANGGAL]],""))))),2,0),"0000"),"")</f>
        <v/>
      </c>
      <c r="AG22" s="213" t="str">
        <f t="array" ref="AG22">IFERROR(TEXT(VLOOKUP($E$5,IF($AB$7="KELAPA BULAT",IF(KB[TANGGAL]=B22,KB[[RELASI]:[TANGGAL]],""),IF($AB$7="KELAPA BERSABUT",IF(KBS[TANGGAL]=B22,KBS[[RELASI]:[TANGGAL]],""),IF($AB$7="KOPRA",IF(KPR[TANGGAL]=B22,KPR[[RELASI]:[TANGGAL]],""),IF($AB$7="ARANG",IF(ARG[TANGGAL]=B22,ARG[[RELASI]:[TANGGAL]],""))))),4,0),"000"),"")</f>
        <v/>
      </c>
      <c r="AH22" s="214">
        <f>SUMIFS(KBS[NETTO2],KBS[RELASI],'rek-bulanan'!$E$5,KBS[TANGGAL],'rek-bulanan'!B22)</f>
        <v>0</v>
      </c>
      <c r="AI22" s="214">
        <f>SUMIFS(KBS[NETTO2],KBS[RELASI],'rek-bulanan'!$E$5,KBS[TANGGAL],'rek-bulanan'!B22)</f>
        <v>0</v>
      </c>
      <c r="AJ22" s="214" t="str">
        <f t="shared" si="4"/>
        <v/>
      </c>
      <c r="AK22" s="217">
        <f>SUMIFS(KBS[TPEMBAYARAN],KBS[RELASI],'rek-bulanan'!$E$5,KBS[TANGGAL],'rek-bulanan'!B22)</f>
        <v>0</v>
      </c>
      <c r="AM22" s="218" t="str">
        <f t="array" ref="AM22">IFERROR(TEXT(VLOOKUP($E$5,IF($B$7="KELAPA BULAT",IF(KB[TANGGAL]=AL22,KB[[RELASI]:[TANGGAL]],""),IF($B$7="KELAPA BERSABUT",IF(KBS[TANGGAL]=AL22,KBS[[RELASI]:[TANGGAL]],""),IF($B$7="KOPRA",IF(KPR[TANGGAL]=AL22,KPR[[RELASI]:[TANGGAL]],""),IF($B$7="ARANG",IF(ARG[TANGGAL]=AL22,ARG[[RELASI]:[TANGGAL]],""))))),2,0),"0000"),"")</f>
        <v/>
      </c>
      <c r="AN22" s="213" t="str">
        <f t="array" ref="AN22">IFERROR(IF($B$7&lt;&gt;"KELAPA BULAT","",TEXT(VLOOKUP($E$5,IF(KB[NK]=VLOOKUP($E$5,IF(KB[TANGGAL]=AE22,KB[[RELASI]:[TANGGAL]],""),2,0),IF(KB[TYPE]="B",KB[[RELASI]:[TYPE]],""),""),4,0),"000")),"")</f>
        <v/>
      </c>
      <c r="AO22" s="214">
        <f>SUMIFS(ARG[NETTO1],ARG[RELASI],'rek-bulanan'!$E$5,ARG[TANGGAL],'rek-bulanan'!B22)</f>
        <v>0</v>
      </c>
      <c r="AP22" s="214">
        <f>SUMIFS(ARG[NETTO3],ARG[RELASI],'rek-bulanan'!$E$5,ARG[TANGGAL],'rek-bulanan'!B22)</f>
        <v>0</v>
      </c>
      <c r="AQ22" s="214" t="str">
        <f t="shared" si="5"/>
        <v/>
      </c>
      <c r="AR22" s="217">
        <f>SUMIFS(ARG[TPEMBAYARAN],ARG[RELASI],'rek-bulanan'!$E$5,ARG[TANGGAL],'rek-bulanan'!B22)</f>
        <v>0</v>
      </c>
      <c r="AT22" s="217">
        <f t="shared" si="6"/>
        <v>18654665</v>
      </c>
    </row>
    <row r="23" spans="2:46">
      <c r="B23" s="211">
        <f t="shared" si="0"/>
        <v>43875</v>
      </c>
      <c r="C23" s="212" t="str">
        <f t="array" ref="C23">IFERROR(TEXT(VLOOKUP($E$5,IF($B$7="KELAPA BULAT",IF(KB[TANGGAL]=B23,KB[[RELASI]:[TANGGAL]],""),IF($B$7="KELAPA BERSABUT",IF(KBS[TANGGAL]=B23,KBS[[RELASI]:[TANGGAL]],""),IF($B$7="KOPRA",IF(KPR[TANGGAL]=B23,KPR[[RELASI]:[TANGGAL]],""),IF($B$7="ARANG",IF(ARG[TANGGAL]=B23,ARG[[RELASI]:[TANGGAL]],""))))),2,0),"0000"),"")</f>
        <v/>
      </c>
      <c r="D23" s="213" t="str">
        <f t="array" ref="D23">IFERROR(TEXT(VLOOKUP($E$5,IF($B$7="KELAPA BULAT",IF(KB[TANGGAL]=B23,KB[[RELASI]:[TANGGAL]],""),IF($B$7="KELAPA BERSABUT",IF(KBS[TANGGAL]=B23,KBS[[RELASI]:[TANGGAL]],""),IF($B$7="KOPRA",IF(KPR[TANGGAL]=B23,KPR[[RELASI]:[TANGGAL]],""),IF($B$7="ARANG",IF(ARG[TANGGAL]=B23,ARG[[RELASI]:[TANGGAL]],""))))),4,0),"000"),"")</f>
        <v/>
      </c>
      <c r="E23" s="1041">
        <f>SUMIFS(KB[TN],KB[RELASI],'rek-bulanan'!$E$5,KB[TANGGAL],'rek-bulanan'!B23,KB[TYPE],"A")</f>
        <v>0</v>
      </c>
      <c r="F23" s="214">
        <f>SUMIFS(KB[BRUTO],KB[RELASI],'rek-bulanan'!$E$5,KB[TANGGAL],'rek-bulanan'!B23,KB[TYPE],"A")</f>
        <v>0</v>
      </c>
      <c r="G23" s="214">
        <f>SUMIFS(KB[TARRA],KB[RELASI],'rek-bulanan'!$E$5,KB[TANGGAL],'rek-bulanan'!B23,KB[TYPE],"A")</f>
        <v>0</v>
      </c>
      <c r="H23" s="214">
        <f>SUMIFS(KB[NETTO],KB[RELASI],'rek-bulanan'!$E$5,KB[TANGGAL],'rek-bulanan'!B23,KB[TYPE],"A")</f>
        <v>0</v>
      </c>
      <c r="I23" s="214">
        <f>SUMIFS(KB[NETTO2],KB[RELASI],'rek-bulanan'!$E$5,KB[TANGGAL],'rek-bulanan'!B23,KB[TYPE],"A")</f>
        <v>0</v>
      </c>
      <c r="J23" s="214" t="str">
        <f t="shared" si="2"/>
        <v/>
      </c>
      <c r="K23" s="215">
        <f>SUMIFS(KB[TPEMBAYARAN],KB[RELASI],'rek-bulanan'!$E$5,KB[TANGGAL],'rek-bulanan'!B23,KB[TYPE],"A")</f>
        <v>0</v>
      </c>
      <c r="L23" s="206"/>
      <c r="M23" s="213" t="str">
        <f t="array" ref="M23">IFERROR(IF($B$7&lt;&gt;"KELAPA BULAT","",TEXT(VLOOKUP($E$5,IF(KB[NK]=VLOOKUP($E$5,IF(KB[TANGGAL]=B23,KB[[RELASI]:[TANGGAL]],""),2,0),IF(KB[TYPE]="B",KB[[RELASI]:[TYPE]],""),""),4,0),"000")),"")</f>
        <v/>
      </c>
      <c r="N23" s="213"/>
      <c r="O23" s="213"/>
      <c r="P23" s="213"/>
      <c r="Q23" s="214">
        <f>SUMIFS(KB[NETTO],KB[RELASI],'rek-bulanan'!$E$5,KB[TANGGAL],'rek-bulanan'!B23,KB[TYPE],"B")</f>
        <v>0</v>
      </c>
      <c r="R23" s="214">
        <f>SUMIFS(KB[NETTO2],KB[RELASI],'rek-bulanan'!$E$5,KB[TANGGAL],'rek-bulanan'!B23,KB[TYPE],"B")</f>
        <v>0</v>
      </c>
      <c r="S23" s="214" t="str">
        <f t="shared" si="7"/>
        <v/>
      </c>
      <c r="T23" s="214">
        <f>SUMIFS(KB[TPEMBAYARAN],KB[RELASI],'rek-bulanan'!$E$5,KB[TANGGAL],'rek-bulanan'!B23,KB[TYPE],"B")</f>
        <v>0</v>
      </c>
      <c r="V23" s="218" t="str">
        <f t="array" ref="V23">IFERROR(TEXT(VLOOKUP($E$5,IF($R$7="KELAPA BULAT",IF(KB[TANGGAL]=B23,KB[[RELASI]:[TANGGAL]],""),IF($R$7="KELAPA BERSABUT",IF(KBS[TANGGAL]=B23,KBS[[RELASI]:[TANGGAL]],""),IF($R$7="KOPRA",IF(KPR[TANGGAL]=B23,KPR[[RELASI]:[TANGGAL]],""),IF($R$7="ARANG",IF(ARG[TANGGAL]=B23,ARG[[RELASI]:[TANGGAL]],""))))),2,0),"0000"),"")</f>
        <v/>
      </c>
      <c r="W23" s="213" t="str">
        <f t="array" ref="W23">IFERROR(TEXT(VLOOKUP($E$5,IF($R$7="KELAPA BULAT",IF(KB[TANGGAL]=B23,KB[[RELASI]:[TANGGAL]],""),IF($R$7="KELAPA BERSABUT",IF(KBS[TANGGAL]=B23,KBS[[RELASI]:[TANGGAL]],""),IF($R$7="KOPRA",IF(KPR[TANGGAL]=B23,KPR[[RELASI]:[TANGGAL]],""),IF($R$7="ARANG",IF(ARG[TANGGAL]=B23,ARG[[RELASI]:[TANGGAL]],""))))),4,0),"000"),"")</f>
        <v/>
      </c>
      <c r="X23" s="213"/>
      <c r="Y23" s="213"/>
      <c r="Z23" s="213"/>
      <c r="AA23" s="214">
        <f>SUMIFS(KPR[NETTO],KPR[RELASI],'rek-bulanan'!$E$5,KPR[TANGGAL],'rek-bulanan'!B23)</f>
        <v>0</v>
      </c>
      <c r="AB23" s="214">
        <f>SUMIFS(KPR[NETTOB],KPR[RELASI],'rek-bulanan'!$E$5,KPR[TANGGAL],'rek-bulanan'!B23)</f>
        <v>0</v>
      </c>
      <c r="AC23" s="214" t="str">
        <f t="shared" si="3"/>
        <v/>
      </c>
      <c r="AD23" s="217">
        <f>SUMIFS(KPR[TPEMBAYARAN],KPR[RELASI],'rek-bulanan'!$E$5,KPR[TANGGAL],'rek-bulanan'!B23)</f>
        <v>0</v>
      </c>
      <c r="AF23" s="218" t="str">
        <f t="array" ref="AF23">IFERROR(TEXT(VLOOKUP($E$5,IF($AB$7="KELAPA BULAT",IF(KB[TANGGAL]=B23,KB[[RELASI]:[TANGGAL]],""),IF($AB$7="KELAPA BERSABUT",IF(KBS[TANGGAL]=B23,KBS[[RELASI]:[TANGGAL]],""),IF($AB$7="KOPRA",IF(KPR[TANGGAL]=B23,KPR[[RELASI]:[TANGGAL]],""),IF($AB$7="ARANG",IF(ARG[TANGGAL]=B23,ARG[[RELASI]:[TANGGAL]],""))))),2,0),"0000"),"")</f>
        <v/>
      </c>
      <c r="AG23" s="213" t="str">
        <f t="array" ref="AG23">IFERROR(TEXT(VLOOKUP($E$5,IF($AB$7="KELAPA BULAT",IF(KB[TANGGAL]=B23,KB[[RELASI]:[TANGGAL]],""),IF($AB$7="KELAPA BERSABUT",IF(KBS[TANGGAL]=B23,KBS[[RELASI]:[TANGGAL]],""),IF($AB$7="KOPRA",IF(KPR[TANGGAL]=B23,KPR[[RELASI]:[TANGGAL]],""),IF($AB$7="ARANG",IF(ARG[TANGGAL]=B23,ARG[[RELASI]:[TANGGAL]],""))))),4,0),"000"),"")</f>
        <v/>
      </c>
      <c r="AH23" s="214">
        <f>SUMIFS(KBS[NETTO2],KBS[RELASI],'rek-bulanan'!$E$5,KBS[TANGGAL],'rek-bulanan'!B23)</f>
        <v>0</v>
      </c>
      <c r="AI23" s="214">
        <f>SUMIFS(KBS[NETTO2],KBS[RELASI],'rek-bulanan'!$E$5,KBS[TANGGAL],'rek-bulanan'!B23)</f>
        <v>0</v>
      </c>
      <c r="AJ23" s="214" t="str">
        <f t="shared" si="4"/>
        <v/>
      </c>
      <c r="AK23" s="217">
        <f>SUMIFS(KBS[TPEMBAYARAN],KBS[RELASI],'rek-bulanan'!$E$5,KBS[TANGGAL],'rek-bulanan'!B23)</f>
        <v>0</v>
      </c>
      <c r="AM23" s="218" t="str">
        <f t="array" ref="AM23">IFERROR(TEXT(VLOOKUP($E$5,IF($B$7="KELAPA BULAT",IF(KB[TANGGAL]=AL23,KB[[RELASI]:[TANGGAL]],""),IF($B$7="KELAPA BERSABUT",IF(KBS[TANGGAL]=AL23,KBS[[RELASI]:[TANGGAL]],""),IF($B$7="KOPRA",IF(KPR[TANGGAL]=AL23,KPR[[RELASI]:[TANGGAL]],""),IF($B$7="ARANG",IF(ARG[TANGGAL]=AL23,ARG[[RELASI]:[TANGGAL]],""))))),2,0),"0000"),"")</f>
        <v/>
      </c>
      <c r="AN23" s="213" t="str">
        <f t="array" ref="AN23">IFERROR(IF($B$7&lt;&gt;"KELAPA BULAT","",TEXT(VLOOKUP($E$5,IF(KB[NK]=VLOOKUP($E$5,IF(KB[TANGGAL]=AE23,KB[[RELASI]:[TANGGAL]],""),2,0),IF(KB[TYPE]="B",KB[[RELASI]:[TYPE]],""),""),4,0),"000")),"")</f>
        <v/>
      </c>
      <c r="AO23" s="214">
        <f>SUMIFS(ARG[NETTO1],ARG[RELASI],'rek-bulanan'!$E$5,ARG[TANGGAL],'rek-bulanan'!B23)</f>
        <v>0</v>
      </c>
      <c r="AP23" s="214">
        <f>SUMIFS(ARG[NETTO3],ARG[RELASI],'rek-bulanan'!$E$5,ARG[TANGGAL],'rek-bulanan'!B23)</f>
        <v>0</v>
      </c>
      <c r="AQ23" s="214" t="str">
        <f t="shared" si="5"/>
        <v/>
      </c>
      <c r="AR23" s="217">
        <f>SUMIFS(ARG[TPEMBAYARAN],ARG[RELASI],'rek-bulanan'!$E$5,ARG[TANGGAL],'rek-bulanan'!B23)</f>
        <v>0</v>
      </c>
      <c r="AT23" s="217">
        <f t="shared" si="6"/>
        <v>0</v>
      </c>
    </row>
    <row r="24" spans="2:46">
      <c r="B24" s="211">
        <f t="shared" si="0"/>
        <v>43876</v>
      </c>
      <c r="C24" s="212" t="str">
        <f t="array" ref="C24">IFERROR(TEXT(VLOOKUP($E$5,IF($B$7="KELAPA BULAT",IF(KB[TANGGAL]=B24,KB[[RELASI]:[TANGGAL]],""),IF($B$7="KELAPA BERSABUT",IF(KBS[TANGGAL]=B24,KBS[[RELASI]:[TANGGAL]],""),IF($B$7="KOPRA",IF(KPR[TANGGAL]=B24,KPR[[RELASI]:[TANGGAL]],""),IF($B$7="ARANG",IF(ARG[TANGGAL]=B24,ARG[[RELASI]:[TANGGAL]],""))))),2,0),"0000"),"")</f>
        <v>0022</v>
      </c>
      <c r="D24" s="213" t="str">
        <f t="array" ref="D24">IFERROR(TEXT(VLOOKUP($E$5,IF($B$7="KELAPA BULAT",IF(KB[TANGGAL]=B24,KB[[RELASI]:[TANGGAL]],""),IF($B$7="KELAPA BERSABUT",IF(KBS[TANGGAL]=B24,KBS[[RELASI]:[TANGGAL]],""),IF($B$7="KOPRA",IF(KPR[TANGGAL]=B24,KPR[[RELASI]:[TANGGAL]],""),IF($B$7="ARANG",IF(ARG[TANGGAL]=B24,ARG[[RELASI]:[TANGGAL]],""))))),4,0),"000"),"")</f>
        <v>022</v>
      </c>
      <c r="E24" s="1041">
        <f>SUMIFS(KB[TN],KB[RELASI],'rek-bulanan'!$E$5,KB[TANGGAL],'rek-bulanan'!B24,KB[TYPE],"A")</f>
        <v>1</v>
      </c>
      <c r="F24" s="214">
        <f>SUMIFS(KB[BRUTO],KB[RELASI],'rek-bulanan'!$E$5,KB[TANGGAL],'rek-bulanan'!B24,KB[TYPE],"A")</f>
        <v>4740</v>
      </c>
      <c r="G24" s="214">
        <f>SUMIFS(KB[TARRA],KB[RELASI],'rek-bulanan'!$E$5,KB[TANGGAL],'rek-bulanan'!B24,KB[TYPE],"A")</f>
        <v>1510</v>
      </c>
      <c r="H24" s="214">
        <f>SUMIFS(KB[NETTO],KB[RELASI],'rek-bulanan'!$E$5,KB[TANGGAL],'rek-bulanan'!B24,KB[TYPE],"A")</f>
        <v>3230</v>
      </c>
      <c r="I24" s="214">
        <f>SUMIFS(KB[NETTO2],KB[RELASI],'rek-bulanan'!$E$5,KB[TANGGAL],'rek-bulanan'!B24,KB[TYPE],"A")</f>
        <v>3068.5</v>
      </c>
      <c r="J24" s="214">
        <f t="shared" si="2"/>
        <v>2849.9983705393515</v>
      </c>
      <c r="K24" s="215">
        <f>SUMIFS(KB[TPEMBAYARAN],KB[RELASI],'rek-bulanan'!$E$5,KB[TANGGAL],'rek-bulanan'!B24,KB[TYPE],"A")</f>
        <v>8745220</v>
      </c>
      <c r="L24" s="206"/>
      <c r="M24" s="213" t="str">
        <f t="array" ref="M24">IFERROR(IF($B$7&lt;&gt;"KELAPA BULAT","",TEXT(VLOOKUP($E$5,IF(KB[NK]=VLOOKUP($E$5,IF(KB[TANGGAL]=B24,KB[[RELASI]:[TANGGAL]],""),2,0),IF(KB[TYPE]="B",KB[[RELASI]:[TYPE]],""),""),4,0),"000")),"")</f>
        <v/>
      </c>
      <c r="N24" s="213"/>
      <c r="O24" s="213"/>
      <c r="P24" s="213"/>
      <c r="Q24" s="214">
        <f>SUMIFS(KB[NETTO],KB[RELASI],'rek-bulanan'!$E$5,KB[TANGGAL],'rek-bulanan'!B24,KB[TYPE],"B")</f>
        <v>0</v>
      </c>
      <c r="R24" s="214">
        <f>SUMIFS(KB[NETTO2],KB[RELASI],'rek-bulanan'!$E$5,KB[TANGGAL],'rek-bulanan'!B24,KB[TYPE],"B")</f>
        <v>0</v>
      </c>
      <c r="S24" s="214" t="str">
        <f t="shared" si="7"/>
        <v/>
      </c>
      <c r="T24" s="214">
        <f>SUMIFS(KB[TPEMBAYARAN],KB[RELASI],'rek-bulanan'!$E$5,KB[TANGGAL],'rek-bulanan'!B24,KB[TYPE],"B")</f>
        <v>0</v>
      </c>
      <c r="V24" s="218" t="str">
        <f t="array" ref="V24">IFERROR(TEXT(VLOOKUP($E$5,IF($R$7="KELAPA BULAT",IF(KB[TANGGAL]=B24,KB[[RELASI]:[TANGGAL]],""),IF($R$7="KELAPA BERSABUT",IF(KBS[TANGGAL]=B24,KBS[[RELASI]:[TANGGAL]],""),IF($R$7="KOPRA",IF(KPR[TANGGAL]=B24,KPR[[RELASI]:[TANGGAL]],""),IF($R$7="ARANG",IF(ARG[TANGGAL]=B24,ARG[[RELASI]:[TANGGAL]],""))))),2,0),"0000"),"")</f>
        <v/>
      </c>
      <c r="W24" s="213" t="str">
        <f t="array" ref="W24">IFERROR(TEXT(VLOOKUP($E$5,IF($R$7="KELAPA BULAT",IF(KB[TANGGAL]=B24,KB[[RELASI]:[TANGGAL]],""),IF($R$7="KELAPA BERSABUT",IF(KBS[TANGGAL]=B24,KBS[[RELASI]:[TANGGAL]],""),IF($R$7="KOPRA",IF(KPR[TANGGAL]=B24,KPR[[RELASI]:[TANGGAL]],""),IF($R$7="ARANG",IF(ARG[TANGGAL]=B24,ARG[[RELASI]:[TANGGAL]],""))))),4,0),"000"),"")</f>
        <v/>
      </c>
      <c r="X24" s="213"/>
      <c r="Y24" s="213"/>
      <c r="Z24" s="213"/>
      <c r="AA24" s="214">
        <f>SUMIFS(KPR[NETTO],KPR[RELASI],'rek-bulanan'!$E$5,KPR[TANGGAL],'rek-bulanan'!B24)</f>
        <v>0</v>
      </c>
      <c r="AB24" s="214">
        <f>SUMIFS(KPR[NETTOB],KPR[RELASI],'rek-bulanan'!$E$5,KPR[TANGGAL],'rek-bulanan'!B24)</f>
        <v>0</v>
      </c>
      <c r="AC24" s="214" t="str">
        <f t="shared" si="3"/>
        <v/>
      </c>
      <c r="AD24" s="217">
        <f>SUMIFS(KPR[TPEMBAYARAN],KPR[RELASI],'rek-bulanan'!$E$5,KPR[TANGGAL],'rek-bulanan'!B24)</f>
        <v>0</v>
      </c>
      <c r="AF24" s="218" t="str">
        <f t="array" ref="AF24">IFERROR(TEXT(VLOOKUP($E$5,IF($AB$7="KELAPA BULAT",IF(KB[TANGGAL]=B24,KB[[RELASI]:[TANGGAL]],""),IF($AB$7="KELAPA BERSABUT",IF(KBS[TANGGAL]=B24,KBS[[RELASI]:[TANGGAL]],""),IF($AB$7="KOPRA",IF(KPR[TANGGAL]=B24,KPR[[RELASI]:[TANGGAL]],""),IF($AB$7="ARANG",IF(ARG[TANGGAL]=B24,ARG[[RELASI]:[TANGGAL]],""))))),2,0),"0000"),"")</f>
        <v/>
      </c>
      <c r="AG24" s="213" t="str">
        <f t="array" ref="AG24">IFERROR(TEXT(VLOOKUP($E$5,IF($AB$7="KELAPA BULAT",IF(KB[TANGGAL]=B24,KB[[RELASI]:[TANGGAL]],""),IF($AB$7="KELAPA BERSABUT",IF(KBS[TANGGAL]=B24,KBS[[RELASI]:[TANGGAL]],""),IF($AB$7="KOPRA",IF(KPR[TANGGAL]=B24,KPR[[RELASI]:[TANGGAL]],""),IF($AB$7="ARANG",IF(ARG[TANGGAL]=B24,ARG[[RELASI]:[TANGGAL]],""))))),4,0),"000"),"")</f>
        <v/>
      </c>
      <c r="AH24" s="214">
        <f>SUMIFS(KBS[NETTO2],KBS[RELASI],'rek-bulanan'!$E$5,KBS[TANGGAL],'rek-bulanan'!B24)</f>
        <v>0</v>
      </c>
      <c r="AI24" s="214">
        <f>SUMIFS(KBS[NETTO2],KBS[RELASI],'rek-bulanan'!$E$5,KBS[TANGGAL],'rek-bulanan'!B24)</f>
        <v>0</v>
      </c>
      <c r="AJ24" s="214" t="str">
        <f t="shared" si="4"/>
        <v/>
      </c>
      <c r="AK24" s="217">
        <f>SUMIFS(KBS[TPEMBAYARAN],KBS[RELASI],'rek-bulanan'!$E$5,KBS[TANGGAL],'rek-bulanan'!B24)</f>
        <v>0</v>
      </c>
      <c r="AM24" s="218" t="str">
        <f t="array" ref="AM24">IFERROR(TEXT(VLOOKUP($E$5,IF($B$7="KELAPA BULAT",IF(KB[TANGGAL]=AL24,KB[[RELASI]:[TANGGAL]],""),IF($B$7="KELAPA BERSABUT",IF(KBS[TANGGAL]=AL24,KBS[[RELASI]:[TANGGAL]],""),IF($B$7="KOPRA",IF(KPR[TANGGAL]=AL24,KPR[[RELASI]:[TANGGAL]],""),IF($B$7="ARANG",IF(ARG[TANGGAL]=AL24,ARG[[RELASI]:[TANGGAL]],""))))),2,0),"0000"),"")</f>
        <v/>
      </c>
      <c r="AN24" s="213" t="str">
        <f t="array" ref="AN24">IFERROR(IF($B$7&lt;&gt;"KELAPA BULAT","",TEXT(VLOOKUP($E$5,IF(KB[NK]=VLOOKUP($E$5,IF(KB[TANGGAL]=AE24,KB[[RELASI]:[TANGGAL]],""),2,0),IF(KB[TYPE]="B",KB[[RELASI]:[TYPE]],""),""),4,0),"000")),"")</f>
        <v/>
      </c>
      <c r="AO24" s="214">
        <f>SUMIFS(ARG[NETTO1],ARG[RELASI],'rek-bulanan'!$E$5,ARG[TANGGAL],'rek-bulanan'!B24)</f>
        <v>0</v>
      </c>
      <c r="AP24" s="214">
        <f>SUMIFS(ARG[NETTO3],ARG[RELASI],'rek-bulanan'!$E$5,ARG[TANGGAL],'rek-bulanan'!B24)</f>
        <v>0</v>
      </c>
      <c r="AQ24" s="214" t="str">
        <f t="shared" si="5"/>
        <v/>
      </c>
      <c r="AR24" s="217">
        <f>SUMIFS(ARG[TPEMBAYARAN],ARG[RELASI],'rek-bulanan'!$E$5,ARG[TANGGAL],'rek-bulanan'!B24)</f>
        <v>0</v>
      </c>
      <c r="AT24" s="217">
        <f t="shared" si="6"/>
        <v>8745220</v>
      </c>
    </row>
    <row r="25" spans="2:46">
      <c r="B25" s="211">
        <f t="shared" si="0"/>
        <v>43877</v>
      </c>
      <c r="C25" s="212" t="str">
        <f t="array" ref="C25">IFERROR(TEXT(VLOOKUP($E$5,IF($B$7="KELAPA BULAT",IF(KB[TANGGAL]=B25,KB[[RELASI]:[TANGGAL]],""),IF($B$7="KELAPA BERSABUT",IF(KBS[TANGGAL]=B25,KBS[[RELASI]:[TANGGAL]],""),IF($B$7="KOPRA",IF(KPR[TANGGAL]=B25,KPR[[RELASI]:[TANGGAL]],""),IF($B$7="ARANG",IF(ARG[TANGGAL]=B25,ARG[[RELASI]:[TANGGAL]],""))))),2,0),"0000"),"")</f>
        <v/>
      </c>
      <c r="D25" s="213" t="str">
        <f t="array" ref="D25">IFERROR(TEXT(VLOOKUP($E$5,IF($B$7="KELAPA BULAT",IF(KB[TANGGAL]=B25,KB[[RELASI]:[TANGGAL]],""),IF($B$7="KELAPA BERSABUT",IF(KBS[TANGGAL]=B25,KBS[[RELASI]:[TANGGAL]],""),IF($B$7="KOPRA",IF(KPR[TANGGAL]=B25,KPR[[RELASI]:[TANGGAL]],""),IF($B$7="ARANG",IF(ARG[TANGGAL]=B25,ARG[[RELASI]:[TANGGAL]],""))))),4,0),"000"),"")</f>
        <v/>
      </c>
      <c r="E25" s="1041">
        <f>SUMIFS(KB[TN],KB[RELASI],'rek-bulanan'!$E$5,KB[TANGGAL],'rek-bulanan'!B25,KB[TYPE],"A")</f>
        <v>0</v>
      </c>
      <c r="F25" s="214">
        <f>SUMIFS(KB[BRUTO],KB[RELASI],'rek-bulanan'!$E$5,KB[TANGGAL],'rek-bulanan'!B25,KB[TYPE],"A")</f>
        <v>0</v>
      </c>
      <c r="G25" s="214">
        <f>SUMIFS(KB[TARRA],KB[RELASI],'rek-bulanan'!$E$5,KB[TANGGAL],'rek-bulanan'!B25,KB[TYPE],"A")</f>
        <v>0</v>
      </c>
      <c r="H25" s="214">
        <f>SUMIFS(KB[NETTO],KB[RELASI],'rek-bulanan'!$E$5,KB[TANGGAL],'rek-bulanan'!B25,KB[TYPE],"A")</f>
        <v>0</v>
      </c>
      <c r="I25" s="214">
        <f>SUMIFS(KB[NETTO2],KB[RELASI],'rek-bulanan'!$E$5,KB[TANGGAL],'rek-bulanan'!B25,KB[TYPE],"A")</f>
        <v>0</v>
      </c>
      <c r="J25" s="214" t="str">
        <f t="shared" si="2"/>
        <v/>
      </c>
      <c r="K25" s="215">
        <f>SUMIFS(KB[TPEMBAYARAN],KB[RELASI],'rek-bulanan'!$E$5,KB[TANGGAL],'rek-bulanan'!B25,KB[TYPE],"A")</f>
        <v>0</v>
      </c>
      <c r="L25" s="206"/>
      <c r="M25" s="213" t="str">
        <f t="array" ref="M25">IFERROR(IF($B$7&lt;&gt;"KELAPA BULAT","",TEXT(VLOOKUP($E$5,IF(KB[NK]=VLOOKUP($E$5,IF(KB[TANGGAL]=B25,KB[[RELASI]:[TANGGAL]],""),2,0),IF(KB[TYPE]="B",KB[[RELASI]:[TYPE]],""),""),4,0),"000")),"")</f>
        <v/>
      </c>
      <c r="N25" s="213"/>
      <c r="O25" s="213"/>
      <c r="P25" s="213"/>
      <c r="Q25" s="214">
        <f>SUMIFS(KB[NETTO],KB[RELASI],'rek-bulanan'!$E$5,KB[TANGGAL],'rek-bulanan'!B25,KB[TYPE],"B")</f>
        <v>0</v>
      </c>
      <c r="R25" s="214">
        <f>SUMIFS(KB[NETTO2],KB[RELASI],'rek-bulanan'!$E$5,KB[TANGGAL],'rek-bulanan'!B25,KB[TYPE],"B")</f>
        <v>0</v>
      </c>
      <c r="S25" s="214" t="str">
        <f t="shared" si="7"/>
        <v/>
      </c>
      <c r="T25" s="214">
        <f>SUMIFS(KB[TPEMBAYARAN],KB[RELASI],'rek-bulanan'!$E$5,KB[TANGGAL],'rek-bulanan'!B25,KB[TYPE],"B")</f>
        <v>0</v>
      </c>
      <c r="V25" s="218" t="str">
        <f t="array" ref="V25">IFERROR(TEXT(VLOOKUP($E$5,IF($R$7="KELAPA BULAT",IF(KB[TANGGAL]=B25,KB[[RELASI]:[TANGGAL]],""),IF($R$7="KELAPA BERSABUT",IF(KBS[TANGGAL]=B25,KBS[[RELASI]:[TANGGAL]],""),IF($R$7="KOPRA",IF(KPR[TANGGAL]=B25,KPR[[RELASI]:[TANGGAL]],""),IF($R$7="ARANG",IF(ARG[TANGGAL]=B25,ARG[[RELASI]:[TANGGAL]],""))))),2,0),"0000"),"")</f>
        <v/>
      </c>
      <c r="W25" s="213" t="str">
        <f t="array" ref="W25">IFERROR(TEXT(VLOOKUP($E$5,IF($R$7="KELAPA BULAT",IF(KB[TANGGAL]=B25,KB[[RELASI]:[TANGGAL]],""),IF($R$7="KELAPA BERSABUT",IF(KBS[TANGGAL]=B25,KBS[[RELASI]:[TANGGAL]],""),IF($R$7="KOPRA",IF(KPR[TANGGAL]=B25,KPR[[RELASI]:[TANGGAL]],""),IF($R$7="ARANG",IF(ARG[TANGGAL]=B25,ARG[[RELASI]:[TANGGAL]],""))))),4,0),"000"),"")</f>
        <v/>
      </c>
      <c r="X25" s="213"/>
      <c r="Y25" s="213"/>
      <c r="Z25" s="213"/>
      <c r="AA25" s="214">
        <f>SUMIFS(KPR[NETTO],KPR[RELASI],'rek-bulanan'!$E$5,KPR[TANGGAL],'rek-bulanan'!B25)</f>
        <v>0</v>
      </c>
      <c r="AB25" s="214">
        <f>SUMIFS(KPR[NETTOB],KPR[RELASI],'rek-bulanan'!$E$5,KPR[TANGGAL],'rek-bulanan'!B25)</f>
        <v>0</v>
      </c>
      <c r="AC25" s="214" t="str">
        <f t="shared" si="3"/>
        <v/>
      </c>
      <c r="AD25" s="217">
        <f>SUMIFS(KPR[TPEMBAYARAN],KPR[RELASI],'rek-bulanan'!$E$5,KPR[TANGGAL],'rek-bulanan'!B25)</f>
        <v>0</v>
      </c>
      <c r="AF25" s="218" t="str">
        <f t="array" ref="AF25">IFERROR(TEXT(VLOOKUP($E$5,IF($AB$7="KELAPA BULAT",IF(KB[TANGGAL]=B25,KB[[RELASI]:[TANGGAL]],""),IF($AB$7="KELAPA BERSABUT",IF(KBS[TANGGAL]=B25,KBS[[RELASI]:[TANGGAL]],""),IF($AB$7="KOPRA",IF(KPR[TANGGAL]=B25,KPR[[RELASI]:[TANGGAL]],""),IF($AB$7="ARANG",IF(ARG[TANGGAL]=B25,ARG[[RELASI]:[TANGGAL]],""))))),2,0),"0000"),"")</f>
        <v/>
      </c>
      <c r="AG25" s="213" t="str">
        <f t="array" ref="AG25">IFERROR(TEXT(VLOOKUP($E$5,IF($AB$7="KELAPA BULAT",IF(KB[TANGGAL]=B25,KB[[RELASI]:[TANGGAL]],""),IF($AB$7="KELAPA BERSABUT",IF(KBS[TANGGAL]=B25,KBS[[RELASI]:[TANGGAL]],""),IF($AB$7="KOPRA",IF(KPR[TANGGAL]=B25,KPR[[RELASI]:[TANGGAL]],""),IF($AB$7="ARANG",IF(ARG[TANGGAL]=B25,ARG[[RELASI]:[TANGGAL]],""))))),4,0),"000"),"")</f>
        <v/>
      </c>
      <c r="AH25" s="214">
        <f>SUMIFS(KBS[NETTO2],KBS[RELASI],'rek-bulanan'!$E$5,KBS[TANGGAL],'rek-bulanan'!B25)</f>
        <v>0</v>
      </c>
      <c r="AI25" s="214">
        <f>SUMIFS(KBS[NETTO2],KBS[RELASI],'rek-bulanan'!$E$5,KBS[TANGGAL],'rek-bulanan'!B25)</f>
        <v>0</v>
      </c>
      <c r="AJ25" s="214" t="str">
        <f t="shared" si="4"/>
        <v/>
      </c>
      <c r="AK25" s="217">
        <f>SUMIFS(KBS[TPEMBAYARAN],KBS[RELASI],'rek-bulanan'!$E$5,KBS[TANGGAL],'rek-bulanan'!B25)</f>
        <v>0</v>
      </c>
      <c r="AM25" s="218" t="str">
        <f t="array" ref="AM25">IFERROR(TEXT(VLOOKUP($E$5,IF($B$7="KELAPA BULAT",IF(KB[TANGGAL]=AL25,KB[[RELASI]:[TANGGAL]],""),IF($B$7="KELAPA BERSABUT",IF(KBS[TANGGAL]=AL25,KBS[[RELASI]:[TANGGAL]],""),IF($B$7="KOPRA",IF(KPR[TANGGAL]=AL25,KPR[[RELASI]:[TANGGAL]],""),IF($B$7="ARANG",IF(ARG[TANGGAL]=AL25,ARG[[RELASI]:[TANGGAL]],""))))),2,0),"0000"),"")</f>
        <v/>
      </c>
      <c r="AN25" s="213" t="str">
        <f t="array" ref="AN25">IFERROR(IF($B$7&lt;&gt;"KELAPA BULAT","",TEXT(VLOOKUP($E$5,IF(KB[NK]=VLOOKUP($E$5,IF(KB[TANGGAL]=AE25,KB[[RELASI]:[TANGGAL]],""),2,0),IF(KB[TYPE]="B",KB[[RELASI]:[TYPE]],""),""),4,0),"000")),"")</f>
        <v/>
      </c>
      <c r="AO25" s="214">
        <f>SUMIFS(ARG[NETTO1],ARG[RELASI],'rek-bulanan'!$E$5,ARG[TANGGAL],'rek-bulanan'!B25)</f>
        <v>0</v>
      </c>
      <c r="AP25" s="214">
        <f>SUMIFS(ARG[NETTO3],ARG[RELASI],'rek-bulanan'!$E$5,ARG[TANGGAL],'rek-bulanan'!B25)</f>
        <v>0</v>
      </c>
      <c r="AQ25" s="214" t="str">
        <f t="shared" si="5"/>
        <v/>
      </c>
      <c r="AR25" s="217">
        <f>SUMIFS(ARG[TPEMBAYARAN],ARG[RELASI],'rek-bulanan'!$E$5,ARG[TANGGAL],'rek-bulanan'!B25)</f>
        <v>0</v>
      </c>
      <c r="AT25" s="217">
        <f t="shared" si="6"/>
        <v>0</v>
      </c>
    </row>
    <row r="26" spans="2:46">
      <c r="B26" s="211">
        <f t="shared" si="0"/>
        <v>43878</v>
      </c>
      <c r="C26" s="212" t="str">
        <f t="array" ref="C26">IFERROR(TEXT(VLOOKUP($E$5,IF($B$7="KELAPA BULAT",IF(KB[TANGGAL]=B26,KB[[RELASI]:[TANGGAL]],""),IF($B$7="KELAPA BERSABUT",IF(KBS[TANGGAL]=B26,KBS[[RELASI]:[TANGGAL]],""),IF($B$7="KOPRA",IF(KPR[TANGGAL]=B26,KPR[[RELASI]:[TANGGAL]],""),IF($B$7="ARANG",IF(ARG[TANGGAL]=B26,ARG[[RELASI]:[TANGGAL]],""))))),2,0),"0000"),"")</f>
        <v>0023</v>
      </c>
      <c r="D26" s="213" t="str">
        <f t="array" ref="D26">IFERROR(TEXT(VLOOKUP($E$5,IF($B$7="KELAPA BULAT",IF(KB[TANGGAL]=B26,KB[[RELASI]:[TANGGAL]],""),IF($B$7="KELAPA BERSABUT",IF(KBS[TANGGAL]=B26,KBS[[RELASI]:[TANGGAL]],""),IF($B$7="KOPRA",IF(KPR[TANGGAL]=B26,KPR[[RELASI]:[TANGGAL]],""),IF($B$7="ARANG",IF(ARG[TANGGAL]=B26,ARG[[RELASI]:[TANGGAL]],""))))),4,0),"000"),"")</f>
        <v>023</v>
      </c>
      <c r="E26" s="1041">
        <f>SUMIFS(KB[TN],KB[RELASI],'rek-bulanan'!$E$5,KB[TANGGAL],'rek-bulanan'!B26,KB[TYPE],"A")</f>
        <v>1</v>
      </c>
      <c r="F26" s="214">
        <f>SUMIFS(KB[BRUTO],KB[RELASI],'rek-bulanan'!$E$5,KB[TANGGAL],'rek-bulanan'!B26,KB[TYPE],"A")</f>
        <v>3830</v>
      </c>
      <c r="G26" s="214">
        <f>SUMIFS(KB[TARRA],KB[RELASI],'rek-bulanan'!$E$5,KB[TANGGAL],'rek-bulanan'!B26,KB[TYPE],"A")</f>
        <v>1570</v>
      </c>
      <c r="H26" s="214">
        <f>SUMIFS(KB[NETTO],KB[RELASI],'rek-bulanan'!$E$5,KB[TANGGAL],'rek-bulanan'!B26,KB[TYPE],"A")</f>
        <v>2260</v>
      </c>
      <c r="I26" s="214">
        <f>SUMIFS(KB[NETTO2],KB[RELASI],'rek-bulanan'!$E$5,KB[TANGGAL],'rek-bulanan'!B26,KB[TYPE],"A")</f>
        <v>2147</v>
      </c>
      <c r="J26" s="214">
        <f t="shared" si="2"/>
        <v>2849.9986027014438</v>
      </c>
      <c r="K26" s="215">
        <f>SUMIFS(KB[TPEMBAYARAN],KB[RELASI],'rek-bulanan'!$E$5,KB[TANGGAL],'rek-bulanan'!B26,KB[TYPE],"A")</f>
        <v>6118947</v>
      </c>
      <c r="L26" s="206"/>
      <c r="M26" s="213" t="str">
        <f t="array" ref="M26">IFERROR(IF($B$7&lt;&gt;"KELAPA BULAT","",TEXT(VLOOKUP($E$5,IF(KB[NK]=VLOOKUP($E$5,IF(KB[TANGGAL]=B26,KB[[RELASI]:[TANGGAL]],""),2,0),IF(KB[TYPE]="B",KB[[RELASI]:[TYPE]],""),""),4,0),"000")),"")</f>
        <v/>
      </c>
      <c r="N26" s="213"/>
      <c r="O26" s="213"/>
      <c r="P26" s="213"/>
      <c r="Q26" s="214">
        <f>SUMIFS(KB[NETTO],KB[RELASI],'rek-bulanan'!$E$5,KB[TANGGAL],'rek-bulanan'!B26,KB[TYPE],"B")</f>
        <v>0</v>
      </c>
      <c r="R26" s="214">
        <f>SUMIFS(KB[NETTO2],KB[RELASI],'rek-bulanan'!$E$5,KB[TANGGAL],'rek-bulanan'!B26,KB[TYPE],"B")</f>
        <v>0</v>
      </c>
      <c r="S26" s="214" t="str">
        <f t="shared" si="7"/>
        <v/>
      </c>
      <c r="T26" s="214">
        <f>SUMIFS(KB[TPEMBAYARAN],KB[RELASI],'rek-bulanan'!$E$5,KB[TANGGAL],'rek-bulanan'!B26,KB[TYPE],"B")</f>
        <v>0</v>
      </c>
      <c r="V26" s="218" t="str">
        <f t="array" ref="V26">IFERROR(TEXT(VLOOKUP($E$5,IF($R$7="KELAPA BULAT",IF(KB[TANGGAL]=B26,KB[[RELASI]:[TANGGAL]],""),IF($R$7="KELAPA BERSABUT",IF(KBS[TANGGAL]=B26,KBS[[RELASI]:[TANGGAL]],""),IF($R$7="KOPRA",IF(KPR[TANGGAL]=B26,KPR[[RELASI]:[TANGGAL]],""),IF($R$7="ARANG",IF(ARG[TANGGAL]=B26,ARG[[RELASI]:[TANGGAL]],""))))),2,0),"0000"),"")</f>
        <v/>
      </c>
      <c r="W26" s="213" t="str">
        <f t="array" ref="W26">IFERROR(TEXT(VLOOKUP($E$5,IF($R$7="KELAPA BULAT",IF(KB[TANGGAL]=B26,KB[[RELASI]:[TANGGAL]],""),IF($R$7="KELAPA BERSABUT",IF(KBS[TANGGAL]=B26,KBS[[RELASI]:[TANGGAL]],""),IF($R$7="KOPRA",IF(KPR[TANGGAL]=B26,KPR[[RELASI]:[TANGGAL]],""),IF($R$7="ARANG",IF(ARG[TANGGAL]=B26,ARG[[RELASI]:[TANGGAL]],""))))),4,0),"000"),"")</f>
        <v/>
      </c>
      <c r="X26" s="213"/>
      <c r="Y26" s="213"/>
      <c r="Z26" s="213"/>
      <c r="AA26" s="214">
        <f>SUMIFS(KPR[NETTO],KPR[RELASI],'rek-bulanan'!$E$5,KPR[TANGGAL],'rek-bulanan'!B26)</f>
        <v>0</v>
      </c>
      <c r="AB26" s="214">
        <f>SUMIFS(KPR[NETTOB],KPR[RELASI],'rek-bulanan'!$E$5,KPR[TANGGAL],'rek-bulanan'!B26)</f>
        <v>0</v>
      </c>
      <c r="AC26" s="214" t="str">
        <f t="shared" si="3"/>
        <v/>
      </c>
      <c r="AD26" s="217">
        <f>SUMIFS(KPR[TPEMBAYARAN],KPR[RELASI],'rek-bulanan'!$E$5,KPR[TANGGAL],'rek-bulanan'!B26)</f>
        <v>0</v>
      </c>
      <c r="AF26" s="218" t="str">
        <f t="array" ref="AF26">IFERROR(TEXT(VLOOKUP($E$5,IF($AB$7="KELAPA BULAT",IF(KB[TANGGAL]=B26,KB[[RELASI]:[TANGGAL]],""),IF($AB$7="KELAPA BERSABUT",IF(KBS[TANGGAL]=B26,KBS[[RELASI]:[TANGGAL]],""),IF($AB$7="KOPRA",IF(KPR[TANGGAL]=B26,KPR[[RELASI]:[TANGGAL]],""),IF($AB$7="ARANG",IF(ARG[TANGGAL]=B26,ARG[[RELASI]:[TANGGAL]],""))))),2,0),"0000"),"")</f>
        <v/>
      </c>
      <c r="AG26" s="213" t="str">
        <f t="array" ref="AG26">IFERROR(TEXT(VLOOKUP($E$5,IF($AB$7="KELAPA BULAT",IF(KB[TANGGAL]=B26,KB[[RELASI]:[TANGGAL]],""),IF($AB$7="KELAPA BERSABUT",IF(KBS[TANGGAL]=B26,KBS[[RELASI]:[TANGGAL]],""),IF($AB$7="KOPRA",IF(KPR[TANGGAL]=B26,KPR[[RELASI]:[TANGGAL]],""),IF($AB$7="ARANG",IF(ARG[TANGGAL]=B26,ARG[[RELASI]:[TANGGAL]],""))))),4,0),"000"),"")</f>
        <v/>
      </c>
      <c r="AH26" s="214">
        <f>SUMIFS(KBS[NETTO2],KBS[RELASI],'rek-bulanan'!$E$5,KBS[TANGGAL],'rek-bulanan'!B26)</f>
        <v>0</v>
      </c>
      <c r="AI26" s="214">
        <f>SUMIFS(KBS[NETTO2],KBS[RELASI],'rek-bulanan'!$E$5,KBS[TANGGAL],'rek-bulanan'!B26)</f>
        <v>0</v>
      </c>
      <c r="AJ26" s="214" t="str">
        <f t="shared" si="4"/>
        <v/>
      </c>
      <c r="AK26" s="217">
        <f>SUMIFS(KBS[TPEMBAYARAN],KBS[RELASI],'rek-bulanan'!$E$5,KBS[TANGGAL],'rek-bulanan'!B26)</f>
        <v>0</v>
      </c>
      <c r="AM26" s="218" t="str">
        <f t="array" ref="AM26">IFERROR(TEXT(VLOOKUP($E$5,IF($B$7="KELAPA BULAT",IF(KB[TANGGAL]=AL26,KB[[RELASI]:[TANGGAL]],""),IF($B$7="KELAPA BERSABUT",IF(KBS[TANGGAL]=AL26,KBS[[RELASI]:[TANGGAL]],""),IF($B$7="KOPRA",IF(KPR[TANGGAL]=AL26,KPR[[RELASI]:[TANGGAL]],""),IF($B$7="ARANG",IF(ARG[TANGGAL]=AL26,ARG[[RELASI]:[TANGGAL]],""))))),2,0),"0000"),"")</f>
        <v/>
      </c>
      <c r="AN26" s="213" t="str">
        <f t="array" ref="AN26">IFERROR(IF($B$7&lt;&gt;"KELAPA BULAT","",TEXT(VLOOKUP($E$5,IF(KB[NK]=VLOOKUP($E$5,IF(KB[TANGGAL]=AE26,KB[[RELASI]:[TANGGAL]],""),2,0),IF(KB[TYPE]="B",KB[[RELASI]:[TYPE]],""),""),4,0),"000")),"")</f>
        <v/>
      </c>
      <c r="AO26" s="214">
        <f>SUMIFS(ARG[NETTO1],ARG[RELASI],'rek-bulanan'!$E$5,ARG[TANGGAL],'rek-bulanan'!B26)</f>
        <v>0</v>
      </c>
      <c r="AP26" s="214">
        <f>SUMIFS(ARG[NETTO3],ARG[RELASI],'rek-bulanan'!$E$5,ARG[TANGGAL],'rek-bulanan'!B26)</f>
        <v>0</v>
      </c>
      <c r="AQ26" s="214" t="str">
        <f t="shared" si="5"/>
        <v/>
      </c>
      <c r="AR26" s="217">
        <f>SUMIFS(ARG[TPEMBAYARAN],ARG[RELASI],'rek-bulanan'!$E$5,ARG[TANGGAL],'rek-bulanan'!B26)</f>
        <v>0</v>
      </c>
      <c r="AT26" s="217">
        <f t="shared" si="6"/>
        <v>6118947</v>
      </c>
    </row>
    <row r="27" spans="2:46">
      <c r="B27" s="211">
        <f t="shared" si="0"/>
        <v>43879</v>
      </c>
      <c r="C27" s="212" t="str">
        <f t="array" ref="C27">IFERROR(TEXT(VLOOKUP($E$5,IF($B$7="KELAPA BULAT",IF(KB[TANGGAL]=B27,KB[[RELASI]:[TANGGAL]],""),IF($B$7="KELAPA BERSABUT",IF(KBS[TANGGAL]=B27,KBS[[RELASI]:[TANGGAL]],""),IF($B$7="KOPRA",IF(KPR[TANGGAL]=B27,KPR[[RELASI]:[TANGGAL]],""),IF($B$7="ARANG",IF(ARG[TANGGAL]=B27,ARG[[RELASI]:[TANGGAL]],""))))),2,0),"0000"),"")</f>
        <v>0024</v>
      </c>
      <c r="D27" s="213" t="str">
        <f t="array" ref="D27">IFERROR(TEXT(VLOOKUP($E$5,IF($B$7="KELAPA BULAT",IF(KB[TANGGAL]=B27,KB[[RELASI]:[TANGGAL]],""),IF($B$7="KELAPA BERSABUT",IF(KBS[TANGGAL]=B27,KBS[[RELASI]:[TANGGAL]],""),IF($B$7="KOPRA",IF(KPR[TANGGAL]=B27,KPR[[RELASI]:[TANGGAL]],""),IF($B$7="ARANG",IF(ARG[TANGGAL]=B27,ARG[[RELASI]:[TANGGAL]],""))))),4,0),"000"),"")</f>
        <v>024</v>
      </c>
      <c r="E27" s="1041">
        <f>SUMIFS(KB[TN],KB[RELASI],'rek-bulanan'!$E$5,KB[TANGGAL],'rek-bulanan'!B27,KB[TYPE],"A")</f>
        <v>1</v>
      </c>
      <c r="F27" s="214">
        <f>SUMIFS(KB[BRUTO],KB[RELASI],'rek-bulanan'!$E$5,KB[TANGGAL],'rek-bulanan'!B27,KB[TYPE],"A")</f>
        <v>4250</v>
      </c>
      <c r="G27" s="214">
        <f>SUMIFS(KB[TARRA],KB[RELASI],'rek-bulanan'!$E$5,KB[TANGGAL],'rek-bulanan'!B27,KB[TYPE],"A")</f>
        <v>1490</v>
      </c>
      <c r="H27" s="214">
        <f>SUMIFS(KB[NETTO],KB[RELASI],'rek-bulanan'!$E$5,KB[TANGGAL],'rek-bulanan'!B27,KB[TYPE],"A")</f>
        <v>2760</v>
      </c>
      <c r="I27" s="214">
        <f>SUMIFS(KB[NETTO2],KB[RELASI],'rek-bulanan'!$E$5,KB[TANGGAL],'rek-bulanan'!B27,KB[TYPE],"A")</f>
        <v>2622</v>
      </c>
      <c r="J27" s="214">
        <f t="shared" si="2"/>
        <v>2849.9984744469871</v>
      </c>
      <c r="K27" s="215">
        <f>SUMIFS(KB[TPEMBAYARAN],KB[RELASI],'rek-bulanan'!$E$5,KB[TANGGAL],'rek-bulanan'!B27,KB[TYPE],"A")</f>
        <v>7472696</v>
      </c>
      <c r="L27" s="206"/>
      <c r="M27" s="213" t="str">
        <f t="array" ref="M27">IFERROR(IF($B$7&lt;&gt;"KELAPA BULAT","",TEXT(VLOOKUP($E$5,IF(KB[NK]=VLOOKUP($E$5,IF(KB[TANGGAL]=B27,KB[[RELASI]:[TANGGAL]],""),2,0),IF(KB[TYPE]="B",KB[[RELASI]:[TYPE]],""),""),4,0),"000")),"")</f>
        <v/>
      </c>
      <c r="N27" s="213"/>
      <c r="O27" s="213"/>
      <c r="P27" s="213"/>
      <c r="Q27" s="214">
        <f>SUMIFS(KB[NETTO],KB[RELASI],'rek-bulanan'!$E$5,KB[TANGGAL],'rek-bulanan'!B27,KB[TYPE],"B")</f>
        <v>0</v>
      </c>
      <c r="R27" s="214">
        <f>SUMIFS(KB[NETTO2],KB[RELASI],'rek-bulanan'!$E$5,KB[TANGGAL],'rek-bulanan'!B27,KB[TYPE],"B")</f>
        <v>0</v>
      </c>
      <c r="S27" s="214" t="str">
        <f t="shared" si="7"/>
        <v/>
      </c>
      <c r="T27" s="214">
        <f>SUMIFS(KB[TPEMBAYARAN],KB[RELASI],'rek-bulanan'!$E$5,KB[TANGGAL],'rek-bulanan'!B27,KB[TYPE],"B")</f>
        <v>0</v>
      </c>
      <c r="V27" s="218" t="str">
        <f t="array" ref="V27">IFERROR(TEXT(VLOOKUP($E$5,IF($R$7="KELAPA BULAT",IF(KB[TANGGAL]=B27,KB[[RELASI]:[TANGGAL]],""),IF($R$7="KELAPA BERSABUT",IF(KBS[TANGGAL]=B27,KBS[[RELASI]:[TANGGAL]],""),IF($R$7="KOPRA",IF(KPR[TANGGAL]=B27,KPR[[RELASI]:[TANGGAL]],""),IF($R$7="ARANG",IF(ARG[TANGGAL]=B27,ARG[[RELASI]:[TANGGAL]],""))))),2,0),"0000"),"")</f>
        <v/>
      </c>
      <c r="W27" s="213" t="str">
        <f t="array" ref="W27">IFERROR(TEXT(VLOOKUP($E$5,IF($R$7="KELAPA BULAT",IF(KB[TANGGAL]=B27,KB[[RELASI]:[TANGGAL]],""),IF($R$7="KELAPA BERSABUT",IF(KBS[TANGGAL]=B27,KBS[[RELASI]:[TANGGAL]],""),IF($R$7="KOPRA",IF(KPR[TANGGAL]=B27,KPR[[RELASI]:[TANGGAL]],""),IF($R$7="ARANG",IF(ARG[TANGGAL]=B27,ARG[[RELASI]:[TANGGAL]],""))))),4,0),"000"),"")</f>
        <v/>
      </c>
      <c r="X27" s="213"/>
      <c r="Y27" s="213"/>
      <c r="Z27" s="213"/>
      <c r="AA27" s="214">
        <f>SUMIFS(KPR[NETTO],KPR[RELASI],'rek-bulanan'!$E$5,KPR[TANGGAL],'rek-bulanan'!B27)</f>
        <v>0</v>
      </c>
      <c r="AB27" s="214">
        <f>SUMIFS(KPR[NETTOB],KPR[RELASI],'rek-bulanan'!$E$5,KPR[TANGGAL],'rek-bulanan'!B27)</f>
        <v>0</v>
      </c>
      <c r="AC27" s="214" t="str">
        <f t="shared" si="3"/>
        <v/>
      </c>
      <c r="AD27" s="217">
        <f>SUMIFS(KPR[TPEMBAYARAN],KPR[RELASI],'rek-bulanan'!$E$5,KPR[TANGGAL],'rek-bulanan'!B27)</f>
        <v>0</v>
      </c>
      <c r="AF27" s="218" t="str">
        <f t="array" ref="AF27">IFERROR(TEXT(VLOOKUP($E$5,IF($AB$7="KELAPA BULAT",IF(KB[TANGGAL]=B27,KB[[RELASI]:[TANGGAL]],""),IF($AB$7="KELAPA BERSABUT",IF(KBS[TANGGAL]=B27,KBS[[RELASI]:[TANGGAL]],""),IF($AB$7="KOPRA",IF(KPR[TANGGAL]=B27,KPR[[RELASI]:[TANGGAL]],""),IF($AB$7="ARANG",IF(ARG[TANGGAL]=B27,ARG[[RELASI]:[TANGGAL]],""))))),2,0),"0000"),"")</f>
        <v/>
      </c>
      <c r="AG27" s="213" t="str">
        <f t="array" ref="AG27">IFERROR(TEXT(VLOOKUP($E$5,IF($AB$7="KELAPA BULAT",IF(KB[TANGGAL]=B27,KB[[RELASI]:[TANGGAL]],""),IF($AB$7="KELAPA BERSABUT",IF(KBS[TANGGAL]=B27,KBS[[RELASI]:[TANGGAL]],""),IF($AB$7="KOPRA",IF(KPR[TANGGAL]=B27,KPR[[RELASI]:[TANGGAL]],""),IF($AB$7="ARANG",IF(ARG[TANGGAL]=B27,ARG[[RELASI]:[TANGGAL]],""))))),4,0),"000"),"")</f>
        <v/>
      </c>
      <c r="AH27" s="214">
        <f>SUMIFS(KBS[NETTO2],KBS[RELASI],'rek-bulanan'!$E$5,KBS[TANGGAL],'rek-bulanan'!B27)</f>
        <v>0</v>
      </c>
      <c r="AI27" s="214">
        <f>SUMIFS(KBS[NETTO2],KBS[RELASI],'rek-bulanan'!$E$5,KBS[TANGGAL],'rek-bulanan'!B27)</f>
        <v>0</v>
      </c>
      <c r="AJ27" s="214" t="str">
        <f t="shared" si="4"/>
        <v/>
      </c>
      <c r="AK27" s="217">
        <f>SUMIFS(KBS[TPEMBAYARAN],KBS[RELASI],'rek-bulanan'!$E$5,KBS[TANGGAL],'rek-bulanan'!B27)</f>
        <v>0</v>
      </c>
      <c r="AM27" s="218" t="str">
        <f t="array" ref="AM27">IFERROR(TEXT(VLOOKUP($E$5,IF($B$7="KELAPA BULAT",IF(KB[TANGGAL]=AL27,KB[[RELASI]:[TANGGAL]],""),IF($B$7="KELAPA BERSABUT",IF(KBS[TANGGAL]=AL27,KBS[[RELASI]:[TANGGAL]],""),IF($B$7="KOPRA",IF(KPR[TANGGAL]=AL27,KPR[[RELASI]:[TANGGAL]],""),IF($B$7="ARANG",IF(ARG[TANGGAL]=AL27,ARG[[RELASI]:[TANGGAL]],""))))),2,0),"0000"),"")</f>
        <v/>
      </c>
      <c r="AN27" s="213" t="str">
        <f t="array" ref="AN27">IFERROR(IF($B$7&lt;&gt;"KELAPA BULAT","",TEXT(VLOOKUP($E$5,IF(KB[NK]=VLOOKUP($E$5,IF(KB[TANGGAL]=AE27,KB[[RELASI]:[TANGGAL]],""),2,0),IF(KB[TYPE]="B",KB[[RELASI]:[TYPE]],""),""),4,0),"000")),"")</f>
        <v/>
      </c>
      <c r="AO27" s="214">
        <f>SUMIFS(ARG[NETTO1],ARG[RELASI],'rek-bulanan'!$E$5,ARG[TANGGAL],'rek-bulanan'!B27)</f>
        <v>0</v>
      </c>
      <c r="AP27" s="214">
        <f>SUMIFS(ARG[NETTO3],ARG[RELASI],'rek-bulanan'!$E$5,ARG[TANGGAL],'rek-bulanan'!B27)</f>
        <v>0</v>
      </c>
      <c r="AQ27" s="214" t="str">
        <f t="shared" si="5"/>
        <v/>
      </c>
      <c r="AR27" s="217">
        <f>SUMIFS(ARG[TPEMBAYARAN],ARG[RELASI],'rek-bulanan'!$E$5,ARG[TANGGAL],'rek-bulanan'!B27)</f>
        <v>0</v>
      </c>
      <c r="AT27" s="217">
        <f t="shared" si="6"/>
        <v>7472696</v>
      </c>
    </row>
    <row r="28" spans="2:46">
      <c r="B28" s="211">
        <f t="shared" si="0"/>
        <v>43880</v>
      </c>
      <c r="C28" s="212" t="str">
        <f t="array" ref="C28">IFERROR(TEXT(VLOOKUP($E$5,IF($B$7="KELAPA BULAT",IF(KB[TANGGAL]=B28,KB[[RELASI]:[TANGGAL]],""),IF($B$7="KELAPA BERSABUT",IF(KBS[TANGGAL]=B28,KBS[[RELASI]:[TANGGAL]],""),IF($B$7="KOPRA",IF(KPR[TANGGAL]=B28,KPR[[RELASI]:[TANGGAL]],""),IF($B$7="ARANG",IF(ARG[TANGGAL]=B28,ARG[[RELASI]:[TANGGAL]],""))))),2,0),"0000"),"")</f>
        <v/>
      </c>
      <c r="D28" s="213" t="str">
        <f t="array" ref="D28">IFERROR(TEXT(VLOOKUP($E$5,IF($B$7="KELAPA BULAT",IF(KB[TANGGAL]=B28,KB[[RELASI]:[TANGGAL]],""),IF($B$7="KELAPA BERSABUT",IF(KBS[TANGGAL]=B28,KBS[[RELASI]:[TANGGAL]],""),IF($B$7="KOPRA",IF(KPR[TANGGAL]=B28,KPR[[RELASI]:[TANGGAL]],""),IF($B$7="ARANG",IF(ARG[TANGGAL]=B28,ARG[[RELASI]:[TANGGAL]],""))))),4,0),"000"),"")</f>
        <v/>
      </c>
      <c r="E28" s="1041">
        <f>SUMIFS(KB[TN],KB[RELASI],'rek-bulanan'!$E$5,KB[TANGGAL],'rek-bulanan'!B28,KB[TYPE],"A")</f>
        <v>0</v>
      </c>
      <c r="F28" s="214">
        <f>SUMIFS(KB[BRUTO],KB[RELASI],'rek-bulanan'!$E$5,KB[TANGGAL],'rek-bulanan'!B28,KB[TYPE],"A")</f>
        <v>0</v>
      </c>
      <c r="G28" s="214">
        <f>SUMIFS(KB[TARRA],KB[RELASI],'rek-bulanan'!$E$5,KB[TANGGAL],'rek-bulanan'!B28,KB[TYPE],"A")</f>
        <v>0</v>
      </c>
      <c r="H28" s="214">
        <f>SUMIFS(KB[NETTO],KB[RELASI],'rek-bulanan'!$E$5,KB[TANGGAL],'rek-bulanan'!B28,KB[TYPE],"A")</f>
        <v>0</v>
      </c>
      <c r="I28" s="214">
        <f>SUMIFS(KB[NETTO2],KB[RELASI],'rek-bulanan'!$E$5,KB[TANGGAL],'rek-bulanan'!B28,KB[TYPE],"A")</f>
        <v>0</v>
      </c>
      <c r="J28" s="214" t="str">
        <f t="shared" si="2"/>
        <v/>
      </c>
      <c r="K28" s="215">
        <f>SUMIFS(KB[TPEMBAYARAN],KB[RELASI],'rek-bulanan'!$E$5,KB[TANGGAL],'rek-bulanan'!B28,KB[TYPE],"A")</f>
        <v>0</v>
      </c>
      <c r="L28" s="206"/>
      <c r="M28" s="213" t="str">
        <f t="array" ref="M28">IFERROR(IF($B$7&lt;&gt;"KELAPA BULAT","",TEXT(VLOOKUP($E$5,IF(KB[NK]=VLOOKUP($E$5,IF(KB[TANGGAL]=B28,KB[[RELASI]:[TANGGAL]],""),2,0),IF(KB[TYPE]="B",KB[[RELASI]:[TYPE]],""),""),4,0),"000")),"")</f>
        <v/>
      </c>
      <c r="N28" s="213"/>
      <c r="O28" s="213"/>
      <c r="P28" s="213"/>
      <c r="Q28" s="214">
        <f>SUMIFS(KB[NETTO],KB[RELASI],'rek-bulanan'!$E$5,KB[TANGGAL],'rek-bulanan'!B28,KB[TYPE],"B")</f>
        <v>0</v>
      </c>
      <c r="R28" s="214">
        <f>SUMIFS(KB[NETTO2],KB[RELASI],'rek-bulanan'!$E$5,KB[TANGGAL],'rek-bulanan'!B28,KB[TYPE],"B")</f>
        <v>0</v>
      </c>
      <c r="S28" s="214" t="str">
        <f t="shared" si="7"/>
        <v/>
      </c>
      <c r="T28" s="214">
        <f>SUMIFS(KB[TPEMBAYARAN],KB[RELASI],'rek-bulanan'!$E$5,KB[TANGGAL],'rek-bulanan'!B28,KB[TYPE],"B")</f>
        <v>0</v>
      </c>
      <c r="V28" s="218" t="str">
        <f t="array" ref="V28">IFERROR(TEXT(VLOOKUP($E$5,IF($R$7="KELAPA BULAT",IF(KB[TANGGAL]=B28,KB[[RELASI]:[TANGGAL]],""),IF($R$7="KELAPA BERSABUT",IF(KBS[TANGGAL]=B28,KBS[[RELASI]:[TANGGAL]],""),IF($R$7="KOPRA",IF(KPR[TANGGAL]=B28,KPR[[RELASI]:[TANGGAL]],""),IF($R$7="ARANG",IF(ARG[TANGGAL]=B28,ARG[[RELASI]:[TANGGAL]],""))))),2,0),"0000"),"")</f>
        <v/>
      </c>
      <c r="W28" s="213" t="str">
        <f t="array" ref="W28">IFERROR(TEXT(VLOOKUP($E$5,IF($R$7="KELAPA BULAT",IF(KB[TANGGAL]=B28,KB[[RELASI]:[TANGGAL]],""),IF($R$7="KELAPA BERSABUT",IF(KBS[TANGGAL]=B28,KBS[[RELASI]:[TANGGAL]],""),IF($R$7="KOPRA",IF(KPR[TANGGAL]=B28,KPR[[RELASI]:[TANGGAL]],""),IF($R$7="ARANG",IF(ARG[TANGGAL]=B28,ARG[[RELASI]:[TANGGAL]],""))))),4,0),"000"),"")</f>
        <v/>
      </c>
      <c r="X28" s="213"/>
      <c r="Y28" s="213"/>
      <c r="Z28" s="213"/>
      <c r="AA28" s="214">
        <f>SUMIFS(KPR[NETTO],KPR[RELASI],'rek-bulanan'!$E$5,KPR[TANGGAL],'rek-bulanan'!B28)</f>
        <v>0</v>
      </c>
      <c r="AB28" s="214">
        <f>SUMIFS(KPR[NETTOB],KPR[RELASI],'rek-bulanan'!$E$5,KPR[TANGGAL],'rek-bulanan'!B28)</f>
        <v>0</v>
      </c>
      <c r="AC28" s="214" t="str">
        <f t="shared" si="3"/>
        <v/>
      </c>
      <c r="AD28" s="217">
        <f>SUMIFS(KPR[TPEMBAYARAN],KPR[RELASI],'rek-bulanan'!$E$5,KPR[TANGGAL],'rek-bulanan'!B28)</f>
        <v>0</v>
      </c>
      <c r="AF28" s="218" t="str">
        <f t="array" ref="AF28">IFERROR(TEXT(VLOOKUP($E$5,IF($AB$7="KELAPA BULAT",IF(KB[TANGGAL]=B28,KB[[RELASI]:[TANGGAL]],""),IF($AB$7="KELAPA BERSABUT",IF(KBS[TANGGAL]=B28,KBS[[RELASI]:[TANGGAL]],""),IF($AB$7="KOPRA",IF(KPR[TANGGAL]=B28,KPR[[RELASI]:[TANGGAL]],""),IF($AB$7="ARANG",IF(ARG[TANGGAL]=B28,ARG[[RELASI]:[TANGGAL]],""))))),2,0),"0000"),"")</f>
        <v/>
      </c>
      <c r="AG28" s="213" t="str">
        <f t="array" ref="AG28">IFERROR(TEXT(VLOOKUP($E$5,IF($AB$7="KELAPA BULAT",IF(KB[TANGGAL]=B28,KB[[RELASI]:[TANGGAL]],""),IF($AB$7="KELAPA BERSABUT",IF(KBS[TANGGAL]=B28,KBS[[RELASI]:[TANGGAL]],""),IF($AB$7="KOPRA",IF(KPR[TANGGAL]=B28,KPR[[RELASI]:[TANGGAL]],""),IF($AB$7="ARANG",IF(ARG[TANGGAL]=B28,ARG[[RELASI]:[TANGGAL]],""))))),4,0),"000"),"")</f>
        <v/>
      </c>
      <c r="AH28" s="214">
        <f>SUMIFS(KBS[NETTO2],KBS[RELASI],'rek-bulanan'!$E$5,KBS[TANGGAL],'rek-bulanan'!B28)</f>
        <v>0</v>
      </c>
      <c r="AI28" s="214">
        <f>SUMIFS(KBS[NETTO2],KBS[RELASI],'rek-bulanan'!$E$5,KBS[TANGGAL],'rek-bulanan'!B28)</f>
        <v>0</v>
      </c>
      <c r="AJ28" s="214" t="str">
        <f t="shared" si="4"/>
        <v/>
      </c>
      <c r="AK28" s="217">
        <f>SUMIFS(KBS[TPEMBAYARAN],KBS[RELASI],'rek-bulanan'!$E$5,KBS[TANGGAL],'rek-bulanan'!B28)</f>
        <v>0</v>
      </c>
      <c r="AM28" s="218" t="str">
        <f t="array" ref="AM28">IFERROR(TEXT(VLOOKUP($E$5,IF($B$7="KELAPA BULAT",IF(KB[TANGGAL]=AL28,KB[[RELASI]:[TANGGAL]],""),IF($B$7="KELAPA BERSABUT",IF(KBS[TANGGAL]=AL28,KBS[[RELASI]:[TANGGAL]],""),IF($B$7="KOPRA",IF(KPR[TANGGAL]=AL28,KPR[[RELASI]:[TANGGAL]],""),IF($B$7="ARANG",IF(ARG[TANGGAL]=AL28,ARG[[RELASI]:[TANGGAL]],""))))),2,0),"0000"),"")</f>
        <v/>
      </c>
      <c r="AN28" s="213" t="str">
        <f t="array" ref="AN28">IFERROR(IF($B$7&lt;&gt;"KELAPA BULAT","",TEXT(VLOOKUP($E$5,IF(KB[NK]=VLOOKUP($E$5,IF(KB[TANGGAL]=AE28,KB[[RELASI]:[TANGGAL]],""),2,0),IF(KB[TYPE]="B",KB[[RELASI]:[TYPE]],""),""),4,0),"000")),"")</f>
        <v/>
      </c>
      <c r="AO28" s="214">
        <f>SUMIFS(ARG[NETTO1],ARG[RELASI],'rek-bulanan'!$E$5,ARG[TANGGAL],'rek-bulanan'!B28)</f>
        <v>0</v>
      </c>
      <c r="AP28" s="214">
        <f>SUMIFS(ARG[NETTO3],ARG[RELASI],'rek-bulanan'!$E$5,ARG[TANGGAL],'rek-bulanan'!B28)</f>
        <v>0</v>
      </c>
      <c r="AQ28" s="214" t="str">
        <f t="shared" si="5"/>
        <v/>
      </c>
      <c r="AR28" s="217">
        <f>SUMIFS(ARG[TPEMBAYARAN],ARG[RELASI],'rek-bulanan'!$E$5,ARG[TANGGAL],'rek-bulanan'!B28)</f>
        <v>0</v>
      </c>
      <c r="AT28" s="217">
        <f t="shared" si="6"/>
        <v>0</v>
      </c>
    </row>
    <row r="29" spans="2:46">
      <c r="B29" s="211">
        <f t="shared" si="0"/>
        <v>43881</v>
      </c>
      <c r="C29" s="212" t="str">
        <f t="array" ref="C29">IFERROR(TEXT(VLOOKUP($E$5,IF($B$7="KELAPA BULAT",IF(KB[TANGGAL]=B29,KB[[RELASI]:[TANGGAL]],""),IF($B$7="KELAPA BERSABUT",IF(KBS[TANGGAL]=B29,KBS[[RELASI]:[TANGGAL]],""),IF($B$7="KOPRA",IF(KPR[TANGGAL]=B29,KPR[[RELASI]:[TANGGAL]],""),IF($B$7="ARANG",IF(ARG[TANGGAL]=B29,ARG[[RELASI]:[TANGGAL]],""))))),2,0),"0000"),"")</f>
        <v>0025</v>
      </c>
      <c r="D29" s="213" t="str">
        <f t="array" ref="D29">IFERROR(TEXT(VLOOKUP($E$5,IF($B$7="KELAPA BULAT",IF(KB[TANGGAL]=B29,KB[[RELASI]:[TANGGAL]],""),IF($B$7="KELAPA BERSABUT",IF(KBS[TANGGAL]=B29,KBS[[RELASI]:[TANGGAL]],""),IF($B$7="KOPRA",IF(KPR[TANGGAL]=B29,KPR[[RELASI]:[TANGGAL]],""),IF($B$7="ARANG",IF(ARG[TANGGAL]=B29,ARG[[RELASI]:[TANGGAL]],""))))),4,0),"000"),"")</f>
        <v>025</v>
      </c>
      <c r="E29" s="1041">
        <f>SUMIFS(KB[TN],KB[RELASI],'rek-bulanan'!$E$5,KB[TANGGAL],'rek-bulanan'!B29,KB[TYPE],"A")</f>
        <v>2</v>
      </c>
      <c r="F29" s="214">
        <f>SUMIFS(KB[BRUTO],KB[RELASI],'rek-bulanan'!$E$5,KB[TANGGAL],'rek-bulanan'!B29,KB[TYPE],"A")</f>
        <v>25220</v>
      </c>
      <c r="G29" s="214">
        <f>SUMIFS(KB[TARRA],KB[RELASI],'rek-bulanan'!$E$5,KB[TANGGAL],'rek-bulanan'!B29,KB[TYPE],"A")</f>
        <v>8740</v>
      </c>
      <c r="H29" s="214">
        <f>SUMIFS(KB[NETTO],KB[RELASI],'rek-bulanan'!$E$5,KB[TANGGAL],'rek-bulanan'!B29,KB[TYPE],"A")</f>
        <v>16480</v>
      </c>
      <c r="I29" s="214">
        <f>SUMIFS(KB[NETTO2],KB[RELASI],'rek-bulanan'!$E$5,KB[TANGGAL],'rek-bulanan'!B29,KB[TYPE],"A")</f>
        <v>15656</v>
      </c>
      <c r="J29" s="214">
        <f t="shared" si="2"/>
        <v>2949.995912110373</v>
      </c>
      <c r="K29" s="215">
        <f>SUMIFS(KB[TPEMBAYARAN],KB[RELASI],'rek-bulanan'!$E$5,KB[TANGGAL],'rek-bulanan'!B29,KB[TYPE],"A")</f>
        <v>46185136</v>
      </c>
      <c r="L29" s="206"/>
      <c r="M29" s="213" t="str">
        <f t="array" ref="M29">IFERROR(IF($B$7&lt;&gt;"KELAPA BULAT","",TEXT(VLOOKUP($E$5,IF(KB[NK]=VLOOKUP($E$5,IF(KB[TANGGAL]=B29,KB[[RELASI]:[TANGGAL]],""),2,0),IF(KB[TYPE]="B",KB[[RELASI]:[TYPE]],""),""),4,0),"000")),"")</f>
        <v/>
      </c>
      <c r="N29" s="213"/>
      <c r="O29" s="213"/>
      <c r="P29" s="213"/>
      <c r="Q29" s="214">
        <f>SUMIFS(KB[NETTO],KB[RELASI],'rek-bulanan'!$E$5,KB[TANGGAL],'rek-bulanan'!B29,KB[TYPE],"B")</f>
        <v>0</v>
      </c>
      <c r="R29" s="214">
        <f>SUMIFS(KB[NETTO2],KB[RELASI],'rek-bulanan'!$E$5,KB[TANGGAL],'rek-bulanan'!B29,KB[TYPE],"B")</f>
        <v>0</v>
      </c>
      <c r="S29" s="214" t="str">
        <f t="shared" si="7"/>
        <v/>
      </c>
      <c r="T29" s="214">
        <f>SUMIFS(KB[TPEMBAYARAN],KB[RELASI],'rek-bulanan'!$E$5,KB[TANGGAL],'rek-bulanan'!B29,KB[TYPE],"B")</f>
        <v>0</v>
      </c>
      <c r="V29" s="218" t="str">
        <f t="array" ref="V29">IFERROR(TEXT(VLOOKUP($E$5,IF($R$7="KELAPA BULAT",IF(KB[TANGGAL]=B29,KB[[RELASI]:[TANGGAL]],""),IF($R$7="KELAPA BERSABUT",IF(KBS[TANGGAL]=B29,KBS[[RELASI]:[TANGGAL]],""),IF($R$7="KOPRA",IF(KPR[TANGGAL]=B29,KPR[[RELASI]:[TANGGAL]],""),IF($R$7="ARANG",IF(ARG[TANGGAL]=B29,ARG[[RELASI]:[TANGGAL]],""))))),2,0),"0000"),"")</f>
        <v/>
      </c>
      <c r="W29" s="213" t="str">
        <f t="array" ref="W29">IFERROR(TEXT(VLOOKUP($E$5,IF($R$7="KELAPA BULAT",IF(KB[TANGGAL]=B29,KB[[RELASI]:[TANGGAL]],""),IF($R$7="KELAPA BERSABUT",IF(KBS[TANGGAL]=B29,KBS[[RELASI]:[TANGGAL]],""),IF($R$7="KOPRA",IF(KPR[TANGGAL]=B29,KPR[[RELASI]:[TANGGAL]],""),IF($R$7="ARANG",IF(ARG[TANGGAL]=B29,ARG[[RELASI]:[TANGGAL]],""))))),4,0),"000"),"")</f>
        <v/>
      </c>
      <c r="X29" s="213"/>
      <c r="Y29" s="213"/>
      <c r="Z29" s="213"/>
      <c r="AA29" s="214">
        <f>SUMIFS(KPR[NETTO],KPR[RELASI],'rek-bulanan'!$E$5,KPR[TANGGAL],'rek-bulanan'!B29)</f>
        <v>0</v>
      </c>
      <c r="AB29" s="214">
        <f>SUMIFS(KPR[NETTOB],KPR[RELASI],'rek-bulanan'!$E$5,KPR[TANGGAL],'rek-bulanan'!B29)</f>
        <v>0</v>
      </c>
      <c r="AC29" s="214" t="str">
        <f t="shared" si="3"/>
        <v/>
      </c>
      <c r="AD29" s="217">
        <f>SUMIFS(KPR[TPEMBAYARAN],KPR[RELASI],'rek-bulanan'!$E$5,KPR[TANGGAL],'rek-bulanan'!B29)</f>
        <v>0</v>
      </c>
      <c r="AF29" s="218" t="str">
        <f t="array" ref="AF29">IFERROR(TEXT(VLOOKUP($E$5,IF($AB$7="KELAPA BULAT",IF(KB[TANGGAL]=B29,KB[[RELASI]:[TANGGAL]],""),IF($AB$7="KELAPA BERSABUT",IF(KBS[TANGGAL]=B29,KBS[[RELASI]:[TANGGAL]],""),IF($AB$7="KOPRA",IF(KPR[TANGGAL]=B29,KPR[[RELASI]:[TANGGAL]],""),IF($AB$7="ARANG",IF(ARG[TANGGAL]=B29,ARG[[RELASI]:[TANGGAL]],""))))),2,0),"0000"),"")</f>
        <v/>
      </c>
      <c r="AG29" s="213" t="str">
        <f t="array" ref="AG29">IFERROR(TEXT(VLOOKUP($E$5,IF($AB$7="KELAPA BULAT",IF(KB[TANGGAL]=B29,KB[[RELASI]:[TANGGAL]],""),IF($AB$7="KELAPA BERSABUT",IF(KBS[TANGGAL]=B29,KBS[[RELASI]:[TANGGAL]],""),IF($AB$7="KOPRA",IF(KPR[TANGGAL]=B29,KPR[[RELASI]:[TANGGAL]],""),IF($AB$7="ARANG",IF(ARG[TANGGAL]=B29,ARG[[RELASI]:[TANGGAL]],""))))),4,0),"000"),"")</f>
        <v/>
      </c>
      <c r="AH29" s="214">
        <f>SUMIFS(KBS[NETTO2],KBS[RELASI],'rek-bulanan'!$E$5,KBS[TANGGAL],'rek-bulanan'!B29)</f>
        <v>0</v>
      </c>
      <c r="AI29" s="214">
        <f>SUMIFS(KBS[NETTO2],KBS[RELASI],'rek-bulanan'!$E$5,KBS[TANGGAL],'rek-bulanan'!B29)</f>
        <v>0</v>
      </c>
      <c r="AJ29" s="214" t="str">
        <f t="shared" si="4"/>
        <v/>
      </c>
      <c r="AK29" s="217">
        <f>SUMIFS(KBS[TPEMBAYARAN],KBS[RELASI],'rek-bulanan'!$E$5,KBS[TANGGAL],'rek-bulanan'!B29)</f>
        <v>0</v>
      </c>
      <c r="AM29" s="218" t="str">
        <f t="array" ref="AM29">IFERROR(TEXT(VLOOKUP($E$5,IF($B$7="KELAPA BULAT",IF(KB[TANGGAL]=AL29,KB[[RELASI]:[TANGGAL]],""),IF($B$7="KELAPA BERSABUT",IF(KBS[TANGGAL]=AL29,KBS[[RELASI]:[TANGGAL]],""),IF($B$7="KOPRA",IF(KPR[TANGGAL]=AL29,KPR[[RELASI]:[TANGGAL]],""),IF($B$7="ARANG",IF(ARG[TANGGAL]=AL29,ARG[[RELASI]:[TANGGAL]],""))))),2,0),"0000"),"")</f>
        <v/>
      </c>
      <c r="AN29" s="213" t="str">
        <f t="array" ref="AN29">IFERROR(IF($B$7&lt;&gt;"KELAPA BULAT","",TEXT(VLOOKUP($E$5,IF(KB[NK]=VLOOKUP($E$5,IF(KB[TANGGAL]=AE29,KB[[RELASI]:[TANGGAL]],""),2,0),IF(KB[TYPE]="B",KB[[RELASI]:[TYPE]],""),""),4,0),"000")),"")</f>
        <v/>
      </c>
      <c r="AO29" s="214">
        <f>SUMIFS(ARG[NETTO1],ARG[RELASI],'rek-bulanan'!$E$5,ARG[TANGGAL],'rek-bulanan'!B29)</f>
        <v>0</v>
      </c>
      <c r="AP29" s="214">
        <f>SUMIFS(ARG[NETTO3],ARG[RELASI],'rek-bulanan'!$E$5,ARG[TANGGAL],'rek-bulanan'!B29)</f>
        <v>0</v>
      </c>
      <c r="AQ29" s="214" t="str">
        <f t="shared" si="5"/>
        <v/>
      </c>
      <c r="AR29" s="217">
        <f>SUMIFS(ARG[TPEMBAYARAN],ARG[RELASI],'rek-bulanan'!$E$5,ARG[TANGGAL],'rek-bulanan'!B29)</f>
        <v>0</v>
      </c>
      <c r="AT29" s="217">
        <f t="shared" si="6"/>
        <v>46185136</v>
      </c>
    </row>
    <row r="30" spans="2:46">
      <c r="B30" s="211">
        <f t="shared" si="0"/>
        <v>43882</v>
      </c>
      <c r="C30" s="212" t="str">
        <f t="array" ref="C30">IFERROR(TEXT(VLOOKUP($E$5,IF($B$7="KELAPA BULAT",IF(KB[TANGGAL]=B30,KB[[RELASI]:[TANGGAL]],""),IF($B$7="KELAPA BERSABUT",IF(KBS[TANGGAL]=B30,KBS[[RELASI]:[TANGGAL]],""),IF($B$7="KOPRA",IF(KPR[TANGGAL]=B30,KPR[[RELASI]:[TANGGAL]],""),IF($B$7="ARANG",IF(ARG[TANGGAL]=B30,ARG[[RELASI]:[TANGGAL]],""))))),2,0),"0000"),"")</f>
        <v/>
      </c>
      <c r="D30" s="213" t="str">
        <f t="array" ref="D30">IFERROR(TEXT(VLOOKUP($E$5,IF($B$7="KELAPA BULAT",IF(KB[TANGGAL]=B30,KB[[RELASI]:[TANGGAL]],""),IF($B$7="KELAPA BERSABUT",IF(KBS[TANGGAL]=B30,KBS[[RELASI]:[TANGGAL]],""),IF($B$7="KOPRA",IF(KPR[TANGGAL]=B30,KPR[[RELASI]:[TANGGAL]],""),IF($B$7="ARANG",IF(ARG[TANGGAL]=B30,ARG[[RELASI]:[TANGGAL]],""))))),4,0),"000"),"")</f>
        <v/>
      </c>
      <c r="E30" s="1041">
        <f>SUMIFS(KB[TN],KB[RELASI],'rek-bulanan'!$E$5,KB[TANGGAL],'rek-bulanan'!B30,KB[TYPE],"A")</f>
        <v>0</v>
      </c>
      <c r="F30" s="214">
        <f>SUMIFS(KB[BRUTO],KB[RELASI],'rek-bulanan'!$E$5,KB[TANGGAL],'rek-bulanan'!B30,KB[TYPE],"A")</f>
        <v>0</v>
      </c>
      <c r="G30" s="214">
        <f>SUMIFS(KB[TARRA],KB[RELASI],'rek-bulanan'!$E$5,KB[TANGGAL],'rek-bulanan'!B30,KB[TYPE],"A")</f>
        <v>0</v>
      </c>
      <c r="H30" s="214">
        <f>SUMIFS(KB[NETTO],KB[RELASI],'rek-bulanan'!$E$5,KB[TANGGAL],'rek-bulanan'!B30,KB[TYPE],"A")</f>
        <v>0</v>
      </c>
      <c r="I30" s="214">
        <f>SUMIFS(KB[NETTO2],KB[RELASI],'rek-bulanan'!$E$5,KB[TANGGAL],'rek-bulanan'!B30,KB[TYPE],"A")</f>
        <v>0</v>
      </c>
      <c r="J30" s="214" t="str">
        <f t="shared" si="2"/>
        <v/>
      </c>
      <c r="K30" s="215">
        <f>SUMIFS(KB[TPEMBAYARAN],KB[RELASI],'rek-bulanan'!$E$5,KB[TANGGAL],'rek-bulanan'!B30,KB[TYPE],"A")</f>
        <v>0</v>
      </c>
      <c r="L30" s="206"/>
      <c r="M30" s="213" t="str">
        <f t="array" ref="M30">IFERROR(IF($B$7&lt;&gt;"KELAPA BULAT","",TEXT(VLOOKUP($E$5,IF(KB[NK]=VLOOKUP($E$5,IF(KB[TANGGAL]=B30,KB[[RELASI]:[TANGGAL]],""),2,0),IF(KB[TYPE]="B",KB[[RELASI]:[TYPE]],""),""),4,0),"000")),"")</f>
        <v/>
      </c>
      <c r="N30" s="213"/>
      <c r="O30" s="213"/>
      <c r="P30" s="213"/>
      <c r="Q30" s="214">
        <f>SUMIFS(KB[NETTO],KB[RELASI],'rek-bulanan'!$E$5,KB[TANGGAL],'rek-bulanan'!B30,KB[TYPE],"B")</f>
        <v>0</v>
      </c>
      <c r="R30" s="214">
        <f>SUMIFS(KB[NETTO2],KB[RELASI],'rek-bulanan'!$E$5,KB[TANGGAL],'rek-bulanan'!B30,KB[TYPE],"B")</f>
        <v>0</v>
      </c>
      <c r="S30" s="214" t="str">
        <f t="shared" si="7"/>
        <v/>
      </c>
      <c r="T30" s="214">
        <f>SUMIFS(KB[TPEMBAYARAN],KB[RELASI],'rek-bulanan'!$E$5,KB[TANGGAL],'rek-bulanan'!B30,KB[TYPE],"B")</f>
        <v>0</v>
      </c>
      <c r="V30" s="218" t="str">
        <f t="array" ref="V30">IFERROR(TEXT(VLOOKUP($E$5,IF($R$7="KELAPA BULAT",IF(KB[TANGGAL]=B30,KB[[RELASI]:[TANGGAL]],""),IF($R$7="KELAPA BERSABUT",IF(KBS[TANGGAL]=B30,KBS[[RELASI]:[TANGGAL]],""),IF($R$7="KOPRA",IF(KPR[TANGGAL]=B30,KPR[[RELASI]:[TANGGAL]],""),IF($R$7="ARANG",IF(ARG[TANGGAL]=B30,ARG[[RELASI]:[TANGGAL]],""))))),2,0),"0000"),"")</f>
        <v/>
      </c>
      <c r="W30" s="213" t="str">
        <f t="array" ref="W30">IFERROR(TEXT(VLOOKUP($E$5,IF($R$7="KELAPA BULAT",IF(KB[TANGGAL]=B30,KB[[RELASI]:[TANGGAL]],""),IF($R$7="KELAPA BERSABUT",IF(KBS[TANGGAL]=B30,KBS[[RELASI]:[TANGGAL]],""),IF($R$7="KOPRA",IF(KPR[TANGGAL]=B30,KPR[[RELASI]:[TANGGAL]],""),IF($R$7="ARANG",IF(ARG[TANGGAL]=B30,ARG[[RELASI]:[TANGGAL]],""))))),4,0),"000"),"")</f>
        <v/>
      </c>
      <c r="X30" s="213"/>
      <c r="Y30" s="213"/>
      <c r="Z30" s="213"/>
      <c r="AA30" s="214">
        <f>SUMIFS(KPR[NETTO],KPR[RELASI],'rek-bulanan'!$E$5,KPR[TANGGAL],'rek-bulanan'!B30)</f>
        <v>0</v>
      </c>
      <c r="AB30" s="214">
        <f>SUMIFS(KPR[NETTOB],KPR[RELASI],'rek-bulanan'!$E$5,KPR[TANGGAL],'rek-bulanan'!B30)</f>
        <v>0</v>
      </c>
      <c r="AC30" s="214" t="str">
        <f t="shared" si="3"/>
        <v/>
      </c>
      <c r="AD30" s="217">
        <f>SUMIFS(KPR[TPEMBAYARAN],KPR[RELASI],'rek-bulanan'!$E$5,KPR[TANGGAL],'rek-bulanan'!B30)</f>
        <v>0</v>
      </c>
      <c r="AF30" s="218" t="str">
        <f t="array" ref="AF30">IFERROR(TEXT(VLOOKUP($E$5,IF($AB$7="KELAPA BULAT",IF(KB[TANGGAL]=B30,KB[[RELASI]:[TANGGAL]],""),IF($AB$7="KELAPA BERSABUT",IF(KBS[TANGGAL]=B30,KBS[[RELASI]:[TANGGAL]],""),IF($AB$7="KOPRA",IF(KPR[TANGGAL]=B30,KPR[[RELASI]:[TANGGAL]],""),IF($AB$7="ARANG",IF(ARG[TANGGAL]=B30,ARG[[RELASI]:[TANGGAL]],""))))),2,0),"0000"),"")</f>
        <v/>
      </c>
      <c r="AG30" s="213" t="str">
        <f t="array" ref="AG30">IFERROR(TEXT(VLOOKUP($E$5,IF($AB$7="KELAPA BULAT",IF(KB[TANGGAL]=B30,KB[[RELASI]:[TANGGAL]],""),IF($AB$7="KELAPA BERSABUT",IF(KBS[TANGGAL]=B30,KBS[[RELASI]:[TANGGAL]],""),IF($AB$7="KOPRA",IF(KPR[TANGGAL]=B30,KPR[[RELASI]:[TANGGAL]],""),IF($AB$7="ARANG",IF(ARG[TANGGAL]=B30,ARG[[RELASI]:[TANGGAL]],""))))),4,0),"000"),"")</f>
        <v/>
      </c>
      <c r="AH30" s="214">
        <f>SUMIFS(KBS[NETTO2],KBS[RELASI],'rek-bulanan'!$E$5,KBS[TANGGAL],'rek-bulanan'!B30)</f>
        <v>0</v>
      </c>
      <c r="AI30" s="214">
        <f>SUMIFS(KBS[NETTO2],KBS[RELASI],'rek-bulanan'!$E$5,KBS[TANGGAL],'rek-bulanan'!B30)</f>
        <v>0</v>
      </c>
      <c r="AJ30" s="214" t="str">
        <f t="shared" si="4"/>
        <v/>
      </c>
      <c r="AK30" s="217">
        <f>SUMIFS(KBS[TPEMBAYARAN],KBS[RELASI],'rek-bulanan'!$E$5,KBS[TANGGAL],'rek-bulanan'!B30)</f>
        <v>0</v>
      </c>
      <c r="AM30" s="218" t="str">
        <f t="array" ref="AM30">IFERROR(TEXT(VLOOKUP($E$5,IF($B$7="KELAPA BULAT",IF(KB[TANGGAL]=AL30,KB[[RELASI]:[TANGGAL]],""),IF($B$7="KELAPA BERSABUT",IF(KBS[TANGGAL]=AL30,KBS[[RELASI]:[TANGGAL]],""),IF($B$7="KOPRA",IF(KPR[TANGGAL]=AL30,KPR[[RELASI]:[TANGGAL]],""),IF($B$7="ARANG",IF(ARG[TANGGAL]=AL30,ARG[[RELASI]:[TANGGAL]],""))))),2,0),"0000"),"")</f>
        <v/>
      </c>
      <c r="AN30" s="213" t="str">
        <f t="array" ref="AN30">IFERROR(IF($B$7&lt;&gt;"KELAPA BULAT","",TEXT(VLOOKUP($E$5,IF(KB[NK]=VLOOKUP($E$5,IF(KB[TANGGAL]=AE30,KB[[RELASI]:[TANGGAL]],""),2,0),IF(KB[TYPE]="B",KB[[RELASI]:[TYPE]],""),""),4,0),"000")),"")</f>
        <v/>
      </c>
      <c r="AO30" s="214">
        <f>SUMIFS(ARG[NETTO1],ARG[RELASI],'rek-bulanan'!$E$5,ARG[TANGGAL],'rek-bulanan'!B30)</f>
        <v>0</v>
      </c>
      <c r="AP30" s="214">
        <f>SUMIFS(ARG[NETTO3],ARG[RELASI],'rek-bulanan'!$E$5,ARG[TANGGAL],'rek-bulanan'!B30)</f>
        <v>0</v>
      </c>
      <c r="AQ30" s="214" t="str">
        <f t="shared" si="5"/>
        <v/>
      </c>
      <c r="AR30" s="217">
        <f>SUMIFS(ARG[TPEMBAYARAN],ARG[RELASI],'rek-bulanan'!$E$5,ARG[TANGGAL],'rek-bulanan'!B30)</f>
        <v>0</v>
      </c>
      <c r="AT30" s="217">
        <f t="shared" si="6"/>
        <v>0</v>
      </c>
    </row>
    <row r="31" spans="2:46">
      <c r="B31" s="211">
        <f t="shared" si="0"/>
        <v>43883</v>
      </c>
      <c r="C31" s="212" t="str">
        <f t="array" ref="C31">IFERROR(TEXT(VLOOKUP($E$5,IF($B$7="KELAPA BULAT",IF(KB[TANGGAL]=B31,KB[[RELASI]:[TANGGAL]],""),IF($B$7="KELAPA BERSABUT",IF(KBS[TANGGAL]=B31,KBS[[RELASI]:[TANGGAL]],""),IF($B$7="KOPRA",IF(KPR[TANGGAL]=B31,KPR[[RELASI]:[TANGGAL]],""),IF($B$7="ARANG",IF(ARG[TANGGAL]=B31,ARG[[RELASI]:[TANGGAL]],""))))),2,0),"0000"),"")</f>
        <v>0026</v>
      </c>
      <c r="D31" s="213" t="str">
        <f t="array" ref="D31">IFERROR(TEXT(VLOOKUP($E$5,IF($B$7="KELAPA BULAT",IF(KB[TANGGAL]=B31,KB[[RELASI]:[TANGGAL]],""),IF($B$7="KELAPA BERSABUT",IF(KBS[TANGGAL]=B31,KBS[[RELASI]:[TANGGAL]],""),IF($B$7="KOPRA",IF(KPR[TANGGAL]=B31,KPR[[RELASI]:[TANGGAL]],""),IF($B$7="ARANG",IF(ARG[TANGGAL]=B31,ARG[[RELASI]:[TANGGAL]],""))))),4,0),"000"),"")</f>
        <v>026</v>
      </c>
      <c r="E31" s="1041">
        <f>SUMIFS(KB[TN],KB[RELASI],'rek-bulanan'!$E$5,KB[TANGGAL],'rek-bulanan'!B31,KB[TYPE],"A")</f>
        <v>1</v>
      </c>
      <c r="F31" s="214">
        <f>SUMIFS(KB[BRUTO],KB[RELASI],'rek-bulanan'!$E$5,KB[TANGGAL],'rek-bulanan'!B31,KB[TYPE],"A")</f>
        <v>3910</v>
      </c>
      <c r="G31" s="214">
        <f>SUMIFS(KB[TARRA],KB[RELASI],'rek-bulanan'!$E$5,KB[TANGGAL],'rek-bulanan'!B31,KB[TYPE],"A")</f>
        <v>1570</v>
      </c>
      <c r="H31" s="214">
        <f>SUMIFS(KB[NETTO],KB[RELASI],'rek-bulanan'!$E$5,KB[TANGGAL],'rek-bulanan'!B31,KB[TYPE],"A")</f>
        <v>2340</v>
      </c>
      <c r="I31" s="214">
        <f>SUMIFS(KB[NETTO2],KB[RELASI],'rek-bulanan'!$E$5,KB[TANGGAL],'rek-bulanan'!B31,KB[TYPE],"A")</f>
        <v>2223</v>
      </c>
      <c r="J31" s="214">
        <f t="shared" si="2"/>
        <v>2949.9959514170041</v>
      </c>
      <c r="K31" s="215">
        <f>SUMIFS(KB[TPEMBAYARAN],KB[RELASI],'rek-bulanan'!$E$5,KB[TANGGAL],'rek-bulanan'!B31,KB[TYPE],"A")</f>
        <v>6557841</v>
      </c>
      <c r="L31" s="206"/>
      <c r="M31" s="213" t="str">
        <f t="array" ref="M31">IFERROR(IF($B$7&lt;&gt;"KELAPA BULAT","",TEXT(VLOOKUP($E$5,IF(KB[NK]=VLOOKUP($E$5,IF(KB[TANGGAL]=B31,KB[[RELASI]:[TANGGAL]],""),2,0),IF(KB[TYPE]="B",KB[[RELASI]:[TYPE]],""),""),4,0),"000")),"")</f>
        <v/>
      </c>
      <c r="N31" s="213"/>
      <c r="O31" s="213"/>
      <c r="P31" s="213"/>
      <c r="Q31" s="214">
        <f>SUMIFS(KB[NETTO],KB[RELASI],'rek-bulanan'!$E$5,KB[TANGGAL],'rek-bulanan'!B31,KB[TYPE],"B")</f>
        <v>0</v>
      </c>
      <c r="R31" s="214">
        <f>SUMIFS(KB[NETTO2],KB[RELASI],'rek-bulanan'!$E$5,KB[TANGGAL],'rek-bulanan'!B31,KB[TYPE],"B")</f>
        <v>0</v>
      </c>
      <c r="S31" s="214" t="str">
        <f t="shared" si="7"/>
        <v/>
      </c>
      <c r="T31" s="214">
        <f>SUMIFS(KB[TPEMBAYARAN],KB[RELASI],'rek-bulanan'!$E$5,KB[TANGGAL],'rek-bulanan'!B31,KB[TYPE],"B")</f>
        <v>0</v>
      </c>
      <c r="V31" s="218" t="str">
        <f t="array" ref="V31">IFERROR(TEXT(VLOOKUP($E$5,IF($R$7="KELAPA BULAT",IF(KB[TANGGAL]=B31,KB[[RELASI]:[TANGGAL]],""),IF($R$7="KELAPA BERSABUT",IF(KBS[TANGGAL]=B31,KBS[[RELASI]:[TANGGAL]],""),IF($R$7="KOPRA",IF(KPR[TANGGAL]=B31,KPR[[RELASI]:[TANGGAL]],""),IF($R$7="ARANG",IF(ARG[TANGGAL]=B31,ARG[[RELASI]:[TANGGAL]],""))))),2,0),"0000"),"")</f>
        <v/>
      </c>
      <c r="W31" s="213" t="str">
        <f t="array" ref="W31">IFERROR(TEXT(VLOOKUP($E$5,IF($R$7="KELAPA BULAT",IF(KB[TANGGAL]=B31,KB[[RELASI]:[TANGGAL]],""),IF($R$7="KELAPA BERSABUT",IF(KBS[TANGGAL]=B31,KBS[[RELASI]:[TANGGAL]],""),IF($R$7="KOPRA",IF(KPR[TANGGAL]=B31,KPR[[RELASI]:[TANGGAL]],""),IF($R$7="ARANG",IF(ARG[TANGGAL]=B31,ARG[[RELASI]:[TANGGAL]],""))))),4,0),"000"),"")</f>
        <v/>
      </c>
      <c r="X31" s="213"/>
      <c r="Y31" s="213"/>
      <c r="Z31" s="213"/>
      <c r="AA31" s="214">
        <f>SUMIFS(KPR[NETTO],KPR[RELASI],'rek-bulanan'!$E$5,KPR[TANGGAL],'rek-bulanan'!B31)</f>
        <v>0</v>
      </c>
      <c r="AB31" s="214">
        <f>SUMIFS(KPR[NETTOB],KPR[RELASI],'rek-bulanan'!$E$5,KPR[TANGGAL],'rek-bulanan'!B31)</f>
        <v>0</v>
      </c>
      <c r="AC31" s="214" t="str">
        <f t="shared" si="3"/>
        <v/>
      </c>
      <c r="AD31" s="217">
        <f>SUMIFS(KPR[TPEMBAYARAN],KPR[RELASI],'rek-bulanan'!$E$5,KPR[TANGGAL],'rek-bulanan'!B31)</f>
        <v>0</v>
      </c>
      <c r="AF31" s="218" t="str">
        <f t="array" ref="AF31">IFERROR(TEXT(VLOOKUP($E$5,IF($AB$7="KELAPA BULAT",IF(KB[TANGGAL]=B31,KB[[RELASI]:[TANGGAL]],""),IF($AB$7="KELAPA BERSABUT",IF(KBS[TANGGAL]=B31,KBS[[RELASI]:[TANGGAL]],""),IF($AB$7="KOPRA",IF(KPR[TANGGAL]=B31,KPR[[RELASI]:[TANGGAL]],""),IF($AB$7="ARANG",IF(ARG[TANGGAL]=B31,ARG[[RELASI]:[TANGGAL]],""))))),2,0),"0000"),"")</f>
        <v/>
      </c>
      <c r="AG31" s="213" t="str">
        <f t="array" ref="AG31">IFERROR(TEXT(VLOOKUP($E$5,IF($AB$7="KELAPA BULAT",IF(KB[TANGGAL]=B31,KB[[RELASI]:[TANGGAL]],""),IF($AB$7="KELAPA BERSABUT",IF(KBS[TANGGAL]=B31,KBS[[RELASI]:[TANGGAL]],""),IF($AB$7="KOPRA",IF(KPR[TANGGAL]=B31,KPR[[RELASI]:[TANGGAL]],""),IF($AB$7="ARANG",IF(ARG[TANGGAL]=B31,ARG[[RELASI]:[TANGGAL]],""))))),4,0),"000"),"")</f>
        <v/>
      </c>
      <c r="AH31" s="214">
        <f>SUMIFS(KBS[NETTO2],KBS[RELASI],'rek-bulanan'!$E$5,KBS[TANGGAL],'rek-bulanan'!B31)</f>
        <v>0</v>
      </c>
      <c r="AI31" s="214">
        <f>SUMIFS(KBS[NETTO2],KBS[RELASI],'rek-bulanan'!$E$5,KBS[TANGGAL],'rek-bulanan'!B31)</f>
        <v>0</v>
      </c>
      <c r="AJ31" s="214" t="str">
        <f t="shared" si="4"/>
        <v/>
      </c>
      <c r="AK31" s="217">
        <f>SUMIFS(KBS[TPEMBAYARAN],KBS[RELASI],'rek-bulanan'!$E$5,KBS[TANGGAL],'rek-bulanan'!B31)</f>
        <v>0</v>
      </c>
      <c r="AM31" s="218" t="str">
        <f t="array" ref="AM31">IFERROR(TEXT(VLOOKUP($E$5,IF($B$7="KELAPA BULAT",IF(KB[TANGGAL]=AL31,KB[[RELASI]:[TANGGAL]],""),IF($B$7="KELAPA BERSABUT",IF(KBS[TANGGAL]=AL31,KBS[[RELASI]:[TANGGAL]],""),IF($B$7="KOPRA",IF(KPR[TANGGAL]=AL31,KPR[[RELASI]:[TANGGAL]],""),IF($B$7="ARANG",IF(ARG[TANGGAL]=AL31,ARG[[RELASI]:[TANGGAL]],""))))),2,0),"0000"),"")</f>
        <v/>
      </c>
      <c r="AN31" s="213" t="str">
        <f t="array" ref="AN31">IFERROR(IF($B$7&lt;&gt;"KELAPA BULAT","",TEXT(VLOOKUP($E$5,IF(KB[NK]=VLOOKUP($E$5,IF(KB[TANGGAL]=AE31,KB[[RELASI]:[TANGGAL]],""),2,0),IF(KB[TYPE]="B",KB[[RELASI]:[TYPE]],""),""),4,0),"000")),"")</f>
        <v/>
      </c>
      <c r="AO31" s="214">
        <f>SUMIFS(ARG[NETTO1],ARG[RELASI],'rek-bulanan'!$E$5,ARG[TANGGAL],'rek-bulanan'!B31)</f>
        <v>0</v>
      </c>
      <c r="AP31" s="214">
        <f>SUMIFS(ARG[NETTO3],ARG[RELASI],'rek-bulanan'!$E$5,ARG[TANGGAL],'rek-bulanan'!B31)</f>
        <v>0</v>
      </c>
      <c r="AQ31" s="214" t="str">
        <f t="shared" si="5"/>
        <v/>
      </c>
      <c r="AR31" s="217">
        <f>SUMIFS(ARG[TPEMBAYARAN],ARG[RELASI],'rek-bulanan'!$E$5,ARG[TANGGAL],'rek-bulanan'!B31)</f>
        <v>0</v>
      </c>
      <c r="AT31" s="217">
        <f t="shared" si="6"/>
        <v>6557841</v>
      </c>
    </row>
    <row r="32" spans="2:46">
      <c r="B32" s="211">
        <f t="shared" si="0"/>
        <v>43884</v>
      </c>
      <c r="C32" s="212" t="str">
        <f t="array" ref="C32">IFERROR(TEXT(VLOOKUP($E$5,IF($B$7="KELAPA BULAT",IF(KB[TANGGAL]=B32,KB[[RELASI]:[TANGGAL]],""),IF($B$7="KELAPA BERSABUT",IF(KBS[TANGGAL]=B32,KBS[[RELASI]:[TANGGAL]],""),IF($B$7="KOPRA",IF(KPR[TANGGAL]=B32,KPR[[RELASI]:[TANGGAL]],""),IF($B$7="ARANG",IF(ARG[TANGGAL]=B32,ARG[[RELASI]:[TANGGAL]],""))))),2,0),"0000"),"")</f>
        <v/>
      </c>
      <c r="D32" s="213" t="str">
        <f t="array" ref="D32">IFERROR(TEXT(VLOOKUP($E$5,IF($B$7="KELAPA BULAT",IF(KB[TANGGAL]=B32,KB[[RELASI]:[TANGGAL]],""),IF($B$7="KELAPA BERSABUT",IF(KBS[TANGGAL]=B32,KBS[[RELASI]:[TANGGAL]],""),IF($B$7="KOPRA",IF(KPR[TANGGAL]=B32,KPR[[RELASI]:[TANGGAL]],""),IF($B$7="ARANG",IF(ARG[TANGGAL]=B32,ARG[[RELASI]:[TANGGAL]],""))))),4,0),"000"),"")</f>
        <v/>
      </c>
      <c r="E32" s="1041">
        <f>SUMIFS(KB[TN],KB[RELASI],'rek-bulanan'!$E$5,KB[TANGGAL],'rek-bulanan'!B32,KB[TYPE],"A")</f>
        <v>0</v>
      </c>
      <c r="F32" s="214">
        <f>SUMIFS(KB[BRUTO],KB[RELASI],'rek-bulanan'!$E$5,KB[TANGGAL],'rek-bulanan'!B32,KB[TYPE],"A")</f>
        <v>0</v>
      </c>
      <c r="G32" s="214">
        <f>SUMIFS(KB[TARRA],KB[RELASI],'rek-bulanan'!$E$5,KB[TANGGAL],'rek-bulanan'!B32,KB[TYPE],"A")</f>
        <v>0</v>
      </c>
      <c r="H32" s="214">
        <f>SUMIFS(KB[NETTO],KB[RELASI],'rek-bulanan'!$E$5,KB[TANGGAL],'rek-bulanan'!B32,KB[TYPE],"A")</f>
        <v>0</v>
      </c>
      <c r="I32" s="214">
        <f>SUMIFS(KB[NETTO2],KB[RELASI],'rek-bulanan'!$E$5,KB[TANGGAL],'rek-bulanan'!B32,KB[TYPE],"A")</f>
        <v>0</v>
      </c>
      <c r="J32" s="214" t="str">
        <f t="shared" si="2"/>
        <v/>
      </c>
      <c r="K32" s="215">
        <f>SUMIFS(KB[TPEMBAYARAN],KB[RELASI],'rek-bulanan'!$E$5,KB[TANGGAL],'rek-bulanan'!B32,KB[TYPE],"A")</f>
        <v>0</v>
      </c>
      <c r="L32" s="206"/>
      <c r="M32" s="213" t="str">
        <f t="array" ref="M32">IFERROR(IF($B$7&lt;&gt;"KELAPA BULAT","",TEXT(VLOOKUP($E$5,IF(KB[NK]=VLOOKUP($E$5,IF(KB[TANGGAL]=B32,KB[[RELASI]:[TANGGAL]],""),2,0),IF(KB[TYPE]="B",KB[[RELASI]:[TYPE]],""),""),4,0),"000")),"")</f>
        <v/>
      </c>
      <c r="N32" s="213"/>
      <c r="O32" s="213"/>
      <c r="P32" s="213"/>
      <c r="Q32" s="214">
        <f>SUMIFS(KB[NETTO],KB[RELASI],'rek-bulanan'!$E$5,KB[TANGGAL],'rek-bulanan'!B32,KB[TYPE],"B")</f>
        <v>0</v>
      </c>
      <c r="R32" s="214">
        <f>SUMIFS(KB[NETTO2],KB[RELASI],'rek-bulanan'!$E$5,KB[TANGGAL],'rek-bulanan'!B32,KB[TYPE],"B")</f>
        <v>0</v>
      </c>
      <c r="S32" s="214" t="str">
        <f t="shared" si="7"/>
        <v/>
      </c>
      <c r="T32" s="214">
        <f>SUMIFS(KB[TPEMBAYARAN],KB[RELASI],'rek-bulanan'!$E$5,KB[TANGGAL],'rek-bulanan'!B32,KB[TYPE],"B")</f>
        <v>0</v>
      </c>
      <c r="V32" s="218" t="str">
        <f t="array" ref="V32">IFERROR(TEXT(VLOOKUP($E$5,IF($R$7="KELAPA BULAT",IF(KB[TANGGAL]=B32,KB[[RELASI]:[TANGGAL]],""),IF($R$7="KELAPA BERSABUT",IF(KBS[TANGGAL]=B32,KBS[[RELASI]:[TANGGAL]],""),IF($R$7="KOPRA",IF(KPR[TANGGAL]=B32,KPR[[RELASI]:[TANGGAL]],""),IF($R$7="ARANG",IF(ARG[TANGGAL]=B32,ARG[[RELASI]:[TANGGAL]],""))))),2,0),"0000"),"")</f>
        <v/>
      </c>
      <c r="W32" s="213" t="str">
        <f t="array" ref="W32">IFERROR(TEXT(VLOOKUP($E$5,IF($R$7="KELAPA BULAT",IF(KB[TANGGAL]=B32,KB[[RELASI]:[TANGGAL]],""),IF($R$7="KELAPA BERSABUT",IF(KBS[TANGGAL]=B32,KBS[[RELASI]:[TANGGAL]],""),IF($R$7="KOPRA",IF(KPR[TANGGAL]=B32,KPR[[RELASI]:[TANGGAL]],""),IF($R$7="ARANG",IF(ARG[TANGGAL]=B32,ARG[[RELASI]:[TANGGAL]],""))))),4,0),"000"),"")</f>
        <v/>
      </c>
      <c r="X32" s="213"/>
      <c r="Y32" s="213"/>
      <c r="Z32" s="213"/>
      <c r="AA32" s="214">
        <f>SUMIFS(KPR[NETTO],KPR[RELASI],'rek-bulanan'!$E$5,KPR[TANGGAL],'rek-bulanan'!B32)</f>
        <v>0</v>
      </c>
      <c r="AB32" s="214">
        <f>SUMIFS(KPR[NETTOB],KPR[RELASI],'rek-bulanan'!$E$5,KPR[TANGGAL],'rek-bulanan'!B32)</f>
        <v>0</v>
      </c>
      <c r="AC32" s="214" t="str">
        <f t="shared" si="3"/>
        <v/>
      </c>
      <c r="AD32" s="217">
        <f>SUMIFS(KPR[TPEMBAYARAN],KPR[RELASI],'rek-bulanan'!$E$5,KPR[TANGGAL],'rek-bulanan'!B32)</f>
        <v>0</v>
      </c>
      <c r="AF32" s="218" t="str">
        <f t="array" ref="AF32">IFERROR(TEXT(VLOOKUP($E$5,IF($AB$7="KELAPA BULAT",IF(KB[TANGGAL]=B32,KB[[RELASI]:[TANGGAL]],""),IF($AB$7="KELAPA BERSABUT",IF(KBS[TANGGAL]=B32,KBS[[RELASI]:[TANGGAL]],""),IF($AB$7="KOPRA",IF(KPR[TANGGAL]=B32,KPR[[RELASI]:[TANGGAL]],""),IF($AB$7="ARANG",IF(ARG[TANGGAL]=B32,ARG[[RELASI]:[TANGGAL]],""))))),2,0),"0000"),"")</f>
        <v/>
      </c>
      <c r="AG32" s="213" t="str">
        <f t="array" ref="AG32">IFERROR(TEXT(VLOOKUP($E$5,IF($AB$7="KELAPA BULAT",IF(KB[TANGGAL]=B32,KB[[RELASI]:[TANGGAL]],""),IF($AB$7="KELAPA BERSABUT",IF(KBS[TANGGAL]=B32,KBS[[RELASI]:[TANGGAL]],""),IF($AB$7="KOPRA",IF(KPR[TANGGAL]=B32,KPR[[RELASI]:[TANGGAL]],""),IF($AB$7="ARANG",IF(ARG[TANGGAL]=B32,ARG[[RELASI]:[TANGGAL]],""))))),4,0),"000"),"")</f>
        <v/>
      </c>
      <c r="AH32" s="214">
        <f>SUMIFS(KBS[NETTO2],KBS[RELASI],'rek-bulanan'!$E$5,KBS[TANGGAL],'rek-bulanan'!B32)</f>
        <v>0</v>
      </c>
      <c r="AI32" s="214">
        <f>SUMIFS(KBS[NETTO2],KBS[RELASI],'rek-bulanan'!$E$5,KBS[TANGGAL],'rek-bulanan'!B32)</f>
        <v>0</v>
      </c>
      <c r="AJ32" s="214" t="str">
        <f t="shared" si="4"/>
        <v/>
      </c>
      <c r="AK32" s="217">
        <f>SUMIFS(KBS[TPEMBAYARAN],KBS[RELASI],'rek-bulanan'!$E$5,KBS[TANGGAL],'rek-bulanan'!B32)</f>
        <v>0</v>
      </c>
      <c r="AM32" s="218" t="str">
        <f t="array" ref="AM32">IFERROR(TEXT(VLOOKUP($E$5,IF($B$7="KELAPA BULAT",IF(KB[TANGGAL]=AL32,KB[[RELASI]:[TANGGAL]],""),IF($B$7="KELAPA BERSABUT",IF(KBS[TANGGAL]=AL32,KBS[[RELASI]:[TANGGAL]],""),IF($B$7="KOPRA",IF(KPR[TANGGAL]=AL32,KPR[[RELASI]:[TANGGAL]],""),IF($B$7="ARANG",IF(ARG[TANGGAL]=AL32,ARG[[RELASI]:[TANGGAL]],""))))),2,0),"0000"),"")</f>
        <v/>
      </c>
      <c r="AN32" s="213" t="str">
        <f t="array" ref="AN32">IFERROR(IF($B$7&lt;&gt;"KELAPA BULAT","",TEXT(VLOOKUP($E$5,IF(KB[NK]=VLOOKUP($E$5,IF(KB[TANGGAL]=AE32,KB[[RELASI]:[TANGGAL]],""),2,0),IF(KB[TYPE]="B",KB[[RELASI]:[TYPE]],""),""),4,0),"000")),"")</f>
        <v/>
      </c>
      <c r="AO32" s="214">
        <f>SUMIFS(ARG[NETTO1],ARG[RELASI],'rek-bulanan'!$E$5,ARG[TANGGAL],'rek-bulanan'!B32)</f>
        <v>0</v>
      </c>
      <c r="AP32" s="214">
        <f>SUMIFS(ARG[NETTO3],ARG[RELASI],'rek-bulanan'!$E$5,ARG[TANGGAL],'rek-bulanan'!B32)</f>
        <v>0</v>
      </c>
      <c r="AQ32" s="214" t="str">
        <f t="shared" si="5"/>
        <v/>
      </c>
      <c r="AR32" s="217">
        <f>SUMIFS(ARG[TPEMBAYARAN],ARG[RELASI],'rek-bulanan'!$E$5,ARG[TANGGAL],'rek-bulanan'!B32)</f>
        <v>0</v>
      </c>
      <c r="AT32" s="217">
        <f t="shared" si="6"/>
        <v>0</v>
      </c>
    </row>
    <row r="33" spans="2:46">
      <c r="B33" s="211">
        <f t="shared" si="0"/>
        <v>43885</v>
      </c>
      <c r="C33" s="212" t="str">
        <f t="array" ref="C33">IFERROR(TEXT(VLOOKUP($E$5,IF($B$7="KELAPA BULAT",IF(KB[TANGGAL]=B33,KB[[RELASI]:[TANGGAL]],""),IF($B$7="KELAPA BERSABUT",IF(KBS[TANGGAL]=B33,KBS[[RELASI]:[TANGGAL]],""),IF($B$7="KOPRA",IF(KPR[TANGGAL]=B33,KPR[[RELASI]:[TANGGAL]],""),IF($B$7="ARANG",IF(ARG[TANGGAL]=B33,ARG[[RELASI]:[TANGGAL]],""))))),2,0),"0000"),"")</f>
        <v/>
      </c>
      <c r="D33" s="213" t="str">
        <f t="array" ref="D33">IFERROR(TEXT(VLOOKUP($E$5,IF($B$7="KELAPA BULAT",IF(KB[TANGGAL]=B33,KB[[RELASI]:[TANGGAL]],""),IF($B$7="KELAPA BERSABUT",IF(KBS[TANGGAL]=B33,KBS[[RELASI]:[TANGGAL]],""),IF($B$7="KOPRA",IF(KPR[TANGGAL]=B33,KPR[[RELASI]:[TANGGAL]],""),IF($B$7="ARANG",IF(ARG[TANGGAL]=B33,ARG[[RELASI]:[TANGGAL]],""))))),4,0),"000"),"")</f>
        <v/>
      </c>
      <c r="E33" s="1041">
        <f>SUMIFS(KB[TN],KB[RELASI],'rek-bulanan'!$E$5,KB[TANGGAL],'rek-bulanan'!B33,KB[TYPE],"A")</f>
        <v>0</v>
      </c>
      <c r="F33" s="214">
        <f>SUMIFS(KB[BRUTO],KB[RELASI],'rek-bulanan'!$E$5,KB[TANGGAL],'rek-bulanan'!B33,KB[TYPE],"A")</f>
        <v>0</v>
      </c>
      <c r="G33" s="214">
        <f>SUMIFS(KB[TARRA],KB[RELASI],'rek-bulanan'!$E$5,KB[TANGGAL],'rek-bulanan'!B33,KB[TYPE],"A")</f>
        <v>0</v>
      </c>
      <c r="H33" s="214">
        <f>SUMIFS(KB[NETTO],KB[RELASI],'rek-bulanan'!$E$5,KB[TANGGAL],'rek-bulanan'!B33,KB[TYPE],"A")</f>
        <v>0</v>
      </c>
      <c r="I33" s="214">
        <f>SUMIFS(KB[NETTO2],KB[RELASI],'rek-bulanan'!$E$5,KB[TANGGAL],'rek-bulanan'!B33,KB[TYPE],"A")</f>
        <v>0</v>
      </c>
      <c r="J33" s="214" t="str">
        <f t="shared" si="2"/>
        <v/>
      </c>
      <c r="K33" s="215">
        <f>SUMIFS(KB[TPEMBAYARAN],KB[RELASI],'rek-bulanan'!$E$5,KB[TANGGAL],'rek-bulanan'!B33,KB[TYPE],"A")</f>
        <v>0</v>
      </c>
      <c r="L33" s="206"/>
      <c r="M33" s="213" t="str">
        <f t="array" ref="M33">IFERROR(IF($B$7&lt;&gt;"KELAPA BULAT","",TEXT(VLOOKUP($E$5,IF(KB[NK]=VLOOKUP($E$5,IF(KB[TANGGAL]=B33,KB[[RELASI]:[TANGGAL]],""),2,0),IF(KB[TYPE]="B",KB[[RELASI]:[TYPE]],""),""),4,0),"000")),"")</f>
        <v/>
      </c>
      <c r="N33" s="213"/>
      <c r="O33" s="213"/>
      <c r="P33" s="213"/>
      <c r="Q33" s="214">
        <f>SUMIFS(KB[NETTO],KB[RELASI],'rek-bulanan'!$E$5,KB[TANGGAL],'rek-bulanan'!B33,KB[TYPE],"B")</f>
        <v>0</v>
      </c>
      <c r="R33" s="214">
        <f>SUMIFS(KB[NETTO2],KB[RELASI],'rek-bulanan'!$E$5,KB[TANGGAL],'rek-bulanan'!B33,KB[TYPE],"B")</f>
        <v>0</v>
      </c>
      <c r="S33" s="214" t="str">
        <f t="shared" si="7"/>
        <v/>
      </c>
      <c r="T33" s="214">
        <f>SUMIFS(KB[TPEMBAYARAN],KB[RELASI],'rek-bulanan'!$E$5,KB[TANGGAL],'rek-bulanan'!B33,KB[TYPE],"B")</f>
        <v>0</v>
      </c>
      <c r="V33" s="218" t="str">
        <f t="array" ref="V33">IFERROR(TEXT(VLOOKUP($E$5,IF($R$7="KELAPA BULAT",IF(KB[TANGGAL]=B33,KB[[RELASI]:[TANGGAL]],""),IF($R$7="KELAPA BERSABUT",IF(KBS[TANGGAL]=B33,KBS[[RELASI]:[TANGGAL]],""),IF($R$7="KOPRA",IF(KPR[TANGGAL]=B33,KPR[[RELASI]:[TANGGAL]],""),IF($R$7="ARANG",IF(ARG[TANGGAL]=B33,ARG[[RELASI]:[TANGGAL]],""))))),2,0),"0000"),"")</f>
        <v/>
      </c>
      <c r="W33" s="213" t="str">
        <f t="array" ref="W33">IFERROR(TEXT(VLOOKUP($E$5,IF($R$7="KELAPA BULAT",IF(KB[TANGGAL]=B33,KB[[RELASI]:[TANGGAL]],""),IF($R$7="KELAPA BERSABUT",IF(KBS[TANGGAL]=B33,KBS[[RELASI]:[TANGGAL]],""),IF($R$7="KOPRA",IF(KPR[TANGGAL]=B33,KPR[[RELASI]:[TANGGAL]],""),IF($R$7="ARANG",IF(ARG[TANGGAL]=B33,ARG[[RELASI]:[TANGGAL]],""))))),4,0),"000"),"")</f>
        <v/>
      </c>
      <c r="X33" s="213"/>
      <c r="Y33" s="213"/>
      <c r="Z33" s="213"/>
      <c r="AA33" s="214">
        <f>SUMIFS(KPR[NETTO],KPR[RELASI],'rek-bulanan'!$E$5,KPR[TANGGAL],'rek-bulanan'!B33)</f>
        <v>0</v>
      </c>
      <c r="AB33" s="214">
        <f>SUMIFS(KPR[NETTOB],KPR[RELASI],'rek-bulanan'!$E$5,KPR[TANGGAL],'rek-bulanan'!B33)</f>
        <v>0</v>
      </c>
      <c r="AC33" s="214" t="str">
        <f t="shared" si="3"/>
        <v/>
      </c>
      <c r="AD33" s="217">
        <f>SUMIFS(KPR[TPEMBAYARAN],KPR[RELASI],'rek-bulanan'!$E$5,KPR[TANGGAL],'rek-bulanan'!B33)</f>
        <v>0</v>
      </c>
      <c r="AF33" s="218" t="str">
        <f t="array" ref="AF33">IFERROR(TEXT(VLOOKUP($E$5,IF($AB$7="KELAPA BULAT",IF(KB[TANGGAL]=B33,KB[[RELASI]:[TANGGAL]],""),IF($AB$7="KELAPA BERSABUT",IF(KBS[TANGGAL]=B33,KBS[[RELASI]:[TANGGAL]],""),IF($AB$7="KOPRA",IF(KPR[TANGGAL]=B33,KPR[[RELASI]:[TANGGAL]],""),IF($AB$7="ARANG",IF(ARG[TANGGAL]=B33,ARG[[RELASI]:[TANGGAL]],""))))),2,0),"0000"),"")</f>
        <v/>
      </c>
      <c r="AG33" s="213" t="str">
        <f t="array" ref="AG33">IFERROR(TEXT(VLOOKUP($E$5,IF($AB$7="KELAPA BULAT",IF(KB[TANGGAL]=B33,KB[[RELASI]:[TANGGAL]],""),IF($AB$7="KELAPA BERSABUT",IF(KBS[TANGGAL]=B33,KBS[[RELASI]:[TANGGAL]],""),IF($AB$7="KOPRA",IF(KPR[TANGGAL]=B33,KPR[[RELASI]:[TANGGAL]],""),IF($AB$7="ARANG",IF(ARG[TANGGAL]=B33,ARG[[RELASI]:[TANGGAL]],""))))),4,0),"000"),"")</f>
        <v/>
      </c>
      <c r="AH33" s="214">
        <f>SUMIFS(KBS[NETTO2],KBS[RELASI],'rek-bulanan'!$E$5,KBS[TANGGAL],'rek-bulanan'!B33)</f>
        <v>0</v>
      </c>
      <c r="AI33" s="214">
        <f>SUMIFS(KBS[NETTO2],KBS[RELASI],'rek-bulanan'!$E$5,KBS[TANGGAL],'rek-bulanan'!B33)</f>
        <v>0</v>
      </c>
      <c r="AJ33" s="214" t="str">
        <f t="shared" si="4"/>
        <v/>
      </c>
      <c r="AK33" s="217">
        <f>SUMIFS(KBS[TPEMBAYARAN],KBS[RELASI],'rek-bulanan'!$E$5,KBS[TANGGAL],'rek-bulanan'!B33)</f>
        <v>0</v>
      </c>
      <c r="AM33" s="218" t="str">
        <f t="array" ref="AM33">IFERROR(TEXT(VLOOKUP($E$5,IF($B$7="KELAPA BULAT",IF(KB[TANGGAL]=AL33,KB[[RELASI]:[TANGGAL]],""),IF($B$7="KELAPA BERSABUT",IF(KBS[TANGGAL]=AL33,KBS[[RELASI]:[TANGGAL]],""),IF($B$7="KOPRA",IF(KPR[TANGGAL]=AL33,KPR[[RELASI]:[TANGGAL]],""),IF($B$7="ARANG",IF(ARG[TANGGAL]=AL33,ARG[[RELASI]:[TANGGAL]],""))))),2,0),"0000"),"")</f>
        <v/>
      </c>
      <c r="AN33" s="213" t="str">
        <f t="array" ref="AN33">IFERROR(IF($B$7&lt;&gt;"KELAPA BULAT","",TEXT(VLOOKUP($E$5,IF(KB[NK]=VLOOKUP($E$5,IF(KB[TANGGAL]=AE33,KB[[RELASI]:[TANGGAL]],""),2,0),IF(KB[TYPE]="B",KB[[RELASI]:[TYPE]],""),""),4,0),"000")),"")</f>
        <v/>
      </c>
      <c r="AO33" s="214">
        <f>SUMIFS(ARG[NETTO1],ARG[RELASI],'rek-bulanan'!$E$5,ARG[TANGGAL],'rek-bulanan'!B33)</f>
        <v>0</v>
      </c>
      <c r="AP33" s="214">
        <f>SUMIFS(ARG[NETTO3],ARG[RELASI],'rek-bulanan'!$E$5,ARG[TANGGAL],'rek-bulanan'!B33)</f>
        <v>0</v>
      </c>
      <c r="AQ33" s="214" t="str">
        <f t="shared" si="5"/>
        <v/>
      </c>
      <c r="AR33" s="217">
        <f>SUMIFS(ARG[TPEMBAYARAN],ARG[RELASI],'rek-bulanan'!$E$5,ARG[TANGGAL],'rek-bulanan'!B33)</f>
        <v>0</v>
      </c>
      <c r="AT33" s="217">
        <f t="shared" si="6"/>
        <v>0</v>
      </c>
    </row>
    <row r="34" spans="2:46">
      <c r="B34" s="211">
        <f t="shared" si="0"/>
        <v>43886</v>
      </c>
      <c r="C34" s="212" t="str">
        <f t="array" ref="C34">IFERROR(TEXT(VLOOKUP($E$5,IF($B$7="KELAPA BULAT",IF(KB[TANGGAL]=B34,KB[[RELASI]:[TANGGAL]],""),IF($B$7="KELAPA BERSABUT",IF(KBS[TANGGAL]=B34,KBS[[RELASI]:[TANGGAL]],""),IF($B$7="KOPRA",IF(KPR[TANGGAL]=B34,KPR[[RELASI]:[TANGGAL]],""),IF($B$7="ARANG",IF(ARG[TANGGAL]=B34,ARG[[RELASI]:[TANGGAL]],""))))),2,0),"0000"),"")</f>
        <v/>
      </c>
      <c r="D34" s="213" t="str">
        <f t="array" ref="D34">IFERROR(TEXT(VLOOKUP($E$5,IF($B$7="KELAPA BULAT",IF(KB[TANGGAL]=B34,KB[[RELASI]:[TANGGAL]],""),IF($B$7="KELAPA BERSABUT",IF(KBS[TANGGAL]=B34,KBS[[RELASI]:[TANGGAL]],""),IF($B$7="KOPRA",IF(KPR[TANGGAL]=B34,KPR[[RELASI]:[TANGGAL]],""),IF($B$7="ARANG",IF(ARG[TANGGAL]=B34,ARG[[RELASI]:[TANGGAL]],""))))),4,0),"000"),"")</f>
        <v/>
      </c>
      <c r="E34" s="1041">
        <f>SUMIFS(KB[TN],KB[RELASI],'rek-bulanan'!$E$5,KB[TANGGAL],'rek-bulanan'!B34,KB[TYPE],"A")</f>
        <v>0</v>
      </c>
      <c r="F34" s="214">
        <f>SUMIFS(KB[BRUTO],KB[RELASI],'rek-bulanan'!$E$5,KB[TANGGAL],'rek-bulanan'!B34,KB[TYPE],"A")</f>
        <v>0</v>
      </c>
      <c r="G34" s="214">
        <f>SUMIFS(KB[TARRA],KB[RELASI],'rek-bulanan'!$E$5,KB[TANGGAL],'rek-bulanan'!B34,KB[TYPE],"A")</f>
        <v>0</v>
      </c>
      <c r="H34" s="214">
        <f>SUMIFS(KB[NETTO],KB[RELASI],'rek-bulanan'!$E$5,KB[TANGGAL],'rek-bulanan'!B34,KB[TYPE],"A")</f>
        <v>0</v>
      </c>
      <c r="I34" s="214">
        <f>SUMIFS(KB[NETTO2],KB[RELASI],'rek-bulanan'!$E$5,KB[TANGGAL],'rek-bulanan'!B34,KB[TYPE],"A")</f>
        <v>0</v>
      </c>
      <c r="J34" s="214" t="str">
        <f t="shared" si="2"/>
        <v/>
      </c>
      <c r="K34" s="215">
        <f>SUMIFS(KB[TPEMBAYARAN],KB[RELASI],'rek-bulanan'!$E$5,KB[TANGGAL],'rek-bulanan'!B34,KB[TYPE],"A")</f>
        <v>0</v>
      </c>
      <c r="L34" s="206"/>
      <c r="M34" s="213" t="str">
        <f t="array" ref="M34">IFERROR(IF($B$7&lt;&gt;"KELAPA BULAT","",TEXT(VLOOKUP($E$5,IF(KB[NK]=VLOOKUP($E$5,IF(KB[TANGGAL]=B34,KB[[RELASI]:[TANGGAL]],""),2,0),IF(KB[TYPE]="B",KB[[RELASI]:[TYPE]],""),""),4,0),"000")),"")</f>
        <v/>
      </c>
      <c r="N34" s="213"/>
      <c r="O34" s="213"/>
      <c r="P34" s="213"/>
      <c r="Q34" s="214">
        <f>SUMIFS(KB[NETTO],KB[RELASI],'rek-bulanan'!$E$5,KB[TANGGAL],'rek-bulanan'!B34,KB[TYPE],"B")</f>
        <v>0</v>
      </c>
      <c r="R34" s="214">
        <f>SUMIFS(KB[NETTO2],KB[RELASI],'rek-bulanan'!$E$5,KB[TANGGAL],'rek-bulanan'!B34,KB[TYPE],"B")</f>
        <v>0</v>
      </c>
      <c r="S34" s="214" t="str">
        <f t="shared" si="7"/>
        <v/>
      </c>
      <c r="T34" s="214">
        <f>SUMIFS(KB[TPEMBAYARAN],KB[RELASI],'rek-bulanan'!$E$5,KB[TANGGAL],'rek-bulanan'!B34,KB[TYPE],"B")</f>
        <v>0</v>
      </c>
      <c r="V34" s="218" t="str">
        <f t="array" ref="V34">IFERROR(TEXT(VLOOKUP($E$5,IF($R$7="KELAPA BULAT",IF(KB[TANGGAL]=B34,KB[[RELASI]:[TANGGAL]],""),IF($R$7="KELAPA BERSABUT",IF(KBS[TANGGAL]=B34,KBS[[RELASI]:[TANGGAL]],""),IF($R$7="KOPRA",IF(KPR[TANGGAL]=B34,KPR[[RELASI]:[TANGGAL]],""),IF($R$7="ARANG",IF(ARG[TANGGAL]=B34,ARG[[RELASI]:[TANGGAL]],""))))),2,0),"0000"),"")</f>
        <v/>
      </c>
      <c r="W34" s="213" t="str">
        <f t="array" ref="W34">IFERROR(TEXT(VLOOKUP($E$5,IF($R$7="KELAPA BULAT",IF(KB[TANGGAL]=B34,KB[[RELASI]:[TANGGAL]],""),IF($R$7="KELAPA BERSABUT",IF(KBS[TANGGAL]=B34,KBS[[RELASI]:[TANGGAL]],""),IF($R$7="KOPRA",IF(KPR[TANGGAL]=B34,KPR[[RELASI]:[TANGGAL]],""),IF($R$7="ARANG",IF(ARG[TANGGAL]=B34,ARG[[RELASI]:[TANGGAL]],""))))),4,0),"000"),"")</f>
        <v/>
      </c>
      <c r="X34" s="213"/>
      <c r="Y34" s="213"/>
      <c r="Z34" s="213"/>
      <c r="AA34" s="214">
        <f>SUMIFS(KPR[NETTO],KPR[RELASI],'rek-bulanan'!$E$5,KPR[TANGGAL],'rek-bulanan'!B34)</f>
        <v>0</v>
      </c>
      <c r="AB34" s="214">
        <f>SUMIFS(KPR[NETTOB],KPR[RELASI],'rek-bulanan'!$E$5,KPR[TANGGAL],'rek-bulanan'!B34)</f>
        <v>0</v>
      </c>
      <c r="AC34" s="214" t="str">
        <f t="shared" si="3"/>
        <v/>
      </c>
      <c r="AD34" s="217">
        <f>SUMIFS(KPR[TPEMBAYARAN],KPR[RELASI],'rek-bulanan'!$E$5,KPR[TANGGAL],'rek-bulanan'!B34)</f>
        <v>0</v>
      </c>
      <c r="AF34" s="218" t="str">
        <f t="array" ref="AF34">IFERROR(TEXT(VLOOKUP($E$5,IF($AB$7="KELAPA BULAT",IF(KB[TANGGAL]=B34,KB[[RELASI]:[TANGGAL]],""),IF($AB$7="KELAPA BERSABUT",IF(KBS[TANGGAL]=B34,KBS[[RELASI]:[TANGGAL]],""),IF($AB$7="KOPRA",IF(KPR[TANGGAL]=B34,KPR[[RELASI]:[TANGGAL]],""),IF($AB$7="ARANG",IF(ARG[TANGGAL]=B34,ARG[[RELASI]:[TANGGAL]],""))))),2,0),"0000"),"")</f>
        <v/>
      </c>
      <c r="AG34" s="213" t="str">
        <f t="array" ref="AG34">IFERROR(TEXT(VLOOKUP($E$5,IF($AB$7="KELAPA BULAT",IF(KB[TANGGAL]=B34,KB[[RELASI]:[TANGGAL]],""),IF($AB$7="KELAPA BERSABUT",IF(KBS[TANGGAL]=B34,KBS[[RELASI]:[TANGGAL]],""),IF($AB$7="KOPRA",IF(KPR[TANGGAL]=B34,KPR[[RELASI]:[TANGGAL]],""),IF($AB$7="ARANG",IF(ARG[TANGGAL]=B34,ARG[[RELASI]:[TANGGAL]],""))))),4,0),"000"),"")</f>
        <v/>
      </c>
      <c r="AH34" s="214">
        <f>SUMIFS(KBS[NETTO2],KBS[RELASI],'rek-bulanan'!$E$5,KBS[TANGGAL],'rek-bulanan'!B34)</f>
        <v>0</v>
      </c>
      <c r="AI34" s="214">
        <f>SUMIFS(KBS[NETTO2],KBS[RELASI],'rek-bulanan'!$E$5,KBS[TANGGAL],'rek-bulanan'!B34)</f>
        <v>0</v>
      </c>
      <c r="AJ34" s="214" t="str">
        <f t="shared" si="4"/>
        <v/>
      </c>
      <c r="AK34" s="217">
        <f>SUMIFS(KBS[TPEMBAYARAN],KBS[RELASI],'rek-bulanan'!$E$5,KBS[TANGGAL],'rek-bulanan'!B34)</f>
        <v>0</v>
      </c>
      <c r="AM34" s="218" t="str">
        <f t="array" ref="AM34">IFERROR(TEXT(VLOOKUP($E$5,IF($B$7="KELAPA BULAT",IF(KB[TANGGAL]=AL34,KB[[RELASI]:[TANGGAL]],""),IF($B$7="KELAPA BERSABUT",IF(KBS[TANGGAL]=AL34,KBS[[RELASI]:[TANGGAL]],""),IF($B$7="KOPRA",IF(KPR[TANGGAL]=AL34,KPR[[RELASI]:[TANGGAL]],""),IF($B$7="ARANG",IF(ARG[TANGGAL]=AL34,ARG[[RELASI]:[TANGGAL]],""))))),2,0),"0000"),"")</f>
        <v/>
      </c>
      <c r="AN34" s="213" t="str">
        <f t="array" ref="AN34">IFERROR(IF($B$7&lt;&gt;"KELAPA BULAT","",TEXT(VLOOKUP($E$5,IF(KB[NK]=VLOOKUP($E$5,IF(KB[TANGGAL]=AE34,KB[[RELASI]:[TANGGAL]],""),2,0),IF(KB[TYPE]="B",KB[[RELASI]:[TYPE]],""),""),4,0),"000")),"")</f>
        <v/>
      </c>
      <c r="AO34" s="214">
        <f>SUMIFS(ARG[NETTO1],ARG[RELASI],'rek-bulanan'!$E$5,ARG[TANGGAL],'rek-bulanan'!B34)</f>
        <v>0</v>
      </c>
      <c r="AP34" s="214">
        <f>SUMIFS(ARG[NETTO3],ARG[RELASI],'rek-bulanan'!$E$5,ARG[TANGGAL],'rek-bulanan'!B34)</f>
        <v>0</v>
      </c>
      <c r="AQ34" s="214" t="str">
        <f t="shared" si="5"/>
        <v/>
      </c>
      <c r="AR34" s="217">
        <f>SUMIFS(ARG[TPEMBAYARAN],ARG[RELASI],'rek-bulanan'!$E$5,ARG[TANGGAL],'rek-bulanan'!B34)</f>
        <v>0</v>
      </c>
      <c r="AT34" s="217">
        <f t="shared" si="6"/>
        <v>0</v>
      </c>
    </row>
    <row r="35" spans="2:46">
      <c r="B35" s="211">
        <f t="shared" si="0"/>
        <v>43887</v>
      </c>
      <c r="C35" s="212" t="str">
        <f t="array" ref="C35">IFERROR(TEXT(VLOOKUP($E$5,IF($B$7="KELAPA BULAT",IF(KB[TANGGAL]=B35,KB[[RELASI]:[TANGGAL]],""),IF($B$7="KELAPA BERSABUT",IF(KBS[TANGGAL]=B35,KBS[[RELASI]:[TANGGAL]],""),IF($B$7="KOPRA",IF(KPR[TANGGAL]=B35,KPR[[RELASI]:[TANGGAL]],""),IF($B$7="ARANG",IF(ARG[TANGGAL]=B35,ARG[[RELASI]:[TANGGAL]],""))))),2,0),"0000"),"")</f>
        <v/>
      </c>
      <c r="D35" s="213" t="str">
        <f t="array" ref="D35">IFERROR(TEXT(VLOOKUP($E$5,IF($B$7="KELAPA BULAT",IF(KB[TANGGAL]=B35,KB[[RELASI]:[TANGGAL]],""),IF($B$7="KELAPA BERSABUT",IF(KBS[TANGGAL]=B35,KBS[[RELASI]:[TANGGAL]],""),IF($B$7="KOPRA",IF(KPR[TANGGAL]=B35,KPR[[RELASI]:[TANGGAL]],""),IF($B$7="ARANG",IF(ARG[TANGGAL]=B35,ARG[[RELASI]:[TANGGAL]],""))))),4,0),"000"),"")</f>
        <v/>
      </c>
      <c r="E35" s="1041">
        <f>SUMIFS(KB[TN],KB[RELASI],'rek-bulanan'!$E$5,KB[TANGGAL],'rek-bulanan'!B35,KB[TYPE],"A")</f>
        <v>0</v>
      </c>
      <c r="F35" s="214">
        <f>SUMIFS(KB[BRUTO],KB[RELASI],'rek-bulanan'!$E$5,KB[TANGGAL],'rek-bulanan'!B35,KB[TYPE],"A")</f>
        <v>0</v>
      </c>
      <c r="G35" s="214">
        <f>SUMIFS(KB[TARRA],KB[RELASI],'rek-bulanan'!$E$5,KB[TANGGAL],'rek-bulanan'!B35,KB[TYPE],"A")</f>
        <v>0</v>
      </c>
      <c r="H35" s="214">
        <f>SUMIFS(KB[NETTO],KB[RELASI],'rek-bulanan'!$E$5,KB[TANGGAL],'rek-bulanan'!B35,KB[TYPE],"A")</f>
        <v>0</v>
      </c>
      <c r="I35" s="214">
        <f>SUMIFS(KB[NETTO2],KB[RELASI],'rek-bulanan'!$E$5,KB[TANGGAL],'rek-bulanan'!B35,KB[TYPE],"A")</f>
        <v>0</v>
      </c>
      <c r="J35" s="214" t="str">
        <f t="shared" si="2"/>
        <v/>
      </c>
      <c r="K35" s="215">
        <f>SUMIFS(KB[TPEMBAYARAN],KB[RELASI],'rek-bulanan'!$E$5,KB[TANGGAL],'rek-bulanan'!B35,KB[TYPE],"A")</f>
        <v>0</v>
      </c>
      <c r="L35" s="206"/>
      <c r="M35" s="213" t="str">
        <f t="array" ref="M35">IFERROR(IF($B$7&lt;&gt;"KELAPA BULAT","",TEXT(VLOOKUP($E$5,IF(KB[NK]=VLOOKUP($E$5,IF(KB[TANGGAL]=B35,KB[[RELASI]:[TANGGAL]],""),2,0),IF(KB[TYPE]="B",KB[[RELASI]:[TYPE]],""),""),4,0),"000")),"")</f>
        <v/>
      </c>
      <c r="N35" s="213"/>
      <c r="O35" s="213"/>
      <c r="P35" s="213"/>
      <c r="Q35" s="214">
        <f>SUMIFS(KB[NETTO],KB[RELASI],'rek-bulanan'!$E$5,KB[TANGGAL],'rek-bulanan'!B35,KB[TYPE],"B")</f>
        <v>0</v>
      </c>
      <c r="R35" s="214">
        <f>SUMIFS(KB[NETTO2],KB[RELASI],'rek-bulanan'!$E$5,KB[TANGGAL],'rek-bulanan'!B35,KB[TYPE],"B")</f>
        <v>0</v>
      </c>
      <c r="S35" s="214" t="str">
        <f t="shared" si="7"/>
        <v/>
      </c>
      <c r="T35" s="214">
        <f>SUMIFS(KB[TPEMBAYARAN],KB[RELASI],'rek-bulanan'!$E$5,KB[TANGGAL],'rek-bulanan'!B35,KB[TYPE],"B")</f>
        <v>0</v>
      </c>
      <c r="V35" s="218" t="str">
        <f t="array" ref="V35">IFERROR(TEXT(VLOOKUP($E$5,IF($R$7="KELAPA BULAT",IF(KB[TANGGAL]=B35,KB[[RELASI]:[TANGGAL]],""),IF($R$7="KELAPA BERSABUT",IF(KBS[TANGGAL]=B35,KBS[[RELASI]:[TANGGAL]],""),IF($R$7="KOPRA",IF(KPR[TANGGAL]=B35,KPR[[RELASI]:[TANGGAL]],""),IF($R$7="ARANG",IF(ARG[TANGGAL]=B35,ARG[[RELASI]:[TANGGAL]],""))))),2,0),"0000"),"")</f>
        <v/>
      </c>
      <c r="W35" s="213" t="str">
        <f t="array" ref="W35">IFERROR(TEXT(VLOOKUP($E$5,IF($R$7="KELAPA BULAT",IF(KB[TANGGAL]=B35,KB[[RELASI]:[TANGGAL]],""),IF($R$7="KELAPA BERSABUT",IF(KBS[TANGGAL]=B35,KBS[[RELASI]:[TANGGAL]],""),IF($R$7="KOPRA",IF(KPR[TANGGAL]=B35,KPR[[RELASI]:[TANGGAL]],""),IF($R$7="ARANG",IF(ARG[TANGGAL]=B35,ARG[[RELASI]:[TANGGAL]],""))))),4,0),"000"),"")</f>
        <v/>
      </c>
      <c r="X35" s="213"/>
      <c r="Y35" s="213"/>
      <c r="Z35" s="213"/>
      <c r="AA35" s="214">
        <f>SUMIFS(KPR[NETTO],KPR[RELASI],'rek-bulanan'!$E$5,KPR[TANGGAL],'rek-bulanan'!B35)</f>
        <v>0</v>
      </c>
      <c r="AB35" s="214">
        <f>SUMIFS(KPR[NETTOB],KPR[RELASI],'rek-bulanan'!$E$5,KPR[TANGGAL],'rek-bulanan'!B35)</f>
        <v>0</v>
      </c>
      <c r="AC35" s="214" t="str">
        <f t="shared" si="3"/>
        <v/>
      </c>
      <c r="AD35" s="217">
        <f>SUMIFS(KPR[TPEMBAYARAN],KPR[RELASI],'rek-bulanan'!$E$5,KPR[TANGGAL],'rek-bulanan'!B35)</f>
        <v>0</v>
      </c>
      <c r="AF35" s="218" t="str">
        <f t="array" ref="AF35">IFERROR(TEXT(VLOOKUP($E$5,IF($AB$7="KELAPA BULAT",IF(KB[TANGGAL]=B35,KB[[RELASI]:[TANGGAL]],""),IF($AB$7="KELAPA BERSABUT",IF(KBS[TANGGAL]=B35,KBS[[RELASI]:[TANGGAL]],""),IF($AB$7="KOPRA",IF(KPR[TANGGAL]=B35,KPR[[RELASI]:[TANGGAL]],""),IF($AB$7="ARANG",IF(ARG[TANGGAL]=B35,ARG[[RELASI]:[TANGGAL]],""))))),2,0),"0000"),"")</f>
        <v/>
      </c>
      <c r="AG35" s="213" t="str">
        <f t="array" ref="AG35">IFERROR(TEXT(VLOOKUP($E$5,IF($AB$7="KELAPA BULAT",IF(KB[TANGGAL]=B35,KB[[RELASI]:[TANGGAL]],""),IF($AB$7="KELAPA BERSABUT",IF(KBS[TANGGAL]=B35,KBS[[RELASI]:[TANGGAL]],""),IF($AB$7="KOPRA",IF(KPR[TANGGAL]=B35,KPR[[RELASI]:[TANGGAL]],""),IF($AB$7="ARANG",IF(ARG[TANGGAL]=B35,ARG[[RELASI]:[TANGGAL]],""))))),4,0),"000"),"")</f>
        <v/>
      </c>
      <c r="AH35" s="214">
        <f>SUMIFS(KBS[NETTO2],KBS[RELASI],'rek-bulanan'!$E$5,KBS[TANGGAL],'rek-bulanan'!B35)</f>
        <v>0</v>
      </c>
      <c r="AI35" s="214">
        <f>SUMIFS(KBS[NETTO2],KBS[RELASI],'rek-bulanan'!$E$5,KBS[TANGGAL],'rek-bulanan'!B35)</f>
        <v>0</v>
      </c>
      <c r="AJ35" s="214" t="str">
        <f t="shared" si="4"/>
        <v/>
      </c>
      <c r="AK35" s="217">
        <f>SUMIFS(KBS[TPEMBAYARAN],KBS[RELASI],'rek-bulanan'!$E$5,KBS[TANGGAL],'rek-bulanan'!B35)</f>
        <v>0</v>
      </c>
      <c r="AM35" s="218" t="str">
        <f t="array" ref="AM35">IFERROR(TEXT(VLOOKUP($E$5,IF($B$7="KELAPA BULAT",IF(KB[TANGGAL]=AL35,KB[[RELASI]:[TANGGAL]],""),IF($B$7="KELAPA BERSABUT",IF(KBS[TANGGAL]=AL35,KBS[[RELASI]:[TANGGAL]],""),IF($B$7="KOPRA",IF(KPR[TANGGAL]=AL35,KPR[[RELASI]:[TANGGAL]],""),IF($B$7="ARANG",IF(ARG[TANGGAL]=AL35,ARG[[RELASI]:[TANGGAL]],""))))),2,0),"0000"),"")</f>
        <v/>
      </c>
      <c r="AN35" s="213" t="str">
        <f t="array" ref="AN35">IFERROR(IF($B$7&lt;&gt;"KELAPA BULAT","",TEXT(VLOOKUP($E$5,IF(KB[NK]=VLOOKUP($E$5,IF(KB[TANGGAL]=AE35,KB[[RELASI]:[TANGGAL]],""),2,0),IF(KB[TYPE]="B",KB[[RELASI]:[TYPE]],""),""),4,0),"000")),"")</f>
        <v/>
      </c>
      <c r="AO35" s="214">
        <f>SUMIFS(ARG[NETTO1],ARG[RELASI],'rek-bulanan'!$E$5,ARG[TANGGAL],'rek-bulanan'!B35)</f>
        <v>0</v>
      </c>
      <c r="AP35" s="214">
        <f>SUMIFS(ARG[NETTO3],ARG[RELASI],'rek-bulanan'!$E$5,ARG[TANGGAL],'rek-bulanan'!B35)</f>
        <v>0</v>
      </c>
      <c r="AQ35" s="214" t="str">
        <f t="shared" si="5"/>
        <v/>
      </c>
      <c r="AR35" s="217">
        <f>SUMIFS(ARG[TPEMBAYARAN],ARG[RELASI],'rek-bulanan'!$E$5,ARG[TANGGAL],'rek-bulanan'!B35)</f>
        <v>0</v>
      </c>
      <c r="AT35" s="217">
        <f t="shared" si="6"/>
        <v>0</v>
      </c>
    </row>
    <row r="36" spans="2:46">
      <c r="B36" s="211">
        <f t="shared" si="0"/>
        <v>43888</v>
      </c>
      <c r="C36" s="212" t="str">
        <f t="array" ref="C36">IFERROR(TEXT(VLOOKUP($E$5,IF($B$7="KELAPA BULAT",IF(KB[TANGGAL]=B36,KB[[RELASI]:[TANGGAL]],""),IF($B$7="KELAPA BERSABUT",IF(KBS[TANGGAL]=B36,KBS[[RELASI]:[TANGGAL]],""),IF($B$7="KOPRA",IF(KPR[TANGGAL]=B36,KPR[[RELASI]:[TANGGAL]],""),IF($B$7="ARANG",IF(ARG[TANGGAL]=B36,ARG[[RELASI]:[TANGGAL]],""))))),2,0),"0000"),"")</f>
        <v/>
      </c>
      <c r="D36" s="213" t="str">
        <f t="array" ref="D36">IFERROR(TEXT(VLOOKUP($E$5,IF($B$7="KELAPA BULAT",IF(KB[TANGGAL]=B36,KB[[RELASI]:[TANGGAL]],""),IF($B$7="KELAPA BERSABUT",IF(KBS[TANGGAL]=B36,KBS[[RELASI]:[TANGGAL]],""),IF($B$7="KOPRA",IF(KPR[TANGGAL]=B36,KPR[[RELASI]:[TANGGAL]],""),IF($B$7="ARANG",IF(ARG[TANGGAL]=B36,ARG[[RELASI]:[TANGGAL]],""))))),4,0),"000"),"")</f>
        <v/>
      </c>
      <c r="E36" s="1041">
        <f>SUMIFS(KB[TN],KB[RELASI],'rek-bulanan'!$E$5,KB[TANGGAL],'rek-bulanan'!B36,KB[TYPE],"A")</f>
        <v>0</v>
      </c>
      <c r="F36" s="214">
        <f>SUMIFS(KB[BRUTO],KB[RELASI],'rek-bulanan'!$E$5,KB[TANGGAL],'rek-bulanan'!B36,KB[TYPE],"A")</f>
        <v>0</v>
      </c>
      <c r="G36" s="214">
        <f>SUMIFS(KB[TARRA],KB[RELASI],'rek-bulanan'!$E$5,KB[TANGGAL],'rek-bulanan'!B36,KB[TYPE],"A")</f>
        <v>0</v>
      </c>
      <c r="H36" s="214">
        <f>SUMIFS(KB[NETTO],KB[RELASI],'rek-bulanan'!$E$5,KB[TANGGAL],'rek-bulanan'!B36,KB[TYPE],"A")</f>
        <v>0</v>
      </c>
      <c r="I36" s="214">
        <f>SUMIFS(KB[NETTO2],KB[RELASI],'rek-bulanan'!$E$5,KB[TANGGAL],'rek-bulanan'!B36,KB[TYPE],"A")</f>
        <v>0</v>
      </c>
      <c r="J36" s="214" t="str">
        <f t="shared" si="2"/>
        <v/>
      </c>
      <c r="K36" s="215">
        <f>SUMIFS(KB[TPEMBAYARAN],KB[RELASI],'rek-bulanan'!$E$5,KB[TANGGAL],'rek-bulanan'!B36,KB[TYPE],"A")</f>
        <v>0</v>
      </c>
      <c r="L36" s="206"/>
      <c r="M36" s="213" t="str">
        <f t="array" ref="M36">IFERROR(IF($B$7&lt;&gt;"KELAPA BULAT","",TEXT(VLOOKUP($E$5,IF(KB[NK]=VLOOKUP($E$5,IF(KB[TANGGAL]=B36,KB[[RELASI]:[TANGGAL]],""),2,0),IF(KB[TYPE]="B",KB[[RELASI]:[TYPE]],""),""),4,0),"000")),"")</f>
        <v/>
      </c>
      <c r="N36" s="213"/>
      <c r="O36" s="213"/>
      <c r="P36" s="213"/>
      <c r="Q36" s="214">
        <f>SUMIFS(KB[NETTO],KB[RELASI],'rek-bulanan'!$E$5,KB[TANGGAL],'rek-bulanan'!B36,KB[TYPE],"B")</f>
        <v>0</v>
      </c>
      <c r="R36" s="214">
        <f>SUMIFS(KB[NETTO2],KB[RELASI],'rek-bulanan'!$E$5,KB[TANGGAL],'rek-bulanan'!B36,KB[TYPE],"B")</f>
        <v>0</v>
      </c>
      <c r="S36" s="214" t="str">
        <f t="shared" si="7"/>
        <v/>
      </c>
      <c r="T36" s="214">
        <f>SUMIFS(KB[TPEMBAYARAN],KB[RELASI],'rek-bulanan'!$E$5,KB[TANGGAL],'rek-bulanan'!B36,KB[TYPE],"B")</f>
        <v>0</v>
      </c>
      <c r="V36" s="218" t="str">
        <f t="array" ref="V36">IFERROR(TEXT(VLOOKUP($E$5,IF($R$7="KELAPA BULAT",IF(KB[TANGGAL]=B36,KB[[RELASI]:[TANGGAL]],""),IF($R$7="KELAPA BERSABUT",IF(KBS[TANGGAL]=B36,KBS[[RELASI]:[TANGGAL]],""),IF($R$7="KOPRA",IF(KPR[TANGGAL]=B36,KPR[[RELASI]:[TANGGAL]],""),IF($R$7="ARANG",IF(ARG[TANGGAL]=B36,ARG[[RELASI]:[TANGGAL]],""))))),2,0),"0000"),"")</f>
        <v/>
      </c>
      <c r="W36" s="213" t="str">
        <f t="array" ref="W36">IFERROR(TEXT(VLOOKUP($E$5,IF($R$7="KELAPA BULAT",IF(KB[TANGGAL]=B36,KB[[RELASI]:[TANGGAL]],""),IF($R$7="KELAPA BERSABUT",IF(KBS[TANGGAL]=B36,KBS[[RELASI]:[TANGGAL]],""),IF($R$7="KOPRA",IF(KPR[TANGGAL]=B36,KPR[[RELASI]:[TANGGAL]],""),IF($R$7="ARANG",IF(ARG[TANGGAL]=B36,ARG[[RELASI]:[TANGGAL]],""))))),4,0),"000"),"")</f>
        <v/>
      </c>
      <c r="X36" s="213"/>
      <c r="Y36" s="213"/>
      <c r="Z36" s="213"/>
      <c r="AA36" s="214">
        <f>SUMIFS(KPR[NETTO],KPR[RELASI],'rek-bulanan'!$E$5,KPR[TANGGAL],'rek-bulanan'!B36)</f>
        <v>0</v>
      </c>
      <c r="AB36" s="214">
        <f>SUMIFS(KPR[NETTOB],KPR[RELASI],'rek-bulanan'!$E$5,KPR[TANGGAL],'rek-bulanan'!B36)</f>
        <v>0</v>
      </c>
      <c r="AC36" s="214" t="str">
        <f t="shared" si="3"/>
        <v/>
      </c>
      <c r="AD36" s="217">
        <f>SUMIFS(KPR[TPEMBAYARAN],KPR[RELASI],'rek-bulanan'!$E$5,KPR[TANGGAL],'rek-bulanan'!B36)</f>
        <v>0</v>
      </c>
      <c r="AF36" s="218" t="str">
        <f t="array" ref="AF36">IFERROR(TEXT(VLOOKUP($E$5,IF($AB$7="KELAPA BULAT",IF(KB[TANGGAL]=B36,KB[[RELASI]:[TANGGAL]],""),IF($AB$7="KELAPA BERSABUT",IF(KBS[TANGGAL]=B36,KBS[[RELASI]:[TANGGAL]],""),IF($AB$7="KOPRA",IF(KPR[TANGGAL]=B36,KPR[[RELASI]:[TANGGAL]],""),IF($AB$7="ARANG",IF(ARG[TANGGAL]=B36,ARG[[RELASI]:[TANGGAL]],""))))),2,0),"0000"),"")</f>
        <v/>
      </c>
      <c r="AG36" s="213" t="str">
        <f t="array" ref="AG36">IFERROR(TEXT(VLOOKUP($E$5,IF($AB$7="KELAPA BULAT",IF(KB[TANGGAL]=B36,KB[[RELASI]:[TANGGAL]],""),IF($AB$7="KELAPA BERSABUT",IF(KBS[TANGGAL]=B36,KBS[[RELASI]:[TANGGAL]],""),IF($AB$7="KOPRA",IF(KPR[TANGGAL]=B36,KPR[[RELASI]:[TANGGAL]],""),IF($AB$7="ARANG",IF(ARG[TANGGAL]=B36,ARG[[RELASI]:[TANGGAL]],""))))),4,0),"000"),"")</f>
        <v/>
      </c>
      <c r="AH36" s="214">
        <f>SUMIFS(KBS[NETTO2],KBS[RELASI],'rek-bulanan'!$E$5,KBS[TANGGAL],'rek-bulanan'!B36)</f>
        <v>0</v>
      </c>
      <c r="AI36" s="214">
        <f>SUMIFS(KBS[NETTO2],KBS[RELASI],'rek-bulanan'!$E$5,KBS[TANGGAL],'rek-bulanan'!B36)</f>
        <v>0</v>
      </c>
      <c r="AJ36" s="214" t="str">
        <f t="shared" si="4"/>
        <v/>
      </c>
      <c r="AK36" s="217">
        <f>SUMIFS(KBS[TPEMBAYARAN],KBS[RELASI],'rek-bulanan'!$E$5,KBS[TANGGAL],'rek-bulanan'!B36)</f>
        <v>0</v>
      </c>
      <c r="AM36" s="218" t="str">
        <f t="array" ref="AM36">IFERROR(TEXT(VLOOKUP($E$5,IF($B$7="KELAPA BULAT",IF(KB[TANGGAL]=AL36,KB[[RELASI]:[TANGGAL]],""),IF($B$7="KELAPA BERSABUT",IF(KBS[TANGGAL]=AL36,KBS[[RELASI]:[TANGGAL]],""),IF($B$7="KOPRA",IF(KPR[TANGGAL]=AL36,KPR[[RELASI]:[TANGGAL]],""),IF($B$7="ARANG",IF(ARG[TANGGAL]=AL36,ARG[[RELASI]:[TANGGAL]],""))))),2,0),"0000"),"")</f>
        <v/>
      </c>
      <c r="AN36" s="213" t="str">
        <f t="array" ref="AN36">IFERROR(IF($B$7&lt;&gt;"KELAPA BULAT","",TEXT(VLOOKUP($E$5,IF(KB[NK]=VLOOKUP($E$5,IF(KB[TANGGAL]=AE36,KB[[RELASI]:[TANGGAL]],""),2,0),IF(KB[TYPE]="B",KB[[RELASI]:[TYPE]],""),""),4,0),"000")),"")</f>
        <v/>
      </c>
      <c r="AO36" s="214">
        <f>SUMIFS(ARG[NETTO1],ARG[RELASI],'rek-bulanan'!$E$5,ARG[TANGGAL],'rek-bulanan'!B36)</f>
        <v>0</v>
      </c>
      <c r="AP36" s="214">
        <f>SUMIFS(ARG[NETTO3],ARG[RELASI],'rek-bulanan'!$E$5,ARG[TANGGAL],'rek-bulanan'!B36)</f>
        <v>0</v>
      </c>
      <c r="AQ36" s="214" t="str">
        <f t="shared" si="5"/>
        <v/>
      </c>
      <c r="AR36" s="217">
        <f>SUMIFS(ARG[TPEMBAYARAN],ARG[RELASI],'rek-bulanan'!$E$5,ARG[TANGGAL],'rek-bulanan'!B36)</f>
        <v>0</v>
      </c>
      <c r="AT36" s="217">
        <f t="shared" si="6"/>
        <v>0</v>
      </c>
    </row>
    <row r="37" spans="2:46">
      <c r="B37" s="211">
        <f t="shared" si="0"/>
        <v>43889</v>
      </c>
      <c r="C37" s="212" t="str">
        <f t="array" ref="C37">IFERROR(TEXT(VLOOKUP($E$5,IF($B$7="KELAPA BULAT",IF(KB[TANGGAL]=B37,KB[[RELASI]:[TANGGAL]],""),IF($B$7="KELAPA BERSABUT",IF(KBS[TANGGAL]=B37,KBS[[RELASI]:[TANGGAL]],""),IF($B$7="KOPRA",IF(KPR[TANGGAL]=B37,KPR[[RELASI]:[TANGGAL]],""),IF($B$7="ARANG",IF(ARG[TANGGAL]=B37,ARG[[RELASI]:[TANGGAL]],""))))),2,0),"0000"),"")</f>
        <v/>
      </c>
      <c r="D37" s="213" t="str">
        <f t="array" ref="D37">IFERROR(TEXT(VLOOKUP($E$5,IF($B$7="KELAPA BULAT",IF(KB[TANGGAL]=B37,KB[[RELASI]:[TANGGAL]],""),IF($B$7="KELAPA BERSABUT",IF(KBS[TANGGAL]=B37,KBS[[RELASI]:[TANGGAL]],""),IF($B$7="KOPRA",IF(KPR[TANGGAL]=B37,KPR[[RELASI]:[TANGGAL]],""),IF($B$7="ARANG",IF(ARG[TANGGAL]=B37,ARG[[RELASI]:[TANGGAL]],""))))),4,0),"000"),"")</f>
        <v/>
      </c>
      <c r="E37" s="1041">
        <f>SUMIFS(KB[TN],KB[RELASI],'rek-bulanan'!$E$5,KB[TANGGAL],'rek-bulanan'!B37,KB[TYPE],"A")</f>
        <v>0</v>
      </c>
      <c r="F37" s="214">
        <f>SUMIFS(KB[BRUTO],KB[RELASI],'rek-bulanan'!$E$5,KB[TANGGAL],'rek-bulanan'!B37,KB[TYPE],"A")</f>
        <v>0</v>
      </c>
      <c r="G37" s="214">
        <f>SUMIFS(KB[TARRA],KB[RELASI],'rek-bulanan'!$E$5,KB[TANGGAL],'rek-bulanan'!B37,KB[TYPE],"A")</f>
        <v>0</v>
      </c>
      <c r="H37" s="214">
        <f>SUMIFS(KB[NETTO],KB[RELASI],'rek-bulanan'!$E$5,KB[TANGGAL],'rek-bulanan'!B37,KB[TYPE],"A")</f>
        <v>0</v>
      </c>
      <c r="I37" s="214">
        <f>SUMIFS(KB[NETTO2],KB[RELASI],'rek-bulanan'!$E$5,KB[TANGGAL],'rek-bulanan'!B37,KB[TYPE],"A")</f>
        <v>0</v>
      </c>
      <c r="J37" s="214" t="str">
        <f t="shared" si="2"/>
        <v/>
      </c>
      <c r="K37" s="215">
        <f>SUMIFS(KB[TPEMBAYARAN],KB[RELASI],'rek-bulanan'!$E$5,KB[TANGGAL],'rek-bulanan'!B37,KB[TYPE],"A")</f>
        <v>0</v>
      </c>
      <c r="L37" s="206"/>
      <c r="M37" s="213" t="str">
        <f t="array" ref="M37">IFERROR(IF($B$7&lt;&gt;"KELAPA BULAT","",TEXT(VLOOKUP($E$5,IF(KB[NK]=VLOOKUP($E$5,IF(KB[TANGGAL]=B37,KB[[RELASI]:[TANGGAL]],""),2,0),IF(KB[TYPE]="B",KB[[RELASI]:[TYPE]],""),""),4,0),"000")),"")</f>
        <v/>
      </c>
      <c r="N37" s="213"/>
      <c r="O37" s="213"/>
      <c r="P37" s="213"/>
      <c r="Q37" s="214">
        <f>SUMIFS(KB[NETTO],KB[RELASI],'rek-bulanan'!$E$5,KB[TANGGAL],'rek-bulanan'!B37,KB[TYPE],"B")</f>
        <v>0</v>
      </c>
      <c r="R37" s="214">
        <f>SUMIFS(KB[NETTO2],KB[RELASI],'rek-bulanan'!$E$5,KB[TANGGAL],'rek-bulanan'!B37,KB[TYPE],"B")</f>
        <v>0</v>
      </c>
      <c r="S37" s="214" t="str">
        <f t="shared" si="7"/>
        <v/>
      </c>
      <c r="T37" s="214">
        <f>SUMIFS(KB[TPEMBAYARAN],KB[RELASI],'rek-bulanan'!$E$5,KB[TANGGAL],'rek-bulanan'!B37,KB[TYPE],"B")</f>
        <v>0</v>
      </c>
      <c r="V37" s="218" t="str">
        <f t="array" ref="V37">IFERROR(TEXT(VLOOKUP($E$5,IF($R$7="KELAPA BULAT",IF(KB[TANGGAL]=B37,KB[[RELASI]:[TANGGAL]],""),IF($R$7="KELAPA BERSABUT",IF(KBS[TANGGAL]=B37,KBS[[RELASI]:[TANGGAL]],""),IF($R$7="KOPRA",IF(KPR[TANGGAL]=B37,KPR[[RELASI]:[TANGGAL]],""),IF($R$7="ARANG",IF(ARG[TANGGAL]=B37,ARG[[RELASI]:[TANGGAL]],""))))),2,0),"0000"),"")</f>
        <v/>
      </c>
      <c r="W37" s="213" t="str">
        <f t="array" ref="W37">IFERROR(TEXT(VLOOKUP($E$5,IF($R$7="KELAPA BULAT",IF(KB[TANGGAL]=B37,KB[[RELASI]:[TANGGAL]],""),IF($R$7="KELAPA BERSABUT",IF(KBS[TANGGAL]=B37,KBS[[RELASI]:[TANGGAL]],""),IF($R$7="KOPRA",IF(KPR[TANGGAL]=B37,KPR[[RELASI]:[TANGGAL]],""),IF($R$7="ARANG",IF(ARG[TANGGAL]=B37,ARG[[RELASI]:[TANGGAL]],""))))),4,0),"000"),"")</f>
        <v/>
      </c>
      <c r="X37" s="213"/>
      <c r="Y37" s="213"/>
      <c r="Z37" s="213"/>
      <c r="AA37" s="214">
        <f>SUMIFS(KPR[NETTO],KPR[RELASI],'rek-bulanan'!$E$5,KPR[TANGGAL],'rek-bulanan'!B37)</f>
        <v>0</v>
      </c>
      <c r="AB37" s="214">
        <f>SUMIFS(KPR[NETTOB],KPR[RELASI],'rek-bulanan'!$E$5,KPR[TANGGAL],'rek-bulanan'!B37)</f>
        <v>0</v>
      </c>
      <c r="AC37" s="214" t="str">
        <f t="shared" si="3"/>
        <v/>
      </c>
      <c r="AD37" s="217">
        <f>SUMIFS(KPR[TPEMBAYARAN],KPR[RELASI],'rek-bulanan'!$E$5,KPR[TANGGAL],'rek-bulanan'!B37)</f>
        <v>0</v>
      </c>
      <c r="AF37" s="218" t="str">
        <f t="array" ref="AF37">IFERROR(TEXT(VLOOKUP($E$5,IF($AB$7="KELAPA BULAT",IF(KB[TANGGAL]=B37,KB[[RELASI]:[TANGGAL]],""),IF($AB$7="KELAPA BERSABUT",IF(KBS[TANGGAL]=B37,KBS[[RELASI]:[TANGGAL]],""),IF($AB$7="KOPRA",IF(KPR[TANGGAL]=B37,KPR[[RELASI]:[TANGGAL]],""),IF($AB$7="ARANG",IF(ARG[TANGGAL]=B37,ARG[[RELASI]:[TANGGAL]],""))))),2,0),"0000"),"")</f>
        <v/>
      </c>
      <c r="AG37" s="213" t="str">
        <f t="array" ref="AG37">IFERROR(TEXT(VLOOKUP($E$5,IF($AB$7="KELAPA BULAT",IF(KB[TANGGAL]=B37,KB[[RELASI]:[TANGGAL]],""),IF($AB$7="KELAPA BERSABUT",IF(KBS[TANGGAL]=B37,KBS[[RELASI]:[TANGGAL]],""),IF($AB$7="KOPRA",IF(KPR[TANGGAL]=B37,KPR[[RELASI]:[TANGGAL]],""),IF($AB$7="ARANG",IF(ARG[TANGGAL]=B37,ARG[[RELASI]:[TANGGAL]],""))))),4,0),"000"),"")</f>
        <v/>
      </c>
      <c r="AH37" s="214">
        <f>SUMIFS(KBS[NETTO2],KBS[RELASI],'rek-bulanan'!$E$5,KBS[TANGGAL],'rek-bulanan'!B37)</f>
        <v>0</v>
      </c>
      <c r="AI37" s="214">
        <f>SUMIFS(KBS[NETTO2],KBS[RELASI],'rek-bulanan'!$E$5,KBS[TANGGAL],'rek-bulanan'!B37)</f>
        <v>0</v>
      </c>
      <c r="AJ37" s="214" t="str">
        <f t="shared" si="4"/>
        <v/>
      </c>
      <c r="AK37" s="217">
        <f>SUMIFS(KBS[TPEMBAYARAN],KBS[RELASI],'rek-bulanan'!$E$5,KBS[TANGGAL],'rek-bulanan'!B37)</f>
        <v>0</v>
      </c>
      <c r="AM37" s="218" t="str">
        <f t="array" ref="AM37">IFERROR(TEXT(VLOOKUP($E$5,IF($B$7="KELAPA BULAT",IF(KB[TANGGAL]=AL37,KB[[RELASI]:[TANGGAL]],""),IF($B$7="KELAPA BERSABUT",IF(KBS[TANGGAL]=AL37,KBS[[RELASI]:[TANGGAL]],""),IF($B$7="KOPRA",IF(KPR[TANGGAL]=AL37,KPR[[RELASI]:[TANGGAL]],""),IF($B$7="ARANG",IF(ARG[TANGGAL]=AL37,ARG[[RELASI]:[TANGGAL]],""))))),2,0),"0000"),"")</f>
        <v/>
      </c>
      <c r="AN37" s="213" t="str">
        <f t="array" ref="AN37">IFERROR(IF($B$7&lt;&gt;"KELAPA BULAT","",TEXT(VLOOKUP($E$5,IF(KB[NK]=VLOOKUP($E$5,IF(KB[TANGGAL]=AE37,KB[[RELASI]:[TANGGAL]],""),2,0),IF(KB[TYPE]="B",KB[[RELASI]:[TYPE]],""),""),4,0),"000")),"")</f>
        <v/>
      </c>
      <c r="AO37" s="214">
        <f>SUMIFS(ARG[NETTO1],ARG[RELASI],'rek-bulanan'!$E$5,ARG[TANGGAL],'rek-bulanan'!B37)</f>
        <v>0</v>
      </c>
      <c r="AP37" s="214">
        <f>SUMIFS(ARG[NETTO3],ARG[RELASI],'rek-bulanan'!$E$5,ARG[TANGGAL],'rek-bulanan'!B37)</f>
        <v>0</v>
      </c>
      <c r="AQ37" s="214" t="str">
        <f t="shared" si="5"/>
        <v/>
      </c>
      <c r="AR37" s="217">
        <f>SUMIFS(ARG[TPEMBAYARAN],ARG[RELASI],'rek-bulanan'!$E$5,ARG[TANGGAL],'rek-bulanan'!B37)</f>
        <v>0</v>
      </c>
      <c r="AT37" s="217">
        <f t="shared" si="6"/>
        <v>0</v>
      </c>
    </row>
    <row r="38" spans="2:46">
      <c r="B38" s="211">
        <f>IFERROR(IF(MONTH(DATE(YEAR(B37),MONTH(B37),DAY(B37)+1))&gt;MONTH(B10),"-",B37+1),"-")</f>
        <v>43890</v>
      </c>
      <c r="C38" s="212" t="str">
        <f t="array" ref="C38">IFERROR(TEXT(VLOOKUP($E$5,IF($B$7="KELAPA BULAT",IF(KB[TANGGAL]=B38,KB[[RELASI]:[TANGGAL]],""),IF($B$7="KELAPA BERSABUT",IF(KBS[TANGGAL]=B38,KBS[[RELASI]:[TANGGAL]],""),IF($B$7="KOPRA",IF(KPR[TANGGAL]=B38,KPR[[RELASI]:[TANGGAL]],""),IF($B$7="ARANG",IF(ARG[TANGGAL]=B38,ARG[[RELASI]:[TANGGAL]],""))))),2,0),"0000"),"")</f>
        <v/>
      </c>
      <c r="D38" s="213" t="str">
        <f t="array" ref="D38">IFERROR(TEXT(VLOOKUP($E$5,IF($B$7="KELAPA BULAT",IF(KB[TANGGAL]=B38,KB[[RELASI]:[TANGGAL]],""),IF($B$7="KELAPA BERSABUT",IF(KBS[TANGGAL]=B38,KBS[[RELASI]:[TANGGAL]],""),IF($B$7="KOPRA",IF(KPR[TANGGAL]=B38,KPR[[RELASI]:[TANGGAL]],""),IF($B$7="ARANG",IF(ARG[TANGGAL]=B38,ARG[[RELASI]:[TANGGAL]],""))))),4,0),"000"),"")</f>
        <v/>
      </c>
      <c r="E38" s="1041">
        <f>SUMIFS(KB[TN],KB[RELASI],'rek-bulanan'!$E$5,KB[TANGGAL],'rek-bulanan'!B38,KB[TYPE],"A")</f>
        <v>0</v>
      </c>
      <c r="F38" s="214">
        <f>SUMIFS(KB[BRUTO],KB[RELASI],'rek-bulanan'!$E$5,KB[TANGGAL],'rek-bulanan'!B38,KB[TYPE],"A")</f>
        <v>0</v>
      </c>
      <c r="G38" s="214">
        <f>SUMIFS(KB[TARRA],KB[RELASI],'rek-bulanan'!$E$5,KB[TANGGAL],'rek-bulanan'!B38,KB[TYPE],"A")</f>
        <v>0</v>
      </c>
      <c r="H38" s="214">
        <f>SUMIFS(KB[NETTO],KB[RELASI],'rek-bulanan'!$E$5,KB[TANGGAL],'rek-bulanan'!B38,KB[TYPE],"A")</f>
        <v>0</v>
      </c>
      <c r="I38" s="214">
        <f>SUMIFS(KB[NETTO2],KB[RELASI],'rek-bulanan'!$E$5,KB[TANGGAL],'rek-bulanan'!B38,KB[TYPE],"A")</f>
        <v>0</v>
      </c>
      <c r="J38" s="214" t="str">
        <f t="shared" si="2"/>
        <v/>
      </c>
      <c r="K38" s="215">
        <f>SUMIFS(KB[TPEMBAYARAN],KB[RELASI],'rek-bulanan'!$E$5,KB[TANGGAL],'rek-bulanan'!B38,KB[TYPE],"A")</f>
        <v>0</v>
      </c>
      <c r="L38" s="206"/>
      <c r="M38" s="213" t="str">
        <f t="array" ref="M38">IFERROR(IF($B$7&lt;&gt;"KELAPA BULAT","",TEXT(VLOOKUP($E$5,IF(KB[NK]=VLOOKUP($E$5,IF(KB[TANGGAL]=B38,KB[[RELASI]:[TANGGAL]],""),2,0),IF(KB[TYPE]="B",KB[[RELASI]:[TYPE]],""),""),4,0),"000")),"")</f>
        <v/>
      </c>
      <c r="N38" s="213"/>
      <c r="O38" s="213"/>
      <c r="P38" s="213"/>
      <c r="Q38" s="214">
        <f>SUMIFS(KB[NETTO],KB[RELASI],'rek-bulanan'!$E$5,KB[TANGGAL],'rek-bulanan'!B38,KB[TYPE],"B")</f>
        <v>0</v>
      </c>
      <c r="R38" s="214">
        <f>SUMIFS(KB[NETTO2],KB[RELASI],'rek-bulanan'!$E$5,KB[TANGGAL],'rek-bulanan'!B38,KB[TYPE],"B")</f>
        <v>0</v>
      </c>
      <c r="S38" s="214" t="str">
        <f t="shared" si="7"/>
        <v/>
      </c>
      <c r="T38" s="214">
        <f>SUMIFS(KB[TPEMBAYARAN],KB[RELASI],'rek-bulanan'!$E$5,KB[TANGGAL],'rek-bulanan'!B38,KB[TYPE],"B")</f>
        <v>0</v>
      </c>
      <c r="V38" s="218" t="str">
        <f t="array" ref="V38">IFERROR(TEXT(VLOOKUP($E$5,IF($R$7="KELAPA BULAT",IF(KB[TANGGAL]=B38,KB[[RELASI]:[TANGGAL]],""),IF($R$7="KELAPA BERSABUT",IF(KBS[TANGGAL]=B38,KBS[[RELASI]:[TANGGAL]],""),IF($R$7="KOPRA",IF(KPR[TANGGAL]=B38,KPR[[RELASI]:[TANGGAL]],""),IF($R$7="ARANG",IF(ARG[TANGGAL]=B38,ARG[[RELASI]:[TANGGAL]],""))))),2,0),"0000"),"")</f>
        <v/>
      </c>
      <c r="W38" s="213" t="str">
        <f t="array" ref="W38">IFERROR(TEXT(VLOOKUP($E$5,IF($R$7="KELAPA BULAT",IF(KB[TANGGAL]=B38,KB[[RELASI]:[TANGGAL]],""),IF($R$7="KELAPA BERSABUT",IF(KBS[TANGGAL]=B38,KBS[[RELASI]:[TANGGAL]],""),IF($R$7="KOPRA",IF(KPR[TANGGAL]=B38,KPR[[RELASI]:[TANGGAL]],""),IF($R$7="ARANG",IF(ARG[TANGGAL]=B38,ARG[[RELASI]:[TANGGAL]],""))))),4,0),"000"),"")</f>
        <v/>
      </c>
      <c r="X38" s="213"/>
      <c r="Y38" s="213"/>
      <c r="Z38" s="213"/>
      <c r="AA38" s="214">
        <f>SUMIFS(KPR[NETTO],KPR[RELASI],'rek-bulanan'!$E$5,KPR[TANGGAL],'rek-bulanan'!B38)</f>
        <v>0</v>
      </c>
      <c r="AB38" s="214">
        <f>SUMIFS(KPR[NETTOB],KPR[RELASI],'rek-bulanan'!$E$5,KPR[TANGGAL],'rek-bulanan'!B38)</f>
        <v>0</v>
      </c>
      <c r="AC38" s="214" t="str">
        <f t="shared" si="3"/>
        <v/>
      </c>
      <c r="AD38" s="217">
        <f>SUMIFS(KPR[TPEMBAYARAN],KPR[RELASI],'rek-bulanan'!$E$5,KPR[TANGGAL],'rek-bulanan'!B38)</f>
        <v>0</v>
      </c>
      <c r="AF38" s="218" t="str">
        <f t="array" ref="AF38">IFERROR(TEXT(VLOOKUP($E$5,IF($AB$7="KELAPA BULAT",IF(KB[TANGGAL]=B38,KB[[RELASI]:[TANGGAL]],""),IF($AB$7="KELAPA BERSABUT",IF(KBS[TANGGAL]=B38,KBS[[RELASI]:[TANGGAL]],""),IF($AB$7="KOPRA",IF(KPR[TANGGAL]=B38,KPR[[RELASI]:[TANGGAL]],""),IF($AB$7="ARANG",IF(ARG[TANGGAL]=B38,ARG[[RELASI]:[TANGGAL]],""))))),2,0),"0000"),"")</f>
        <v/>
      </c>
      <c r="AG38" s="213" t="str">
        <f t="array" ref="AG38">IFERROR(TEXT(VLOOKUP($E$5,IF($AB$7="KELAPA BULAT",IF(KB[TANGGAL]=B38,KB[[RELASI]:[TANGGAL]],""),IF($AB$7="KELAPA BERSABUT",IF(KBS[TANGGAL]=B38,KBS[[RELASI]:[TANGGAL]],""),IF($AB$7="KOPRA",IF(KPR[TANGGAL]=B38,KPR[[RELASI]:[TANGGAL]],""),IF($AB$7="ARANG",IF(ARG[TANGGAL]=B38,ARG[[RELASI]:[TANGGAL]],""))))),4,0),"000"),"")</f>
        <v/>
      </c>
      <c r="AH38" s="214">
        <f>SUMIFS(KBS[NETTO2],KBS[RELASI],'rek-bulanan'!$E$5,KBS[TANGGAL],'rek-bulanan'!B38)</f>
        <v>0</v>
      </c>
      <c r="AI38" s="214">
        <f>SUMIFS(KBS[NETTO2],KBS[RELASI],'rek-bulanan'!$E$5,KBS[TANGGAL],'rek-bulanan'!B38)</f>
        <v>0</v>
      </c>
      <c r="AJ38" s="214" t="str">
        <f t="shared" si="4"/>
        <v/>
      </c>
      <c r="AK38" s="217">
        <f>SUMIFS(KBS[TPEMBAYARAN],KBS[RELASI],'rek-bulanan'!$E$5,KBS[TANGGAL],'rek-bulanan'!B38)</f>
        <v>0</v>
      </c>
      <c r="AM38" s="218" t="str">
        <f t="array" ref="AM38">IFERROR(TEXT(VLOOKUP($E$5,IF($B$7="KELAPA BULAT",IF(KB[TANGGAL]=AL38,KB[[RELASI]:[TANGGAL]],""),IF($B$7="KELAPA BERSABUT",IF(KBS[TANGGAL]=AL38,KBS[[RELASI]:[TANGGAL]],""),IF($B$7="KOPRA",IF(KPR[TANGGAL]=AL38,KPR[[RELASI]:[TANGGAL]],""),IF($B$7="ARANG",IF(ARG[TANGGAL]=AL38,ARG[[RELASI]:[TANGGAL]],""))))),2,0),"0000"),"")</f>
        <v/>
      </c>
      <c r="AN38" s="213" t="str">
        <f t="array" ref="AN38">IFERROR(IF($B$7&lt;&gt;"KELAPA BULAT","",TEXT(VLOOKUP($E$5,IF(KB[NK]=VLOOKUP($E$5,IF(KB[TANGGAL]=AE38,KB[[RELASI]:[TANGGAL]],""),2,0),IF(KB[TYPE]="B",KB[[RELASI]:[TYPE]],""),""),4,0),"000")),"")</f>
        <v/>
      </c>
      <c r="AO38" s="214">
        <f>SUMIFS(ARG[NETTO1],ARG[RELASI],'rek-bulanan'!$E$5,ARG[TANGGAL],'rek-bulanan'!B38)</f>
        <v>0</v>
      </c>
      <c r="AP38" s="214">
        <f>SUMIFS(ARG[NETTO3],ARG[RELASI],'rek-bulanan'!$E$5,ARG[TANGGAL],'rek-bulanan'!B38)</f>
        <v>0</v>
      </c>
      <c r="AQ38" s="214" t="str">
        <f t="shared" si="5"/>
        <v/>
      </c>
      <c r="AR38" s="217">
        <f>SUMIFS(ARG[TPEMBAYARAN],ARG[RELASI],'rek-bulanan'!$E$5,ARG[TANGGAL],'rek-bulanan'!B38)</f>
        <v>0</v>
      </c>
      <c r="AT38" s="217">
        <f t="shared" si="6"/>
        <v>0</v>
      </c>
    </row>
    <row r="39" spans="2:46">
      <c r="B39" s="211" t="str">
        <f t="shared" ref="B39:B40" si="8">IFERROR(IF(MONTH(DATE(YEAR(B38),MONTH(B38),DAY(B38)+1))&gt;MONTH(B11),"-",B38+1),"-")</f>
        <v>-</v>
      </c>
      <c r="C39" s="212" t="str">
        <f t="array" ref="C39">IFERROR(TEXT(VLOOKUP($E$5,IF($B$7="KELAPA BULAT",IF(KB[TANGGAL]=B39,KB[[RELASI]:[TANGGAL]],""),IF($B$7="KELAPA BERSABUT",IF(KBS[TANGGAL]=B39,KBS[[RELASI]:[TANGGAL]],""),IF($B$7="KOPRA",IF(KPR[TANGGAL]=B39,KPR[[RELASI]:[TANGGAL]],""),IF($B$7="ARANG",IF(ARG[TANGGAL]=B39,ARG[[RELASI]:[TANGGAL]],""))))),2,0),"0000"),"")</f>
        <v/>
      </c>
      <c r="D39" s="213" t="str">
        <f t="array" ref="D39">IFERROR(TEXT(VLOOKUP($E$5,IF($B$7="KELAPA BULAT",IF(KB[TANGGAL]=B39,KB[[RELASI]:[TANGGAL]],""),IF($B$7="KELAPA BERSABUT",IF(KBS[TANGGAL]=B39,KBS[[RELASI]:[TANGGAL]],""),IF($B$7="KOPRA",IF(KPR[TANGGAL]=B39,KPR[[RELASI]:[TANGGAL]],""),IF($B$7="ARANG",IF(ARG[TANGGAL]=B39,ARG[[RELASI]:[TANGGAL]],""))))),4,0),"000"),"")</f>
        <v/>
      </c>
      <c r="E39" s="1041">
        <f>SUMIFS(KB[TN],KB[RELASI],'rek-bulanan'!$E$5,KB[TANGGAL],'rek-bulanan'!B39,KB[TYPE],"A")</f>
        <v>0</v>
      </c>
      <c r="F39" s="214">
        <f>SUMIFS(KB[BRUTO],KB[RELASI],'rek-bulanan'!$E$5,KB[TANGGAL],'rek-bulanan'!B39,KB[TYPE],"A")</f>
        <v>0</v>
      </c>
      <c r="G39" s="214">
        <f>SUMIFS(KB[TARRA],KB[RELASI],'rek-bulanan'!$E$5,KB[TANGGAL],'rek-bulanan'!B39,KB[TYPE],"A")</f>
        <v>0</v>
      </c>
      <c r="H39" s="214">
        <f>SUMIFS(KB[NETTO],KB[RELASI],'rek-bulanan'!$E$5,KB[TANGGAL],'rek-bulanan'!B39,KB[TYPE],"A")</f>
        <v>0</v>
      </c>
      <c r="I39" s="214">
        <f>SUMIFS(KB[NETTO2],KB[RELASI],'rek-bulanan'!$E$5,KB[TANGGAL],'rek-bulanan'!B39,KB[TYPE],"A")</f>
        <v>0</v>
      </c>
      <c r="J39" s="214" t="str">
        <f t="shared" si="2"/>
        <v/>
      </c>
      <c r="K39" s="215">
        <f>SUMIFS(KB[TPEMBAYARAN],KB[RELASI],'rek-bulanan'!$E$5,KB[TANGGAL],'rek-bulanan'!B39,KB[TYPE],"A")</f>
        <v>0</v>
      </c>
      <c r="L39" s="206"/>
      <c r="M39" s="213" t="str">
        <f t="array" ref="M39">IFERROR(IF($B$7&lt;&gt;"KELAPA BULAT","",TEXT(VLOOKUP($E$5,IF(KB[NK]=VLOOKUP($E$5,IF(KB[TANGGAL]=B39,KB[[RELASI]:[TANGGAL]],""),2,0),IF(KB[TYPE]="B",KB[[RELASI]:[TYPE]],""),""),4,0),"000")),"")</f>
        <v/>
      </c>
      <c r="N39" s="213"/>
      <c r="O39" s="213"/>
      <c r="P39" s="213"/>
      <c r="Q39" s="214">
        <f>SUMIFS(KB[NETTO],KB[RELASI],'rek-bulanan'!$E$5,KB[TANGGAL],'rek-bulanan'!B39,KB[TYPE],"B")</f>
        <v>0</v>
      </c>
      <c r="R39" s="214">
        <f>SUMIFS(KB[NETTO2],KB[RELASI],'rek-bulanan'!$E$5,KB[TANGGAL],'rek-bulanan'!B39,KB[TYPE],"B")</f>
        <v>0</v>
      </c>
      <c r="S39" s="214" t="str">
        <f t="shared" si="7"/>
        <v/>
      </c>
      <c r="T39" s="214">
        <f>SUMIFS(KB[TPEMBAYARAN],KB[RELASI],'rek-bulanan'!$E$5,KB[TANGGAL],'rek-bulanan'!B39,KB[TYPE],"B")</f>
        <v>0</v>
      </c>
      <c r="V39" s="218" t="str">
        <f t="array" ref="V39">IFERROR(TEXT(VLOOKUP($E$5,IF($R$7="KELAPA BULAT",IF(KB[TANGGAL]=B39,KB[[RELASI]:[TANGGAL]],""),IF($R$7="KELAPA BERSABUT",IF(KBS[TANGGAL]=B39,KBS[[RELASI]:[TANGGAL]],""),IF($R$7="KOPRA",IF(KPR[TANGGAL]=B39,KPR[[RELASI]:[TANGGAL]],""),IF($R$7="ARANG",IF(ARG[TANGGAL]=B39,ARG[[RELASI]:[TANGGAL]],""))))),2,0),"0000"),"")</f>
        <v/>
      </c>
      <c r="W39" s="213" t="str">
        <f t="array" ref="W39">IFERROR(TEXT(VLOOKUP($E$5,IF($R$7="KELAPA BULAT",IF(KB[TANGGAL]=B39,KB[[RELASI]:[TANGGAL]],""),IF($R$7="KELAPA BERSABUT",IF(KBS[TANGGAL]=B39,KBS[[RELASI]:[TANGGAL]],""),IF($R$7="KOPRA",IF(KPR[TANGGAL]=B39,KPR[[RELASI]:[TANGGAL]],""),IF($R$7="ARANG",IF(ARG[TANGGAL]=B39,ARG[[RELASI]:[TANGGAL]],""))))),4,0),"000"),"")</f>
        <v/>
      </c>
      <c r="X39" s="213"/>
      <c r="Y39" s="213"/>
      <c r="Z39" s="213"/>
      <c r="AA39" s="214">
        <f>SUMIFS(KPR[NETTO],KPR[RELASI],'rek-bulanan'!$E$5,KPR[TANGGAL],'rek-bulanan'!B39)</f>
        <v>0</v>
      </c>
      <c r="AB39" s="214">
        <f>SUMIFS(KPR[NETTOB],KPR[RELASI],'rek-bulanan'!$E$5,KPR[TANGGAL],'rek-bulanan'!B39)</f>
        <v>0</v>
      </c>
      <c r="AC39" s="214" t="str">
        <f t="shared" si="3"/>
        <v/>
      </c>
      <c r="AD39" s="217">
        <f>SUMIFS(KPR[TPEMBAYARAN],KPR[RELASI],'rek-bulanan'!$E$5,KPR[TANGGAL],'rek-bulanan'!B39)</f>
        <v>0</v>
      </c>
      <c r="AF39" s="218" t="str">
        <f t="array" ref="AF39">IFERROR(TEXT(VLOOKUP($E$5,IF($AB$7="KELAPA BULAT",IF(KB[TANGGAL]=B39,KB[[RELASI]:[TANGGAL]],""),IF($AB$7="KELAPA BERSABUT",IF(KBS[TANGGAL]=B39,KBS[[RELASI]:[TANGGAL]],""),IF($AB$7="KOPRA",IF(KPR[TANGGAL]=B39,KPR[[RELASI]:[TANGGAL]],""),IF($AB$7="ARANG",IF(ARG[TANGGAL]=B39,ARG[[RELASI]:[TANGGAL]],""))))),2,0),"0000"),"")</f>
        <v/>
      </c>
      <c r="AG39" s="213" t="str">
        <f t="array" ref="AG39">IFERROR(TEXT(VLOOKUP($E$5,IF($AB$7="KELAPA BULAT",IF(KB[TANGGAL]=B39,KB[[RELASI]:[TANGGAL]],""),IF($AB$7="KELAPA BERSABUT",IF(KBS[TANGGAL]=B39,KBS[[RELASI]:[TANGGAL]],""),IF($AB$7="KOPRA",IF(KPR[TANGGAL]=B39,KPR[[RELASI]:[TANGGAL]],""),IF($AB$7="ARANG",IF(ARG[TANGGAL]=B39,ARG[[RELASI]:[TANGGAL]],""))))),4,0),"000"),"")</f>
        <v/>
      </c>
      <c r="AH39" s="214">
        <f>SUMIFS(KBS[NETTO2],KBS[RELASI],'rek-bulanan'!$E$5,KBS[TANGGAL],'rek-bulanan'!B39)</f>
        <v>0</v>
      </c>
      <c r="AI39" s="214">
        <f>SUMIFS(KBS[NETTO2],KBS[RELASI],'rek-bulanan'!$E$5,KBS[TANGGAL],'rek-bulanan'!B39)</f>
        <v>0</v>
      </c>
      <c r="AJ39" s="214" t="str">
        <f t="shared" si="4"/>
        <v/>
      </c>
      <c r="AK39" s="217">
        <f>SUMIFS(KBS[TPEMBAYARAN],KBS[RELASI],'rek-bulanan'!$E$5,KBS[TANGGAL],'rek-bulanan'!B39)</f>
        <v>0</v>
      </c>
      <c r="AM39" s="218" t="str">
        <f t="array" ref="AM39">IFERROR(TEXT(VLOOKUP($E$5,IF($B$7="KELAPA BULAT",IF(KB[TANGGAL]=AL39,KB[[RELASI]:[TANGGAL]],""),IF($B$7="KELAPA BERSABUT",IF(KBS[TANGGAL]=AL39,KBS[[RELASI]:[TANGGAL]],""),IF($B$7="KOPRA",IF(KPR[TANGGAL]=AL39,KPR[[RELASI]:[TANGGAL]],""),IF($B$7="ARANG",IF(ARG[TANGGAL]=AL39,ARG[[RELASI]:[TANGGAL]],""))))),2,0),"0000"),"")</f>
        <v/>
      </c>
      <c r="AN39" s="213" t="str">
        <f t="array" ref="AN39">IFERROR(IF($B$7&lt;&gt;"KELAPA BULAT","",TEXT(VLOOKUP($E$5,IF(KB[NK]=VLOOKUP($E$5,IF(KB[TANGGAL]=AE39,KB[[RELASI]:[TANGGAL]],""),2,0),IF(KB[TYPE]="B",KB[[RELASI]:[TYPE]],""),""),4,0),"000")),"")</f>
        <v/>
      </c>
      <c r="AO39" s="214">
        <f>SUMIFS(ARG[NETTO1],ARG[RELASI],'rek-bulanan'!$E$5,ARG[TANGGAL],'rek-bulanan'!B39)</f>
        <v>0</v>
      </c>
      <c r="AP39" s="214">
        <f>SUMIFS(ARG[NETTO3],ARG[RELASI],'rek-bulanan'!$E$5,ARG[TANGGAL],'rek-bulanan'!B39)</f>
        <v>0</v>
      </c>
      <c r="AQ39" s="214" t="str">
        <f t="shared" si="5"/>
        <v/>
      </c>
      <c r="AR39" s="217">
        <f>SUMIFS(ARG[TPEMBAYARAN],ARG[RELASI],'rek-bulanan'!$E$5,ARG[TANGGAL],'rek-bulanan'!B39)</f>
        <v>0</v>
      </c>
      <c r="AT39" s="217">
        <f t="shared" si="6"/>
        <v>0</v>
      </c>
    </row>
    <row r="40" spans="2:46">
      <c r="B40" s="211" t="str">
        <f t="shared" si="8"/>
        <v>-</v>
      </c>
      <c r="C40" s="219" t="str">
        <f t="array" ref="C40">IFERROR(TEXT(VLOOKUP($E$5,IF($B$7="KELAPA BULAT",IF(KB[TANGGAL]=B40,KB[[RELASI]:[TANGGAL]],""),IF($B$7="KELAPA BERSABUT",IF(KBS[TANGGAL]=B40,KBS[[RELASI]:[TANGGAL]],""),IF($B$7="KOPRA",IF(KPR[TANGGAL]=B40,KPR[[RELASI]:[TANGGAL]],""),IF($B$7="ARANG",IF(ARG[TANGGAL]=B40,ARG[[RELASI]:[TANGGAL]],""))))),2,0),"0000"),"")</f>
        <v/>
      </c>
      <c r="D40" s="213" t="str">
        <f t="array" ref="D40">IFERROR(TEXT(VLOOKUP($E$5,IF($B$7="KELAPA BULAT",IF(KB[TANGGAL]=B40,KB[[RELASI]:[TANGGAL]],""),IF($B$7="KELAPA BERSABUT",IF(KBS[TANGGAL]=B40,KBS[[RELASI]:[TANGGAL]],""),IF($B$7="KOPRA",IF(KPR[TANGGAL]=B40,KPR[[RELASI]:[TANGGAL]],""),IF($B$7="ARANG",IF(ARG[TANGGAL]=B40,ARG[[RELASI]:[TANGGAL]],""))))),4,0),"000"),"")</f>
        <v/>
      </c>
      <c r="E40" s="1041">
        <f>SUMIFS(KB[TN],KB[RELASI],'rek-bulanan'!$E$5,KB[TANGGAL],'rek-bulanan'!B40,KB[TYPE],"A")</f>
        <v>0</v>
      </c>
      <c r="F40" s="214">
        <f>SUMIFS(KB[BRUTO],KB[RELASI],'rek-bulanan'!$E$5,KB[TANGGAL],'rek-bulanan'!B40,KB[TYPE],"A")</f>
        <v>0</v>
      </c>
      <c r="G40" s="214">
        <f>SUMIFS(KB[TARRA],KB[RELASI],'rek-bulanan'!$E$5,KB[TANGGAL],'rek-bulanan'!B40,KB[TYPE],"A")</f>
        <v>0</v>
      </c>
      <c r="H40" s="214">
        <f>SUMIFS(KB[NETTO],KB[RELASI],'rek-bulanan'!$E$5,KB[TANGGAL],'rek-bulanan'!B40,KB[TYPE],"A")</f>
        <v>0</v>
      </c>
      <c r="I40" s="214">
        <f>SUMIFS(KB[NETTO2],KB[RELASI],'rek-bulanan'!$E$5,KB[TANGGAL],'rek-bulanan'!B40,KB[TYPE],"A")</f>
        <v>0</v>
      </c>
      <c r="J40" s="214" t="str">
        <f t="shared" si="2"/>
        <v/>
      </c>
      <c r="K40" s="215">
        <f>SUMIFS(KB[TPEMBAYARAN],KB[RELASI],'rek-bulanan'!$E$5,KB[TANGGAL],'rek-bulanan'!B40,KB[TYPE],"A")</f>
        <v>0</v>
      </c>
      <c r="L40" s="221"/>
      <c r="M40" s="213" t="str">
        <f t="array" ref="M40">IFERROR(IF($B$7&lt;&gt;"KELAPA BULAT","",TEXT(VLOOKUP($E$5,IF(KB[NK]=VLOOKUP($E$5,IF(KB[TANGGAL]=B40,KB[[RELASI]:[TANGGAL]],""),2,0),IF(KB[TYPE]="B",KB[[RELASI]:[TYPE]],""),""),4,0),"000")),"")</f>
        <v/>
      </c>
      <c r="N40" s="213"/>
      <c r="O40" s="213"/>
      <c r="P40" s="213"/>
      <c r="Q40" s="214">
        <f>SUMIFS(KB[NETTO],KB[RELASI],'rek-bulanan'!$E$5,KB[TANGGAL],'rek-bulanan'!B40,KB[TYPE],"B")</f>
        <v>0</v>
      </c>
      <c r="R40" s="214">
        <f>SUMIFS(KB[NETTO2],KB[RELASI],'rek-bulanan'!$E$5,KB[TANGGAL],'rek-bulanan'!B40,KB[TYPE],"B")</f>
        <v>0</v>
      </c>
      <c r="S40" s="214" t="str">
        <f t="shared" si="7"/>
        <v/>
      </c>
      <c r="T40" s="214">
        <f>SUMIFS(KB[TPEMBAYARAN],KB[RELASI],'rek-bulanan'!$E$5,KB[TANGGAL],'rek-bulanan'!B40,KB[TYPE],"B")</f>
        <v>0</v>
      </c>
      <c r="V40" s="222" t="str">
        <f t="array" ref="V40">IFERROR(TEXT(VLOOKUP($E$5,IF($R$7="KELAPA BULAT",IF(KB[TANGGAL]=B40,KB[[RELASI]:[TANGGAL]],""),IF($R$7="KELAPA BERSABUT",IF(KBS[TANGGAL]=B40,KBS[[RELASI]:[TANGGAL]],""),IF($R$7="KOPRA",IF(KPR[TANGGAL]=B40,KPR[[RELASI]:[TANGGAL]],""),IF($R$7="ARANG",IF(ARG[TANGGAL]=B40,ARG[[RELASI]:[TANGGAL]],""))))),2,0),"0000"),"")</f>
        <v/>
      </c>
      <c r="W40" s="213" t="str">
        <f t="array" ref="W40">IFERROR(TEXT(VLOOKUP($E$5,IF($R$7="KELAPA BULAT",IF(KB[TANGGAL]=B40,KB[[RELASI]:[TANGGAL]],""),IF($R$7="KELAPA BERSABUT",IF(KBS[TANGGAL]=B40,KBS[[RELASI]:[TANGGAL]],""),IF($R$7="KOPRA",IF(KPR[TANGGAL]=B40,KPR[[RELASI]:[TANGGAL]],""),IF($R$7="ARANG",IF(ARG[TANGGAL]=B40,ARG[[RELASI]:[TANGGAL]],""))))),4,0),"000"),"")</f>
        <v/>
      </c>
      <c r="X40" s="213"/>
      <c r="Y40" s="213"/>
      <c r="Z40" s="213"/>
      <c r="AA40" s="214">
        <f>SUMIFS(KPR[NETTO],KPR[RELASI],'rek-bulanan'!$E$5,KPR[TANGGAL],'rek-bulanan'!B40)</f>
        <v>0</v>
      </c>
      <c r="AB40" s="214">
        <f>SUMIFS(KPR[NETTOB],KPR[RELASI],'rek-bulanan'!$E$5,KPR[TANGGAL],'rek-bulanan'!B40)</f>
        <v>0</v>
      </c>
      <c r="AC40" s="214" t="str">
        <f t="shared" si="3"/>
        <v/>
      </c>
      <c r="AD40" s="217">
        <f>SUMIFS(KPR[TPEMBAYARAN],KPR[RELASI],'rek-bulanan'!$E$5,KPR[TANGGAL],'rek-bulanan'!B40)</f>
        <v>0</v>
      </c>
      <c r="AF40" s="222" t="str">
        <f t="array" ref="AF40">IFERROR(TEXT(VLOOKUP($E$5,IF($AB$7="KELAPA BULAT",IF(KB[TANGGAL]=B40,KB[[RELASI]:[TANGGAL]],""),IF($AB$7="KELAPA BERSABUT",IF(KBS[TANGGAL]=B40,KBS[[RELASI]:[TANGGAL]],""),IF($AB$7="KOPRA",IF(KPR[TANGGAL]=B40,KPR[[RELASI]:[TANGGAL]],""),IF($AB$7="ARANG",IF(ARG[TANGGAL]=B40,ARG[[RELASI]:[TANGGAL]],""))))),2,0),"0000"),"")</f>
        <v/>
      </c>
      <c r="AG40" s="213" t="str">
        <f t="array" ref="AG40">IFERROR(TEXT(VLOOKUP($E$5,IF($AB$7="KELAPA BULAT",IF(KB[TANGGAL]=B40,KB[[RELASI]:[TANGGAL]],""),IF($AB$7="KELAPA BERSABUT",IF(KBS[TANGGAL]=B40,KBS[[RELASI]:[TANGGAL]],""),IF($AB$7="KOPRA",IF(KPR[TANGGAL]=B40,KPR[[RELASI]:[TANGGAL]],""),IF($AB$7="ARANG",IF(ARG[TANGGAL]=B40,ARG[[RELASI]:[TANGGAL]],""))))),4,0),"000"),"")</f>
        <v/>
      </c>
      <c r="AH40" s="214">
        <f>SUMIFS(KBS[NETTO2],KBS[RELASI],'rek-bulanan'!$E$5,KBS[TANGGAL],'rek-bulanan'!B40)</f>
        <v>0</v>
      </c>
      <c r="AI40" s="214">
        <f>SUMIFS(KBS[NETTO2],KBS[RELASI],'rek-bulanan'!$E$5,KBS[TANGGAL],'rek-bulanan'!B40)</f>
        <v>0</v>
      </c>
      <c r="AJ40" s="214" t="str">
        <f t="shared" si="4"/>
        <v/>
      </c>
      <c r="AK40" s="217">
        <f>SUMIFS(KBS[TPEMBAYARAN],KBS[RELASI],'rek-bulanan'!$E$5,KBS[TANGGAL],'rek-bulanan'!B40)</f>
        <v>0</v>
      </c>
      <c r="AM40" s="222" t="str">
        <f t="array" ref="AM40">IFERROR(TEXT(VLOOKUP($E$5,IF($B$7="KELAPA BULAT",IF(KB[TANGGAL]=AL40,KB[[RELASI]:[TANGGAL]],""),IF($B$7="KELAPA BERSABUT",IF(KBS[TANGGAL]=AL40,KBS[[RELASI]:[TANGGAL]],""),IF($B$7="KOPRA",IF(KPR[TANGGAL]=AL40,KPR[[RELASI]:[TANGGAL]],""),IF($B$7="ARANG",IF(ARG[TANGGAL]=AL40,ARG[[RELASI]:[TANGGAL]],""))))),2,0),"0000"),"")</f>
        <v/>
      </c>
      <c r="AN40" s="220" t="str">
        <f t="array" ref="AN40">IFERROR(IF($B$7&lt;&gt;"KELAPA BULAT","",TEXT(VLOOKUP($E$5,IF(KB[NK]=VLOOKUP($E$5,IF(KB[TANGGAL]=AE40,KB[[RELASI]:[TANGGAL]],""),2,0),IF(KB[TYPE]="B",KB[[RELASI]:[TYPE]],""),""),4,0),"000")),"")</f>
        <v/>
      </c>
      <c r="AO40" s="214">
        <f>SUMIFS(ARG[NETTO1],ARG[RELASI],'rek-bulanan'!$E$5,ARG[TANGGAL],'rek-bulanan'!B40)</f>
        <v>0</v>
      </c>
      <c r="AP40" s="214">
        <f>SUMIFS(ARG[NETTO3],ARG[RELASI],'rek-bulanan'!$E$5,ARG[TANGGAL],'rek-bulanan'!B40)</f>
        <v>0</v>
      </c>
      <c r="AQ40" s="214" t="str">
        <f t="shared" si="5"/>
        <v/>
      </c>
      <c r="AR40" s="217">
        <f>SUMIFS(ARG[TPEMBAYARAN],ARG[RELASI],'rek-bulanan'!$E$5,ARG[TANGGAL],'rek-bulanan'!B40)</f>
        <v>0</v>
      </c>
      <c r="AT40" s="217">
        <f t="shared" si="6"/>
        <v>0</v>
      </c>
    </row>
    <row r="41" spans="2:46" ht="9.75" customHeight="1" thickBot="1">
      <c r="B41" s="223"/>
      <c r="C41" s="224"/>
      <c r="D41" s="224"/>
      <c r="E41" s="224"/>
      <c r="F41" s="224"/>
      <c r="G41" s="224"/>
      <c r="H41" s="224"/>
      <c r="I41" s="225"/>
      <c r="J41" s="225"/>
      <c r="K41" s="226"/>
      <c r="L41" s="206"/>
      <c r="M41" s="227"/>
      <c r="N41" s="227"/>
      <c r="O41" s="227"/>
      <c r="P41" s="227"/>
      <c r="Q41" s="227"/>
      <c r="R41" s="228"/>
      <c r="S41" s="228"/>
      <c r="T41" s="228"/>
      <c r="V41" s="229"/>
      <c r="W41" s="230"/>
      <c r="X41" s="230"/>
      <c r="Y41" s="230"/>
      <c r="Z41" s="230"/>
      <c r="AA41" s="230"/>
      <c r="AB41" s="230"/>
      <c r="AC41" s="230"/>
      <c r="AD41" s="231"/>
      <c r="AF41" s="229"/>
      <c r="AG41" s="230"/>
      <c r="AH41" s="230"/>
      <c r="AI41" s="230"/>
      <c r="AJ41" s="230"/>
      <c r="AK41" s="231"/>
      <c r="AM41" s="229"/>
      <c r="AN41" s="230"/>
      <c r="AO41" s="230"/>
      <c r="AP41" s="230"/>
      <c r="AQ41" s="230"/>
      <c r="AR41" s="231"/>
      <c r="AT41" s="231"/>
    </row>
    <row r="42" spans="2:46" ht="26.25" customHeight="1" thickTop="1" thickBot="1">
      <c r="B42" s="232" t="s">
        <v>68</v>
      </c>
      <c r="C42" s="233"/>
      <c r="D42" s="233"/>
      <c r="E42" s="233"/>
      <c r="F42" s="233"/>
      <c r="G42" s="233"/>
      <c r="H42" s="234">
        <f>SUM(H10:H40)</f>
        <v>57280</v>
      </c>
      <c r="I42" s="234">
        <f>SUM(I10:I40)</f>
        <v>54416</v>
      </c>
      <c r="J42" s="234">
        <f>K42/I42</f>
        <v>2882.8537378712144</v>
      </c>
      <c r="K42" s="235">
        <f t="shared" ref="K42" si="9">SUM(K10:K40)</f>
        <v>156873369</v>
      </c>
      <c r="L42" s="236"/>
      <c r="M42" s="237"/>
      <c r="N42" s="237"/>
      <c r="O42" s="237"/>
      <c r="P42" s="237"/>
      <c r="Q42" s="237"/>
      <c r="R42" s="234">
        <f t="shared" ref="R42:T42" si="10">SUM(R10:R40)</f>
        <v>0</v>
      </c>
      <c r="S42" s="234" t="str">
        <f t="shared" ref="S42" si="11">IFERROR(T42/R42,"")</f>
        <v/>
      </c>
      <c r="T42" s="234">
        <f t="shared" si="10"/>
        <v>0</v>
      </c>
      <c r="V42" s="232"/>
      <c r="W42" s="233"/>
      <c r="X42" s="233"/>
      <c r="Y42" s="233"/>
      <c r="Z42" s="233"/>
      <c r="AA42" s="234">
        <f t="shared" ref="AA42" si="12">SUM(AA10:AA40)</f>
        <v>0</v>
      </c>
      <c r="AB42" s="234"/>
      <c r="AC42" s="234" t="str">
        <f t="shared" ref="AC42" si="13">IFERROR(AD42/AA42,"")</f>
        <v/>
      </c>
      <c r="AD42" s="238">
        <f t="shared" ref="AD42" si="14">SUM(AD10:AD40)</f>
        <v>0</v>
      </c>
      <c r="AF42" s="232"/>
      <c r="AG42" s="233"/>
      <c r="AH42" s="234">
        <f t="shared" ref="AH42" si="15">SUM(AH10:AH40)</f>
        <v>0</v>
      </c>
      <c r="AI42" s="234"/>
      <c r="AJ42" s="234" t="str">
        <f t="shared" ref="AJ42" si="16">IFERROR(AK42/AH42,"")</f>
        <v/>
      </c>
      <c r="AK42" s="238">
        <f t="shared" ref="AK42" si="17">SUM(AK10:AK40)</f>
        <v>0</v>
      </c>
      <c r="AM42" s="239"/>
      <c r="AN42" s="240"/>
      <c r="AO42" s="241">
        <f t="shared" ref="AO42" si="18">SUM(AO10:AO40)</f>
        <v>0</v>
      </c>
      <c r="AP42" s="241"/>
      <c r="AQ42" s="234" t="str">
        <f t="shared" ref="AQ42" si="19">IFERROR(AR42/AO42,"")</f>
        <v/>
      </c>
      <c r="AR42" s="242">
        <f t="shared" ref="AR42:AT42" si="20">SUM(AR10:AR40)</f>
        <v>0</v>
      </c>
      <c r="AT42" s="242">
        <f t="shared" si="20"/>
        <v>156873369</v>
      </c>
    </row>
    <row r="43" spans="2:46" ht="15.75" thickTop="1"/>
  </sheetData>
  <mergeCells count="3">
    <mergeCell ref="E2:H2"/>
    <mergeCell ref="E3:H3"/>
    <mergeCell ref="E5:H5"/>
  </mergeCells>
  <conditionalFormatting sqref="M13:P40 W13:Z40 AG13:AG40 AN13:AN40">
    <cfRule type="expression" dxfId="81" priority="2">
      <formula>IF(M13="","",IF(COUNTIFS(J13:J43,M13)&gt;1,TRUE,FALSE))</formula>
    </cfRule>
  </conditionalFormatting>
  <conditionalFormatting sqref="D10:D40">
    <cfRule type="expression" dxfId="80" priority="4">
      <formula>IF(D10="","",IF(COUNTIFS(D10:D39,D10)&gt;1,TRUE,FALSE))</formula>
    </cfRule>
  </conditionalFormatting>
  <dataValidations count="3">
    <dataValidation type="list" allowBlank="1" showInputMessage="1" showErrorMessage="1" sqref="E5">
      <formula1>SUPPLIER</formula1>
    </dataValidation>
    <dataValidation type="whole" allowBlank="1" showInputMessage="1" showErrorMessage="1" sqref="E3">
      <formula1>1</formula1>
      <formula2>12</formula2>
    </dataValidation>
    <dataValidation type="list" allowBlank="1" showInputMessage="1" showErrorMessage="1" sqref="B7 AO5 AI7 AH5 AB7 AQ5 Q5 AA5 R7">
      <formula1>"KELAPA BULAT,KELAPA BERSABUT,KOPRA,ARANG,"</formula1>
    </dataValidation>
  </dataValidations>
  <pageMargins left="0.7" right="0.7" top="0.75" bottom="0.75" header="0.3" footer="0.3"/>
  <pageSetup orientation="portrait" horizontalDpi="180" verticalDpi="18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>
    <tabColor theme="9" tint="-0.499984740745262"/>
  </sheetPr>
  <dimension ref="A1:AK43"/>
  <sheetViews>
    <sheetView zoomScale="85" zoomScaleNormal="85" workbookViewId="0">
      <pane xSplit="2" ySplit="6" topLeftCell="C7" activePane="bottomRight" state="frozen"/>
      <selection activeCell="G21" sqref="G21"/>
      <selection pane="topRight" activeCell="G21" sqref="G21"/>
      <selection pane="bottomLeft" activeCell="G21" sqref="G21"/>
      <selection pane="bottomRight" activeCell="G15" sqref="G15"/>
    </sheetView>
  </sheetViews>
  <sheetFormatPr defaultRowHeight="15"/>
  <cols>
    <col min="1" max="1" width="6.5703125" style="172" customWidth="1"/>
    <col min="2" max="2" width="15.7109375" style="172" customWidth="1"/>
    <col min="3" max="3" width="6" style="202" customWidth="1"/>
    <col min="4" max="4" width="5.5703125" style="202" bestFit="1" customWidth="1"/>
    <col min="5" max="6" width="13.7109375" style="172" customWidth="1"/>
    <col min="7" max="7" width="10.7109375" style="172" bestFit="1" customWidth="1"/>
    <col min="8" max="8" width="19.28515625" style="173" customWidth="1"/>
    <col min="9" max="9" width="4.28515625" style="173" customWidth="1"/>
    <col min="10" max="10" width="7.42578125" style="173" customWidth="1"/>
    <col min="11" max="11" width="11.85546875" style="173" bestFit="1" customWidth="1"/>
    <col min="12" max="12" width="12" style="173" customWidth="1"/>
    <col min="13" max="13" width="10.140625" style="173" bestFit="1" customWidth="1"/>
    <col min="14" max="14" width="19.28515625" style="173" customWidth="1"/>
    <col min="15" max="15" width="4.28515625" style="202" customWidth="1"/>
    <col min="16" max="17" width="7.42578125" style="173" customWidth="1"/>
    <col min="18" max="19" width="12" style="173" customWidth="1"/>
    <col min="20" max="20" width="19" style="173" customWidth="1"/>
    <col min="21" max="21" width="19.28515625" style="173" customWidth="1"/>
    <col min="22" max="22" width="4.28515625" style="202" customWidth="1"/>
    <col min="23" max="24" width="7.42578125" style="173" customWidth="1"/>
    <col min="25" max="26" width="12" style="173" customWidth="1"/>
    <col min="27" max="27" width="19" style="173" customWidth="1"/>
    <col min="28" max="28" width="19.28515625" style="173" customWidth="1"/>
    <col min="29" max="29" width="4.28515625" style="202" customWidth="1"/>
    <col min="30" max="31" width="7.42578125" style="173" customWidth="1"/>
    <col min="32" max="33" width="12" style="173" customWidth="1"/>
    <col min="34" max="34" width="19" style="173" customWidth="1"/>
    <col min="35" max="35" width="19.28515625" style="173" customWidth="1"/>
    <col min="36" max="36" width="2.42578125" style="173" customWidth="1"/>
    <col min="37" max="37" width="24.28515625" style="173" bestFit="1" customWidth="1"/>
    <col min="38" max="16384" width="9.140625" style="173"/>
  </cols>
  <sheetData>
    <row r="1" spans="1:37" ht="8.25" customHeight="1">
      <c r="C1" s="172"/>
      <c r="D1" s="172"/>
      <c r="O1" s="172"/>
      <c r="V1" s="172"/>
      <c r="AC1" s="172"/>
    </row>
    <row r="2" spans="1:37" ht="26.25">
      <c r="B2" s="174" t="s">
        <v>281</v>
      </c>
      <c r="C2" s="175"/>
      <c r="D2" s="176" t="s">
        <v>287</v>
      </c>
      <c r="E2" s="1092">
        <v>2020</v>
      </c>
      <c r="F2" s="1093"/>
      <c r="G2" s="1093"/>
      <c r="H2" s="1093"/>
      <c r="O2" s="172"/>
      <c r="V2" s="172"/>
      <c r="AC2" s="172"/>
    </row>
    <row r="3" spans="1:37" ht="36">
      <c r="B3" s="174" t="s">
        <v>282</v>
      </c>
      <c r="C3" s="175"/>
      <c r="D3" s="176" t="s">
        <v>287</v>
      </c>
      <c r="E3" s="1094">
        <v>3</v>
      </c>
      <c r="F3" s="1095"/>
      <c r="G3" s="1095"/>
      <c r="H3" s="1095"/>
      <c r="O3" s="172"/>
      <c r="V3" s="172"/>
      <c r="AC3" s="172"/>
    </row>
    <row r="4" spans="1:37" ht="3.75" customHeight="1">
      <c r="B4" s="177"/>
      <c r="C4" s="178"/>
      <c r="D4" s="176"/>
      <c r="E4" s="179"/>
      <c r="F4" s="178"/>
      <c r="G4" s="180"/>
      <c r="O4" s="172"/>
      <c r="V4" s="172"/>
      <c r="AC4" s="172"/>
    </row>
    <row r="5" spans="1:37" ht="26.25">
      <c r="B5" s="174" t="s">
        <v>86</v>
      </c>
      <c r="C5" s="175"/>
      <c r="D5" s="176" t="s">
        <v>287</v>
      </c>
      <c r="E5" s="1092" t="s">
        <v>137</v>
      </c>
      <c r="F5" s="1093"/>
      <c r="G5" s="1093"/>
      <c r="H5" s="1093"/>
      <c r="O5" s="172"/>
      <c r="U5" s="181"/>
      <c r="V5" s="172"/>
      <c r="AB5" s="181"/>
      <c r="AC5" s="172"/>
      <c r="AI5" s="181"/>
      <c r="AK5" s="181"/>
    </row>
    <row r="6" spans="1:37" s="186" customFormat="1" ht="8.25" customHeight="1">
      <c r="A6" s="182"/>
      <c r="B6" s="183"/>
      <c r="C6" s="184"/>
      <c r="D6" s="185"/>
      <c r="O6" s="182"/>
      <c r="V6" s="182"/>
      <c r="AC6" s="182"/>
    </row>
    <row r="7" spans="1:37" s="186" customFormat="1" ht="30" customHeight="1" thickBot="1">
      <c r="A7" s="182"/>
      <c r="B7" s="187" t="s">
        <v>260</v>
      </c>
      <c r="C7" s="188"/>
      <c r="D7" s="188"/>
      <c r="E7" s="188"/>
      <c r="F7" s="188"/>
      <c r="G7" s="188"/>
      <c r="H7" s="188"/>
      <c r="I7" s="188"/>
      <c r="J7" s="188"/>
      <c r="K7" s="188"/>
      <c r="L7" s="188"/>
      <c r="M7" s="188"/>
      <c r="N7" s="188"/>
      <c r="O7" s="187" t="s">
        <v>251</v>
      </c>
      <c r="P7" s="188"/>
      <c r="Q7" s="188"/>
      <c r="R7" s="188"/>
      <c r="S7" s="188"/>
      <c r="T7" s="188"/>
      <c r="V7" s="187" t="s">
        <v>261</v>
      </c>
      <c r="W7" s="188"/>
      <c r="X7" s="188"/>
      <c r="Y7" s="188"/>
      <c r="Z7" s="188"/>
      <c r="AA7" s="188"/>
      <c r="AC7" s="187" t="s">
        <v>262</v>
      </c>
      <c r="AD7" s="188"/>
      <c r="AE7" s="188"/>
      <c r="AF7" s="188"/>
      <c r="AG7" s="188"/>
      <c r="AH7" s="188"/>
      <c r="AJ7" s="188"/>
    </row>
    <row r="8" spans="1:37" ht="30.75" customHeight="1" thickTop="1" thickBot="1">
      <c r="B8" s="189" t="s">
        <v>104</v>
      </c>
      <c r="C8" s="190" t="s">
        <v>249</v>
      </c>
      <c r="D8" s="190" t="s">
        <v>109</v>
      </c>
      <c r="E8" s="190" t="s">
        <v>98</v>
      </c>
      <c r="F8" s="190" t="s">
        <v>89</v>
      </c>
      <c r="G8" s="190" t="s">
        <v>67</v>
      </c>
      <c r="H8" s="191" t="s">
        <v>280</v>
      </c>
      <c r="I8" s="192"/>
      <c r="J8" s="193" t="s">
        <v>109</v>
      </c>
      <c r="K8" s="190" t="s">
        <v>98</v>
      </c>
      <c r="L8" s="190" t="s">
        <v>89</v>
      </c>
      <c r="M8" s="190" t="s">
        <v>67</v>
      </c>
      <c r="N8" s="190" t="s">
        <v>280</v>
      </c>
      <c r="O8" s="173"/>
      <c r="P8" s="195" t="s">
        <v>249</v>
      </c>
      <c r="Q8" s="196" t="s">
        <v>109</v>
      </c>
      <c r="R8" s="196" t="s">
        <v>98</v>
      </c>
      <c r="S8" s="196" t="s">
        <v>89</v>
      </c>
      <c r="T8" s="196" t="s">
        <v>67</v>
      </c>
      <c r="U8" s="197" t="s">
        <v>280</v>
      </c>
      <c r="V8" s="173"/>
      <c r="W8" s="264" t="s">
        <v>249</v>
      </c>
      <c r="X8" s="265" t="s">
        <v>109</v>
      </c>
      <c r="Y8" s="265" t="s">
        <v>98</v>
      </c>
      <c r="Z8" s="265" t="s">
        <v>89</v>
      </c>
      <c r="AA8" s="265" t="s">
        <v>67</v>
      </c>
      <c r="AB8" s="266" t="s">
        <v>280</v>
      </c>
      <c r="AC8" s="173"/>
      <c r="AD8" s="198" t="s">
        <v>249</v>
      </c>
      <c r="AE8" s="199" t="s">
        <v>109</v>
      </c>
      <c r="AF8" s="199" t="s">
        <v>98</v>
      </c>
      <c r="AG8" s="199" t="s">
        <v>89</v>
      </c>
      <c r="AH8" s="199" t="s">
        <v>67</v>
      </c>
      <c r="AI8" s="200" t="s">
        <v>280</v>
      </c>
      <c r="AK8" s="201" t="s">
        <v>280</v>
      </c>
    </row>
    <row r="9" spans="1:37" ht="5.0999999999999996" customHeight="1" thickTop="1">
      <c r="A9" s="202"/>
      <c r="B9" s="203"/>
      <c r="C9" s="204"/>
      <c r="D9" s="204"/>
      <c r="E9" s="204"/>
      <c r="F9" s="204"/>
      <c r="G9" s="204"/>
      <c r="H9" s="205"/>
      <c r="I9" s="206"/>
      <c r="J9" s="207"/>
      <c r="K9" s="207"/>
      <c r="L9" s="204"/>
      <c r="M9" s="204"/>
      <c r="N9" s="204"/>
      <c r="O9" s="173"/>
      <c r="P9" s="208"/>
      <c r="Q9" s="209"/>
      <c r="R9" s="209"/>
      <c r="S9" s="209"/>
      <c r="T9" s="209"/>
      <c r="U9" s="210"/>
      <c r="V9" s="173"/>
      <c r="W9" s="208"/>
      <c r="X9" s="209"/>
      <c r="Y9" s="209"/>
      <c r="Z9" s="209"/>
      <c r="AA9" s="209"/>
      <c r="AB9" s="210"/>
      <c r="AC9" s="173"/>
      <c r="AD9" s="208"/>
      <c r="AE9" s="209"/>
      <c r="AF9" s="209"/>
      <c r="AG9" s="209"/>
      <c r="AH9" s="209"/>
      <c r="AI9" s="210"/>
      <c r="AK9" s="210"/>
    </row>
    <row r="10" spans="1:37">
      <c r="B10" s="211">
        <f t="shared" ref="B10:B37" si="0">DATE($E$2,$E$3,ROW()-9)</f>
        <v>43891</v>
      </c>
      <c r="C10" s="212" t="str">
        <f t="array" ref="C10">IFERROR(TEXT(VLOOKUP($E$5,IF($B$7="KELAPA BULAT",IF(KB[TANGGAL]=B10,KB[[RELASI]:[TANGGAL]],""),IF($B$7="KELAPA BERSABUT",IF(KBS[TANGGAL]=B10,KBS[[RELASI]:[TANGGAL]],""),IF($B$7="KOPRA",IF(KPR[TANGGAL]=B10,KPR[[RELASI]:[TANGGAL]],""),IF($B$7="ARANG",IF(ARG[TANGGAL]=B10,ARG[[RELASI]:[TANGGAL]],""))))),2,0),"0000"),"")</f>
        <v/>
      </c>
      <c r="D10" s="213" t="str">
        <f t="array" ref="D10">IFERROR(TEXT(VLOOKUP($E$5,IF($B$7="KELAPA BULAT",IF(KB[TANGGAL]=B10,KB[[RELASI]:[TANGGAL]],""),IF($B$7="KELAPA BERSABUT",IF(KBS[TANGGAL]=B10,KBS[[RELASI]:[TANGGAL]],""),IF($B$7="KOPRA",IF(KPR[TANGGAL]=B10,KPR[[RELASI]:[TANGGAL]],""),IF($B$7="ARANG",IF(ARG[TANGGAL]=B10,ARG[[RELASI]:[TANGGAL]],""))))),4,0),"000"),"")</f>
        <v/>
      </c>
      <c r="E10" s="214">
        <f>SUMIFS(KB[NETTO],KB[RELASI],PERBLNR!$E$5,KB[TANGGAL],PERBLNR!B10,KB[TYPE],"A")</f>
        <v>0</v>
      </c>
      <c r="F10" s="214">
        <f>SUMIFS(KB[NETTO2],KB[RELASI],PERBLNR!$E$5,KB[TANGGAL],PERBLNR!B10,KB[TYPE],"A")</f>
        <v>0</v>
      </c>
      <c r="G10" s="214" t="str">
        <f>IFERROR(H10/F10,"")</f>
        <v/>
      </c>
      <c r="H10" s="215">
        <f>SUMIFS(KB[TPEMBAYARAN],KB[RELASI],PERBLNR!$E$5,KB[TANGGAL],PERBLNR!B10,KB[TYPE],"A")</f>
        <v>0</v>
      </c>
      <c r="I10" s="216"/>
      <c r="J10" s="213" t="str">
        <f t="array" ref="J10">IFERROR(IF($B$7&lt;&gt;"KELAPA BULAT","",TEXT(VLOOKUP($E$5,IF(KB[NK]=VLOOKUP($E$5,IF(KB[TANGGAL]=B10,KB[[RELASI]:[TANGGAL]],""),2,0),IF(KB[TYPE]="B",KB[[RELASI]:[TYPE]],""),""),4,0),"000")),"")</f>
        <v/>
      </c>
      <c r="K10" s="214">
        <f>SUMIFS(KB[NETTO],KB[RELASI],PERBLNR!$E$5,KB[TANGGAL],PERBLNR!B10,KB[TYPE],"B")</f>
        <v>0</v>
      </c>
      <c r="L10" s="214">
        <f>SUMIFS(KB[NETTO2],KB[RELASI],PERBLNR!$E$5,KB[TANGGAL],PERBLNR!B10,KB[TYPE],"B")</f>
        <v>0</v>
      </c>
      <c r="M10" s="214" t="str">
        <f t="shared" ref="M10:M42" si="1">IFERROR(N10/L10,"")</f>
        <v/>
      </c>
      <c r="N10" s="214">
        <f>SUMIFS(KB[TPEMBAYARAN],KB[RELASI],PERBLNR!$E$5,KB[TANGGAL],PERBLNR!B10,KB[TYPE],"B")</f>
        <v>0</v>
      </c>
      <c r="O10" s="173"/>
      <c r="P10" s="218" t="str">
        <f t="array" ref="P10">IFERROR(TEXT(VLOOKUP($E$5,IF($O$7="KELAPA BULAT",IF(KB[TANGGAL]=B10,KB[[RELASI]:[TANGGAL]],""),IF($O$7="KELAPA BERSABUT",IF(KBS[TANGGAL]=B10,KBS[[RELASI]:[TANGGAL]],""),IF($O$7="KOPRA",IF(KPR[TANGGAL]=B10,KPR[[RELASI]:[TANGGAL]],""),IF($O$7="ARANG",IF(ARG[TANGGAL]=B10,ARG[[RELASI]:[TANGGAL]],""))))),2,0),"0000"),"")</f>
        <v/>
      </c>
      <c r="Q10" s="213" t="str">
        <f t="array" ref="Q10">IFERROR(TEXT(VLOOKUP($E$5,IF($O$7="KELAPA BULAT",IF(KB[TANGGAL]=B10,KB[[RELASI]:[TANGGAL]],""),IF($O$7="KELAPA BERSABUT",IF(KBS[TANGGAL]=B10,KBS[[RELASI]:[TANGGAL]],""),IF($O$7="KOPRA",IF(KPR[TANGGAL]=B10,KPR[[RELASI]:[TANGGAL]],""),IF($O$7="ARANG",IF(ARG[TANGGAL]=B10,ARG[[RELASI]:[TANGGAL]],""))))),4,0),"000"),"")</f>
        <v/>
      </c>
      <c r="R10" s="214">
        <f>SUMIFS(KPR[NETTO],KPR[RELASI],PERBLNR!$E$5,KPR[TANGGAL],PERBLNR!B10)</f>
        <v>0</v>
      </c>
      <c r="S10" s="214">
        <f>SUMIFS(KPR[NETTOB],KPR[RELASI],PERBLNR!$E$5,KPR[TANGGAL],PERBLNR!B10)</f>
        <v>0</v>
      </c>
      <c r="T10" s="214" t="str">
        <f>IFERROR(U10/R10,"")</f>
        <v/>
      </c>
      <c r="U10" s="217">
        <f>SUMIFS(KPR[TPEMBAYARAN],KPR[RELASI],PERBLNR!$E$5,KPR[TANGGAL],PERBLNR!B10)</f>
        <v>0</v>
      </c>
      <c r="V10" s="173"/>
      <c r="W10" s="218" t="str">
        <f t="array" ref="W10">IFERROR(TEXT(VLOOKUP($E$5,IF($V$7="KELAPA BULAT",IF(KB[TANGGAL]=B10,KB[[RELASI]:[TANGGAL]],""),IF($V$7="KELAPA BERSABUT",IF(KBS[TANGGAL]=B10,KBS[[RELASI]:[TANGGAL]],""),IF($V$7="KOPRA",IF(KPR[TANGGAL]=B10,KPR[[RELASI]:[TANGGAL]],""),IF($V$7="ARANG",IF(ARG[TANGGAL]=B10,ARG[[RELASI]:[TANGGAL]],""))))),2,0),"0000"),"")</f>
        <v/>
      </c>
      <c r="X10" s="213" t="str">
        <f t="array" ref="X10">IFERROR(TEXT(VLOOKUP($E$5,IF($V$7="KELAPA BULAT",IF(KB[TANGGAL]=B10,KB[[RELASI]:[TANGGAL]],""),IF($V$7="KELAPA BERSABUT",IF(KBS[TANGGAL]=B10,KBS[[RELASI]:[TANGGAL]],""),IF($V$7="KOPRA",IF(KPR[TANGGAL]=B10,KPR[[RELASI]:[TANGGAL]],""),IF($V$7="ARANG",IF(ARG[TANGGAL]=B10,ARG[[RELASI]:[TANGGAL]],""))))),4,0),"000"),"")</f>
        <v/>
      </c>
      <c r="Y10" s="214">
        <f>SUMIFS(KBS[NETTO],KBS[RELASI],PERBLNR!$E$5,KBS[TANGGAL],PERBLNR!B10)</f>
        <v>0</v>
      </c>
      <c r="Z10" s="214">
        <f>SUMIFS(KBS[NETTO2],KBS[RELASI],PERBLNR!$E$5,KBS[TANGGAL],PERBLNR!B10)</f>
        <v>0</v>
      </c>
      <c r="AA10" s="214" t="str">
        <f>IFERROR(AB10/Y10,"")</f>
        <v/>
      </c>
      <c r="AB10" s="217">
        <f>SUMIFS(KBS[TPEMBAYARAN],KBS[RELASI],PERBLNR!$E$5,KBS[TANGGAL],PERBLNR!B10)</f>
        <v>0</v>
      </c>
      <c r="AC10" s="173"/>
      <c r="AD10" s="218" t="str">
        <f t="array" ref="AD10">IFERROR(TEXT(VLOOKUP($E$5,IF($B$7="KELAPA BULAT",IF(KB[TANGGAL]=AC10,KB[[RELASI]:[TANGGAL]],""),IF($B$7="KELAPA BERSABUT",IF(KBS[TANGGAL]=AC10,KBS[[RELASI]:[TANGGAL]],""),IF($B$7="KOPRA",IF(KPR[TANGGAL]=AC10,KPR[[RELASI]:[TANGGAL]],""),IF($B$7="ARANG",IF(ARG[TANGGAL]=AC10,ARG[[RELASI]:[TANGGAL]],""))))),2,0),"0000"),"")</f>
        <v/>
      </c>
      <c r="AE10" s="213" t="str">
        <f t="array" ref="AE10">IFERROR(TEXT(VLOOKUP($E$5,IF($B$7="KELAPA BULAT",IF(KB[TANGGAL]=AC10,KB[[RELASI]:[TANGGAL]],""),IF($B$7="KELAPA BERSABUT",IF(KBS[TANGGAL]=AC10,KBS[[RELASI]:[TANGGAL]],""),IF($B$7="KOPRA",IF(KPR[TANGGAL]=AC10,KPR[[RELASI]:[TANGGAL]],""),IF($B$7="ARANG",IF(ARG[TANGGAL]=AC10,ARG[[RELASI]:[TANGGAL]],""))))),4,0),"000"),"")</f>
        <v/>
      </c>
      <c r="AF10" s="214">
        <f>SUMIFS(ARG[NETTO1],ARG[RELASI],PERBLNR!$E$5,ARG[TANGGAL],PERBLNR!B10)</f>
        <v>0</v>
      </c>
      <c r="AG10" s="214">
        <f>SUMIFS(ARG[NETTO3],ARG[RELASI],PERBLNR!$E$5,ARG[TANGGAL],PERBLNR!B10)</f>
        <v>0</v>
      </c>
      <c r="AH10" s="214" t="str">
        <f>IFERROR(AI10/AF10,"")</f>
        <v/>
      </c>
      <c r="AI10" s="217">
        <f>SUMIFS(ARG[TPEMBAYARAN],ARG[RELASI],PERBLNR!$E$5,ARG[TANGGAL],PERBLNR!B10)</f>
        <v>0</v>
      </c>
      <c r="AK10" s="217">
        <f>SUM(AI10,AB10,U10,N10,H10)</f>
        <v>0</v>
      </c>
    </row>
    <row r="11" spans="1:37">
      <c r="B11" s="211">
        <f t="shared" si="0"/>
        <v>43892</v>
      </c>
      <c r="C11" s="212" t="str">
        <f t="array" ref="C11">IFERROR(TEXT(VLOOKUP($E$5,IF($B$7="KELAPA BULAT",IF(KB[TANGGAL]=B11,KB[[RELASI]:[TANGGAL]],""),IF($B$7="KELAPA BERSABUT",IF(KBS[TANGGAL]=B11,KBS[[RELASI]:[TANGGAL]],""),IF($B$7="KOPRA",IF(KPR[TANGGAL]=B11,KPR[[RELASI]:[TANGGAL]],""),IF($B$7="ARANG",IF(ARG[TANGGAL]=B11,ARG[[RELASI]:[TANGGAL]],""))))),2,0),"0000"),"")</f>
        <v>0034</v>
      </c>
      <c r="D11" s="213" t="str">
        <f t="array" ref="D11">IFERROR(TEXT(VLOOKUP($E$5,IF($B$7="KELAPA BULAT",IF(KB[TANGGAL]=B11,KB[[RELASI]:[TANGGAL]],""),IF($B$7="KELAPA BERSABUT",IF(KBS[TANGGAL]=B11,KBS[[RELASI]:[TANGGAL]],""),IF($B$7="KOPRA",IF(KPR[TANGGAL]=B11,KPR[[RELASI]:[TANGGAL]],""),IF($B$7="ARANG",IF(ARG[TANGGAL]=B11,ARG[[RELASI]:[TANGGAL]],""))))),4,0),"000"),"")</f>
        <v>034</v>
      </c>
      <c r="E11" s="214">
        <f>SUMIFS(KB[NETTO],KB[RELASI],PERBLNR!$E$5,KB[TANGGAL],PERBLNR!B11,KB[TYPE],"A")</f>
        <v>11740</v>
      </c>
      <c r="F11" s="214">
        <f>SUMIFS(KB[NETTO2],KB[RELASI],PERBLNR!$E$5,KB[TANGGAL],PERBLNR!B11,KB[TYPE],"A")</f>
        <v>11153</v>
      </c>
      <c r="G11" s="214">
        <f t="shared" ref="G11:G40" si="2">IFERROR(H11/F11,"")</f>
        <v>2899.9971308168206</v>
      </c>
      <c r="H11" s="215">
        <f>SUMIFS(KB[TPEMBAYARAN],KB[RELASI],PERBLNR!$E$5,KB[TANGGAL],PERBLNR!B11,KB[TYPE],"A")</f>
        <v>32343668</v>
      </c>
      <c r="I11" s="206"/>
      <c r="J11" s="213" t="str">
        <f t="array" ref="J11">IFERROR(IF($B$7&lt;&gt;"KELAPA BULAT","",TEXT(VLOOKUP($E$5,IF(KB[NK]=VLOOKUP($E$5,IF(KB[TANGGAL]=B11,KB[[RELASI]:[TANGGAL]],""),2,0),IF(KB[TYPE]="B",KB[[RELASI]:[TYPE]],""),""),4,0),"000")),"")</f>
        <v/>
      </c>
      <c r="K11" s="214">
        <f>SUMIFS(KB[NETTO],KB[RELASI],PERBLNR!$E$5,KB[TANGGAL],PERBLNR!B11,KB[TYPE],"B")</f>
        <v>0</v>
      </c>
      <c r="L11" s="214">
        <f>SUMIFS(KB[NETTO2],KB[RELASI],PERBLNR!$E$5,KB[TANGGAL],PERBLNR!B11,KB[TYPE],"B")</f>
        <v>0</v>
      </c>
      <c r="M11" s="214" t="str">
        <f>IFERROR(N11/L11,"")</f>
        <v/>
      </c>
      <c r="N11" s="214">
        <f>SUMIFS(KB[TPEMBAYARAN],KB[RELASI],PERBLNR!$E$5,KB[TANGGAL],PERBLNR!B11,KB[TYPE],"B")</f>
        <v>0</v>
      </c>
      <c r="O11" s="173"/>
      <c r="P11" s="218" t="str">
        <f t="array" ref="P11">IFERROR(TEXT(VLOOKUP($E$5,IF($O$7="KELAPA BULAT",IF(KB[TANGGAL]=B11,KB[[RELASI]:[TANGGAL]],""),IF($O$7="KELAPA BERSABUT",IF(KBS[TANGGAL]=B11,KBS[[RELASI]:[TANGGAL]],""),IF($O$7="KOPRA",IF(KPR[TANGGAL]=B11,KPR[[RELASI]:[TANGGAL]],""),IF($O$7="ARANG",IF(ARG[TANGGAL]=B11,ARG[[RELASI]:[TANGGAL]],""))))),2,0),"0000"),"")</f>
        <v/>
      </c>
      <c r="Q11" s="213" t="str">
        <f t="array" ref="Q11">IFERROR(TEXT(VLOOKUP($E$5,IF($O$7="KELAPA BULAT",IF(KB[TANGGAL]=B11,KB[[RELASI]:[TANGGAL]],""),IF($O$7="KELAPA BERSABUT",IF(KBS[TANGGAL]=B11,KBS[[RELASI]:[TANGGAL]],""),IF($O$7="KOPRA",IF(KPR[TANGGAL]=B11,KPR[[RELASI]:[TANGGAL]],""),IF($O$7="ARANG",IF(ARG[TANGGAL]=B11,ARG[[RELASI]:[TANGGAL]],""))))),4,0),"000"),"")</f>
        <v/>
      </c>
      <c r="R11" s="214">
        <f>SUMIFS(KPR[NETTO],KPR[RELASI],PERBLNR!$E$5,KPR[TANGGAL],PERBLNR!B11)</f>
        <v>0</v>
      </c>
      <c r="S11" s="214">
        <f>SUMIFS(KPR[NETTOB],KPR[RELASI],PERBLNR!$E$5,KPR[TANGGAL],PERBLNR!B11)</f>
        <v>0</v>
      </c>
      <c r="T11" s="214" t="str">
        <f t="shared" ref="T11:T40" si="3">IFERROR(U11/R11,"")</f>
        <v/>
      </c>
      <c r="U11" s="217">
        <f>SUMIFS(KPR[TPEMBAYARAN],KPR[RELASI],PERBLNR!$E$5,KPR[TANGGAL],PERBLNR!B11)</f>
        <v>0</v>
      </c>
      <c r="V11" s="173"/>
      <c r="W11" s="218" t="str">
        <f t="array" ref="W11">IFERROR(TEXT(VLOOKUP($E$5,IF($V$7="KELAPA BULAT",IF(KB[TANGGAL]=B11,KB[[RELASI]:[TANGGAL]],""),IF($V$7="KELAPA BERSABUT",IF(KBS[TANGGAL]=B11,KBS[[RELASI]:[TANGGAL]],""),IF($V$7="KOPRA",IF(KPR[TANGGAL]=B11,KPR[[RELASI]:[TANGGAL]],""),IF($V$7="ARANG",IF(ARG[TANGGAL]=B11,ARG[[RELASI]:[TANGGAL]],""))))),2,0),"0000"),"")</f>
        <v/>
      </c>
      <c r="X11" s="213" t="str">
        <f t="array" ref="X11">IFERROR(TEXT(VLOOKUP($E$5,IF($V$7="KELAPA BULAT",IF(KB[TANGGAL]=B11,KB[[RELASI]:[TANGGAL]],""),IF($V$7="KELAPA BERSABUT",IF(KBS[TANGGAL]=B11,KBS[[RELASI]:[TANGGAL]],""),IF($V$7="KOPRA",IF(KPR[TANGGAL]=B11,KPR[[RELASI]:[TANGGAL]],""),IF($V$7="ARANG",IF(ARG[TANGGAL]=B11,ARG[[RELASI]:[TANGGAL]],""))))),4,0),"000"),"")</f>
        <v/>
      </c>
      <c r="Y11" s="214">
        <f>SUMIFS(KBS[NETTO2],KBS[RELASI],PERBLNR!$E$5,KBS[TANGGAL],PERBLNR!B11)</f>
        <v>0</v>
      </c>
      <c r="Z11" s="214">
        <f>SUMIFS(KBS[NETTO2],KBS[RELASI],PERBLNR!$E$5,KBS[TANGGAL],PERBLNR!B11)</f>
        <v>0</v>
      </c>
      <c r="AA11" s="214" t="str">
        <f t="shared" ref="AA11:AA40" si="4">IFERROR(AB11/Y11,"")</f>
        <v/>
      </c>
      <c r="AB11" s="217">
        <f>SUMIFS(KBS[TPEMBAYARAN],KBS[RELASI],PERBLNR!$E$5,KBS[TANGGAL],PERBLNR!B11)</f>
        <v>0</v>
      </c>
      <c r="AC11" s="173"/>
      <c r="AD11" s="218" t="str">
        <f t="array" ref="AD11">IFERROR(TEXT(VLOOKUP($E$5,IF($B$7="KELAPA BULAT",IF(KB[TANGGAL]=AC11,KB[[RELASI]:[TANGGAL]],""),IF($B$7="KELAPA BERSABUT",IF(KBS[TANGGAL]=AC11,KBS[[RELASI]:[TANGGAL]],""),IF($B$7="KOPRA",IF(KPR[TANGGAL]=AC11,KPR[[RELASI]:[TANGGAL]],""),IF($B$7="ARANG",IF(ARG[TANGGAL]=AC11,ARG[[RELASI]:[TANGGAL]],""))))),2,0),"0000"),"")</f>
        <v/>
      </c>
      <c r="AE11" s="213" t="str">
        <f t="array" ref="AE11">IFERROR(IF($B$7&lt;&gt;"KELAPA BULAT","",TEXT(VLOOKUP($E$5,IF(KB[NK]=VLOOKUP($E$5,IF(KB[TANGGAL]=V11,KB[[RELASI]:[TANGGAL]],""),2,0),IF(KB[TYPE]="B",KB[[RELASI]:[TYPE]],""),""),4,0),"000")),"")</f>
        <v/>
      </c>
      <c r="AF11" s="214">
        <f>SUMIFS(ARG[NETTO1],ARG[RELASI],PERBLNR!$E$5,ARG[TANGGAL],PERBLNR!B11)</f>
        <v>0</v>
      </c>
      <c r="AG11" s="214">
        <f>SUMIFS(ARG[NETTO3],ARG[RELASI],PERBLNR!$E$5,ARG[TANGGAL],PERBLNR!B11)</f>
        <v>0</v>
      </c>
      <c r="AH11" s="214" t="str">
        <f t="shared" ref="AH11:AH40" si="5">IFERROR(AI11/AF11,"")</f>
        <v/>
      </c>
      <c r="AI11" s="217">
        <f>SUMIFS(ARG[TPEMBAYARAN],ARG[RELASI],PERBLNR!$E$5,ARG[TANGGAL],PERBLNR!B11)</f>
        <v>0</v>
      </c>
      <c r="AK11" s="217">
        <f t="shared" ref="AK11:AK40" si="6">SUM(AI11,AB11,U11,N11,H11)</f>
        <v>32343668</v>
      </c>
    </row>
    <row r="12" spans="1:37">
      <c r="B12" s="211">
        <f t="shared" si="0"/>
        <v>43893</v>
      </c>
      <c r="C12" s="212" t="str">
        <f t="array" ref="C12">IFERROR(TEXT(VLOOKUP($E$5,IF($B$7="KELAPA BULAT",IF(KB[TANGGAL]=B12,KB[[RELASI]:[TANGGAL]],""),IF($B$7="KELAPA BERSABUT",IF(KBS[TANGGAL]=B12,KBS[[RELASI]:[TANGGAL]],""),IF($B$7="KOPRA",IF(KPR[TANGGAL]=B12,KPR[[RELASI]:[TANGGAL]],""),IF($B$7="ARANG",IF(ARG[TANGGAL]=B12,ARG[[RELASI]:[TANGGAL]],""))))),2,0),"0000"),"")</f>
        <v>0035</v>
      </c>
      <c r="D12" s="213" t="str">
        <f t="array" ref="D12">IFERROR(TEXT(VLOOKUP($E$5,IF($B$7="KELAPA BULAT",IF(KB[TANGGAL]=B12,KB[[RELASI]:[TANGGAL]],""),IF($B$7="KELAPA BERSABUT",IF(KBS[TANGGAL]=B12,KBS[[RELASI]:[TANGGAL]],""),IF($B$7="KOPRA",IF(KPR[TANGGAL]=B12,KPR[[RELASI]:[TANGGAL]],""),IF($B$7="ARANG",IF(ARG[TANGGAL]=B12,ARG[[RELASI]:[TANGGAL]],""))))),4,0),"000"),"")</f>
        <v>035</v>
      </c>
      <c r="E12" s="214">
        <f>SUMIFS(KB[NETTO],KB[RELASI],PERBLNR!$E$5,KB[TANGGAL],PERBLNR!B12,KB[TYPE],"A")</f>
        <v>8630</v>
      </c>
      <c r="F12" s="214">
        <f>SUMIFS(KB[NETTO2],KB[RELASI],PERBLNR!$E$5,KB[TANGGAL],PERBLNR!B12,KB[TYPE],"A")</f>
        <v>8198.5</v>
      </c>
      <c r="G12" s="214">
        <f t="shared" si="2"/>
        <v>2899.9970726352381</v>
      </c>
      <c r="H12" s="215">
        <f>SUMIFS(KB[TPEMBAYARAN],KB[RELASI],PERBLNR!$E$5,KB[TANGGAL],PERBLNR!B12,KB[TYPE],"A")</f>
        <v>23775626</v>
      </c>
      <c r="I12" s="206"/>
      <c r="J12" s="213" t="str">
        <f t="array" ref="J12">IFERROR(IF($B$7&lt;&gt;"KELAPA BULAT","",TEXT(VLOOKUP($E$5,IF(KB[NK]=VLOOKUP($E$5,IF(KB[TANGGAL]=B12,KB[[RELASI]:[TANGGAL]],""),2,0),IF(KB[TYPE]="B",KB[[RELASI]:[TYPE]],""),""),4,0),"000")),"")</f>
        <v/>
      </c>
      <c r="K12" s="214">
        <f>SUMIFS(KB[NETTO],KB[RELASI],PERBLNR!$E$5,KB[TANGGAL],PERBLNR!B12,KB[TYPE],"B")</f>
        <v>0</v>
      </c>
      <c r="L12" s="214">
        <f>SUMIFS(KB[NETTO2],KB[RELASI],PERBLNR!$E$5,KB[TANGGAL],PERBLNR!B12,KB[TYPE],"B")</f>
        <v>0</v>
      </c>
      <c r="M12" s="214" t="str">
        <f t="shared" si="1"/>
        <v/>
      </c>
      <c r="N12" s="214">
        <f>SUMIFS(KB[TPEMBAYARAN],KB[RELASI],PERBLNR!$E$5,KB[TANGGAL],PERBLNR!B12,KB[TYPE],"B")</f>
        <v>0</v>
      </c>
      <c r="O12" s="173"/>
      <c r="P12" s="218" t="str">
        <f t="array" ref="P12">IFERROR(TEXT(VLOOKUP($E$5,IF($O$7="KELAPA BULAT",IF(KB[TANGGAL]=B12,KB[[RELASI]:[TANGGAL]],""),IF($O$7="KELAPA BERSABUT",IF(KBS[TANGGAL]=B12,KBS[[RELASI]:[TANGGAL]],""),IF($O$7="KOPRA",IF(KPR[TANGGAL]=B12,KPR[[RELASI]:[TANGGAL]],""),IF($O$7="ARANG",IF(ARG[TANGGAL]=B12,ARG[[RELASI]:[TANGGAL]],""))))),2,0),"0000"),"")</f>
        <v/>
      </c>
      <c r="Q12" s="213" t="str">
        <f t="array" ref="Q12">IFERROR(TEXT(VLOOKUP($E$5,IF($O$7="KELAPA BULAT",IF(KB[TANGGAL]=B12,KB[[RELASI]:[TANGGAL]],""),IF($O$7="KELAPA BERSABUT",IF(KBS[TANGGAL]=B12,KBS[[RELASI]:[TANGGAL]],""),IF($O$7="KOPRA",IF(KPR[TANGGAL]=B12,KPR[[RELASI]:[TANGGAL]],""),IF($O$7="ARANG",IF(ARG[TANGGAL]=B12,ARG[[RELASI]:[TANGGAL]],""))))),4,0),"000"),"")</f>
        <v/>
      </c>
      <c r="R12" s="214">
        <f>SUMIFS(KPR[NETTO],KPR[RELASI],PERBLNR!$E$5,KPR[TANGGAL],PERBLNR!B12)</f>
        <v>0</v>
      </c>
      <c r="S12" s="214">
        <f>SUMIFS(KPR[NETTOB],KPR[RELASI],PERBLNR!$E$5,KPR[TANGGAL],PERBLNR!B12)</f>
        <v>0</v>
      </c>
      <c r="T12" s="214" t="str">
        <f t="shared" si="3"/>
        <v/>
      </c>
      <c r="U12" s="217">
        <f>SUMIFS(KPR[TPEMBAYARAN],KPR[RELASI],PERBLNR!$E$5,KPR[TANGGAL],PERBLNR!B12)</f>
        <v>0</v>
      </c>
      <c r="V12" s="173"/>
      <c r="W12" s="218" t="str">
        <f t="array" ref="W12">IFERROR(TEXT(VLOOKUP($E$5,IF($V$7="KELAPA BULAT",IF(KB[TANGGAL]=B12,KB[[RELASI]:[TANGGAL]],""),IF($V$7="KELAPA BERSABUT",IF(KBS[TANGGAL]=B12,KBS[[RELASI]:[TANGGAL]],""),IF($V$7="KOPRA",IF(KPR[TANGGAL]=B12,KPR[[RELASI]:[TANGGAL]],""),IF($V$7="ARANG",IF(ARG[TANGGAL]=B12,ARG[[RELASI]:[TANGGAL]],""))))),2,0),"0000"),"")</f>
        <v/>
      </c>
      <c r="X12" s="213" t="str">
        <f t="array" ref="X12">IFERROR(TEXT(VLOOKUP($E$5,IF($V$7="KELAPA BULAT",IF(KB[TANGGAL]=B12,KB[[RELASI]:[TANGGAL]],""),IF($V$7="KELAPA BERSABUT",IF(KBS[TANGGAL]=B12,KBS[[RELASI]:[TANGGAL]],""),IF($V$7="KOPRA",IF(KPR[TANGGAL]=B12,KPR[[RELASI]:[TANGGAL]],""),IF($V$7="ARANG",IF(ARG[TANGGAL]=B12,ARG[[RELASI]:[TANGGAL]],""))))),4,0),"000"),"")</f>
        <v/>
      </c>
      <c r="Y12" s="214">
        <f>SUMIFS(KBS[NETTO2],KBS[RELASI],PERBLNR!$E$5,KBS[TANGGAL],PERBLNR!B12)</f>
        <v>0</v>
      </c>
      <c r="Z12" s="214">
        <f>SUMIFS(KBS[NETTO2],KBS[RELASI],PERBLNR!$E$5,KBS[TANGGAL],PERBLNR!B12)</f>
        <v>0</v>
      </c>
      <c r="AA12" s="214" t="str">
        <f t="shared" si="4"/>
        <v/>
      </c>
      <c r="AB12" s="217">
        <f>SUMIFS(KBS[TPEMBAYARAN],KBS[RELASI],PERBLNR!$E$5,KBS[TANGGAL],PERBLNR!B12)</f>
        <v>0</v>
      </c>
      <c r="AC12" s="173"/>
      <c r="AD12" s="218" t="str">
        <f t="array" ref="AD12">IFERROR(TEXT(VLOOKUP($E$5,IF($B$7="KELAPA BULAT",IF(KB[TANGGAL]=AC12,KB[[RELASI]:[TANGGAL]],""),IF($B$7="KELAPA BERSABUT",IF(KBS[TANGGAL]=AC12,KBS[[RELASI]:[TANGGAL]],""),IF($B$7="KOPRA",IF(KPR[TANGGAL]=AC12,KPR[[RELASI]:[TANGGAL]],""),IF($B$7="ARANG",IF(ARG[TANGGAL]=AC12,ARG[[RELASI]:[TANGGAL]],""))))),2,0),"0000"),"")</f>
        <v/>
      </c>
      <c r="AE12" s="213" t="str">
        <f t="array" ref="AE12">IFERROR(IF($B$7&lt;&gt;"KELAPA BULAT","",TEXT(VLOOKUP($E$5,IF(KB[NK]=VLOOKUP($E$5,IF(KB[TANGGAL]=V12,KB[[RELASI]:[TANGGAL]],""),2,0),IF(KB[TYPE]="B",KB[[RELASI]:[TYPE]],""),""),4,0),"000")),"")</f>
        <v/>
      </c>
      <c r="AF12" s="214">
        <f>SUMIFS(ARG[NETTO1],ARG[RELASI],PERBLNR!$E$5,ARG[TANGGAL],PERBLNR!B12)</f>
        <v>0</v>
      </c>
      <c r="AG12" s="214">
        <f>SUMIFS(ARG[NETTO3],ARG[RELASI],PERBLNR!$E$5,ARG[TANGGAL],PERBLNR!B12)</f>
        <v>0</v>
      </c>
      <c r="AH12" s="214" t="str">
        <f t="shared" si="5"/>
        <v/>
      </c>
      <c r="AI12" s="217">
        <f>SUMIFS(ARG[TPEMBAYARAN],ARG[RELASI],PERBLNR!$E$5,ARG[TANGGAL],PERBLNR!B12)</f>
        <v>0</v>
      </c>
      <c r="AK12" s="217">
        <f t="shared" si="6"/>
        <v>23775626</v>
      </c>
    </row>
    <row r="13" spans="1:37">
      <c r="B13" s="211">
        <f t="shared" si="0"/>
        <v>43894</v>
      </c>
      <c r="C13" s="212" t="str">
        <f t="array" ref="C13">IFERROR(TEXT(VLOOKUP($E$5,IF($B$7="KELAPA BULAT",IF(KB[TANGGAL]=B13,KB[[RELASI]:[TANGGAL]],""),IF($B$7="KELAPA BERSABUT",IF(KBS[TANGGAL]=B13,KBS[[RELASI]:[TANGGAL]],""),IF($B$7="KOPRA",IF(KPR[TANGGAL]=B13,KPR[[RELASI]:[TANGGAL]],""),IF($B$7="ARANG",IF(ARG[TANGGAL]=B13,ARG[[RELASI]:[TANGGAL]],""))))),2,0),"0000"),"")</f>
        <v>0036</v>
      </c>
      <c r="D13" s="213" t="str">
        <f t="array" ref="D13">IFERROR(TEXT(VLOOKUP($E$5,IF($B$7="KELAPA BULAT",IF(KB[TANGGAL]=B13,KB[[RELASI]:[TANGGAL]],""),IF($B$7="KELAPA BERSABUT",IF(KBS[TANGGAL]=B13,KBS[[RELASI]:[TANGGAL]],""),IF($B$7="KOPRA",IF(KPR[TANGGAL]=B13,KPR[[RELASI]:[TANGGAL]],""),IF($B$7="ARANG",IF(ARG[TANGGAL]=B13,ARG[[RELASI]:[TANGGAL]],""))))),4,0),"000"),"")</f>
        <v>036</v>
      </c>
      <c r="E13" s="214">
        <f>SUMIFS(KB[NETTO],KB[RELASI],PERBLNR!$E$5,KB[TANGGAL],PERBLNR!B13,KB[TYPE],"A")</f>
        <v>8060</v>
      </c>
      <c r="F13" s="214">
        <f>SUMIFS(KB[NETTO2],KB[RELASI],PERBLNR!$E$5,KB[TANGGAL],PERBLNR!B13,KB[TYPE],"A")</f>
        <v>7657</v>
      </c>
      <c r="G13" s="214">
        <f t="shared" si="2"/>
        <v>2899.9971268120676</v>
      </c>
      <c r="H13" s="215">
        <f>SUMIFS(KB[TPEMBAYARAN],KB[RELASI],PERBLNR!$E$5,KB[TANGGAL],PERBLNR!B13,KB[TYPE],"A")</f>
        <v>22205278</v>
      </c>
      <c r="I13" s="206"/>
      <c r="J13" s="213" t="str">
        <f t="array" ref="J13">IFERROR(IF($B$7&lt;&gt;"KELAPA BULAT","",TEXT(VLOOKUP($E$5,IF(KB[NK]=VLOOKUP($E$5,IF(KB[TANGGAL]=B13,KB[[RELASI]:[TANGGAL]],""),2,0),IF(KB[TYPE]="B",KB[[RELASI]:[TYPE]],""),""),4,0),"000")),"")</f>
        <v/>
      </c>
      <c r="K13" s="214">
        <f>SUMIFS(KB[NETTO],KB[RELASI],PERBLNR!$E$5,KB[TANGGAL],PERBLNR!B13,KB[TYPE],"B")</f>
        <v>0</v>
      </c>
      <c r="L13" s="214">
        <f>SUMIFS(KB[NETTO2],KB[RELASI],PERBLNR!$E$5,KB[TANGGAL],PERBLNR!B13,KB[TYPE],"B")</f>
        <v>0</v>
      </c>
      <c r="M13" s="214" t="str">
        <f t="shared" si="1"/>
        <v/>
      </c>
      <c r="N13" s="214">
        <f>SUMIFS(KB[TPEMBAYARAN],KB[RELASI],PERBLNR!$E$5,KB[TANGGAL],PERBLNR!B13,KB[TYPE],"B")</f>
        <v>0</v>
      </c>
      <c r="O13" s="173"/>
      <c r="P13" s="218" t="str">
        <f t="array" ref="P13">IFERROR(TEXT(VLOOKUP($E$5,IF($O$7="KELAPA BULAT",IF(KB[TANGGAL]=B13,KB[[RELASI]:[TANGGAL]],""),IF($O$7="KELAPA BERSABUT",IF(KBS[TANGGAL]=B13,KBS[[RELASI]:[TANGGAL]],""),IF($O$7="KOPRA",IF(KPR[TANGGAL]=B13,KPR[[RELASI]:[TANGGAL]],""),IF($O$7="ARANG",IF(ARG[TANGGAL]=B13,ARG[[RELASI]:[TANGGAL]],""))))),2,0),"0000"),"")</f>
        <v/>
      </c>
      <c r="Q13" s="213" t="str">
        <f t="array" ref="Q13">IFERROR(TEXT(VLOOKUP($E$5,IF($O$7="KELAPA BULAT",IF(KB[TANGGAL]=B13,KB[[RELASI]:[TANGGAL]],""),IF($O$7="KELAPA BERSABUT",IF(KBS[TANGGAL]=B13,KBS[[RELASI]:[TANGGAL]],""),IF($O$7="KOPRA",IF(KPR[TANGGAL]=B13,KPR[[RELASI]:[TANGGAL]],""),IF($O$7="ARANG",IF(ARG[TANGGAL]=B13,ARG[[RELASI]:[TANGGAL]],""))))),4,0),"000"),"")</f>
        <v/>
      </c>
      <c r="R13" s="214">
        <f>SUMIFS(KPR[NETTO],KPR[RELASI],PERBLNR!$E$5,KPR[TANGGAL],PERBLNR!B13)</f>
        <v>0</v>
      </c>
      <c r="S13" s="214">
        <f>SUMIFS(KPR[NETTOB],KPR[RELASI],PERBLNR!$E$5,KPR[TANGGAL],PERBLNR!B13)</f>
        <v>0</v>
      </c>
      <c r="T13" s="214" t="str">
        <f t="shared" si="3"/>
        <v/>
      </c>
      <c r="U13" s="217">
        <f>SUMIFS(KPR[TPEMBAYARAN],KPR[RELASI],PERBLNR!$E$5,KPR[TANGGAL],PERBLNR!B13)</f>
        <v>0</v>
      </c>
      <c r="V13" s="173"/>
      <c r="W13" s="218" t="str">
        <f t="array" ref="W13">IFERROR(TEXT(VLOOKUP($E$5,IF($V$7="KELAPA BULAT",IF(KB[TANGGAL]=B13,KB[[RELASI]:[TANGGAL]],""),IF($V$7="KELAPA BERSABUT",IF(KBS[TANGGAL]=B13,KBS[[RELASI]:[TANGGAL]],""),IF($V$7="KOPRA",IF(KPR[TANGGAL]=B13,KPR[[RELASI]:[TANGGAL]],""),IF($V$7="ARANG",IF(ARG[TANGGAL]=B13,ARG[[RELASI]:[TANGGAL]],""))))),2,0),"0000"),"")</f>
        <v/>
      </c>
      <c r="X13" s="213" t="str">
        <f t="array" ref="X13">IFERROR(TEXT(VLOOKUP($E$5,IF($V$7="KELAPA BULAT",IF(KB[TANGGAL]=B13,KB[[RELASI]:[TANGGAL]],""),IF($V$7="KELAPA BERSABUT",IF(KBS[TANGGAL]=B13,KBS[[RELASI]:[TANGGAL]],""),IF($V$7="KOPRA",IF(KPR[TANGGAL]=B13,KPR[[RELASI]:[TANGGAL]],""),IF($V$7="ARANG",IF(ARG[TANGGAL]=B13,ARG[[RELASI]:[TANGGAL]],""))))),4,0),"000"),"")</f>
        <v/>
      </c>
      <c r="Y13" s="214">
        <f>SUMIFS(KBS[NETTO2],KBS[RELASI],PERBLNR!$E$5,KBS[TANGGAL],PERBLNR!B13)</f>
        <v>0</v>
      </c>
      <c r="Z13" s="214">
        <f>SUMIFS(KBS[NETTO2],KBS[RELASI],PERBLNR!$E$5,KBS[TANGGAL],PERBLNR!B13)</f>
        <v>0</v>
      </c>
      <c r="AA13" s="214" t="str">
        <f t="shared" si="4"/>
        <v/>
      </c>
      <c r="AB13" s="217">
        <f>SUMIFS(KBS[TPEMBAYARAN],KBS[RELASI],PERBLNR!$E$5,KBS[TANGGAL],PERBLNR!B13)</f>
        <v>0</v>
      </c>
      <c r="AC13" s="173"/>
      <c r="AD13" s="218" t="str">
        <f t="array" ref="AD13">IFERROR(TEXT(VLOOKUP($E$5,IF($B$7="KELAPA BULAT",IF(KB[TANGGAL]=AC13,KB[[RELASI]:[TANGGAL]],""),IF($B$7="KELAPA BERSABUT",IF(KBS[TANGGAL]=AC13,KBS[[RELASI]:[TANGGAL]],""),IF($B$7="KOPRA",IF(KPR[TANGGAL]=AC13,KPR[[RELASI]:[TANGGAL]],""),IF($B$7="ARANG",IF(ARG[TANGGAL]=AC13,ARG[[RELASI]:[TANGGAL]],""))))),2,0),"0000"),"")</f>
        <v/>
      </c>
      <c r="AE13" s="213" t="str">
        <f t="array" ref="AE13">IFERROR(IF($B$7&lt;&gt;"KELAPA BULAT","",TEXT(VLOOKUP($E$5,IF(KB[NK]=VLOOKUP($E$5,IF(KB[TANGGAL]=V13,KB[[RELASI]:[TANGGAL]],""),2,0),IF(KB[TYPE]="B",KB[[RELASI]:[TYPE]],""),""),4,0),"000")),"")</f>
        <v/>
      </c>
      <c r="AF13" s="214">
        <f>SUMIFS(ARG[NETTO1],ARG[RELASI],PERBLNR!$E$5,ARG[TANGGAL],PERBLNR!B13)</f>
        <v>0</v>
      </c>
      <c r="AG13" s="214">
        <f>SUMIFS(ARG[NETTO3],ARG[RELASI],PERBLNR!$E$5,ARG[TANGGAL],PERBLNR!B13)</f>
        <v>0</v>
      </c>
      <c r="AH13" s="214" t="str">
        <f t="shared" si="5"/>
        <v/>
      </c>
      <c r="AI13" s="217">
        <f>SUMIFS(ARG[TPEMBAYARAN],ARG[RELASI],PERBLNR!$E$5,ARG[TANGGAL],PERBLNR!B13)</f>
        <v>0</v>
      </c>
      <c r="AK13" s="217">
        <f t="shared" si="6"/>
        <v>22205278</v>
      </c>
    </row>
    <row r="14" spans="1:37">
      <c r="B14" s="211">
        <f t="shared" si="0"/>
        <v>43895</v>
      </c>
      <c r="C14" s="212" t="str">
        <f t="array" ref="C14">IFERROR(TEXT(VLOOKUP($E$5,IF($B$7="KELAPA BULAT",IF(KB[TANGGAL]=B14,KB[[RELASI]:[TANGGAL]],""),IF($B$7="KELAPA BERSABUT",IF(KBS[TANGGAL]=B14,KBS[[RELASI]:[TANGGAL]],""),IF($B$7="KOPRA",IF(KPR[TANGGAL]=B14,KPR[[RELASI]:[TANGGAL]],""),IF($B$7="ARANG",IF(ARG[TANGGAL]=B14,ARG[[RELASI]:[TANGGAL]],""))))),2,0),"0000"),"")</f>
        <v>0037</v>
      </c>
      <c r="D14" s="213" t="str">
        <f t="array" ref="D14">IFERROR(TEXT(VLOOKUP($E$5,IF($B$7="KELAPA BULAT",IF(KB[TANGGAL]=B14,KB[[RELASI]:[TANGGAL]],""),IF($B$7="KELAPA BERSABUT",IF(KBS[TANGGAL]=B14,KBS[[RELASI]:[TANGGAL]],""),IF($B$7="KOPRA",IF(KPR[TANGGAL]=B14,KPR[[RELASI]:[TANGGAL]],""),IF($B$7="ARANG",IF(ARG[TANGGAL]=B14,ARG[[RELASI]:[TANGGAL]],""))))),4,0),"000"),"")</f>
        <v>037</v>
      </c>
      <c r="E14" s="214">
        <f>SUMIFS(KB[NETTO],KB[RELASI],PERBLNR!$E$5,KB[TANGGAL],PERBLNR!B14,KB[TYPE],"A")</f>
        <v>16130</v>
      </c>
      <c r="F14" s="214">
        <f>SUMIFS(KB[NETTO2],KB[RELASI],PERBLNR!$E$5,KB[TANGGAL],PERBLNR!B14,KB[TYPE],"A")</f>
        <v>15277.4</v>
      </c>
      <c r="G14" s="214">
        <f t="shared" si="2"/>
        <v>2885.8151256103788</v>
      </c>
      <c r="H14" s="215">
        <f>SUMIFS(KB[TPEMBAYARAN],KB[RELASI],PERBLNR!$E$5,KB[TANGGAL],PERBLNR!B14,KB[TYPE],"A")</f>
        <v>44087752</v>
      </c>
      <c r="I14" s="206"/>
      <c r="J14" s="213" t="str">
        <f t="array" ref="J14">IFERROR(IF($B$7&lt;&gt;"KELAPA BULAT","",TEXT(VLOOKUP($E$5,IF(KB[NK]=VLOOKUP($E$5,IF(KB[TANGGAL]=B14,KB[[RELASI]:[TANGGAL]],""),2,0),IF(KB[TYPE]="B",KB[[RELASI]:[TYPE]],""),""),4,0),"000")),"")</f>
        <v/>
      </c>
      <c r="K14" s="214">
        <f>SUMIFS(KB[NETTO],KB[RELASI],PERBLNR!$E$5,KB[TANGGAL],PERBLNR!B14,KB[TYPE],"B")</f>
        <v>0</v>
      </c>
      <c r="L14" s="214">
        <f>SUMIFS(KB[NETTO2],KB[RELASI],PERBLNR!$E$5,KB[TANGGAL],PERBLNR!B14,KB[TYPE],"B")</f>
        <v>0</v>
      </c>
      <c r="M14" s="214" t="str">
        <f t="shared" si="1"/>
        <v/>
      </c>
      <c r="N14" s="214">
        <f>SUMIFS(KB[TPEMBAYARAN],KB[RELASI],PERBLNR!$E$5,KB[TANGGAL],PERBLNR!B14,KB[TYPE],"B")</f>
        <v>0</v>
      </c>
      <c r="O14" s="173"/>
      <c r="P14" s="218" t="str">
        <f t="array" ref="P14">IFERROR(TEXT(VLOOKUP($E$5,IF($O$7="KELAPA BULAT",IF(KB[TANGGAL]=B14,KB[[RELASI]:[TANGGAL]],""),IF($O$7="KELAPA BERSABUT",IF(KBS[TANGGAL]=B14,KBS[[RELASI]:[TANGGAL]],""),IF($O$7="KOPRA",IF(KPR[TANGGAL]=B14,KPR[[RELASI]:[TANGGAL]],""),IF($O$7="ARANG",IF(ARG[TANGGAL]=B14,ARG[[RELASI]:[TANGGAL]],""))))),2,0),"0000"),"")</f>
        <v/>
      </c>
      <c r="Q14" s="213" t="str">
        <f t="array" ref="Q14">IFERROR(TEXT(VLOOKUP($E$5,IF($O$7="KELAPA BULAT",IF(KB[TANGGAL]=B14,KB[[RELASI]:[TANGGAL]],""),IF($O$7="KELAPA BERSABUT",IF(KBS[TANGGAL]=B14,KBS[[RELASI]:[TANGGAL]],""),IF($O$7="KOPRA",IF(KPR[TANGGAL]=B14,KPR[[RELASI]:[TANGGAL]],""),IF($O$7="ARANG",IF(ARG[TANGGAL]=B14,ARG[[RELASI]:[TANGGAL]],""))))),4,0),"000"),"")</f>
        <v/>
      </c>
      <c r="R14" s="214">
        <f>SUMIFS(KPR[NETTO],KPR[RELASI],PERBLNR!$E$5,KPR[TANGGAL],PERBLNR!B14)</f>
        <v>0</v>
      </c>
      <c r="S14" s="214">
        <f>SUMIFS(KPR[NETTOB],KPR[RELASI],PERBLNR!$E$5,KPR[TANGGAL],PERBLNR!B14)</f>
        <v>0</v>
      </c>
      <c r="T14" s="214" t="str">
        <f t="shared" si="3"/>
        <v/>
      </c>
      <c r="U14" s="217">
        <f>SUMIFS(KPR[TPEMBAYARAN],KPR[RELASI],PERBLNR!$E$5,KPR[TANGGAL],PERBLNR!B14)</f>
        <v>0</v>
      </c>
      <c r="V14" s="173"/>
      <c r="W14" s="218" t="str">
        <f t="array" ref="W14">IFERROR(TEXT(VLOOKUP($E$5,IF($V$7="KELAPA BULAT",IF(KB[TANGGAL]=B14,KB[[RELASI]:[TANGGAL]],""),IF($V$7="KELAPA BERSABUT",IF(KBS[TANGGAL]=B14,KBS[[RELASI]:[TANGGAL]],""),IF($V$7="KOPRA",IF(KPR[TANGGAL]=B14,KPR[[RELASI]:[TANGGAL]],""),IF($V$7="ARANG",IF(ARG[TANGGAL]=B14,ARG[[RELASI]:[TANGGAL]],""))))),2,0),"0000"),"")</f>
        <v/>
      </c>
      <c r="X14" s="213" t="str">
        <f t="array" ref="X14">IFERROR(TEXT(VLOOKUP($E$5,IF($V$7="KELAPA BULAT",IF(KB[TANGGAL]=B14,KB[[RELASI]:[TANGGAL]],""),IF($V$7="KELAPA BERSABUT",IF(KBS[TANGGAL]=B14,KBS[[RELASI]:[TANGGAL]],""),IF($V$7="KOPRA",IF(KPR[TANGGAL]=B14,KPR[[RELASI]:[TANGGAL]],""),IF($V$7="ARANG",IF(ARG[TANGGAL]=B14,ARG[[RELASI]:[TANGGAL]],""))))),4,0),"000"),"")</f>
        <v/>
      </c>
      <c r="Y14" s="214">
        <f>SUMIFS(KBS[NETTO2],KBS[RELASI],PERBLNR!$E$5,KBS[TANGGAL],PERBLNR!B14)</f>
        <v>0</v>
      </c>
      <c r="Z14" s="214">
        <f>SUMIFS(KBS[NETTO2],KBS[RELASI],PERBLNR!$E$5,KBS[TANGGAL],PERBLNR!B14)</f>
        <v>0</v>
      </c>
      <c r="AA14" s="214" t="str">
        <f t="shared" si="4"/>
        <v/>
      </c>
      <c r="AB14" s="217">
        <f>SUMIFS(KBS[TPEMBAYARAN],KBS[RELASI],PERBLNR!$E$5,KBS[TANGGAL],PERBLNR!B14)</f>
        <v>0</v>
      </c>
      <c r="AC14" s="173"/>
      <c r="AD14" s="218" t="str">
        <f t="array" ref="AD14">IFERROR(TEXT(VLOOKUP($E$5,IF($B$7="KELAPA BULAT",IF(KB[TANGGAL]=AC14,KB[[RELASI]:[TANGGAL]],""),IF($B$7="KELAPA BERSABUT",IF(KBS[TANGGAL]=AC14,KBS[[RELASI]:[TANGGAL]],""),IF($B$7="KOPRA",IF(KPR[TANGGAL]=AC14,KPR[[RELASI]:[TANGGAL]],""),IF($B$7="ARANG",IF(ARG[TANGGAL]=AC14,ARG[[RELASI]:[TANGGAL]],""))))),2,0),"0000"),"")</f>
        <v/>
      </c>
      <c r="AE14" s="213" t="str">
        <f t="array" ref="AE14">IFERROR(IF($B$7&lt;&gt;"KELAPA BULAT","",TEXT(VLOOKUP($E$5,IF(KB[NK]=VLOOKUP($E$5,IF(KB[TANGGAL]=V14,KB[[RELASI]:[TANGGAL]],""),2,0),IF(KB[TYPE]="B",KB[[RELASI]:[TYPE]],""),""),4,0),"000")),"")</f>
        <v/>
      </c>
      <c r="AF14" s="214">
        <f>SUMIFS(ARG[NETTO1],ARG[RELASI],PERBLNR!$E$5,ARG[TANGGAL],PERBLNR!B14)</f>
        <v>0</v>
      </c>
      <c r="AG14" s="214">
        <f>SUMIFS(ARG[NETTO3],ARG[RELASI],PERBLNR!$E$5,ARG[TANGGAL],PERBLNR!B14)</f>
        <v>0</v>
      </c>
      <c r="AH14" s="214" t="str">
        <f t="shared" si="5"/>
        <v/>
      </c>
      <c r="AI14" s="217">
        <f>SUMIFS(ARG[TPEMBAYARAN],ARG[RELASI],PERBLNR!$E$5,ARG[TANGGAL],PERBLNR!B14)</f>
        <v>0</v>
      </c>
      <c r="AK14" s="217">
        <f t="shared" si="6"/>
        <v>44087752</v>
      </c>
    </row>
    <row r="15" spans="1:37">
      <c r="B15" s="211">
        <f t="shared" si="0"/>
        <v>43896</v>
      </c>
      <c r="C15" s="212" t="str">
        <f t="array" ref="C15">IFERROR(TEXT(VLOOKUP($E$5,IF($B$7="KELAPA BULAT",IF(KB[TANGGAL]=B15,KB[[RELASI]:[TANGGAL]],""),IF($B$7="KELAPA BERSABUT",IF(KBS[TANGGAL]=B15,KBS[[RELASI]:[TANGGAL]],""),IF($B$7="KOPRA",IF(KPR[TANGGAL]=B15,KPR[[RELASI]:[TANGGAL]],""),IF($B$7="ARANG",IF(ARG[TANGGAL]=B15,ARG[[RELASI]:[TANGGAL]],""))))),2,0),"0000"),"")</f>
        <v>0038</v>
      </c>
      <c r="D15" s="213" t="str">
        <f t="array" ref="D15">IFERROR(TEXT(VLOOKUP($E$5,IF($B$7="KELAPA BULAT",IF(KB[TANGGAL]=B15,KB[[RELASI]:[TANGGAL]],""),IF($B$7="KELAPA BERSABUT",IF(KBS[TANGGAL]=B15,KBS[[RELASI]:[TANGGAL]],""),IF($B$7="KOPRA",IF(KPR[TANGGAL]=B15,KPR[[RELASI]:[TANGGAL]],""),IF($B$7="ARANG",IF(ARG[TANGGAL]=B15,ARG[[RELASI]:[TANGGAL]],""))))),4,0),"000"),"")</f>
        <v>038</v>
      </c>
      <c r="E15" s="214">
        <f>SUMIFS(KB[NETTO],KB[RELASI],PERBLNR!$E$5,KB[TANGGAL],PERBLNR!B15,KB[TYPE],"A")</f>
        <v>8630</v>
      </c>
      <c r="F15" s="214">
        <f>SUMIFS(KB[NETTO2],KB[RELASI],PERBLNR!$E$5,KB[TANGGAL],PERBLNR!B15,KB[TYPE],"A")</f>
        <v>8198.5</v>
      </c>
      <c r="G15" s="214">
        <f t="shared" si="2"/>
        <v>2899.9970726352381</v>
      </c>
      <c r="H15" s="215">
        <f>SUMIFS(KB[TPEMBAYARAN],KB[RELASI],PERBLNR!$E$5,KB[TANGGAL],PERBLNR!B15,KB[TYPE],"A")</f>
        <v>23775626</v>
      </c>
      <c r="I15" s="206"/>
      <c r="J15" s="213" t="str">
        <f t="array" ref="J15">IFERROR(IF($B$7&lt;&gt;"KELAPA BULAT","",TEXT(VLOOKUP($E$5,IF(KB[NK]=VLOOKUP($E$5,IF(KB[TANGGAL]=B15,KB[[RELASI]:[TANGGAL]],""),2,0),IF(KB[TYPE]="B",KB[[RELASI]:[TYPE]],""),""),4,0),"000")),"")</f>
        <v/>
      </c>
      <c r="K15" s="214">
        <f>SUMIFS(KB[NETTO],KB[RELASI],PERBLNR!$E$5,KB[TANGGAL],PERBLNR!B15,KB[TYPE],"B")</f>
        <v>0</v>
      </c>
      <c r="L15" s="214">
        <f>SUMIFS(KB[NETTO2],KB[RELASI],PERBLNR!$E$5,KB[TANGGAL],PERBLNR!B15,KB[TYPE],"B")</f>
        <v>0</v>
      </c>
      <c r="M15" s="214" t="str">
        <f t="shared" si="1"/>
        <v/>
      </c>
      <c r="N15" s="214">
        <f>SUMIFS(KB[TPEMBAYARAN],KB[RELASI],PERBLNR!$E$5,KB[TANGGAL],PERBLNR!B15,KB[TYPE],"B")</f>
        <v>0</v>
      </c>
      <c r="O15" s="173"/>
      <c r="P15" s="218" t="str">
        <f t="array" ref="P15">IFERROR(TEXT(VLOOKUP($E$5,IF($O$7="KELAPA BULAT",IF(KB[TANGGAL]=B15,KB[[RELASI]:[TANGGAL]],""),IF($O$7="KELAPA BERSABUT",IF(KBS[TANGGAL]=B15,KBS[[RELASI]:[TANGGAL]],""),IF($O$7="KOPRA",IF(KPR[TANGGAL]=B15,KPR[[RELASI]:[TANGGAL]],""),IF($O$7="ARANG",IF(ARG[TANGGAL]=B15,ARG[[RELASI]:[TANGGAL]],""))))),2,0),"0000"),"")</f>
        <v/>
      </c>
      <c r="Q15" s="213" t="str">
        <f t="array" ref="Q15">IFERROR(TEXT(VLOOKUP($E$5,IF($O$7="KELAPA BULAT",IF(KB[TANGGAL]=B15,KB[[RELASI]:[TANGGAL]],""),IF($O$7="KELAPA BERSABUT",IF(KBS[TANGGAL]=B15,KBS[[RELASI]:[TANGGAL]],""),IF($O$7="KOPRA",IF(KPR[TANGGAL]=B15,KPR[[RELASI]:[TANGGAL]],""),IF($O$7="ARANG",IF(ARG[TANGGAL]=B15,ARG[[RELASI]:[TANGGAL]],""))))),4,0),"000"),"")</f>
        <v/>
      </c>
      <c r="R15" s="214">
        <f>SUMIFS(KPR[NETTO],KPR[RELASI],PERBLNR!$E$5,KPR[TANGGAL],PERBLNR!B15)</f>
        <v>0</v>
      </c>
      <c r="S15" s="214">
        <f>SUMIFS(KPR[NETTOB],KPR[RELASI],PERBLNR!$E$5,KPR[TANGGAL],PERBLNR!B15)</f>
        <v>0</v>
      </c>
      <c r="T15" s="214" t="str">
        <f t="shared" si="3"/>
        <v/>
      </c>
      <c r="U15" s="217">
        <f>SUMIFS(KPR[TPEMBAYARAN],KPR[RELASI],PERBLNR!$E$5,KPR[TANGGAL],PERBLNR!B15)</f>
        <v>0</v>
      </c>
      <c r="V15" s="173"/>
      <c r="W15" s="218" t="str">
        <f t="array" ref="W15">IFERROR(TEXT(VLOOKUP($E$5,IF($V$7="KELAPA BULAT",IF(KB[TANGGAL]=B15,KB[[RELASI]:[TANGGAL]],""),IF($V$7="KELAPA BERSABUT",IF(KBS[TANGGAL]=B15,KBS[[RELASI]:[TANGGAL]],""),IF($V$7="KOPRA",IF(KPR[TANGGAL]=B15,KPR[[RELASI]:[TANGGAL]],""),IF($V$7="ARANG",IF(ARG[TANGGAL]=B15,ARG[[RELASI]:[TANGGAL]],""))))),2,0),"0000"),"")</f>
        <v/>
      </c>
      <c r="X15" s="213" t="str">
        <f t="array" ref="X15">IFERROR(TEXT(VLOOKUP($E$5,IF($V$7="KELAPA BULAT",IF(KB[TANGGAL]=B15,KB[[RELASI]:[TANGGAL]],""),IF($V$7="KELAPA BERSABUT",IF(KBS[TANGGAL]=B15,KBS[[RELASI]:[TANGGAL]],""),IF($V$7="KOPRA",IF(KPR[TANGGAL]=B15,KPR[[RELASI]:[TANGGAL]],""),IF($V$7="ARANG",IF(ARG[TANGGAL]=B15,ARG[[RELASI]:[TANGGAL]],""))))),4,0),"000"),"")</f>
        <v/>
      </c>
      <c r="Y15" s="214">
        <f>SUMIFS(KBS[NETTO2],KBS[RELASI],PERBLNR!$E$5,KBS[TANGGAL],PERBLNR!B15)</f>
        <v>0</v>
      </c>
      <c r="Z15" s="214">
        <f>SUMIFS(KBS[NETTO2],KBS[RELASI],PERBLNR!$E$5,KBS[TANGGAL],PERBLNR!B15)</f>
        <v>0</v>
      </c>
      <c r="AA15" s="214" t="str">
        <f t="shared" si="4"/>
        <v/>
      </c>
      <c r="AB15" s="217">
        <f>SUMIFS(KBS[TPEMBAYARAN],KBS[RELASI],PERBLNR!$E$5,KBS[TANGGAL],PERBLNR!B15)</f>
        <v>0</v>
      </c>
      <c r="AC15" s="173"/>
      <c r="AD15" s="218" t="str">
        <f t="array" ref="AD15">IFERROR(TEXT(VLOOKUP($E$5,IF($B$7="KELAPA BULAT",IF(KB[TANGGAL]=AC15,KB[[RELASI]:[TANGGAL]],""),IF($B$7="KELAPA BERSABUT",IF(KBS[TANGGAL]=AC15,KBS[[RELASI]:[TANGGAL]],""),IF($B$7="KOPRA",IF(KPR[TANGGAL]=AC15,KPR[[RELASI]:[TANGGAL]],""),IF($B$7="ARANG",IF(ARG[TANGGAL]=AC15,ARG[[RELASI]:[TANGGAL]],""))))),2,0),"0000"),"")</f>
        <v/>
      </c>
      <c r="AE15" s="213" t="str">
        <f t="array" ref="AE15">IFERROR(IF($B$7&lt;&gt;"KELAPA BULAT","",TEXT(VLOOKUP($E$5,IF(KB[NK]=VLOOKUP($E$5,IF(KB[TANGGAL]=V15,KB[[RELASI]:[TANGGAL]],""),2,0),IF(KB[TYPE]="B",KB[[RELASI]:[TYPE]],""),""),4,0),"000")),"")</f>
        <v/>
      </c>
      <c r="AF15" s="214">
        <f>SUMIFS(ARG[NETTO1],ARG[RELASI],PERBLNR!$E$5,ARG[TANGGAL],PERBLNR!B15)</f>
        <v>0</v>
      </c>
      <c r="AG15" s="214">
        <f>SUMIFS(ARG[NETTO3],ARG[RELASI],PERBLNR!$E$5,ARG[TANGGAL],PERBLNR!B15)</f>
        <v>0</v>
      </c>
      <c r="AH15" s="214" t="str">
        <f t="shared" si="5"/>
        <v/>
      </c>
      <c r="AI15" s="217">
        <f>SUMIFS(ARG[TPEMBAYARAN],ARG[RELASI],PERBLNR!$E$5,ARG[TANGGAL],PERBLNR!B15)</f>
        <v>0</v>
      </c>
      <c r="AK15" s="217">
        <f t="shared" si="6"/>
        <v>23775626</v>
      </c>
    </row>
    <row r="16" spans="1:37">
      <c r="B16" s="211">
        <f t="shared" si="0"/>
        <v>43897</v>
      </c>
      <c r="C16" s="212" t="str">
        <f t="array" ref="C16">IFERROR(TEXT(VLOOKUP($E$5,IF($B$7="KELAPA BULAT",IF(KB[TANGGAL]=B16,KB[[RELASI]:[TANGGAL]],""),IF($B$7="KELAPA BERSABUT",IF(KBS[TANGGAL]=B16,KBS[[RELASI]:[TANGGAL]],""),IF($B$7="KOPRA",IF(KPR[TANGGAL]=B16,KPR[[RELASI]:[TANGGAL]],""),IF($B$7="ARANG",IF(ARG[TANGGAL]=B16,ARG[[RELASI]:[TANGGAL]],""))))),2,0),"0000"),"")</f>
        <v/>
      </c>
      <c r="D16" s="213" t="str">
        <f t="array" ref="D16">IFERROR(TEXT(VLOOKUP($E$5,IF($B$7="KELAPA BULAT",IF(KB[TANGGAL]=B16,KB[[RELASI]:[TANGGAL]],""),IF($B$7="KELAPA BERSABUT",IF(KBS[TANGGAL]=B16,KBS[[RELASI]:[TANGGAL]],""),IF($B$7="KOPRA",IF(KPR[TANGGAL]=B16,KPR[[RELASI]:[TANGGAL]],""),IF($B$7="ARANG",IF(ARG[TANGGAL]=B16,ARG[[RELASI]:[TANGGAL]],""))))),4,0),"000"),"")</f>
        <v/>
      </c>
      <c r="E16" s="214">
        <f>SUMIFS(KB[NETTO],KB[RELASI],PERBLNR!$E$5,KB[TANGGAL],PERBLNR!B16,KB[TYPE],"A")</f>
        <v>0</v>
      </c>
      <c r="F16" s="214">
        <f>SUMIFS(KB[NETTO2],KB[RELASI],PERBLNR!$E$5,KB[TANGGAL],PERBLNR!B16,KB[TYPE],"A")</f>
        <v>0</v>
      </c>
      <c r="G16" s="214" t="str">
        <f t="shared" si="2"/>
        <v/>
      </c>
      <c r="H16" s="215">
        <f>SUMIFS(KB[TPEMBAYARAN],KB[RELASI],PERBLNR!$E$5,KB[TANGGAL],PERBLNR!B16,KB[TYPE],"A")</f>
        <v>0</v>
      </c>
      <c r="I16" s="206"/>
      <c r="J16" s="213" t="str">
        <f t="array" ref="J16">IFERROR(IF($B$7&lt;&gt;"KELAPA BULAT","",TEXT(VLOOKUP($E$5,IF(KB[NK]=VLOOKUP($E$5,IF(KB[TANGGAL]=B16,KB[[RELASI]:[TANGGAL]],""),2,0),IF(KB[TYPE]="B",KB[[RELASI]:[TYPE]],""),""),4,0),"000")),"")</f>
        <v/>
      </c>
      <c r="K16" s="214">
        <f>SUMIFS(KB[NETTO],KB[RELASI],PERBLNR!$E$5,KB[TANGGAL],PERBLNR!B16,KB[TYPE],"B")</f>
        <v>0</v>
      </c>
      <c r="L16" s="214">
        <f>SUMIFS(KB[NETTO2],KB[RELASI],PERBLNR!$E$5,KB[TANGGAL],PERBLNR!B16,KB[TYPE],"B")</f>
        <v>0</v>
      </c>
      <c r="M16" s="214" t="str">
        <f t="shared" si="1"/>
        <v/>
      </c>
      <c r="N16" s="214">
        <f>SUMIFS(KB[TPEMBAYARAN],KB[RELASI],PERBLNR!$E$5,KB[TANGGAL],PERBLNR!B16,KB[TYPE],"B")</f>
        <v>0</v>
      </c>
      <c r="O16" s="173"/>
      <c r="P16" s="218" t="str">
        <f t="array" ref="P16">IFERROR(TEXT(VLOOKUP($E$5,IF($O$7="KELAPA BULAT",IF(KB[TANGGAL]=B16,KB[[RELASI]:[TANGGAL]],""),IF($O$7="KELAPA BERSABUT",IF(KBS[TANGGAL]=B16,KBS[[RELASI]:[TANGGAL]],""),IF($O$7="KOPRA",IF(KPR[TANGGAL]=B16,KPR[[RELASI]:[TANGGAL]],""),IF($O$7="ARANG",IF(ARG[TANGGAL]=B16,ARG[[RELASI]:[TANGGAL]],""))))),2,0),"0000"),"")</f>
        <v/>
      </c>
      <c r="Q16" s="213" t="str">
        <f t="array" ref="Q16">IFERROR(TEXT(VLOOKUP($E$5,IF($O$7="KELAPA BULAT",IF(KB[TANGGAL]=B16,KB[[RELASI]:[TANGGAL]],""),IF($O$7="KELAPA BERSABUT",IF(KBS[TANGGAL]=B16,KBS[[RELASI]:[TANGGAL]],""),IF($O$7="KOPRA",IF(KPR[TANGGAL]=B16,KPR[[RELASI]:[TANGGAL]],""),IF($O$7="ARANG",IF(ARG[TANGGAL]=B16,ARG[[RELASI]:[TANGGAL]],""))))),4,0),"000"),"")</f>
        <v/>
      </c>
      <c r="R16" s="214">
        <f>SUMIFS(KPR[NETTO],KPR[RELASI],PERBLNR!$E$5,KPR[TANGGAL],PERBLNR!B16)</f>
        <v>0</v>
      </c>
      <c r="S16" s="214">
        <f>SUMIFS(KPR[NETTOB],KPR[RELASI],PERBLNR!$E$5,KPR[TANGGAL],PERBLNR!B16)</f>
        <v>0</v>
      </c>
      <c r="T16" s="214" t="str">
        <f t="shared" si="3"/>
        <v/>
      </c>
      <c r="U16" s="217">
        <f>SUMIFS(KPR[TPEMBAYARAN],KPR[RELASI],PERBLNR!$E$5,KPR[TANGGAL],PERBLNR!B16)</f>
        <v>0</v>
      </c>
      <c r="V16" s="173"/>
      <c r="W16" s="218" t="str">
        <f t="array" ref="W16">IFERROR(TEXT(VLOOKUP($E$5,IF($V$7="KELAPA BULAT",IF(KB[TANGGAL]=B16,KB[[RELASI]:[TANGGAL]],""),IF($V$7="KELAPA BERSABUT",IF(KBS[TANGGAL]=B16,KBS[[RELASI]:[TANGGAL]],""),IF($V$7="KOPRA",IF(KPR[TANGGAL]=B16,KPR[[RELASI]:[TANGGAL]],""),IF($V$7="ARANG",IF(ARG[TANGGAL]=B16,ARG[[RELASI]:[TANGGAL]],""))))),2,0),"0000"),"")</f>
        <v/>
      </c>
      <c r="X16" s="213" t="str">
        <f t="array" ref="X16">IFERROR(TEXT(VLOOKUP($E$5,IF($V$7="KELAPA BULAT",IF(KB[TANGGAL]=B16,KB[[RELASI]:[TANGGAL]],""),IF($V$7="KELAPA BERSABUT",IF(KBS[TANGGAL]=B16,KBS[[RELASI]:[TANGGAL]],""),IF($V$7="KOPRA",IF(KPR[TANGGAL]=B16,KPR[[RELASI]:[TANGGAL]],""),IF($V$7="ARANG",IF(ARG[TANGGAL]=B16,ARG[[RELASI]:[TANGGAL]],""))))),4,0),"000"),"")</f>
        <v/>
      </c>
      <c r="Y16" s="214">
        <f>SUMIFS(KBS[NETTO2],KBS[RELASI],PERBLNR!$E$5,KBS[TANGGAL],PERBLNR!B16)</f>
        <v>0</v>
      </c>
      <c r="Z16" s="214">
        <f>SUMIFS(KBS[NETTO2],KBS[RELASI],PERBLNR!$E$5,KBS[TANGGAL],PERBLNR!B16)</f>
        <v>0</v>
      </c>
      <c r="AA16" s="214" t="str">
        <f t="shared" si="4"/>
        <v/>
      </c>
      <c r="AB16" s="217">
        <f>SUMIFS(KBS[TPEMBAYARAN],KBS[RELASI],PERBLNR!$E$5,KBS[TANGGAL],PERBLNR!B16)</f>
        <v>0</v>
      </c>
      <c r="AC16" s="173"/>
      <c r="AD16" s="218" t="str">
        <f t="array" ref="AD16">IFERROR(TEXT(VLOOKUP($E$5,IF($B$7="KELAPA BULAT",IF(KB[TANGGAL]=AC16,KB[[RELASI]:[TANGGAL]],""),IF($B$7="KELAPA BERSABUT",IF(KBS[TANGGAL]=AC16,KBS[[RELASI]:[TANGGAL]],""),IF($B$7="KOPRA",IF(KPR[TANGGAL]=AC16,KPR[[RELASI]:[TANGGAL]],""),IF($B$7="ARANG",IF(ARG[TANGGAL]=AC16,ARG[[RELASI]:[TANGGAL]],""))))),2,0),"0000"),"")</f>
        <v/>
      </c>
      <c r="AE16" s="213" t="str">
        <f t="array" ref="AE16">IFERROR(IF($B$7&lt;&gt;"KELAPA BULAT","",TEXT(VLOOKUP($E$5,IF(KB[NK]=VLOOKUP($E$5,IF(KB[TANGGAL]=V16,KB[[RELASI]:[TANGGAL]],""),2,0),IF(KB[TYPE]="B",KB[[RELASI]:[TYPE]],""),""),4,0),"000")),"")</f>
        <v/>
      </c>
      <c r="AF16" s="214">
        <f>SUMIFS(ARG[NETTO1],ARG[RELASI],PERBLNR!$E$5,ARG[TANGGAL],PERBLNR!B16)</f>
        <v>0</v>
      </c>
      <c r="AG16" s="214">
        <f>SUMIFS(ARG[NETTO3],ARG[RELASI],PERBLNR!$E$5,ARG[TANGGAL],PERBLNR!B16)</f>
        <v>0</v>
      </c>
      <c r="AH16" s="214" t="str">
        <f t="shared" si="5"/>
        <v/>
      </c>
      <c r="AI16" s="217">
        <f>SUMIFS(ARG[TPEMBAYARAN],ARG[RELASI],PERBLNR!$E$5,ARG[TANGGAL],PERBLNR!B16)</f>
        <v>0</v>
      </c>
      <c r="AK16" s="217">
        <f t="shared" si="6"/>
        <v>0</v>
      </c>
    </row>
    <row r="17" spans="2:37">
      <c r="B17" s="211">
        <f t="shared" si="0"/>
        <v>43898</v>
      </c>
      <c r="C17" s="212" t="str">
        <f t="array" ref="C17">IFERROR(TEXT(VLOOKUP($E$5,IF($B$7="KELAPA BULAT",IF(KB[TANGGAL]=B17,KB[[RELASI]:[TANGGAL]],""),IF($B$7="KELAPA BERSABUT",IF(KBS[TANGGAL]=B17,KBS[[RELASI]:[TANGGAL]],""),IF($B$7="KOPRA",IF(KPR[TANGGAL]=B17,KPR[[RELASI]:[TANGGAL]],""),IF($B$7="ARANG",IF(ARG[TANGGAL]=B17,ARG[[RELASI]:[TANGGAL]],""))))),2,0),"0000"),"")</f>
        <v/>
      </c>
      <c r="D17" s="213" t="str">
        <f t="array" ref="D17">IFERROR(TEXT(VLOOKUP($E$5,IF($B$7="KELAPA BULAT",IF(KB[TANGGAL]=B17,KB[[RELASI]:[TANGGAL]],""),IF($B$7="KELAPA BERSABUT",IF(KBS[TANGGAL]=B17,KBS[[RELASI]:[TANGGAL]],""),IF($B$7="KOPRA",IF(KPR[TANGGAL]=B17,KPR[[RELASI]:[TANGGAL]],""),IF($B$7="ARANG",IF(ARG[TANGGAL]=B17,ARG[[RELASI]:[TANGGAL]],""))))),4,0),"000"),"")</f>
        <v/>
      </c>
      <c r="E17" s="214">
        <f>SUMIFS(KB[NETTO],KB[RELASI],PERBLNR!$E$5,KB[TANGGAL],PERBLNR!B17,KB[TYPE],"A")</f>
        <v>0</v>
      </c>
      <c r="F17" s="214">
        <f>SUMIFS(KB[NETTO2],KB[RELASI],PERBLNR!$E$5,KB[TANGGAL],PERBLNR!B17,KB[TYPE],"A")</f>
        <v>0</v>
      </c>
      <c r="G17" s="214" t="str">
        <f t="shared" si="2"/>
        <v/>
      </c>
      <c r="H17" s="215">
        <f>SUMIFS(KB[TPEMBAYARAN],KB[RELASI],PERBLNR!$E$5,KB[TANGGAL],PERBLNR!B17,KB[TYPE],"A")</f>
        <v>0</v>
      </c>
      <c r="I17" s="206"/>
      <c r="J17" s="213" t="str">
        <f t="array" ref="J17">IFERROR(IF($B$7&lt;&gt;"KELAPA BULAT","",TEXT(VLOOKUP($E$5,IF(KB[NK]=VLOOKUP($E$5,IF(KB[TANGGAL]=B17,KB[[RELASI]:[TANGGAL]],""),2,0),IF(KB[TYPE]="B",KB[[RELASI]:[TYPE]],""),""),4,0),"000")),"")</f>
        <v/>
      </c>
      <c r="K17" s="214">
        <f>SUMIFS(KB[NETTO],KB[RELASI],PERBLNR!$E$5,KB[TANGGAL],PERBLNR!B17,KB[TYPE],"B")</f>
        <v>0</v>
      </c>
      <c r="L17" s="214">
        <f>SUMIFS(KB[NETTO2],KB[RELASI],PERBLNR!$E$5,KB[TANGGAL],PERBLNR!B17,KB[TYPE],"B")</f>
        <v>0</v>
      </c>
      <c r="M17" s="214" t="str">
        <f t="shared" si="1"/>
        <v/>
      </c>
      <c r="N17" s="214">
        <f>SUMIFS(KB[TPEMBAYARAN],KB[RELASI],PERBLNR!$E$5,KB[TANGGAL],PERBLNR!B17,KB[TYPE],"B")</f>
        <v>0</v>
      </c>
      <c r="O17" s="173"/>
      <c r="P17" s="218" t="str">
        <f t="array" ref="P17">IFERROR(TEXT(VLOOKUP($E$5,IF($O$7="KELAPA BULAT",IF(KB[TANGGAL]=B17,KB[[RELASI]:[TANGGAL]],""),IF($O$7="KELAPA BERSABUT",IF(KBS[TANGGAL]=B17,KBS[[RELASI]:[TANGGAL]],""),IF($O$7="KOPRA",IF(KPR[TANGGAL]=B17,KPR[[RELASI]:[TANGGAL]],""),IF($O$7="ARANG",IF(ARG[TANGGAL]=B17,ARG[[RELASI]:[TANGGAL]],""))))),2,0),"0000"),"")</f>
        <v/>
      </c>
      <c r="Q17" s="213" t="str">
        <f t="array" ref="Q17">IFERROR(TEXT(VLOOKUP($E$5,IF($O$7="KELAPA BULAT",IF(KB[TANGGAL]=B17,KB[[RELASI]:[TANGGAL]],""),IF($O$7="KELAPA BERSABUT",IF(KBS[TANGGAL]=B17,KBS[[RELASI]:[TANGGAL]],""),IF($O$7="KOPRA",IF(KPR[TANGGAL]=B17,KPR[[RELASI]:[TANGGAL]],""),IF($O$7="ARANG",IF(ARG[TANGGAL]=B17,ARG[[RELASI]:[TANGGAL]],""))))),4,0),"000"),"")</f>
        <v/>
      </c>
      <c r="R17" s="214">
        <f>SUMIFS(KPR[NETTO],KPR[RELASI],PERBLNR!$E$5,KPR[TANGGAL],PERBLNR!B17)</f>
        <v>0</v>
      </c>
      <c r="S17" s="214">
        <f>SUMIFS(KPR[NETTOB],KPR[RELASI],PERBLNR!$E$5,KPR[TANGGAL],PERBLNR!B17)</f>
        <v>0</v>
      </c>
      <c r="T17" s="214" t="str">
        <f t="shared" si="3"/>
        <v/>
      </c>
      <c r="U17" s="217">
        <f>SUMIFS(KPR[TPEMBAYARAN],KPR[RELASI],PERBLNR!$E$5,KPR[TANGGAL],PERBLNR!B17)</f>
        <v>0</v>
      </c>
      <c r="V17" s="173"/>
      <c r="W17" s="218" t="str">
        <f t="array" ref="W17">IFERROR(TEXT(VLOOKUP($E$5,IF($V$7="KELAPA BULAT",IF(KB[TANGGAL]=B17,KB[[RELASI]:[TANGGAL]],""),IF($V$7="KELAPA BERSABUT",IF(KBS[TANGGAL]=B17,KBS[[RELASI]:[TANGGAL]],""),IF($V$7="KOPRA",IF(KPR[TANGGAL]=B17,KPR[[RELASI]:[TANGGAL]],""),IF($V$7="ARANG",IF(ARG[TANGGAL]=B17,ARG[[RELASI]:[TANGGAL]],""))))),2,0),"0000"),"")</f>
        <v/>
      </c>
      <c r="X17" s="213" t="str">
        <f t="array" ref="X17">IFERROR(TEXT(VLOOKUP($E$5,IF($V$7="KELAPA BULAT",IF(KB[TANGGAL]=B17,KB[[RELASI]:[TANGGAL]],""),IF($V$7="KELAPA BERSABUT",IF(KBS[TANGGAL]=B17,KBS[[RELASI]:[TANGGAL]],""),IF($V$7="KOPRA",IF(KPR[TANGGAL]=B17,KPR[[RELASI]:[TANGGAL]],""),IF($V$7="ARANG",IF(ARG[TANGGAL]=B17,ARG[[RELASI]:[TANGGAL]],""))))),4,0),"000"),"")</f>
        <v/>
      </c>
      <c r="Y17" s="214">
        <f>SUMIFS(KBS[NETTO2],KBS[RELASI],PERBLNR!$E$5,KBS[TANGGAL],PERBLNR!B17)</f>
        <v>0</v>
      </c>
      <c r="Z17" s="214">
        <f>SUMIFS(KBS[NETTO2],KBS[RELASI],PERBLNR!$E$5,KBS[TANGGAL],PERBLNR!B17)</f>
        <v>0</v>
      </c>
      <c r="AA17" s="214" t="str">
        <f t="shared" si="4"/>
        <v/>
      </c>
      <c r="AB17" s="217">
        <f>SUMIFS(KBS[TPEMBAYARAN],KBS[RELASI],PERBLNR!$E$5,KBS[TANGGAL],PERBLNR!B17)</f>
        <v>0</v>
      </c>
      <c r="AC17" s="173"/>
      <c r="AD17" s="218" t="str">
        <f t="array" ref="AD17">IFERROR(TEXT(VLOOKUP($E$5,IF($B$7="KELAPA BULAT",IF(KB[TANGGAL]=AC17,KB[[RELASI]:[TANGGAL]],""),IF($B$7="KELAPA BERSABUT",IF(KBS[TANGGAL]=AC17,KBS[[RELASI]:[TANGGAL]],""),IF($B$7="KOPRA",IF(KPR[TANGGAL]=AC17,KPR[[RELASI]:[TANGGAL]],""),IF($B$7="ARANG",IF(ARG[TANGGAL]=AC17,ARG[[RELASI]:[TANGGAL]],""))))),2,0),"0000"),"")</f>
        <v/>
      </c>
      <c r="AE17" s="213" t="str">
        <f t="array" ref="AE17">IFERROR(IF($B$7&lt;&gt;"KELAPA BULAT","",TEXT(VLOOKUP($E$5,IF(KB[NK]=VLOOKUP($E$5,IF(KB[TANGGAL]=V17,KB[[RELASI]:[TANGGAL]],""),2,0),IF(KB[TYPE]="B",KB[[RELASI]:[TYPE]],""),""),4,0),"000")),"")</f>
        <v/>
      </c>
      <c r="AF17" s="214">
        <f>SUMIFS(ARG[NETTO1],ARG[RELASI],PERBLNR!$E$5,ARG[TANGGAL],PERBLNR!B17)</f>
        <v>0</v>
      </c>
      <c r="AG17" s="214">
        <f>SUMIFS(ARG[NETTO3],ARG[RELASI],PERBLNR!$E$5,ARG[TANGGAL],PERBLNR!B17)</f>
        <v>0</v>
      </c>
      <c r="AH17" s="214" t="str">
        <f t="shared" si="5"/>
        <v/>
      </c>
      <c r="AI17" s="217">
        <f>SUMIFS(ARG[TPEMBAYARAN],ARG[RELASI],PERBLNR!$E$5,ARG[TANGGAL],PERBLNR!B17)</f>
        <v>0</v>
      </c>
      <c r="AK17" s="217">
        <f t="shared" si="6"/>
        <v>0</v>
      </c>
    </row>
    <row r="18" spans="2:37">
      <c r="B18" s="211">
        <f t="shared" si="0"/>
        <v>43899</v>
      </c>
      <c r="C18" s="212" t="str">
        <f t="array" ref="C18">IFERROR(TEXT(VLOOKUP($E$5,IF($B$7="KELAPA BULAT",IF(KB[TANGGAL]=B18,KB[[RELASI]:[TANGGAL]],""),IF($B$7="KELAPA BERSABUT",IF(KBS[TANGGAL]=B18,KBS[[RELASI]:[TANGGAL]],""),IF($B$7="KOPRA",IF(KPR[TANGGAL]=B18,KPR[[RELASI]:[TANGGAL]],""),IF($B$7="ARANG",IF(ARG[TANGGAL]=B18,ARG[[RELASI]:[TANGGAL]],""))))),2,0),"0000"),"")</f>
        <v>0039</v>
      </c>
      <c r="D18" s="213" t="str">
        <f t="array" ref="D18">IFERROR(TEXT(VLOOKUP($E$5,IF($B$7="KELAPA BULAT",IF(KB[TANGGAL]=B18,KB[[RELASI]:[TANGGAL]],""),IF($B$7="KELAPA BERSABUT",IF(KBS[TANGGAL]=B18,KBS[[RELASI]:[TANGGAL]],""),IF($B$7="KOPRA",IF(KPR[TANGGAL]=B18,KPR[[RELASI]:[TANGGAL]],""),IF($B$7="ARANG",IF(ARG[TANGGAL]=B18,ARG[[RELASI]:[TANGGAL]],""))))),4,0),"000"),"")</f>
        <v>039</v>
      </c>
      <c r="E18" s="214">
        <f>SUMIFS(KB[NETTO],KB[RELASI],PERBLNR!$E$5,KB[TANGGAL],PERBLNR!B18,KB[TYPE],"A")</f>
        <v>36250</v>
      </c>
      <c r="F18" s="214">
        <f>SUMIFS(KB[NETTO2],KB[RELASI],PERBLNR!$E$5,KB[TANGGAL],PERBLNR!B18,KB[TYPE],"A")</f>
        <v>34315.5</v>
      </c>
      <c r="G18" s="214">
        <f t="shared" si="2"/>
        <v>2883.2879019684983</v>
      </c>
      <c r="H18" s="215">
        <f>SUMIFS(KB[TPEMBAYARAN],KB[RELASI],PERBLNR!$E$5,KB[TANGGAL],PERBLNR!B18,KB[TYPE],"A")</f>
        <v>98941466</v>
      </c>
      <c r="I18" s="206"/>
      <c r="J18" s="213" t="str">
        <f t="array" ref="J18">IFERROR(IF($B$7&lt;&gt;"KELAPA BULAT","",TEXT(VLOOKUP($E$5,IF(KB[NK]=VLOOKUP($E$5,IF(KB[TANGGAL]=B18,KB[[RELASI]:[TANGGAL]],""),2,0),IF(KB[TYPE]="B",KB[[RELASI]:[TYPE]],""),""),4,0),"000")),"")</f>
        <v/>
      </c>
      <c r="K18" s="214">
        <f>SUMIFS(KB[NETTO],KB[RELASI],PERBLNR!$E$5,KB[TANGGAL],PERBLNR!B18,KB[TYPE],"B")</f>
        <v>0</v>
      </c>
      <c r="L18" s="214">
        <f>SUMIFS(KB[NETTO2],KB[RELASI],PERBLNR!$E$5,KB[TANGGAL],PERBLNR!B18,KB[TYPE],"B")</f>
        <v>0</v>
      </c>
      <c r="M18" s="214" t="str">
        <f t="shared" si="1"/>
        <v/>
      </c>
      <c r="N18" s="214">
        <f>SUMIFS(KB[TPEMBAYARAN],KB[RELASI],PERBLNR!$E$5,KB[TANGGAL],PERBLNR!B18,KB[TYPE],"B")</f>
        <v>0</v>
      </c>
      <c r="O18" s="173"/>
      <c r="P18" s="218" t="str">
        <f t="array" ref="P18">IFERROR(TEXT(VLOOKUP($E$5,IF($O$7="KELAPA BULAT",IF(KB[TANGGAL]=B18,KB[[RELASI]:[TANGGAL]],""),IF($O$7="KELAPA BERSABUT",IF(KBS[TANGGAL]=B18,KBS[[RELASI]:[TANGGAL]],""),IF($O$7="KOPRA",IF(KPR[TANGGAL]=B18,KPR[[RELASI]:[TANGGAL]],""),IF($O$7="ARANG",IF(ARG[TANGGAL]=B18,ARG[[RELASI]:[TANGGAL]],""))))),2,0),"0000"),"")</f>
        <v/>
      </c>
      <c r="Q18" s="213" t="str">
        <f t="array" ref="Q18">IFERROR(TEXT(VLOOKUP($E$5,IF($O$7="KELAPA BULAT",IF(KB[TANGGAL]=B18,KB[[RELASI]:[TANGGAL]],""),IF($O$7="KELAPA BERSABUT",IF(KBS[TANGGAL]=B18,KBS[[RELASI]:[TANGGAL]],""),IF($O$7="KOPRA",IF(KPR[TANGGAL]=B18,KPR[[RELASI]:[TANGGAL]],""),IF($O$7="ARANG",IF(ARG[TANGGAL]=B18,ARG[[RELASI]:[TANGGAL]],""))))),4,0),"000"),"")</f>
        <v/>
      </c>
      <c r="R18" s="214">
        <f>SUMIFS(KPR[NETTO],KPR[RELASI],PERBLNR!$E$5,KPR[TANGGAL],PERBLNR!B18)</f>
        <v>0</v>
      </c>
      <c r="S18" s="214">
        <f>SUMIFS(KPR[NETTOB],KPR[RELASI],PERBLNR!$E$5,KPR[TANGGAL],PERBLNR!B18)</f>
        <v>0</v>
      </c>
      <c r="T18" s="214" t="str">
        <f t="shared" si="3"/>
        <v/>
      </c>
      <c r="U18" s="217">
        <f>SUMIFS(KPR[TPEMBAYARAN],KPR[RELASI],PERBLNR!$E$5,KPR[TANGGAL],PERBLNR!B18)</f>
        <v>0</v>
      </c>
      <c r="V18" s="173"/>
      <c r="W18" s="218" t="str">
        <f t="array" ref="W18">IFERROR(TEXT(VLOOKUP($E$5,IF($V$7="KELAPA BULAT",IF(KB[TANGGAL]=B18,KB[[RELASI]:[TANGGAL]],""),IF($V$7="KELAPA BERSABUT",IF(KBS[TANGGAL]=B18,KBS[[RELASI]:[TANGGAL]],""),IF($V$7="KOPRA",IF(KPR[TANGGAL]=B18,KPR[[RELASI]:[TANGGAL]],""),IF($V$7="ARANG",IF(ARG[TANGGAL]=B18,ARG[[RELASI]:[TANGGAL]],""))))),2,0),"0000"),"")</f>
        <v/>
      </c>
      <c r="X18" s="213" t="str">
        <f t="array" ref="X18">IFERROR(TEXT(VLOOKUP($E$5,IF($V$7="KELAPA BULAT",IF(KB[TANGGAL]=B18,KB[[RELASI]:[TANGGAL]],""),IF($V$7="KELAPA BERSABUT",IF(KBS[TANGGAL]=B18,KBS[[RELASI]:[TANGGAL]],""),IF($V$7="KOPRA",IF(KPR[TANGGAL]=B18,KPR[[RELASI]:[TANGGAL]],""),IF($V$7="ARANG",IF(ARG[TANGGAL]=B18,ARG[[RELASI]:[TANGGAL]],""))))),4,0),"000"),"")</f>
        <v/>
      </c>
      <c r="Y18" s="214">
        <f>SUMIFS(KBS[NETTO2],KBS[RELASI],PERBLNR!$E$5,KBS[TANGGAL],PERBLNR!B18)</f>
        <v>0</v>
      </c>
      <c r="Z18" s="214">
        <f>SUMIFS(KBS[NETTO2],KBS[RELASI],PERBLNR!$E$5,KBS[TANGGAL],PERBLNR!B18)</f>
        <v>0</v>
      </c>
      <c r="AA18" s="214" t="str">
        <f t="shared" si="4"/>
        <v/>
      </c>
      <c r="AB18" s="217">
        <f>SUMIFS(KBS[TPEMBAYARAN],KBS[RELASI],PERBLNR!$E$5,KBS[TANGGAL],PERBLNR!B18)</f>
        <v>0</v>
      </c>
      <c r="AC18" s="173"/>
      <c r="AD18" s="218" t="str">
        <f t="array" ref="AD18">IFERROR(TEXT(VLOOKUP($E$5,IF($B$7="KELAPA BULAT",IF(KB[TANGGAL]=AC18,KB[[RELASI]:[TANGGAL]],""),IF($B$7="KELAPA BERSABUT",IF(KBS[TANGGAL]=AC18,KBS[[RELASI]:[TANGGAL]],""),IF($B$7="KOPRA",IF(KPR[TANGGAL]=AC18,KPR[[RELASI]:[TANGGAL]],""),IF($B$7="ARANG",IF(ARG[TANGGAL]=AC18,ARG[[RELASI]:[TANGGAL]],""))))),2,0),"0000"),"")</f>
        <v/>
      </c>
      <c r="AE18" s="213" t="str">
        <f t="array" ref="AE18">IFERROR(IF($B$7&lt;&gt;"KELAPA BULAT","",TEXT(VLOOKUP($E$5,IF(KB[NK]=VLOOKUP($E$5,IF(KB[TANGGAL]=V18,KB[[RELASI]:[TANGGAL]],""),2,0),IF(KB[TYPE]="B",KB[[RELASI]:[TYPE]],""),""),4,0),"000")),"")</f>
        <v/>
      </c>
      <c r="AF18" s="214">
        <f>SUMIFS(ARG[NETTO1],ARG[RELASI],PERBLNR!$E$5,ARG[TANGGAL],PERBLNR!B18)</f>
        <v>0</v>
      </c>
      <c r="AG18" s="214">
        <f>SUMIFS(ARG[NETTO3],ARG[RELASI],PERBLNR!$E$5,ARG[TANGGAL],PERBLNR!B18)</f>
        <v>0</v>
      </c>
      <c r="AH18" s="214" t="str">
        <f t="shared" si="5"/>
        <v/>
      </c>
      <c r="AI18" s="217">
        <f>SUMIFS(ARG[TPEMBAYARAN],ARG[RELASI],PERBLNR!$E$5,ARG[TANGGAL],PERBLNR!B18)</f>
        <v>0</v>
      </c>
      <c r="AK18" s="217">
        <f t="shared" si="6"/>
        <v>98941466</v>
      </c>
    </row>
    <row r="19" spans="2:37">
      <c r="B19" s="211">
        <f t="shared" si="0"/>
        <v>43900</v>
      </c>
      <c r="C19" s="212" t="str">
        <f t="array" ref="C19">IFERROR(TEXT(VLOOKUP($E$5,IF($B$7="KELAPA BULAT",IF(KB[TANGGAL]=B19,KB[[RELASI]:[TANGGAL]],""),IF($B$7="KELAPA BERSABUT",IF(KBS[TANGGAL]=B19,KBS[[RELASI]:[TANGGAL]],""),IF($B$7="KOPRA",IF(KPR[TANGGAL]=B19,KPR[[RELASI]:[TANGGAL]],""),IF($B$7="ARANG",IF(ARG[TANGGAL]=B19,ARG[[RELASI]:[TANGGAL]],""))))),2,0),"0000"),"")</f>
        <v>0040</v>
      </c>
      <c r="D19" s="213" t="str">
        <f t="array" ref="D19">IFERROR(TEXT(VLOOKUP($E$5,IF($B$7="KELAPA BULAT",IF(KB[TANGGAL]=B19,KB[[RELASI]:[TANGGAL]],""),IF($B$7="KELAPA BERSABUT",IF(KBS[TANGGAL]=B19,KBS[[RELASI]:[TANGGAL]],""),IF($B$7="KOPRA",IF(KPR[TANGGAL]=B19,KPR[[RELASI]:[TANGGAL]],""),IF($B$7="ARANG",IF(ARG[TANGGAL]=B19,ARG[[RELASI]:[TANGGAL]],""))))),4,0),"000"),"")</f>
        <v>040</v>
      </c>
      <c r="E19" s="214">
        <f>SUMIFS(KB[NETTO],KB[RELASI],PERBLNR!$E$5,KB[TANGGAL],PERBLNR!B19,KB[TYPE],"A")</f>
        <v>24320</v>
      </c>
      <c r="F19" s="214">
        <f>SUMIFS(KB[NETTO2],KB[RELASI],PERBLNR!$E$5,KB[TANGGAL],PERBLNR!B19,KB[TYPE],"A")</f>
        <v>23104</v>
      </c>
      <c r="G19" s="214">
        <f t="shared" si="2"/>
        <v>2899.997186634349</v>
      </c>
      <c r="H19" s="215">
        <f>SUMIFS(KB[TPEMBAYARAN],KB[RELASI],PERBLNR!$E$5,KB[TANGGAL],PERBLNR!B19,KB[TYPE],"A")</f>
        <v>67001535</v>
      </c>
      <c r="I19" s="206"/>
      <c r="J19" s="213" t="str">
        <f t="array" ref="J19">IFERROR(IF($B$7&lt;&gt;"KELAPA BULAT","",TEXT(VLOOKUP($E$5,IF(KB[NK]=VLOOKUP($E$5,IF(KB[TANGGAL]=B19,KB[[RELASI]:[TANGGAL]],""),2,0),IF(KB[TYPE]="B",KB[[RELASI]:[TYPE]],""),""),4,0),"000")),"")</f>
        <v/>
      </c>
      <c r="K19" s="214">
        <f>SUMIFS(KB[NETTO],KB[RELASI],PERBLNR!$E$5,KB[TANGGAL],PERBLNR!B19,KB[TYPE],"B")</f>
        <v>0</v>
      </c>
      <c r="L19" s="214">
        <f>SUMIFS(KB[NETTO2],KB[RELASI],PERBLNR!$E$5,KB[TANGGAL],PERBLNR!B19,KB[TYPE],"B")</f>
        <v>0</v>
      </c>
      <c r="M19" s="214" t="str">
        <f t="shared" si="1"/>
        <v/>
      </c>
      <c r="N19" s="214">
        <f>SUMIFS(KB[TPEMBAYARAN],KB[RELASI],PERBLNR!$E$5,KB[TANGGAL],PERBLNR!B19,KB[TYPE],"B")</f>
        <v>0</v>
      </c>
      <c r="O19" s="173"/>
      <c r="P19" s="218" t="str">
        <f t="array" ref="P19">IFERROR(TEXT(VLOOKUP($E$5,IF($O$7="KELAPA BULAT",IF(KB[TANGGAL]=B19,KB[[RELASI]:[TANGGAL]],""),IF($O$7="KELAPA BERSABUT",IF(KBS[TANGGAL]=B19,KBS[[RELASI]:[TANGGAL]],""),IF($O$7="KOPRA",IF(KPR[TANGGAL]=B19,KPR[[RELASI]:[TANGGAL]],""),IF($O$7="ARANG",IF(ARG[TANGGAL]=B19,ARG[[RELASI]:[TANGGAL]],""))))),2,0),"0000"),"")</f>
        <v/>
      </c>
      <c r="Q19" s="213" t="str">
        <f t="array" ref="Q19">IFERROR(TEXT(VLOOKUP($E$5,IF($O$7="KELAPA BULAT",IF(KB[TANGGAL]=B19,KB[[RELASI]:[TANGGAL]],""),IF($O$7="KELAPA BERSABUT",IF(KBS[TANGGAL]=B19,KBS[[RELASI]:[TANGGAL]],""),IF($O$7="KOPRA",IF(KPR[TANGGAL]=B19,KPR[[RELASI]:[TANGGAL]],""),IF($O$7="ARANG",IF(ARG[TANGGAL]=B19,ARG[[RELASI]:[TANGGAL]],""))))),4,0),"000"),"")</f>
        <v/>
      </c>
      <c r="R19" s="214">
        <f>SUMIFS(KPR[NETTO],KPR[RELASI],PERBLNR!$E$5,KPR[TANGGAL],PERBLNR!B19)</f>
        <v>0</v>
      </c>
      <c r="S19" s="214">
        <f>SUMIFS(KPR[NETTOB],KPR[RELASI],PERBLNR!$E$5,KPR[TANGGAL],PERBLNR!B19)</f>
        <v>0</v>
      </c>
      <c r="T19" s="214" t="str">
        <f t="shared" si="3"/>
        <v/>
      </c>
      <c r="U19" s="217">
        <f>SUMIFS(KPR[TPEMBAYARAN],KPR[RELASI],PERBLNR!$E$5,KPR[TANGGAL],PERBLNR!B19)</f>
        <v>0</v>
      </c>
      <c r="V19" s="173"/>
      <c r="W19" s="218" t="str">
        <f t="array" ref="W19">IFERROR(TEXT(VLOOKUP($E$5,IF($V$7="KELAPA BULAT",IF(KB[TANGGAL]=B19,KB[[RELASI]:[TANGGAL]],""),IF($V$7="KELAPA BERSABUT",IF(KBS[TANGGAL]=B19,KBS[[RELASI]:[TANGGAL]],""),IF($V$7="KOPRA",IF(KPR[TANGGAL]=B19,KPR[[RELASI]:[TANGGAL]],""),IF($V$7="ARANG",IF(ARG[TANGGAL]=B19,ARG[[RELASI]:[TANGGAL]],""))))),2,0),"0000"),"")</f>
        <v/>
      </c>
      <c r="X19" s="213" t="str">
        <f t="array" ref="X19">IFERROR(TEXT(VLOOKUP($E$5,IF($V$7="KELAPA BULAT",IF(KB[TANGGAL]=B19,KB[[RELASI]:[TANGGAL]],""),IF($V$7="KELAPA BERSABUT",IF(KBS[TANGGAL]=B19,KBS[[RELASI]:[TANGGAL]],""),IF($V$7="KOPRA",IF(KPR[TANGGAL]=B19,KPR[[RELASI]:[TANGGAL]],""),IF($V$7="ARANG",IF(ARG[TANGGAL]=B19,ARG[[RELASI]:[TANGGAL]],""))))),4,0),"000"),"")</f>
        <v/>
      </c>
      <c r="Y19" s="214">
        <f>SUMIFS(KBS[NETTO2],KBS[RELASI],PERBLNR!$E$5,KBS[TANGGAL],PERBLNR!B19)</f>
        <v>0</v>
      </c>
      <c r="Z19" s="214">
        <f>SUMIFS(KBS[NETTO2],KBS[RELASI],PERBLNR!$E$5,KBS[TANGGAL],PERBLNR!B19)</f>
        <v>0</v>
      </c>
      <c r="AA19" s="214" t="str">
        <f t="shared" si="4"/>
        <v/>
      </c>
      <c r="AB19" s="217">
        <f>SUMIFS(KBS[TPEMBAYARAN],KBS[RELASI],PERBLNR!$E$5,KBS[TANGGAL],PERBLNR!B19)</f>
        <v>0</v>
      </c>
      <c r="AC19" s="173"/>
      <c r="AD19" s="218" t="str">
        <f t="array" ref="AD19">IFERROR(TEXT(VLOOKUP($E$5,IF($B$7="KELAPA BULAT",IF(KB[TANGGAL]=AC19,KB[[RELASI]:[TANGGAL]],""),IF($B$7="KELAPA BERSABUT",IF(KBS[TANGGAL]=AC19,KBS[[RELASI]:[TANGGAL]],""),IF($B$7="KOPRA",IF(KPR[TANGGAL]=AC19,KPR[[RELASI]:[TANGGAL]],""),IF($B$7="ARANG",IF(ARG[TANGGAL]=AC19,ARG[[RELASI]:[TANGGAL]],""))))),2,0),"0000"),"")</f>
        <v/>
      </c>
      <c r="AE19" s="213" t="str">
        <f t="array" ref="AE19">IFERROR(IF($B$7&lt;&gt;"KELAPA BULAT","",TEXT(VLOOKUP($E$5,IF(KB[NK]=VLOOKUP($E$5,IF(KB[TANGGAL]=V19,KB[[RELASI]:[TANGGAL]],""),2,0),IF(KB[TYPE]="B",KB[[RELASI]:[TYPE]],""),""),4,0),"000")),"")</f>
        <v/>
      </c>
      <c r="AF19" s="214">
        <f>SUMIFS(ARG[NETTO1],ARG[RELASI],PERBLNR!$E$5,ARG[TANGGAL],PERBLNR!B19)</f>
        <v>0</v>
      </c>
      <c r="AG19" s="214">
        <f>SUMIFS(ARG[NETTO3],ARG[RELASI],PERBLNR!$E$5,ARG[TANGGAL],PERBLNR!B19)</f>
        <v>0</v>
      </c>
      <c r="AH19" s="214" t="str">
        <f t="shared" si="5"/>
        <v/>
      </c>
      <c r="AI19" s="217">
        <f>SUMIFS(ARG[TPEMBAYARAN],ARG[RELASI],PERBLNR!$E$5,ARG[TANGGAL],PERBLNR!B19)</f>
        <v>0</v>
      </c>
      <c r="AK19" s="217">
        <f t="shared" si="6"/>
        <v>67001535</v>
      </c>
    </row>
    <row r="20" spans="2:37">
      <c r="B20" s="211">
        <f t="shared" si="0"/>
        <v>43901</v>
      </c>
      <c r="C20" s="212" t="str">
        <f t="array" ref="C20">IFERROR(TEXT(VLOOKUP($E$5,IF($B$7="KELAPA BULAT",IF(KB[TANGGAL]=B20,KB[[RELASI]:[TANGGAL]],""),IF($B$7="KELAPA BERSABUT",IF(KBS[TANGGAL]=B20,KBS[[RELASI]:[TANGGAL]],""),IF($B$7="KOPRA",IF(KPR[TANGGAL]=B20,KPR[[RELASI]:[TANGGAL]],""),IF($B$7="ARANG",IF(ARG[TANGGAL]=B20,ARG[[RELASI]:[TANGGAL]],""))))),2,0),"0000"),"")</f>
        <v>0041</v>
      </c>
      <c r="D20" s="213" t="str">
        <f t="array" ref="D20">IFERROR(TEXT(VLOOKUP($E$5,IF($B$7="KELAPA BULAT",IF(KB[TANGGAL]=B20,KB[[RELASI]:[TANGGAL]],""),IF($B$7="KELAPA BERSABUT",IF(KBS[TANGGAL]=B20,KBS[[RELASI]:[TANGGAL]],""),IF($B$7="KOPRA",IF(KPR[TANGGAL]=B20,KPR[[RELASI]:[TANGGAL]],""),IF($B$7="ARANG",IF(ARG[TANGGAL]=B20,ARG[[RELASI]:[TANGGAL]],""))))),4,0),"000"),"")</f>
        <v>041</v>
      </c>
      <c r="E20" s="214">
        <f>SUMIFS(KB[NETTO],KB[RELASI],PERBLNR!$E$5,KB[TANGGAL],PERBLNR!B20,KB[TYPE],"A")</f>
        <v>3570</v>
      </c>
      <c r="F20" s="214">
        <f>SUMIFS(KB[NETTO2],KB[RELASI],PERBLNR!$E$5,KB[TANGGAL],PERBLNR!B20,KB[TYPE],"A")</f>
        <v>3355.8</v>
      </c>
      <c r="G20" s="214">
        <f t="shared" si="2"/>
        <v>2949.9958281184813</v>
      </c>
      <c r="H20" s="215">
        <f>SUMIFS(KB[TPEMBAYARAN],KB[RELASI],PERBLNR!$E$5,KB[TANGGAL],PERBLNR!B20,KB[TYPE],"A")</f>
        <v>9899596</v>
      </c>
      <c r="I20" s="206"/>
      <c r="J20" s="213" t="str">
        <f t="array" ref="J20">IFERROR(IF($B$7&lt;&gt;"KELAPA BULAT","",TEXT(VLOOKUP($E$5,IF(KB[NK]=VLOOKUP($E$5,IF(KB[TANGGAL]=B20,KB[[RELASI]:[TANGGAL]],""),2,0),IF(KB[TYPE]="B",KB[[RELASI]:[TYPE]],""),""),4,0),"000")),"")</f>
        <v/>
      </c>
      <c r="K20" s="214">
        <f>SUMIFS(KB[NETTO],KB[RELASI],PERBLNR!$E$5,KB[TANGGAL],PERBLNR!B20,KB[TYPE],"B")</f>
        <v>0</v>
      </c>
      <c r="L20" s="214">
        <f>SUMIFS(KB[NETTO2],KB[RELASI],PERBLNR!$E$5,KB[TANGGAL],PERBLNR!B20,KB[TYPE],"B")</f>
        <v>0</v>
      </c>
      <c r="M20" s="214" t="str">
        <f t="shared" si="1"/>
        <v/>
      </c>
      <c r="N20" s="214">
        <f>SUMIFS(KB[TPEMBAYARAN],KB[RELASI],PERBLNR!$E$5,KB[TANGGAL],PERBLNR!B20,KB[TYPE],"B")</f>
        <v>0</v>
      </c>
      <c r="O20" s="173"/>
      <c r="P20" s="218" t="str">
        <f t="array" ref="P20">IFERROR(TEXT(VLOOKUP($E$5,IF($O$7="KELAPA BULAT",IF(KB[TANGGAL]=B20,KB[[RELASI]:[TANGGAL]],""),IF($O$7="KELAPA BERSABUT",IF(KBS[TANGGAL]=B20,KBS[[RELASI]:[TANGGAL]],""),IF($O$7="KOPRA",IF(KPR[TANGGAL]=B20,KPR[[RELASI]:[TANGGAL]],""),IF($O$7="ARANG",IF(ARG[TANGGAL]=B20,ARG[[RELASI]:[TANGGAL]],""))))),2,0),"0000"),"")</f>
        <v/>
      </c>
      <c r="Q20" s="213" t="str">
        <f t="array" ref="Q20">IFERROR(TEXT(VLOOKUP($E$5,IF($O$7="KELAPA BULAT",IF(KB[TANGGAL]=B20,KB[[RELASI]:[TANGGAL]],""),IF($O$7="KELAPA BERSABUT",IF(KBS[TANGGAL]=B20,KBS[[RELASI]:[TANGGAL]],""),IF($O$7="KOPRA",IF(KPR[TANGGAL]=B20,KPR[[RELASI]:[TANGGAL]],""),IF($O$7="ARANG",IF(ARG[TANGGAL]=B20,ARG[[RELASI]:[TANGGAL]],""))))),4,0),"000"),"")</f>
        <v/>
      </c>
      <c r="R20" s="214">
        <f>SUMIFS(KPR[NETTO],KPR[RELASI],PERBLNR!$E$5,KPR[TANGGAL],PERBLNR!B20)</f>
        <v>0</v>
      </c>
      <c r="S20" s="214">
        <f>SUMIFS(KPR[NETTOB],KPR[RELASI],PERBLNR!$E$5,KPR[TANGGAL],PERBLNR!B20)</f>
        <v>0</v>
      </c>
      <c r="T20" s="214" t="str">
        <f t="shared" si="3"/>
        <v/>
      </c>
      <c r="U20" s="217">
        <f>SUMIFS(KPR[TPEMBAYARAN],KPR[RELASI],PERBLNR!$E$5,KPR[TANGGAL],PERBLNR!B20)</f>
        <v>0</v>
      </c>
      <c r="V20" s="173"/>
      <c r="W20" s="218" t="str">
        <f t="array" ref="W20">IFERROR(TEXT(VLOOKUP($E$5,IF($V$7="KELAPA BULAT",IF(KB[TANGGAL]=B20,KB[[RELASI]:[TANGGAL]],""),IF($V$7="KELAPA BERSABUT",IF(KBS[TANGGAL]=B20,KBS[[RELASI]:[TANGGAL]],""),IF($V$7="KOPRA",IF(KPR[TANGGAL]=B20,KPR[[RELASI]:[TANGGAL]],""),IF($V$7="ARANG",IF(ARG[TANGGAL]=B20,ARG[[RELASI]:[TANGGAL]],""))))),2,0),"0000"),"")</f>
        <v/>
      </c>
      <c r="X20" s="213" t="str">
        <f t="array" ref="X20">IFERROR(TEXT(VLOOKUP($E$5,IF($V$7="KELAPA BULAT",IF(KB[TANGGAL]=B20,KB[[RELASI]:[TANGGAL]],""),IF($V$7="KELAPA BERSABUT",IF(KBS[TANGGAL]=B20,KBS[[RELASI]:[TANGGAL]],""),IF($V$7="KOPRA",IF(KPR[TANGGAL]=B20,KPR[[RELASI]:[TANGGAL]],""),IF($V$7="ARANG",IF(ARG[TANGGAL]=B20,ARG[[RELASI]:[TANGGAL]],""))))),4,0),"000"),"")</f>
        <v/>
      </c>
      <c r="Y20" s="214">
        <f>SUMIFS(KBS[NETTO2],KBS[RELASI],PERBLNR!$E$5,KBS[TANGGAL],PERBLNR!B20)</f>
        <v>0</v>
      </c>
      <c r="Z20" s="214">
        <f>SUMIFS(KBS[NETTO2],KBS[RELASI],PERBLNR!$E$5,KBS[TANGGAL],PERBLNR!B20)</f>
        <v>0</v>
      </c>
      <c r="AA20" s="214" t="str">
        <f t="shared" si="4"/>
        <v/>
      </c>
      <c r="AB20" s="217">
        <f>SUMIFS(KBS[TPEMBAYARAN],KBS[RELASI],PERBLNR!$E$5,KBS[TANGGAL],PERBLNR!B20)</f>
        <v>0</v>
      </c>
      <c r="AC20" s="173"/>
      <c r="AD20" s="218" t="str">
        <f t="array" ref="AD20">IFERROR(TEXT(VLOOKUP($E$5,IF($B$7="KELAPA BULAT",IF(KB[TANGGAL]=AC20,KB[[RELASI]:[TANGGAL]],""),IF($B$7="KELAPA BERSABUT",IF(KBS[TANGGAL]=AC20,KBS[[RELASI]:[TANGGAL]],""),IF($B$7="KOPRA",IF(KPR[TANGGAL]=AC20,KPR[[RELASI]:[TANGGAL]],""),IF($B$7="ARANG",IF(ARG[TANGGAL]=AC20,ARG[[RELASI]:[TANGGAL]],""))))),2,0),"0000"),"")</f>
        <v/>
      </c>
      <c r="AE20" s="213" t="str">
        <f t="array" ref="AE20">IFERROR(IF($B$7&lt;&gt;"KELAPA BULAT","",TEXT(VLOOKUP($E$5,IF(KB[NK]=VLOOKUP($E$5,IF(KB[TANGGAL]=V20,KB[[RELASI]:[TANGGAL]],""),2,0),IF(KB[TYPE]="B",KB[[RELASI]:[TYPE]],""),""),4,0),"000")),"")</f>
        <v/>
      </c>
      <c r="AF20" s="214">
        <f>SUMIFS(ARG[NETTO1],ARG[RELASI],PERBLNR!$E$5,ARG[TANGGAL],PERBLNR!B20)</f>
        <v>0</v>
      </c>
      <c r="AG20" s="214">
        <f>SUMIFS(ARG[NETTO3],ARG[RELASI],PERBLNR!$E$5,ARG[TANGGAL],PERBLNR!B20)</f>
        <v>0</v>
      </c>
      <c r="AH20" s="214" t="str">
        <f t="shared" si="5"/>
        <v/>
      </c>
      <c r="AI20" s="217">
        <f>SUMIFS(ARG[TPEMBAYARAN],ARG[RELASI],PERBLNR!$E$5,ARG[TANGGAL],PERBLNR!B20)</f>
        <v>0</v>
      </c>
      <c r="AK20" s="217">
        <f t="shared" si="6"/>
        <v>9899596</v>
      </c>
    </row>
    <row r="21" spans="2:37">
      <c r="B21" s="211">
        <f t="shared" si="0"/>
        <v>43902</v>
      </c>
      <c r="C21" s="212" t="str">
        <f t="array" ref="C21">IFERROR(TEXT(VLOOKUP($E$5,IF($B$7="KELAPA BULAT",IF(KB[TANGGAL]=B21,KB[[RELASI]:[TANGGAL]],""),IF($B$7="KELAPA BERSABUT",IF(KBS[TANGGAL]=B21,KBS[[RELASI]:[TANGGAL]],""),IF($B$7="KOPRA",IF(KPR[TANGGAL]=B21,KPR[[RELASI]:[TANGGAL]],""),IF($B$7="ARANG",IF(ARG[TANGGAL]=B21,ARG[[RELASI]:[TANGGAL]],""))))),2,0),"0000"),"")</f>
        <v>0042</v>
      </c>
      <c r="D21" s="213" t="str">
        <f t="array" ref="D21">IFERROR(TEXT(VLOOKUP($E$5,IF($B$7="KELAPA BULAT",IF(KB[TANGGAL]=B21,KB[[RELASI]:[TANGGAL]],""),IF($B$7="KELAPA BERSABUT",IF(KBS[TANGGAL]=B21,KBS[[RELASI]:[TANGGAL]],""),IF($B$7="KOPRA",IF(KPR[TANGGAL]=B21,KPR[[RELASI]:[TANGGAL]],""),IF($B$7="ARANG",IF(ARG[TANGGAL]=B21,ARG[[RELASI]:[TANGGAL]],""))))),4,0),"000"),"")</f>
        <v>042</v>
      </c>
      <c r="E21" s="214">
        <f>SUMIFS(KB[NETTO],KB[RELASI],PERBLNR!$E$5,KB[TANGGAL],PERBLNR!B21,KB[TYPE],"A")</f>
        <v>9410</v>
      </c>
      <c r="F21" s="214">
        <f>SUMIFS(KB[NETTO2],KB[RELASI],PERBLNR!$E$5,KB[TANGGAL],PERBLNR!B21,KB[TYPE],"A")</f>
        <v>8939.5</v>
      </c>
      <c r="G21" s="214">
        <f t="shared" si="2"/>
        <v>2899.9972034230104</v>
      </c>
      <c r="H21" s="215">
        <f>SUMIFS(KB[TPEMBAYARAN],KB[RELASI],PERBLNR!$E$5,KB[TANGGAL],PERBLNR!B21,KB[TYPE],"A")</f>
        <v>25924525</v>
      </c>
      <c r="I21" s="206"/>
      <c r="J21" s="213" t="str">
        <f t="array" ref="J21">IFERROR(IF($B$7&lt;&gt;"KELAPA BULAT","",TEXT(VLOOKUP($E$5,IF(KB[NK]=VLOOKUP($E$5,IF(KB[TANGGAL]=B21,KB[[RELASI]:[TANGGAL]],""),2,0),IF(KB[TYPE]="B",KB[[RELASI]:[TYPE]],""),""),4,0),"000")),"")</f>
        <v/>
      </c>
      <c r="K21" s="214">
        <f>SUMIFS(KB[NETTO],KB[RELASI],PERBLNR!$E$5,KB[TANGGAL],PERBLNR!B21,KB[TYPE],"B")</f>
        <v>0</v>
      </c>
      <c r="L21" s="214">
        <f>SUMIFS(KB[NETTO2],KB[RELASI],PERBLNR!$E$5,KB[TANGGAL],PERBLNR!B21,KB[TYPE],"B")</f>
        <v>0</v>
      </c>
      <c r="M21" s="214" t="str">
        <f t="shared" si="1"/>
        <v/>
      </c>
      <c r="N21" s="214">
        <f>SUMIFS(KB[TPEMBAYARAN],KB[RELASI],PERBLNR!$E$5,KB[TANGGAL],PERBLNR!B21,KB[TYPE],"B")</f>
        <v>0</v>
      </c>
      <c r="O21" s="173"/>
      <c r="P21" s="218" t="str">
        <f t="array" ref="P21">IFERROR(TEXT(VLOOKUP($E$5,IF($O$7="KELAPA BULAT",IF(KB[TANGGAL]=B21,KB[[RELASI]:[TANGGAL]],""),IF($O$7="KELAPA BERSABUT",IF(KBS[TANGGAL]=B21,KBS[[RELASI]:[TANGGAL]],""),IF($O$7="KOPRA",IF(KPR[TANGGAL]=B21,KPR[[RELASI]:[TANGGAL]],""),IF($O$7="ARANG",IF(ARG[TANGGAL]=B21,ARG[[RELASI]:[TANGGAL]],""))))),2,0),"0000"),"")</f>
        <v/>
      </c>
      <c r="Q21" s="213" t="str">
        <f t="array" ref="Q21">IFERROR(TEXT(VLOOKUP($E$5,IF($O$7="KELAPA BULAT",IF(KB[TANGGAL]=B21,KB[[RELASI]:[TANGGAL]],""),IF($O$7="KELAPA BERSABUT",IF(KBS[TANGGAL]=B21,KBS[[RELASI]:[TANGGAL]],""),IF($O$7="KOPRA",IF(KPR[TANGGAL]=B21,KPR[[RELASI]:[TANGGAL]],""),IF($O$7="ARANG",IF(ARG[TANGGAL]=B21,ARG[[RELASI]:[TANGGAL]],""))))),4,0),"000"),"")</f>
        <v/>
      </c>
      <c r="R21" s="214">
        <f>SUMIFS(KPR[NETTO],KPR[RELASI],PERBLNR!$E$5,KPR[TANGGAL],PERBLNR!B21)</f>
        <v>0</v>
      </c>
      <c r="S21" s="214">
        <f>SUMIFS(KPR[NETTOB],KPR[RELASI],PERBLNR!$E$5,KPR[TANGGAL],PERBLNR!B21)</f>
        <v>0</v>
      </c>
      <c r="T21" s="214" t="str">
        <f t="shared" si="3"/>
        <v/>
      </c>
      <c r="U21" s="217">
        <f>SUMIFS(KPR[TPEMBAYARAN],KPR[RELASI],PERBLNR!$E$5,KPR[TANGGAL],PERBLNR!B21)</f>
        <v>0</v>
      </c>
      <c r="V21" s="173"/>
      <c r="W21" s="218" t="str">
        <f t="array" ref="W21">IFERROR(TEXT(VLOOKUP($E$5,IF($V$7="KELAPA BULAT",IF(KB[TANGGAL]=B21,KB[[RELASI]:[TANGGAL]],""),IF($V$7="KELAPA BERSABUT",IF(KBS[TANGGAL]=B21,KBS[[RELASI]:[TANGGAL]],""),IF($V$7="KOPRA",IF(KPR[TANGGAL]=B21,KPR[[RELASI]:[TANGGAL]],""),IF($V$7="ARANG",IF(ARG[TANGGAL]=B21,ARG[[RELASI]:[TANGGAL]],""))))),2,0),"0000"),"")</f>
        <v/>
      </c>
      <c r="X21" s="213" t="str">
        <f t="array" ref="X21">IFERROR(TEXT(VLOOKUP($E$5,IF($V$7="KELAPA BULAT",IF(KB[TANGGAL]=B21,KB[[RELASI]:[TANGGAL]],""),IF($V$7="KELAPA BERSABUT",IF(KBS[TANGGAL]=B21,KBS[[RELASI]:[TANGGAL]],""),IF($V$7="KOPRA",IF(KPR[TANGGAL]=B21,KPR[[RELASI]:[TANGGAL]],""),IF($V$7="ARANG",IF(ARG[TANGGAL]=B21,ARG[[RELASI]:[TANGGAL]],""))))),4,0),"000"),"")</f>
        <v/>
      </c>
      <c r="Y21" s="214">
        <f>SUMIFS(KBS[NETTO2],KBS[RELASI],PERBLNR!$E$5,KBS[TANGGAL],PERBLNR!B21)</f>
        <v>0</v>
      </c>
      <c r="Z21" s="214">
        <f>SUMIFS(KBS[NETTO2],KBS[RELASI],PERBLNR!$E$5,KBS[TANGGAL],PERBLNR!B21)</f>
        <v>0</v>
      </c>
      <c r="AA21" s="214" t="str">
        <f t="shared" si="4"/>
        <v/>
      </c>
      <c r="AB21" s="217">
        <f>SUMIFS(KBS[TPEMBAYARAN],KBS[RELASI],PERBLNR!$E$5,KBS[TANGGAL],PERBLNR!B21)</f>
        <v>0</v>
      </c>
      <c r="AC21" s="173"/>
      <c r="AD21" s="218" t="str">
        <f t="array" ref="AD21">IFERROR(TEXT(VLOOKUP($E$5,IF($B$7="KELAPA BULAT",IF(KB[TANGGAL]=AC21,KB[[RELASI]:[TANGGAL]],""),IF($B$7="KELAPA BERSABUT",IF(KBS[TANGGAL]=AC21,KBS[[RELASI]:[TANGGAL]],""),IF($B$7="KOPRA",IF(KPR[TANGGAL]=AC21,KPR[[RELASI]:[TANGGAL]],""),IF($B$7="ARANG",IF(ARG[TANGGAL]=AC21,ARG[[RELASI]:[TANGGAL]],""))))),2,0),"0000"),"")</f>
        <v/>
      </c>
      <c r="AE21" s="213" t="str">
        <f t="array" ref="AE21">IFERROR(IF($B$7&lt;&gt;"KELAPA BULAT","",TEXT(VLOOKUP($E$5,IF(KB[NK]=VLOOKUP($E$5,IF(KB[TANGGAL]=V21,KB[[RELASI]:[TANGGAL]],""),2,0),IF(KB[TYPE]="B",KB[[RELASI]:[TYPE]],""),""),4,0),"000")),"")</f>
        <v/>
      </c>
      <c r="AF21" s="214">
        <f>SUMIFS(ARG[NETTO1],ARG[RELASI],PERBLNR!$E$5,ARG[TANGGAL],PERBLNR!B21)</f>
        <v>0</v>
      </c>
      <c r="AG21" s="214">
        <f>SUMIFS(ARG[NETTO3],ARG[RELASI],PERBLNR!$E$5,ARG[TANGGAL],PERBLNR!B21)</f>
        <v>0</v>
      </c>
      <c r="AH21" s="214" t="str">
        <f t="shared" si="5"/>
        <v/>
      </c>
      <c r="AI21" s="217">
        <f>SUMIFS(ARG[TPEMBAYARAN],ARG[RELASI],PERBLNR!$E$5,ARG[TANGGAL],PERBLNR!B21)</f>
        <v>0</v>
      </c>
      <c r="AK21" s="217">
        <f t="shared" si="6"/>
        <v>25924525</v>
      </c>
    </row>
    <row r="22" spans="2:37">
      <c r="B22" s="211">
        <f t="shared" si="0"/>
        <v>43903</v>
      </c>
      <c r="C22" s="212" t="str">
        <f t="array" ref="C22">IFERROR(TEXT(VLOOKUP($E$5,IF($B$7="KELAPA BULAT",IF(KB[TANGGAL]=B22,KB[[RELASI]:[TANGGAL]],""),IF($B$7="KELAPA BERSABUT",IF(KBS[TANGGAL]=B22,KBS[[RELASI]:[TANGGAL]],""),IF($B$7="KOPRA",IF(KPR[TANGGAL]=B22,KPR[[RELASI]:[TANGGAL]],""),IF($B$7="ARANG",IF(ARG[TANGGAL]=B22,ARG[[RELASI]:[TANGGAL]],""))))),2,0),"0000"),"")</f>
        <v/>
      </c>
      <c r="D22" s="213" t="str">
        <f t="array" ref="D22">IFERROR(TEXT(VLOOKUP($E$5,IF($B$7="KELAPA BULAT",IF(KB[TANGGAL]=B22,KB[[RELASI]:[TANGGAL]],""),IF($B$7="KELAPA BERSABUT",IF(KBS[TANGGAL]=B22,KBS[[RELASI]:[TANGGAL]],""),IF($B$7="KOPRA",IF(KPR[TANGGAL]=B22,KPR[[RELASI]:[TANGGAL]],""),IF($B$7="ARANG",IF(ARG[TANGGAL]=B22,ARG[[RELASI]:[TANGGAL]],""))))),4,0),"000"),"")</f>
        <v/>
      </c>
      <c r="E22" s="214">
        <f>SUMIFS(KB[NETTO],KB[RELASI],PERBLNR!$E$5,KB[TANGGAL],PERBLNR!B22,KB[TYPE],"A")</f>
        <v>0</v>
      </c>
      <c r="F22" s="214">
        <f>SUMIFS(KB[NETTO2],KB[RELASI],PERBLNR!$E$5,KB[TANGGAL],PERBLNR!B22,KB[TYPE],"A")</f>
        <v>0</v>
      </c>
      <c r="G22" s="214" t="str">
        <f t="shared" si="2"/>
        <v/>
      </c>
      <c r="H22" s="215">
        <f>SUMIFS(KB[TPEMBAYARAN],KB[RELASI],PERBLNR!$E$5,KB[TANGGAL],PERBLNR!B22,KB[TYPE],"A")</f>
        <v>0</v>
      </c>
      <c r="I22" s="206"/>
      <c r="J22" s="213" t="str">
        <f t="array" ref="J22">IFERROR(IF($B$7&lt;&gt;"KELAPA BULAT","",TEXT(VLOOKUP($E$5,IF(KB[NK]=VLOOKUP($E$5,IF(KB[TANGGAL]=B22,KB[[RELASI]:[TANGGAL]],""),2,0),IF(KB[TYPE]="B",KB[[RELASI]:[TYPE]],""),""),4,0),"000")),"")</f>
        <v/>
      </c>
      <c r="K22" s="214">
        <f>SUMIFS(KB[NETTO],KB[RELASI],PERBLNR!$E$5,KB[TANGGAL],PERBLNR!B22,KB[TYPE],"B")</f>
        <v>0</v>
      </c>
      <c r="L22" s="214">
        <f>SUMIFS(KB[NETTO2],KB[RELASI],PERBLNR!$E$5,KB[TANGGAL],PERBLNR!B22,KB[TYPE],"B")</f>
        <v>0</v>
      </c>
      <c r="M22" s="214" t="str">
        <f t="shared" si="1"/>
        <v/>
      </c>
      <c r="N22" s="214">
        <f>SUMIFS(KB[TPEMBAYARAN],KB[RELASI],PERBLNR!$E$5,KB[TANGGAL],PERBLNR!B22,KB[TYPE],"B")</f>
        <v>0</v>
      </c>
      <c r="O22" s="173"/>
      <c r="P22" s="218" t="str">
        <f t="array" ref="P22">IFERROR(TEXT(VLOOKUP($E$5,IF($O$7="KELAPA BULAT",IF(KB[TANGGAL]=B22,KB[[RELASI]:[TANGGAL]],""),IF($O$7="KELAPA BERSABUT",IF(KBS[TANGGAL]=B22,KBS[[RELASI]:[TANGGAL]],""),IF($O$7="KOPRA",IF(KPR[TANGGAL]=B22,KPR[[RELASI]:[TANGGAL]],""),IF($O$7="ARANG",IF(ARG[TANGGAL]=B22,ARG[[RELASI]:[TANGGAL]],""))))),2,0),"0000"),"")</f>
        <v/>
      </c>
      <c r="Q22" s="213" t="str">
        <f t="array" ref="Q22">IFERROR(TEXT(VLOOKUP($E$5,IF($O$7="KELAPA BULAT",IF(KB[TANGGAL]=B22,KB[[RELASI]:[TANGGAL]],""),IF($O$7="KELAPA BERSABUT",IF(KBS[TANGGAL]=B22,KBS[[RELASI]:[TANGGAL]],""),IF($O$7="KOPRA",IF(KPR[TANGGAL]=B22,KPR[[RELASI]:[TANGGAL]],""),IF($O$7="ARANG",IF(ARG[TANGGAL]=B22,ARG[[RELASI]:[TANGGAL]],""))))),4,0),"000"),"")</f>
        <v/>
      </c>
      <c r="R22" s="214">
        <f>SUMIFS(KPR[NETTO],KPR[RELASI],PERBLNR!$E$5,KPR[TANGGAL],PERBLNR!B22)</f>
        <v>0</v>
      </c>
      <c r="S22" s="214">
        <f>SUMIFS(KPR[NETTOB],KPR[RELASI],PERBLNR!$E$5,KPR[TANGGAL],PERBLNR!B22)</f>
        <v>0</v>
      </c>
      <c r="T22" s="214" t="str">
        <f t="shared" si="3"/>
        <v/>
      </c>
      <c r="U22" s="217">
        <f>SUMIFS(KPR[TPEMBAYARAN],KPR[RELASI],PERBLNR!$E$5,KPR[TANGGAL],PERBLNR!B22)</f>
        <v>0</v>
      </c>
      <c r="V22" s="173"/>
      <c r="W22" s="218" t="str">
        <f t="array" ref="W22">IFERROR(TEXT(VLOOKUP($E$5,IF($V$7="KELAPA BULAT",IF(KB[TANGGAL]=B22,KB[[RELASI]:[TANGGAL]],""),IF($V$7="KELAPA BERSABUT",IF(KBS[TANGGAL]=B22,KBS[[RELASI]:[TANGGAL]],""),IF($V$7="KOPRA",IF(KPR[TANGGAL]=B22,KPR[[RELASI]:[TANGGAL]],""),IF($V$7="ARANG",IF(ARG[TANGGAL]=B22,ARG[[RELASI]:[TANGGAL]],""))))),2,0),"0000"),"")</f>
        <v/>
      </c>
      <c r="X22" s="213" t="str">
        <f t="array" ref="X22">IFERROR(TEXT(VLOOKUP($E$5,IF($V$7="KELAPA BULAT",IF(KB[TANGGAL]=B22,KB[[RELASI]:[TANGGAL]],""),IF($V$7="KELAPA BERSABUT",IF(KBS[TANGGAL]=B22,KBS[[RELASI]:[TANGGAL]],""),IF($V$7="KOPRA",IF(KPR[TANGGAL]=B22,KPR[[RELASI]:[TANGGAL]],""),IF($V$7="ARANG",IF(ARG[TANGGAL]=B22,ARG[[RELASI]:[TANGGAL]],""))))),4,0),"000"),"")</f>
        <v/>
      </c>
      <c r="Y22" s="214">
        <f>SUMIFS(KBS[NETTO2],KBS[RELASI],PERBLNR!$E$5,KBS[TANGGAL],PERBLNR!B22)</f>
        <v>0</v>
      </c>
      <c r="Z22" s="214">
        <f>SUMIFS(KBS[NETTO2],KBS[RELASI],PERBLNR!$E$5,KBS[TANGGAL],PERBLNR!B22)</f>
        <v>0</v>
      </c>
      <c r="AA22" s="214" t="str">
        <f t="shared" si="4"/>
        <v/>
      </c>
      <c r="AB22" s="217">
        <f>SUMIFS(KBS[TPEMBAYARAN],KBS[RELASI],PERBLNR!$E$5,KBS[TANGGAL],PERBLNR!B22)</f>
        <v>0</v>
      </c>
      <c r="AC22" s="173"/>
      <c r="AD22" s="218" t="str">
        <f t="array" ref="AD22">IFERROR(TEXT(VLOOKUP($E$5,IF($B$7="KELAPA BULAT",IF(KB[TANGGAL]=AC22,KB[[RELASI]:[TANGGAL]],""),IF($B$7="KELAPA BERSABUT",IF(KBS[TANGGAL]=AC22,KBS[[RELASI]:[TANGGAL]],""),IF($B$7="KOPRA",IF(KPR[TANGGAL]=AC22,KPR[[RELASI]:[TANGGAL]],""),IF($B$7="ARANG",IF(ARG[TANGGAL]=AC22,ARG[[RELASI]:[TANGGAL]],""))))),2,0),"0000"),"")</f>
        <v/>
      </c>
      <c r="AE22" s="213" t="str">
        <f t="array" ref="AE22">IFERROR(IF($B$7&lt;&gt;"KELAPA BULAT","",TEXT(VLOOKUP($E$5,IF(KB[NK]=VLOOKUP($E$5,IF(KB[TANGGAL]=V22,KB[[RELASI]:[TANGGAL]],""),2,0),IF(KB[TYPE]="B",KB[[RELASI]:[TYPE]],""),""),4,0),"000")),"")</f>
        <v/>
      </c>
      <c r="AF22" s="214">
        <f>SUMIFS(ARG[NETTO1],ARG[RELASI],PERBLNR!$E$5,ARG[TANGGAL],PERBLNR!B22)</f>
        <v>0</v>
      </c>
      <c r="AG22" s="214">
        <f>SUMIFS(ARG[NETTO3],ARG[RELASI],PERBLNR!$E$5,ARG[TANGGAL],PERBLNR!B22)</f>
        <v>0</v>
      </c>
      <c r="AH22" s="214" t="str">
        <f t="shared" si="5"/>
        <v/>
      </c>
      <c r="AI22" s="217">
        <f>SUMIFS(ARG[TPEMBAYARAN],ARG[RELASI],PERBLNR!$E$5,ARG[TANGGAL],PERBLNR!B22)</f>
        <v>0</v>
      </c>
      <c r="AK22" s="217">
        <f t="shared" si="6"/>
        <v>0</v>
      </c>
    </row>
    <row r="23" spans="2:37">
      <c r="B23" s="211">
        <f t="shared" si="0"/>
        <v>43904</v>
      </c>
      <c r="C23" s="212" t="str">
        <f t="array" ref="C23">IFERROR(TEXT(VLOOKUP($E$5,IF($B$7="KELAPA BULAT",IF(KB[TANGGAL]=B23,KB[[RELASI]:[TANGGAL]],""),IF($B$7="KELAPA BERSABUT",IF(KBS[TANGGAL]=B23,KBS[[RELASI]:[TANGGAL]],""),IF($B$7="KOPRA",IF(KPR[TANGGAL]=B23,KPR[[RELASI]:[TANGGAL]],""),IF($B$7="ARANG",IF(ARG[TANGGAL]=B23,ARG[[RELASI]:[TANGGAL]],""))))),2,0),"0000"),"")</f>
        <v/>
      </c>
      <c r="D23" s="213" t="str">
        <f t="array" ref="D23">IFERROR(TEXT(VLOOKUP($E$5,IF($B$7="KELAPA BULAT",IF(KB[TANGGAL]=B23,KB[[RELASI]:[TANGGAL]],""),IF($B$7="KELAPA BERSABUT",IF(KBS[TANGGAL]=B23,KBS[[RELASI]:[TANGGAL]],""),IF($B$7="KOPRA",IF(KPR[TANGGAL]=B23,KPR[[RELASI]:[TANGGAL]],""),IF($B$7="ARANG",IF(ARG[TANGGAL]=B23,ARG[[RELASI]:[TANGGAL]],""))))),4,0),"000"),"")</f>
        <v/>
      </c>
      <c r="E23" s="214">
        <f>SUMIFS(KB[NETTO],KB[RELASI],PERBLNR!$E$5,KB[TANGGAL],PERBLNR!B23,KB[TYPE],"A")</f>
        <v>0</v>
      </c>
      <c r="F23" s="214">
        <f>SUMIFS(KB[NETTO2],KB[RELASI],PERBLNR!$E$5,KB[TANGGAL],PERBLNR!B23,KB[TYPE],"A")</f>
        <v>0</v>
      </c>
      <c r="G23" s="214" t="str">
        <f t="shared" si="2"/>
        <v/>
      </c>
      <c r="H23" s="215">
        <f>SUMIFS(KB[TPEMBAYARAN],KB[RELASI],PERBLNR!$E$5,KB[TANGGAL],PERBLNR!B23,KB[TYPE],"A")</f>
        <v>0</v>
      </c>
      <c r="I23" s="206"/>
      <c r="J23" s="213" t="str">
        <f t="array" ref="J23">IFERROR(IF($B$7&lt;&gt;"KELAPA BULAT","",TEXT(VLOOKUP($E$5,IF(KB[NK]=VLOOKUP($E$5,IF(KB[TANGGAL]=B23,KB[[RELASI]:[TANGGAL]],""),2,0),IF(KB[TYPE]="B",KB[[RELASI]:[TYPE]],""),""),4,0),"000")),"")</f>
        <v/>
      </c>
      <c r="K23" s="214">
        <f>SUMIFS(KB[NETTO],KB[RELASI],PERBLNR!$E$5,KB[TANGGAL],PERBLNR!B23,KB[TYPE],"B")</f>
        <v>0</v>
      </c>
      <c r="L23" s="214">
        <f>SUMIFS(KB[NETTO2],KB[RELASI],PERBLNR!$E$5,KB[TANGGAL],PERBLNR!B23,KB[TYPE],"B")</f>
        <v>0</v>
      </c>
      <c r="M23" s="214" t="str">
        <f t="shared" si="1"/>
        <v/>
      </c>
      <c r="N23" s="214">
        <f>SUMIFS(KB[TPEMBAYARAN],KB[RELASI],PERBLNR!$E$5,KB[TANGGAL],PERBLNR!B23,KB[TYPE],"B")</f>
        <v>0</v>
      </c>
      <c r="O23" s="173"/>
      <c r="P23" s="218" t="str">
        <f t="array" ref="P23">IFERROR(TEXT(VLOOKUP($E$5,IF($O$7="KELAPA BULAT",IF(KB[TANGGAL]=B23,KB[[RELASI]:[TANGGAL]],""),IF($O$7="KELAPA BERSABUT",IF(KBS[TANGGAL]=B23,KBS[[RELASI]:[TANGGAL]],""),IF($O$7="KOPRA",IF(KPR[TANGGAL]=B23,KPR[[RELASI]:[TANGGAL]],""),IF($O$7="ARANG",IF(ARG[TANGGAL]=B23,ARG[[RELASI]:[TANGGAL]],""))))),2,0),"0000"),"")</f>
        <v/>
      </c>
      <c r="Q23" s="213" t="str">
        <f t="array" ref="Q23">IFERROR(TEXT(VLOOKUP($E$5,IF($O$7="KELAPA BULAT",IF(KB[TANGGAL]=B23,KB[[RELASI]:[TANGGAL]],""),IF($O$7="KELAPA BERSABUT",IF(KBS[TANGGAL]=B23,KBS[[RELASI]:[TANGGAL]],""),IF($O$7="KOPRA",IF(KPR[TANGGAL]=B23,KPR[[RELASI]:[TANGGAL]],""),IF($O$7="ARANG",IF(ARG[TANGGAL]=B23,ARG[[RELASI]:[TANGGAL]],""))))),4,0),"000"),"")</f>
        <v/>
      </c>
      <c r="R23" s="214">
        <f>SUMIFS(KPR[NETTO],KPR[RELASI],PERBLNR!$E$5,KPR[TANGGAL],PERBLNR!B23)</f>
        <v>0</v>
      </c>
      <c r="S23" s="214">
        <f>SUMIFS(KPR[NETTOB],KPR[RELASI],PERBLNR!$E$5,KPR[TANGGAL],PERBLNR!B23)</f>
        <v>0</v>
      </c>
      <c r="T23" s="214" t="str">
        <f t="shared" si="3"/>
        <v/>
      </c>
      <c r="U23" s="217">
        <f>SUMIFS(KPR[TPEMBAYARAN],KPR[RELASI],PERBLNR!$E$5,KPR[TANGGAL],PERBLNR!B23)</f>
        <v>0</v>
      </c>
      <c r="V23" s="173"/>
      <c r="W23" s="218" t="str">
        <f t="array" ref="W23">IFERROR(TEXT(VLOOKUP($E$5,IF($V$7="KELAPA BULAT",IF(KB[TANGGAL]=B23,KB[[RELASI]:[TANGGAL]],""),IF($V$7="KELAPA BERSABUT",IF(KBS[TANGGAL]=B23,KBS[[RELASI]:[TANGGAL]],""),IF($V$7="KOPRA",IF(KPR[TANGGAL]=B23,KPR[[RELASI]:[TANGGAL]],""),IF($V$7="ARANG",IF(ARG[TANGGAL]=B23,ARG[[RELASI]:[TANGGAL]],""))))),2,0),"0000"),"")</f>
        <v/>
      </c>
      <c r="X23" s="213" t="str">
        <f t="array" ref="X23">IFERROR(TEXT(VLOOKUP($E$5,IF($V$7="KELAPA BULAT",IF(KB[TANGGAL]=B23,KB[[RELASI]:[TANGGAL]],""),IF($V$7="KELAPA BERSABUT",IF(KBS[TANGGAL]=B23,KBS[[RELASI]:[TANGGAL]],""),IF($V$7="KOPRA",IF(KPR[TANGGAL]=B23,KPR[[RELASI]:[TANGGAL]],""),IF($V$7="ARANG",IF(ARG[TANGGAL]=B23,ARG[[RELASI]:[TANGGAL]],""))))),4,0),"000"),"")</f>
        <v/>
      </c>
      <c r="Y23" s="214">
        <f>SUMIFS(KBS[NETTO2],KBS[RELASI],PERBLNR!$E$5,KBS[TANGGAL],PERBLNR!B23)</f>
        <v>0</v>
      </c>
      <c r="Z23" s="214">
        <f>SUMIFS(KBS[NETTO2],KBS[RELASI],PERBLNR!$E$5,KBS[TANGGAL],PERBLNR!B23)</f>
        <v>0</v>
      </c>
      <c r="AA23" s="214" t="str">
        <f t="shared" si="4"/>
        <v/>
      </c>
      <c r="AB23" s="217">
        <f>SUMIFS(KBS[TPEMBAYARAN],KBS[RELASI],PERBLNR!$E$5,KBS[TANGGAL],PERBLNR!B23)</f>
        <v>0</v>
      </c>
      <c r="AC23" s="173"/>
      <c r="AD23" s="218" t="str">
        <f t="array" ref="AD23">IFERROR(TEXT(VLOOKUP($E$5,IF($B$7="KELAPA BULAT",IF(KB[TANGGAL]=AC23,KB[[RELASI]:[TANGGAL]],""),IF($B$7="KELAPA BERSABUT",IF(KBS[TANGGAL]=AC23,KBS[[RELASI]:[TANGGAL]],""),IF($B$7="KOPRA",IF(KPR[TANGGAL]=AC23,KPR[[RELASI]:[TANGGAL]],""),IF($B$7="ARANG",IF(ARG[TANGGAL]=AC23,ARG[[RELASI]:[TANGGAL]],""))))),2,0),"0000"),"")</f>
        <v/>
      </c>
      <c r="AE23" s="213" t="str">
        <f t="array" ref="AE23">IFERROR(IF($B$7&lt;&gt;"KELAPA BULAT","",TEXT(VLOOKUP($E$5,IF(KB[NK]=VLOOKUP($E$5,IF(KB[TANGGAL]=V23,KB[[RELASI]:[TANGGAL]],""),2,0),IF(KB[TYPE]="B",KB[[RELASI]:[TYPE]],""),""),4,0),"000")),"")</f>
        <v/>
      </c>
      <c r="AF23" s="214">
        <f>SUMIFS(ARG[NETTO1],ARG[RELASI],PERBLNR!$E$5,ARG[TANGGAL],PERBLNR!B23)</f>
        <v>0</v>
      </c>
      <c r="AG23" s="214">
        <f>SUMIFS(ARG[NETTO3],ARG[RELASI],PERBLNR!$E$5,ARG[TANGGAL],PERBLNR!B23)</f>
        <v>0</v>
      </c>
      <c r="AH23" s="214" t="str">
        <f t="shared" si="5"/>
        <v/>
      </c>
      <c r="AI23" s="217">
        <f>SUMIFS(ARG[TPEMBAYARAN],ARG[RELASI],PERBLNR!$E$5,ARG[TANGGAL],PERBLNR!B23)</f>
        <v>0</v>
      </c>
      <c r="AK23" s="217">
        <f t="shared" si="6"/>
        <v>0</v>
      </c>
    </row>
    <row r="24" spans="2:37">
      <c r="B24" s="211">
        <f t="shared" si="0"/>
        <v>43905</v>
      </c>
      <c r="C24" s="212" t="str">
        <f t="array" ref="C24">IFERROR(TEXT(VLOOKUP($E$5,IF($B$7="KELAPA BULAT",IF(KB[TANGGAL]=B24,KB[[RELASI]:[TANGGAL]],""),IF($B$7="KELAPA BERSABUT",IF(KBS[TANGGAL]=B24,KBS[[RELASI]:[TANGGAL]],""),IF($B$7="KOPRA",IF(KPR[TANGGAL]=B24,KPR[[RELASI]:[TANGGAL]],""),IF($B$7="ARANG",IF(ARG[TANGGAL]=B24,ARG[[RELASI]:[TANGGAL]],""))))),2,0),"0000"),"")</f>
        <v/>
      </c>
      <c r="D24" s="213" t="str">
        <f t="array" ref="D24">IFERROR(TEXT(VLOOKUP($E$5,IF($B$7="KELAPA BULAT",IF(KB[TANGGAL]=B24,KB[[RELASI]:[TANGGAL]],""),IF($B$7="KELAPA BERSABUT",IF(KBS[TANGGAL]=B24,KBS[[RELASI]:[TANGGAL]],""),IF($B$7="KOPRA",IF(KPR[TANGGAL]=B24,KPR[[RELASI]:[TANGGAL]],""),IF($B$7="ARANG",IF(ARG[TANGGAL]=B24,ARG[[RELASI]:[TANGGAL]],""))))),4,0),"000"),"")</f>
        <v/>
      </c>
      <c r="E24" s="214">
        <f>SUMIFS(KB[NETTO],KB[RELASI],PERBLNR!$E$5,KB[TANGGAL],PERBLNR!B24,KB[TYPE],"A")</f>
        <v>0</v>
      </c>
      <c r="F24" s="214">
        <f>SUMIFS(KB[NETTO2],KB[RELASI],PERBLNR!$E$5,KB[TANGGAL],PERBLNR!B24,KB[TYPE],"A")</f>
        <v>0</v>
      </c>
      <c r="G24" s="214" t="str">
        <f t="shared" si="2"/>
        <v/>
      </c>
      <c r="H24" s="215">
        <f>SUMIFS(KB[TPEMBAYARAN],KB[RELASI],PERBLNR!$E$5,KB[TANGGAL],PERBLNR!B24,KB[TYPE],"A")</f>
        <v>0</v>
      </c>
      <c r="I24" s="206"/>
      <c r="J24" s="213" t="str">
        <f t="array" ref="J24">IFERROR(IF($B$7&lt;&gt;"KELAPA BULAT","",TEXT(VLOOKUP($E$5,IF(KB[NK]=VLOOKUP($E$5,IF(KB[TANGGAL]=B24,KB[[RELASI]:[TANGGAL]],""),2,0),IF(KB[TYPE]="B",KB[[RELASI]:[TYPE]],""),""),4,0),"000")),"")</f>
        <v/>
      </c>
      <c r="K24" s="214">
        <f>SUMIFS(KB[NETTO],KB[RELASI],PERBLNR!$E$5,KB[TANGGAL],PERBLNR!B24,KB[TYPE],"B")</f>
        <v>0</v>
      </c>
      <c r="L24" s="214">
        <f>SUMIFS(KB[NETTO2],KB[RELASI],PERBLNR!$E$5,KB[TANGGAL],PERBLNR!B24,KB[TYPE],"B")</f>
        <v>0</v>
      </c>
      <c r="M24" s="214" t="str">
        <f t="shared" si="1"/>
        <v/>
      </c>
      <c r="N24" s="214">
        <f>SUMIFS(KB[TPEMBAYARAN],KB[RELASI],PERBLNR!$E$5,KB[TANGGAL],PERBLNR!B24,KB[TYPE],"B")</f>
        <v>0</v>
      </c>
      <c r="O24" s="173"/>
      <c r="P24" s="218" t="str">
        <f t="array" ref="P24">IFERROR(TEXT(VLOOKUP($E$5,IF($O$7="KELAPA BULAT",IF(KB[TANGGAL]=B24,KB[[RELASI]:[TANGGAL]],""),IF($O$7="KELAPA BERSABUT",IF(KBS[TANGGAL]=B24,KBS[[RELASI]:[TANGGAL]],""),IF($O$7="KOPRA",IF(KPR[TANGGAL]=B24,KPR[[RELASI]:[TANGGAL]],""),IF($O$7="ARANG",IF(ARG[TANGGAL]=B24,ARG[[RELASI]:[TANGGAL]],""))))),2,0),"0000"),"")</f>
        <v/>
      </c>
      <c r="Q24" s="213" t="str">
        <f t="array" ref="Q24">IFERROR(TEXT(VLOOKUP($E$5,IF($O$7="KELAPA BULAT",IF(KB[TANGGAL]=B24,KB[[RELASI]:[TANGGAL]],""),IF($O$7="KELAPA BERSABUT",IF(KBS[TANGGAL]=B24,KBS[[RELASI]:[TANGGAL]],""),IF($O$7="KOPRA",IF(KPR[TANGGAL]=B24,KPR[[RELASI]:[TANGGAL]],""),IF($O$7="ARANG",IF(ARG[TANGGAL]=B24,ARG[[RELASI]:[TANGGAL]],""))))),4,0),"000"),"")</f>
        <v/>
      </c>
      <c r="R24" s="214">
        <f>SUMIFS(KPR[NETTO],KPR[RELASI],PERBLNR!$E$5,KPR[TANGGAL],PERBLNR!B24)</f>
        <v>0</v>
      </c>
      <c r="S24" s="214">
        <f>SUMIFS(KPR[NETTOB],KPR[RELASI],PERBLNR!$E$5,KPR[TANGGAL],PERBLNR!B24)</f>
        <v>0</v>
      </c>
      <c r="T24" s="214" t="str">
        <f t="shared" si="3"/>
        <v/>
      </c>
      <c r="U24" s="217">
        <f>SUMIFS(KPR[TPEMBAYARAN],KPR[RELASI],PERBLNR!$E$5,KPR[TANGGAL],PERBLNR!B24)</f>
        <v>0</v>
      </c>
      <c r="V24" s="173"/>
      <c r="W24" s="218" t="str">
        <f t="array" ref="W24">IFERROR(TEXT(VLOOKUP($E$5,IF($V$7="KELAPA BULAT",IF(KB[TANGGAL]=B24,KB[[RELASI]:[TANGGAL]],""),IF($V$7="KELAPA BERSABUT",IF(KBS[TANGGAL]=B24,KBS[[RELASI]:[TANGGAL]],""),IF($V$7="KOPRA",IF(KPR[TANGGAL]=B24,KPR[[RELASI]:[TANGGAL]],""),IF($V$7="ARANG",IF(ARG[TANGGAL]=B24,ARG[[RELASI]:[TANGGAL]],""))))),2,0),"0000"),"")</f>
        <v/>
      </c>
      <c r="X24" s="213" t="str">
        <f t="array" ref="X24">IFERROR(TEXT(VLOOKUP($E$5,IF($V$7="KELAPA BULAT",IF(KB[TANGGAL]=B24,KB[[RELASI]:[TANGGAL]],""),IF($V$7="KELAPA BERSABUT",IF(KBS[TANGGAL]=B24,KBS[[RELASI]:[TANGGAL]],""),IF($V$7="KOPRA",IF(KPR[TANGGAL]=B24,KPR[[RELASI]:[TANGGAL]],""),IF($V$7="ARANG",IF(ARG[TANGGAL]=B24,ARG[[RELASI]:[TANGGAL]],""))))),4,0),"000"),"")</f>
        <v/>
      </c>
      <c r="Y24" s="214">
        <f>SUMIFS(KBS[NETTO2],KBS[RELASI],PERBLNR!$E$5,KBS[TANGGAL],PERBLNR!B24)</f>
        <v>0</v>
      </c>
      <c r="Z24" s="214">
        <f>SUMIFS(KBS[NETTO2],KBS[RELASI],PERBLNR!$E$5,KBS[TANGGAL],PERBLNR!B24)</f>
        <v>0</v>
      </c>
      <c r="AA24" s="214" t="str">
        <f t="shared" si="4"/>
        <v/>
      </c>
      <c r="AB24" s="217">
        <f>SUMIFS(KBS[TPEMBAYARAN],KBS[RELASI],PERBLNR!$E$5,KBS[TANGGAL],PERBLNR!B24)</f>
        <v>0</v>
      </c>
      <c r="AC24" s="173"/>
      <c r="AD24" s="218" t="str">
        <f t="array" ref="AD24">IFERROR(TEXT(VLOOKUP($E$5,IF($B$7="KELAPA BULAT",IF(KB[TANGGAL]=AC24,KB[[RELASI]:[TANGGAL]],""),IF($B$7="KELAPA BERSABUT",IF(KBS[TANGGAL]=AC24,KBS[[RELASI]:[TANGGAL]],""),IF($B$7="KOPRA",IF(KPR[TANGGAL]=AC24,KPR[[RELASI]:[TANGGAL]],""),IF($B$7="ARANG",IF(ARG[TANGGAL]=AC24,ARG[[RELASI]:[TANGGAL]],""))))),2,0),"0000"),"")</f>
        <v/>
      </c>
      <c r="AE24" s="213" t="str">
        <f t="array" ref="AE24">IFERROR(IF($B$7&lt;&gt;"KELAPA BULAT","",TEXT(VLOOKUP($E$5,IF(KB[NK]=VLOOKUP($E$5,IF(KB[TANGGAL]=V24,KB[[RELASI]:[TANGGAL]],""),2,0),IF(KB[TYPE]="B",KB[[RELASI]:[TYPE]],""),""),4,0),"000")),"")</f>
        <v/>
      </c>
      <c r="AF24" s="214">
        <f>SUMIFS(ARG[NETTO1],ARG[RELASI],PERBLNR!$E$5,ARG[TANGGAL],PERBLNR!B24)</f>
        <v>0</v>
      </c>
      <c r="AG24" s="214">
        <f>SUMIFS(ARG[NETTO3],ARG[RELASI],PERBLNR!$E$5,ARG[TANGGAL],PERBLNR!B24)</f>
        <v>0</v>
      </c>
      <c r="AH24" s="214" t="str">
        <f t="shared" si="5"/>
        <v/>
      </c>
      <c r="AI24" s="217">
        <f>SUMIFS(ARG[TPEMBAYARAN],ARG[RELASI],PERBLNR!$E$5,ARG[TANGGAL],PERBLNR!B24)</f>
        <v>0</v>
      </c>
      <c r="AK24" s="217">
        <f t="shared" si="6"/>
        <v>0</v>
      </c>
    </row>
    <row r="25" spans="2:37">
      <c r="B25" s="211">
        <f t="shared" si="0"/>
        <v>43906</v>
      </c>
      <c r="C25" s="212" t="str">
        <f t="array" ref="C25">IFERROR(TEXT(VLOOKUP($E$5,IF($B$7="KELAPA BULAT",IF(KB[TANGGAL]=B25,KB[[RELASI]:[TANGGAL]],""),IF($B$7="KELAPA BERSABUT",IF(KBS[TANGGAL]=B25,KBS[[RELASI]:[TANGGAL]],""),IF($B$7="KOPRA",IF(KPR[TANGGAL]=B25,KPR[[RELASI]:[TANGGAL]],""),IF($B$7="ARANG",IF(ARG[TANGGAL]=B25,ARG[[RELASI]:[TANGGAL]],""))))),2,0),"0000"),"")</f>
        <v>0043</v>
      </c>
      <c r="D25" s="213" t="str">
        <f t="array" ref="D25">IFERROR(TEXT(VLOOKUP($E$5,IF($B$7="KELAPA BULAT",IF(KB[TANGGAL]=B25,KB[[RELASI]:[TANGGAL]],""),IF($B$7="KELAPA BERSABUT",IF(KBS[TANGGAL]=B25,KBS[[RELASI]:[TANGGAL]],""),IF($B$7="KOPRA",IF(KPR[TANGGAL]=B25,KPR[[RELASI]:[TANGGAL]],""),IF($B$7="ARANG",IF(ARG[TANGGAL]=B25,ARG[[RELASI]:[TANGGAL]],""))))),4,0),"000"),"")</f>
        <v>043</v>
      </c>
      <c r="E25" s="214">
        <f>SUMIFS(KB[NETTO],KB[RELASI],PERBLNR!$E$5,KB[TANGGAL],PERBLNR!B25,KB[TYPE],"A")</f>
        <v>11690</v>
      </c>
      <c r="F25" s="214">
        <f>SUMIFS(KB[NETTO2],KB[RELASI],PERBLNR!$E$5,KB[TANGGAL],PERBLNR!B25,KB[TYPE],"A")</f>
        <v>11105.5</v>
      </c>
      <c r="G25" s="214">
        <f t="shared" si="2"/>
        <v>2899.9971185448653</v>
      </c>
      <c r="H25" s="215">
        <f>SUMIFS(KB[TPEMBAYARAN],KB[RELASI],PERBLNR!$E$5,KB[TANGGAL],PERBLNR!B25,KB[TYPE],"A")</f>
        <v>32205918</v>
      </c>
      <c r="I25" s="206"/>
      <c r="J25" s="213" t="str">
        <f t="array" ref="J25">IFERROR(IF($B$7&lt;&gt;"KELAPA BULAT","",TEXT(VLOOKUP($E$5,IF(KB[NK]=VLOOKUP($E$5,IF(KB[TANGGAL]=B25,KB[[RELASI]:[TANGGAL]],""),2,0),IF(KB[TYPE]="B",KB[[RELASI]:[TYPE]],""),""),4,0),"000")),"")</f>
        <v/>
      </c>
      <c r="K25" s="214">
        <f>SUMIFS(KB[NETTO],KB[RELASI],PERBLNR!$E$5,KB[TANGGAL],PERBLNR!B25,KB[TYPE],"B")</f>
        <v>0</v>
      </c>
      <c r="L25" s="214">
        <f>SUMIFS(KB[NETTO2],KB[RELASI],PERBLNR!$E$5,KB[TANGGAL],PERBLNR!B25,KB[TYPE],"B")</f>
        <v>0</v>
      </c>
      <c r="M25" s="214" t="str">
        <f t="shared" si="1"/>
        <v/>
      </c>
      <c r="N25" s="214">
        <f>SUMIFS(KB[TPEMBAYARAN],KB[RELASI],PERBLNR!$E$5,KB[TANGGAL],PERBLNR!B25,KB[TYPE],"B")</f>
        <v>0</v>
      </c>
      <c r="O25" s="173"/>
      <c r="P25" s="218" t="str">
        <f t="array" ref="P25">IFERROR(TEXT(VLOOKUP($E$5,IF($O$7="KELAPA BULAT",IF(KB[TANGGAL]=B25,KB[[RELASI]:[TANGGAL]],""),IF($O$7="KELAPA BERSABUT",IF(KBS[TANGGAL]=B25,KBS[[RELASI]:[TANGGAL]],""),IF($O$7="KOPRA",IF(KPR[TANGGAL]=B25,KPR[[RELASI]:[TANGGAL]],""),IF($O$7="ARANG",IF(ARG[TANGGAL]=B25,ARG[[RELASI]:[TANGGAL]],""))))),2,0),"0000"),"")</f>
        <v/>
      </c>
      <c r="Q25" s="213" t="str">
        <f t="array" ref="Q25">IFERROR(TEXT(VLOOKUP($E$5,IF($O$7="KELAPA BULAT",IF(KB[TANGGAL]=B25,KB[[RELASI]:[TANGGAL]],""),IF($O$7="KELAPA BERSABUT",IF(KBS[TANGGAL]=B25,KBS[[RELASI]:[TANGGAL]],""),IF($O$7="KOPRA",IF(KPR[TANGGAL]=B25,KPR[[RELASI]:[TANGGAL]],""),IF($O$7="ARANG",IF(ARG[TANGGAL]=B25,ARG[[RELASI]:[TANGGAL]],""))))),4,0),"000"),"")</f>
        <v/>
      </c>
      <c r="R25" s="214">
        <f>SUMIFS(KPR[NETTO],KPR[RELASI],PERBLNR!$E$5,KPR[TANGGAL],PERBLNR!B25)</f>
        <v>0</v>
      </c>
      <c r="S25" s="214">
        <f>SUMIFS(KPR[NETTOB],KPR[RELASI],PERBLNR!$E$5,KPR[TANGGAL],PERBLNR!B25)</f>
        <v>0</v>
      </c>
      <c r="T25" s="214" t="str">
        <f t="shared" si="3"/>
        <v/>
      </c>
      <c r="U25" s="217">
        <f>SUMIFS(KPR[TPEMBAYARAN],KPR[RELASI],PERBLNR!$E$5,KPR[TANGGAL],PERBLNR!B25)</f>
        <v>0</v>
      </c>
      <c r="V25" s="173"/>
      <c r="W25" s="218" t="str">
        <f t="array" ref="W25">IFERROR(TEXT(VLOOKUP($E$5,IF($V$7="KELAPA BULAT",IF(KB[TANGGAL]=B25,KB[[RELASI]:[TANGGAL]],""),IF($V$7="KELAPA BERSABUT",IF(KBS[TANGGAL]=B25,KBS[[RELASI]:[TANGGAL]],""),IF($V$7="KOPRA",IF(KPR[TANGGAL]=B25,KPR[[RELASI]:[TANGGAL]],""),IF($V$7="ARANG",IF(ARG[TANGGAL]=B25,ARG[[RELASI]:[TANGGAL]],""))))),2,0),"0000"),"")</f>
        <v/>
      </c>
      <c r="X25" s="213" t="str">
        <f t="array" ref="X25">IFERROR(TEXT(VLOOKUP($E$5,IF($V$7="KELAPA BULAT",IF(KB[TANGGAL]=B25,KB[[RELASI]:[TANGGAL]],""),IF($V$7="KELAPA BERSABUT",IF(KBS[TANGGAL]=B25,KBS[[RELASI]:[TANGGAL]],""),IF($V$7="KOPRA",IF(KPR[TANGGAL]=B25,KPR[[RELASI]:[TANGGAL]],""),IF($V$7="ARANG",IF(ARG[TANGGAL]=B25,ARG[[RELASI]:[TANGGAL]],""))))),4,0),"000"),"")</f>
        <v/>
      </c>
      <c r="Y25" s="214">
        <f>SUMIFS(KBS[NETTO2],KBS[RELASI],PERBLNR!$E$5,KBS[TANGGAL],PERBLNR!B25)</f>
        <v>0</v>
      </c>
      <c r="Z25" s="214">
        <f>SUMIFS(KBS[NETTO2],KBS[RELASI],PERBLNR!$E$5,KBS[TANGGAL],PERBLNR!B25)</f>
        <v>0</v>
      </c>
      <c r="AA25" s="214" t="str">
        <f t="shared" si="4"/>
        <v/>
      </c>
      <c r="AB25" s="217">
        <f>SUMIFS(KBS[TPEMBAYARAN],KBS[RELASI],PERBLNR!$E$5,KBS[TANGGAL],PERBLNR!B25)</f>
        <v>0</v>
      </c>
      <c r="AC25" s="173"/>
      <c r="AD25" s="218" t="str">
        <f t="array" ref="AD25">IFERROR(TEXT(VLOOKUP($E$5,IF($B$7="KELAPA BULAT",IF(KB[TANGGAL]=AC25,KB[[RELASI]:[TANGGAL]],""),IF($B$7="KELAPA BERSABUT",IF(KBS[TANGGAL]=AC25,KBS[[RELASI]:[TANGGAL]],""),IF($B$7="KOPRA",IF(KPR[TANGGAL]=AC25,KPR[[RELASI]:[TANGGAL]],""),IF($B$7="ARANG",IF(ARG[TANGGAL]=AC25,ARG[[RELASI]:[TANGGAL]],""))))),2,0),"0000"),"")</f>
        <v/>
      </c>
      <c r="AE25" s="213" t="str">
        <f t="array" ref="AE25">IFERROR(IF($B$7&lt;&gt;"KELAPA BULAT","",TEXT(VLOOKUP($E$5,IF(KB[NK]=VLOOKUP($E$5,IF(KB[TANGGAL]=V25,KB[[RELASI]:[TANGGAL]],""),2,0),IF(KB[TYPE]="B",KB[[RELASI]:[TYPE]],""),""),4,0),"000")),"")</f>
        <v/>
      </c>
      <c r="AF25" s="214">
        <f>SUMIFS(ARG[NETTO1],ARG[RELASI],PERBLNR!$E$5,ARG[TANGGAL],PERBLNR!B25)</f>
        <v>0</v>
      </c>
      <c r="AG25" s="214">
        <f>SUMIFS(ARG[NETTO3],ARG[RELASI],PERBLNR!$E$5,ARG[TANGGAL],PERBLNR!B25)</f>
        <v>0</v>
      </c>
      <c r="AH25" s="214" t="str">
        <f t="shared" si="5"/>
        <v/>
      </c>
      <c r="AI25" s="217">
        <f>SUMIFS(ARG[TPEMBAYARAN],ARG[RELASI],PERBLNR!$E$5,ARG[TANGGAL],PERBLNR!B25)</f>
        <v>0</v>
      </c>
      <c r="AK25" s="217">
        <f t="shared" si="6"/>
        <v>32205918</v>
      </c>
    </row>
    <row r="26" spans="2:37">
      <c r="B26" s="211">
        <f t="shared" si="0"/>
        <v>43907</v>
      </c>
      <c r="C26" s="212" t="str">
        <f t="array" ref="C26">IFERROR(TEXT(VLOOKUP($E$5,IF($B$7="KELAPA BULAT",IF(KB[TANGGAL]=B26,KB[[RELASI]:[TANGGAL]],""),IF($B$7="KELAPA BERSABUT",IF(KBS[TANGGAL]=B26,KBS[[RELASI]:[TANGGAL]],""),IF($B$7="KOPRA",IF(KPR[TANGGAL]=B26,KPR[[RELASI]:[TANGGAL]],""),IF($B$7="ARANG",IF(ARG[TANGGAL]=B26,ARG[[RELASI]:[TANGGAL]],""))))),2,0),"0000"),"")</f>
        <v>0044</v>
      </c>
      <c r="D26" s="213" t="str">
        <f t="array" ref="D26">IFERROR(TEXT(VLOOKUP($E$5,IF($B$7="KELAPA BULAT",IF(KB[TANGGAL]=B26,KB[[RELASI]:[TANGGAL]],""),IF($B$7="KELAPA BERSABUT",IF(KBS[TANGGAL]=B26,KBS[[RELASI]:[TANGGAL]],""),IF($B$7="KOPRA",IF(KPR[TANGGAL]=B26,KPR[[RELASI]:[TANGGAL]],""),IF($B$7="ARANG",IF(ARG[TANGGAL]=B26,ARG[[RELASI]:[TANGGAL]],""))))),4,0),"000"),"")</f>
        <v>044</v>
      </c>
      <c r="E26" s="214">
        <f>SUMIFS(KB[NETTO],KB[RELASI],PERBLNR!$E$5,KB[TANGGAL],PERBLNR!B26,KB[TYPE],"A")</f>
        <v>8640</v>
      </c>
      <c r="F26" s="214">
        <f>SUMIFS(KB[NETTO2],KB[RELASI],PERBLNR!$E$5,KB[TANGGAL],PERBLNR!B26,KB[TYPE],"A")</f>
        <v>8208</v>
      </c>
      <c r="G26" s="214">
        <f t="shared" si="2"/>
        <v>2899.9970760233919</v>
      </c>
      <c r="H26" s="215">
        <f>SUMIFS(KB[TPEMBAYARAN],KB[RELASI],PERBLNR!$E$5,KB[TANGGAL],PERBLNR!B26,KB[TYPE],"A")</f>
        <v>23803176</v>
      </c>
      <c r="I26" s="206"/>
      <c r="J26" s="213" t="str">
        <f t="array" ref="J26">IFERROR(IF($B$7&lt;&gt;"KELAPA BULAT","",TEXT(VLOOKUP($E$5,IF(KB[NK]=VLOOKUP($E$5,IF(KB[TANGGAL]=B26,KB[[RELASI]:[TANGGAL]],""),2,0),IF(KB[TYPE]="B",KB[[RELASI]:[TYPE]],""),""),4,0),"000")),"")</f>
        <v/>
      </c>
      <c r="K26" s="214">
        <f>SUMIFS(KB[NETTO],KB[RELASI],PERBLNR!$E$5,KB[TANGGAL],PERBLNR!B26,KB[TYPE],"B")</f>
        <v>0</v>
      </c>
      <c r="L26" s="214">
        <f>SUMIFS(KB[NETTO2],KB[RELASI],PERBLNR!$E$5,KB[TANGGAL],PERBLNR!B26,KB[TYPE],"B")</f>
        <v>0</v>
      </c>
      <c r="M26" s="214" t="str">
        <f t="shared" si="1"/>
        <v/>
      </c>
      <c r="N26" s="214">
        <f>SUMIFS(KB[TPEMBAYARAN],KB[RELASI],PERBLNR!$E$5,KB[TANGGAL],PERBLNR!B26,KB[TYPE],"B")</f>
        <v>0</v>
      </c>
      <c r="O26" s="173"/>
      <c r="P26" s="218" t="str">
        <f t="array" ref="P26">IFERROR(TEXT(VLOOKUP($E$5,IF($O$7="KELAPA BULAT",IF(KB[TANGGAL]=B26,KB[[RELASI]:[TANGGAL]],""),IF($O$7="KELAPA BERSABUT",IF(KBS[TANGGAL]=B26,KBS[[RELASI]:[TANGGAL]],""),IF($O$7="KOPRA",IF(KPR[TANGGAL]=B26,KPR[[RELASI]:[TANGGAL]],""),IF($O$7="ARANG",IF(ARG[TANGGAL]=B26,ARG[[RELASI]:[TANGGAL]],""))))),2,0),"0000"),"")</f>
        <v/>
      </c>
      <c r="Q26" s="213" t="str">
        <f t="array" ref="Q26">IFERROR(TEXT(VLOOKUP($E$5,IF($O$7="KELAPA BULAT",IF(KB[TANGGAL]=B26,KB[[RELASI]:[TANGGAL]],""),IF($O$7="KELAPA BERSABUT",IF(KBS[TANGGAL]=B26,KBS[[RELASI]:[TANGGAL]],""),IF($O$7="KOPRA",IF(KPR[TANGGAL]=B26,KPR[[RELASI]:[TANGGAL]],""),IF($O$7="ARANG",IF(ARG[TANGGAL]=B26,ARG[[RELASI]:[TANGGAL]],""))))),4,0),"000"),"")</f>
        <v/>
      </c>
      <c r="R26" s="214">
        <f>SUMIFS(KPR[NETTO],KPR[RELASI],PERBLNR!$E$5,KPR[TANGGAL],PERBLNR!B26)</f>
        <v>0</v>
      </c>
      <c r="S26" s="214">
        <f>SUMIFS(KPR[NETTOB],KPR[RELASI],PERBLNR!$E$5,KPR[TANGGAL],PERBLNR!B26)</f>
        <v>0</v>
      </c>
      <c r="T26" s="214" t="str">
        <f t="shared" si="3"/>
        <v/>
      </c>
      <c r="U26" s="217">
        <f>SUMIFS(KPR[TPEMBAYARAN],KPR[RELASI],PERBLNR!$E$5,KPR[TANGGAL],PERBLNR!B26)</f>
        <v>0</v>
      </c>
      <c r="V26" s="173"/>
      <c r="W26" s="218" t="str">
        <f t="array" ref="W26">IFERROR(TEXT(VLOOKUP($E$5,IF($V$7="KELAPA BULAT",IF(KB[TANGGAL]=B26,KB[[RELASI]:[TANGGAL]],""),IF($V$7="KELAPA BERSABUT",IF(KBS[TANGGAL]=B26,KBS[[RELASI]:[TANGGAL]],""),IF($V$7="KOPRA",IF(KPR[TANGGAL]=B26,KPR[[RELASI]:[TANGGAL]],""),IF($V$7="ARANG",IF(ARG[TANGGAL]=B26,ARG[[RELASI]:[TANGGAL]],""))))),2,0),"0000"),"")</f>
        <v/>
      </c>
      <c r="X26" s="213" t="str">
        <f t="array" ref="X26">IFERROR(TEXT(VLOOKUP($E$5,IF($V$7="KELAPA BULAT",IF(KB[TANGGAL]=B26,KB[[RELASI]:[TANGGAL]],""),IF($V$7="KELAPA BERSABUT",IF(KBS[TANGGAL]=B26,KBS[[RELASI]:[TANGGAL]],""),IF($V$7="KOPRA",IF(KPR[TANGGAL]=B26,KPR[[RELASI]:[TANGGAL]],""),IF($V$7="ARANG",IF(ARG[TANGGAL]=B26,ARG[[RELASI]:[TANGGAL]],""))))),4,0),"000"),"")</f>
        <v/>
      </c>
      <c r="Y26" s="214">
        <f>SUMIFS(KBS[NETTO2],KBS[RELASI],PERBLNR!$E$5,KBS[TANGGAL],PERBLNR!B26)</f>
        <v>0</v>
      </c>
      <c r="Z26" s="214">
        <f>SUMIFS(KBS[NETTO2],KBS[RELASI],PERBLNR!$E$5,KBS[TANGGAL],PERBLNR!B26)</f>
        <v>0</v>
      </c>
      <c r="AA26" s="214" t="str">
        <f t="shared" si="4"/>
        <v/>
      </c>
      <c r="AB26" s="217">
        <f>SUMIFS(KBS[TPEMBAYARAN],KBS[RELASI],PERBLNR!$E$5,KBS[TANGGAL],PERBLNR!B26)</f>
        <v>0</v>
      </c>
      <c r="AC26" s="173"/>
      <c r="AD26" s="218" t="str">
        <f t="array" ref="AD26">IFERROR(TEXT(VLOOKUP($E$5,IF($B$7="KELAPA BULAT",IF(KB[TANGGAL]=AC26,KB[[RELASI]:[TANGGAL]],""),IF($B$7="KELAPA BERSABUT",IF(KBS[TANGGAL]=AC26,KBS[[RELASI]:[TANGGAL]],""),IF($B$7="KOPRA",IF(KPR[TANGGAL]=AC26,KPR[[RELASI]:[TANGGAL]],""),IF($B$7="ARANG",IF(ARG[TANGGAL]=AC26,ARG[[RELASI]:[TANGGAL]],""))))),2,0),"0000"),"")</f>
        <v/>
      </c>
      <c r="AE26" s="213" t="str">
        <f t="array" ref="AE26">IFERROR(IF($B$7&lt;&gt;"KELAPA BULAT","",TEXT(VLOOKUP($E$5,IF(KB[NK]=VLOOKUP($E$5,IF(KB[TANGGAL]=V26,KB[[RELASI]:[TANGGAL]],""),2,0),IF(KB[TYPE]="B",KB[[RELASI]:[TYPE]],""),""),4,0),"000")),"")</f>
        <v/>
      </c>
      <c r="AF26" s="214">
        <f>SUMIFS(ARG[NETTO1],ARG[RELASI],PERBLNR!$E$5,ARG[TANGGAL],PERBLNR!B26)</f>
        <v>0</v>
      </c>
      <c r="AG26" s="214">
        <f>SUMIFS(ARG[NETTO3],ARG[RELASI],PERBLNR!$E$5,ARG[TANGGAL],PERBLNR!B26)</f>
        <v>0</v>
      </c>
      <c r="AH26" s="214" t="str">
        <f t="shared" si="5"/>
        <v/>
      </c>
      <c r="AI26" s="217">
        <f>SUMIFS(ARG[TPEMBAYARAN],ARG[RELASI],PERBLNR!$E$5,ARG[TANGGAL],PERBLNR!B26)</f>
        <v>0</v>
      </c>
      <c r="AK26" s="217">
        <f t="shared" si="6"/>
        <v>23803176</v>
      </c>
    </row>
    <row r="27" spans="2:37">
      <c r="B27" s="211">
        <f t="shared" si="0"/>
        <v>43908</v>
      </c>
      <c r="C27" s="212" t="str">
        <f t="array" ref="C27">IFERROR(TEXT(VLOOKUP($E$5,IF($B$7="KELAPA BULAT",IF(KB[TANGGAL]=B27,KB[[RELASI]:[TANGGAL]],""),IF($B$7="KELAPA BERSABUT",IF(KBS[TANGGAL]=B27,KBS[[RELASI]:[TANGGAL]],""),IF($B$7="KOPRA",IF(KPR[TANGGAL]=B27,KPR[[RELASI]:[TANGGAL]],""),IF($B$7="ARANG",IF(ARG[TANGGAL]=B27,ARG[[RELASI]:[TANGGAL]],""))))),2,0),"0000"),"")</f>
        <v>0045</v>
      </c>
      <c r="D27" s="213" t="str">
        <f t="array" ref="D27">IFERROR(TEXT(VLOOKUP($E$5,IF($B$7="KELAPA BULAT",IF(KB[TANGGAL]=B27,KB[[RELASI]:[TANGGAL]],""),IF($B$7="KELAPA BERSABUT",IF(KBS[TANGGAL]=B27,KBS[[RELASI]:[TANGGAL]],""),IF($B$7="KOPRA",IF(KPR[TANGGAL]=B27,KPR[[RELASI]:[TANGGAL]],""),IF($B$7="ARANG",IF(ARG[TANGGAL]=B27,ARG[[RELASI]:[TANGGAL]],""))))),4,0),"000"),"")</f>
        <v>045</v>
      </c>
      <c r="E27" s="214">
        <f>SUMIFS(KB[NETTO],KB[RELASI],PERBLNR!$E$5,KB[TANGGAL],PERBLNR!B27,KB[TYPE],"A")</f>
        <v>4620</v>
      </c>
      <c r="F27" s="214">
        <f>SUMIFS(KB[NETTO2],KB[RELASI],PERBLNR!$E$5,KB[TANGGAL],PERBLNR!B27,KB[TYPE],"A")</f>
        <v>4389</v>
      </c>
      <c r="G27" s="214">
        <f t="shared" si="2"/>
        <v>2899.9970380496698</v>
      </c>
      <c r="H27" s="215">
        <f>SUMIFS(KB[TPEMBAYARAN],KB[RELASI],PERBLNR!$E$5,KB[TANGGAL],PERBLNR!B27,KB[TYPE],"A")</f>
        <v>12728087</v>
      </c>
      <c r="I27" s="206"/>
      <c r="J27" s="213" t="str">
        <f t="array" ref="J27">IFERROR(IF($B$7&lt;&gt;"KELAPA BULAT","",TEXT(VLOOKUP($E$5,IF(KB[NK]=VLOOKUP($E$5,IF(KB[TANGGAL]=B27,KB[[RELASI]:[TANGGAL]],""),2,0),IF(KB[TYPE]="B",KB[[RELASI]:[TYPE]],""),""),4,0),"000")),"")</f>
        <v/>
      </c>
      <c r="K27" s="214">
        <f>SUMIFS(KB[NETTO],KB[RELASI],PERBLNR!$E$5,KB[TANGGAL],PERBLNR!B27,KB[TYPE],"B")</f>
        <v>0</v>
      </c>
      <c r="L27" s="214">
        <f>SUMIFS(KB[NETTO2],KB[RELASI],PERBLNR!$E$5,KB[TANGGAL],PERBLNR!B27,KB[TYPE],"B")</f>
        <v>0</v>
      </c>
      <c r="M27" s="214" t="str">
        <f t="shared" si="1"/>
        <v/>
      </c>
      <c r="N27" s="214">
        <f>SUMIFS(KB[TPEMBAYARAN],KB[RELASI],PERBLNR!$E$5,KB[TANGGAL],PERBLNR!B27,KB[TYPE],"B")</f>
        <v>0</v>
      </c>
      <c r="O27" s="173"/>
      <c r="P27" s="218" t="str">
        <f t="array" ref="P27">IFERROR(TEXT(VLOOKUP($E$5,IF($O$7="KELAPA BULAT",IF(KB[TANGGAL]=B27,KB[[RELASI]:[TANGGAL]],""),IF($O$7="KELAPA BERSABUT",IF(KBS[TANGGAL]=B27,KBS[[RELASI]:[TANGGAL]],""),IF($O$7="KOPRA",IF(KPR[TANGGAL]=B27,KPR[[RELASI]:[TANGGAL]],""),IF($O$7="ARANG",IF(ARG[TANGGAL]=B27,ARG[[RELASI]:[TANGGAL]],""))))),2,0),"0000"),"")</f>
        <v/>
      </c>
      <c r="Q27" s="213" t="str">
        <f t="array" ref="Q27">IFERROR(TEXT(VLOOKUP($E$5,IF($O$7="KELAPA BULAT",IF(KB[TANGGAL]=B27,KB[[RELASI]:[TANGGAL]],""),IF($O$7="KELAPA BERSABUT",IF(KBS[TANGGAL]=B27,KBS[[RELASI]:[TANGGAL]],""),IF($O$7="KOPRA",IF(KPR[TANGGAL]=B27,KPR[[RELASI]:[TANGGAL]],""),IF($O$7="ARANG",IF(ARG[TANGGAL]=B27,ARG[[RELASI]:[TANGGAL]],""))))),4,0),"000"),"")</f>
        <v/>
      </c>
      <c r="R27" s="214">
        <f>SUMIFS(KPR[NETTO],KPR[RELASI],PERBLNR!$E$5,KPR[TANGGAL],PERBLNR!B27)</f>
        <v>0</v>
      </c>
      <c r="S27" s="214">
        <f>SUMIFS(KPR[NETTOB],KPR[RELASI],PERBLNR!$E$5,KPR[TANGGAL],PERBLNR!B27)</f>
        <v>0</v>
      </c>
      <c r="T27" s="214" t="str">
        <f t="shared" si="3"/>
        <v/>
      </c>
      <c r="U27" s="217">
        <f>SUMIFS(KPR[TPEMBAYARAN],KPR[RELASI],PERBLNR!$E$5,KPR[TANGGAL],PERBLNR!B27)</f>
        <v>0</v>
      </c>
      <c r="V27" s="173"/>
      <c r="W27" s="218" t="str">
        <f t="array" ref="W27">IFERROR(TEXT(VLOOKUP($E$5,IF($V$7="KELAPA BULAT",IF(KB[TANGGAL]=B27,KB[[RELASI]:[TANGGAL]],""),IF($V$7="KELAPA BERSABUT",IF(KBS[TANGGAL]=B27,KBS[[RELASI]:[TANGGAL]],""),IF($V$7="KOPRA",IF(KPR[TANGGAL]=B27,KPR[[RELASI]:[TANGGAL]],""),IF($V$7="ARANG",IF(ARG[TANGGAL]=B27,ARG[[RELASI]:[TANGGAL]],""))))),2,0),"0000"),"")</f>
        <v/>
      </c>
      <c r="X27" s="213" t="str">
        <f t="array" ref="X27">IFERROR(TEXT(VLOOKUP($E$5,IF($V$7="KELAPA BULAT",IF(KB[TANGGAL]=B27,KB[[RELASI]:[TANGGAL]],""),IF($V$7="KELAPA BERSABUT",IF(KBS[TANGGAL]=B27,KBS[[RELASI]:[TANGGAL]],""),IF($V$7="KOPRA",IF(KPR[TANGGAL]=B27,KPR[[RELASI]:[TANGGAL]],""),IF($V$7="ARANG",IF(ARG[TANGGAL]=B27,ARG[[RELASI]:[TANGGAL]],""))))),4,0),"000"),"")</f>
        <v/>
      </c>
      <c r="Y27" s="214">
        <f>SUMIFS(KBS[NETTO2],KBS[RELASI],PERBLNR!$E$5,KBS[TANGGAL],PERBLNR!B27)</f>
        <v>0</v>
      </c>
      <c r="Z27" s="214">
        <f>SUMIFS(KBS[NETTO2],KBS[RELASI],PERBLNR!$E$5,KBS[TANGGAL],PERBLNR!B27)</f>
        <v>0</v>
      </c>
      <c r="AA27" s="214" t="str">
        <f t="shared" si="4"/>
        <v/>
      </c>
      <c r="AB27" s="217">
        <f>SUMIFS(KBS[TPEMBAYARAN],KBS[RELASI],PERBLNR!$E$5,KBS[TANGGAL],PERBLNR!B27)</f>
        <v>0</v>
      </c>
      <c r="AC27" s="173"/>
      <c r="AD27" s="218" t="str">
        <f t="array" ref="AD27">IFERROR(TEXT(VLOOKUP($E$5,IF($B$7="KELAPA BULAT",IF(KB[TANGGAL]=AC27,KB[[RELASI]:[TANGGAL]],""),IF($B$7="KELAPA BERSABUT",IF(KBS[TANGGAL]=AC27,KBS[[RELASI]:[TANGGAL]],""),IF($B$7="KOPRA",IF(KPR[TANGGAL]=AC27,KPR[[RELASI]:[TANGGAL]],""),IF($B$7="ARANG",IF(ARG[TANGGAL]=AC27,ARG[[RELASI]:[TANGGAL]],""))))),2,0),"0000"),"")</f>
        <v/>
      </c>
      <c r="AE27" s="213" t="str">
        <f t="array" ref="AE27">IFERROR(IF($B$7&lt;&gt;"KELAPA BULAT","",TEXT(VLOOKUP($E$5,IF(KB[NK]=VLOOKUP($E$5,IF(KB[TANGGAL]=V27,KB[[RELASI]:[TANGGAL]],""),2,0),IF(KB[TYPE]="B",KB[[RELASI]:[TYPE]],""),""),4,0),"000")),"")</f>
        <v/>
      </c>
      <c r="AF27" s="214">
        <f>SUMIFS(ARG[NETTO1],ARG[RELASI],PERBLNR!$E$5,ARG[TANGGAL],PERBLNR!B27)</f>
        <v>0</v>
      </c>
      <c r="AG27" s="214">
        <f>SUMIFS(ARG[NETTO3],ARG[RELASI],PERBLNR!$E$5,ARG[TANGGAL],PERBLNR!B27)</f>
        <v>0</v>
      </c>
      <c r="AH27" s="214" t="str">
        <f t="shared" si="5"/>
        <v/>
      </c>
      <c r="AI27" s="217">
        <f>SUMIFS(ARG[TPEMBAYARAN],ARG[RELASI],PERBLNR!$E$5,ARG[TANGGAL],PERBLNR!B27)</f>
        <v>0</v>
      </c>
      <c r="AK27" s="217">
        <f t="shared" si="6"/>
        <v>12728087</v>
      </c>
    </row>
    <row r="28" spans="2:37">
      <c r="B28" s="211">
        <f t="shared" si="0"/>
        <v>43909</v>
      </c>
      <c r="C28" s="212" t="str">
        <f t="array" ref="C28">IFERROR(TEXT(VLOOKUP($E$5,IF($B$7="KELAPA BULAT",IF(KB[TANGGAL]=B28,KB[[RELASI]:[TANGGAL]],""),IF($B$7="KELAPA BERSABUT",IF(KBS[TANGGAL]=B28,KBS[[RELASI]:[TANGGAL]],""),IF($B$7="KOPRA",IF(KPR[TANGGAL]=B28,KPR[[RELASI]:[TANGGAL]],""),IF($B$7="ARANG",IF(ARG[TANGGAL]=B28,ARG[[RELASI]:[TANGGAL]],""))))),2,0),"0000"),"")</f>
        <v>0046</v>
      </c>
      <c r="D28" s="213" t="str">
        <f t="array" ref="D28">IFERROR(TEXT(VLOOKUP($E$5,IF($B$7="KELAPA BULAT",IF(KB[TANGGAL]=B28,KB[[RELASI]:[TANGGAL]],""),IF($B$7="KELAPA BERSABUT",IF(KBS[TANGGAL]=B28,KBS[[RELASI]:[TANGGAL]],""),IF($B$7="KOPRA",IF(KPR[TANGGAL]=B28,KPR[[RELASI]:[TANGGAL]],""),IF($B$7="ARANG",IF(ARG[TANGGAL]=B28,ARG[[RELASI]:[TANGGAL]],""))))),4,0),"000"),"")</f>
        <v>046</v>
      </c>
      <c r="E28" s="214">
        <f>SUMIFS(KB[NETTO],KB[RELASI],PERBLNR!$E$5,KB[TANGGAL],PERBLNR!B28,KB[TYPE],"A")</f>
        <v>19440</v>
      </c>
      <c r="F28" s="214">
        <f>SUMIFS(KB[NETTO2],KB[RELASI],PERBLNR!$E$5,KB[TANGGAL],PERBLNR!B28,KB[TYPE],"A")</f>
        <v>18468</v>
      </c>
      <c r="G28" s="214">
        <f t="shared" si="2"/>
        <v>2899.9971301711066</v>
      </c>
      <c r="H28" s="215">
        <f>SUMIFS(KB[TPEMBAYARAN],KB[RELASI],PERBLNR!$E$5,KB[TANGGAL],PERBLNR!B28,KB[TYPE],"A")</f>
        <v>53557147</v>
      </c>
      <c r="I28" s="206"/>
      <c r="J28" s="213" t="str">
        <f t="array" ref="J28">IFERROR(IF($B$7&lt;&gt;"KELAPA BULAT","",TEXT(VLOOKUP($E$5,IF(KB[NK]=VLOOKUP($E$5,IF(KB[TANGGAL]=B28,KB[[RELASI]:[TANGGAL]],""),2,0),IF(KB[TYPE]="B",KB[[RELASI]:[TYPE]],""),""),4,0),"000")),"")</f>
        <v/>
      </c>
      <c r="K28" s="214">
        <f>SUMIFS(KB[NETTO],KB[RELASI],PERBLNR!$E$5,KB[TANGGAL],PERBLNR!B28,KB[TYPE],"B")</f>
        <v>0</v>
      </c>
      <c r="L28" s="214">
        <f>SUMIFS(KB[NETTO2],KB[RELASI],PERBLNR!$E$5,KB[TANGGAL],PERBLNR!B28,KB[TYPE],"B")</f>
        <v>0</v>
      </c>
      <c r="M28" s="214" t="str">
        <f t="shared" si="1"/>
        <v/>
      </c>
      <c r="N28" s="214">
        <f>SUMIFS(KB[TPEMBAYARAN],KB[RELASI],PERBLNR!$E$5,KB[TANGGAL],PERBLNR!B28,KB[TYPE],"B")</f>
        <v>0</v>
      </c>
      <c r="O28" s="173"/>
      <c r="P28" s="218" t="str">
        <f t="array" ref="P28">IFERROR(TEXT(VLOOKUP($E$5,IF($O$7="KELAPA BULAT",IF(KB[TANGGAL]=B28,KB[[RELASI]:[TANGGAL]],""),IF($O$7="KELAPA BERSABUT",IF(KBS[TANGGAL]=B28,KBS[[RELASI]:[TANGGAL]],""),IF($O$7="KOPRA",IF(KPR[TANGGAL]=B28,KPR[[RELASI]:[TANGGAL]],""),IF($O$7="ARANG",IF(ARG[TANGGAL]=B28,ARG[[RELASI]:[TANGGAL]],""))))),2,0),"0000"),"")</f>
        <v/>
      </c>
      <c r="Q28" s="213" t="str">
        <f t="array" ref="Q28">IFERROR(TEXT(VLOOKUP($E$5,IF($O$7="KELAPA BULAT",IF(KB[TANGGAL]=B28,KB[[RELASI]:[TANGGAL]],""),IF($O$7="KELAPA BERSABUT",IF(KBS[TANGGAL]=B28,KBS[[RELASI]:[TANGGAL]],""),IF($O$7="KOPRA",IF(KPR[TANGGAL]=B28,KPR[[RELASI]:[TANGGAL]],""),IF($O$7="ARANG",IF(ARG[TANGGAL]=B28,ARG[[RELASI]:[TANGGAL]],""))))),4,0),"000"),"")</f>
        <v/>
      </c>
      <c r="R28" s="214">
        <f>SUMIFS(KPR[NETTO],KPR[RELASI],PERBLNR!$E$5,KPR[TANGGAL],PERBLNR!B28)</f>
        <v>0</v>
      </c>
      <c r="S28" s="214">
        <f>SUMIFS(KPR[NETTOB],KPR[RELASI],PERBLNR!$E$5,KPR[TANGGAL],PERBLNR!B28)</f>
        <v>0</v>
      </c>
      <c r="T28" s="214" t="str">
        <f t="shared" si="3"/>
        <v/>
      </c>
      <c r="U28" s="217">
        <f>SUMIFS(KPR[TPEMBAYARAN],KPR[RELASI],PERBLNR!$E$5,KPR[TANGGAL],PERBLNR!B28)</f>
        <v>0</v>
      </c>
      <c r="V28" s="173"/>
      <c r="W28" s="218" t="str">
        <f t="array" ref="W28">IFERROR(TEXT(VLOOKUP($E$5,IF($V$7="KELAPA BULAT",IF(KB[TANGGAL]=B28,KB[[RELASI]:[TANGGAL]],""),IF($V$7="KELAPA BERSABUT",IF(KBS[TANGGAL]=B28,KBS[[RELASI]:[TANGGAL]],""),IF($V$7="KOPRA",IF(KPR[TANGGAL]=B28,KPR[[RELASI]:[TANGGAL]],""),IF($V$7="ARANG",IF(ARG[TANGGAL]=B28,ARG[[RELASI]:[TANGGAL]],""))))),2,0),"0000"),"")</f>
        <v/>
      </c>
      <c r="X28" s="213" t="str">
        <f t="array" ref="X28">IFERROR(TEXT(VLOOKUP($E$5,IF($V$7="KELAPA BULAT",IF(KB[TANGGAL]=B28,KB[[RELASI]:[TANGGAL]],""),IF($V$7="KELAPA BERSABUT",IF(KBS[TANGGAL]=B28,KBS[[RELASI]:[TANGGAL]],""),IF($V$7="KOPRA",IF(KPR[TANGGAL]=B28,KPR[[RELASI]:[TANGGAL]],""),IF($V$7="ARANG",IF(ARG[TANGGAL]=B28,ARG[[RELASI]:[TANGGAL]],""))))),4,0),"000"),"")</f>
        <v/>
      </c>
      <c r="Y28" s="214">
        <f>SUMIFS(KBS[NETTO2],KBS[RELASI],PERBLNR!$E$5,KBS[TANGGAL],PERBLNR!B28)</f>
        <v>0</v>
      </c>
      <c r="Z28" s="214">
        <f>SUMIFS(KBS[NETTO2],KBS[RELASI],PERBLNR!$E$5,KBS[TANGGAL],PERBLNR!B28)</f>
        <v>0</v>
      </c>
      <c r="AA28" s="214" t="str">
        <f t="shared" si="4"/>
        <v/>
      </c>
      <c r="AB28" s="217">
        <f>SUMIFS(KBS[TPEMBAYARAN],KBS[RELASI],PERBLNR!$E$5,KBS[TANGGAL],PERBLNR!B28)</f>
        <v>0</v>
      </c>
      <c r="AC28" s="173"/>
      <c r="AD28" s="218" t="str">
        <f t="array" ref="AD28">IFERROR(TEXT(VLOOKUP($E$5,IF($B$7="KELAPA BULAT",IF(KB[TANGGAL]=AC28,KB[[RELASI]:[TANGGAL]],""),IF($B$7="KELAPA BERSABUT",IF(KBS[TANGGAL]=AC28,KBS[[RELASI]:[TANGGAL]],""),IF($B$7="KOPRA",IF(KPR[TANGGAL]=AC28,KPR[[RELASI]:[TANGGAL]],""),IF($B$7="ARANG",IF(ARG[TANGGAL]=AC28,ARG[[RELASI]:[TANGGAL]],""))))),2,0),"0000"),"")</f>
        <v/>
      </c>
      <c r="AE28" s="213" t="str">
        <f t="array" ref="AE28">IFERROR(IF($B$7&lt;&gt;"KELAPA BULAT","",TEXT(VLOOKUP($E$5,IF(KB[NK]=VLOOKUP($E$5,IF(KB[TANGGAL]=V28,KB[[RELASI]:[TANGGAL]],""),2,0),IF(KB[TYPE]="B",KB[[RELASI]:[TYPE]],""),""),4,0),"000")),"")</f>
        <v/>
      </c>
      <c r="AF28" s="214">
        <f>SUMIFS(ARG[NETTO1],ARG[RELASI],PERBLNR!$E$5,ARG[TANGGAL],PERBLNR!B28)</f>
        <v>0</v>
      </c>
      <c r="AG28" s="214">
        <f>SUMIFS(ARG[NETTO3],ARG[RELASI],PERBLNR!$E$5,ARG[TANGGAL],PERBLNR!B28)</f>
        <v>0</v>
      </c>
      <c r="AH28" s="214" t="str">
        <f t="shared" si="5"/>
        <v/>
      </c>
      <c r="AI28" s="217">
        <f>SUMIFS(ARG[TPEMBAYARAN],ARG[RELASI],PERBLNR!$E$5,ARG[TANGGAL],PERBLNR!B28)</f>
        <v>0</v>
      </c>
      <c r="AK28" s="217">
        <f t="shared" si="6"/>
        <v>53557147</v>
      </c>
    </row>
    <row r="29" spans="2:37">
      <c r="B29" s="211">
        <f t="shared" si="0"/>
        <v>43910</v>
      </c>
      <c r="C29" s="212" t="str">
        <f t="array" ref="C29">IFERROR(TEXT(VLOOKUP($E$5,IF($B$7="KELAPA BULAT",IF(KB[TANGGAL]=B29,KB[[RELASI]:[TANGGAL]],""),IF($B$7="KELAPA BERSABUT",IF(KBS[TANGGAL]=B29,KBS[[RELASI]:[TANGGAL]],""),IF($B$7="KOPRA",IF(KPR[TANGGAL]=B29,KPR[[RELASI]:[TANGGAL]],""),IF($B$7="ARANG",IF(ARG[TANGGAL]=B29,ARG[[RELASI]:[TANGGAL]],""))))),2,0),"0000"),"")</f>
        <v>0047</v>
      </c>
      <c r="D29" s="213" t="str">
        <f t="array" ref="D29">IFERROR(TEXT(VLOOKUP($E$5,IF($B$7="KELAPA BULAT",IF(KB[TANGGAL]=B29,KB[[RELASI]:[TANGGAL]],""),IF($B$7="KELAPA BERSABUT",IF(KBS[TANGGAL]=B29,KBS[[RELASI]:[TANGGAL]],""),IF($B$7="KOPRA",IF(KPR[TANGGAL]=B29,KPR[[RELASI]:[TANGGAL]],""),IF($B$7="ARANG",IF(ARG[TANGGAL]=B29,ARG[[RELASI]:[TANGGAL]],""))))),4,0),"000"),"")</f>
        <v>047</v>
      </c>
      <c r="E29" s="214">
        <f>SUMIFS(KB[NETTO],KB[RELASI],PERBLNR!$E$5,KB[TANGGAL],PERBLNR!B29,KB[TYPE],"A")</f>
        <v>10970</v>
      </c>
      <c r="F29" s="214">
        <f>SUMIFS(KB[NETTO2],KB[RELASI],PERBLNR!$E$5,KB[TANGGAL],PERBLNR!B29,KB[TYPE],"A")</f>
        <v>10421.5</v>
      </c>
      <c r="G29" s="214">
        <f t="shared" si="2"/>
        <v>2899.9972172911771</v>
      </c>
      <c r="H29" s="215">
        <f>SUMIFS(KB[TPEMBAYARAN],KB[RELASI],PERBLNR!$E$5,KB[TANGGAL],PERBLNR!B29,KB[TYPE],"A")</f>
        <v>30222321</v>
      </c>
      <c r="I29" s="206"/>
      <c r="J29" s="213" t="str">
        <f t="array" ref="J29">IFERROR(IF($B$7&lt;&gt;"KELAPA BULAT","",TEXT(VLOOKUP($E$5,IF(KB[NK]=VLOOKUP($E$5,IF(KB[TANGGAL]=B29,KB[[RELASI]:[TANGGAL]],""),2,0),IF(KB[TYPE]="B",KB[[RELASI]:[TYPE]],""),""),4,0),"000")),"")</f>
        <v/>
      </c>
      <c r="K29" s="214">
        <f>SUMIFS(KB[NETTO],KB[RELASI],PERBLNR!$E$5,KB[TANGGAL],PERBLNR!B29,KB[TYPE],"B")</f>
        <v>0</v>
      </c>
      <c r="L29" s="214">
        <f>SUMIFS(KB[NETTO2],KB[RELASI],PERBLNR!$E$5,KB[TANGGAL],PERBLNR!B29,KB[TYPE],"B")</f>
        <v>0</v>
      </c>
      <c r="M29" s="214" t="str">
        <f t="shared" si="1"/>
        <v/>
      </c>
      <c r="N29" s="214">
        <f>SUMIFS(KB[TPEMBAYARAN],KB[RELASI],PERBLNR!$E$5,KB[TANGGAL],PERBLNR!B29,KB[TYPE],"B")</f>
        <v>0</v>
      </c>
      <c r="O29" s="173"/>
      <c r="P29" s="218" t="str">
        <f t="array" ref="P29">IFERROR(TEXT(VLOOKUP($E$5,IF($O$7="KELAPA BULAT",IF(KB[TANGGAL]=B29,KB[[RELASI]:[TANGGAL]],""),IF($O$7="KELAPA BERSABUT",IF(KBS[TANGGAL]=B29,KBS[[RELASI]:[TANGGAL]],""),IF($O$7="KOPRA",IF(KPR[TANGGAL]=B29,KPR[[RELASI]:[TANGGAL]],""),IF($O$7="ARANG",IF(ARG[TANGGAL]=B29,ARG[[RELASI]:[TANGGAL]],""))))),2,0),"0000"),"")</f>
        <v/>
      </c>
      <c r="Q29" s="213" t="str">
        <f t="array" ref="Q29">IFERROR(TEXT(VLOOKUP($E$5,IF($O$7="KELAPA BULAT",IF(KB[TANGGAL]=B29,KB[[RELASI]:[TANGGAL]],""),IF($O$7="KELAPA BERSABUT",IF(KBS[TANGGAL]=B29,KBS[[RELASI]:[TANGGAL]],""),IF($O$7="KOPRA",IF(KPR[TANGGAL]=B29,KPR[[RELASI]:[TANGGAL]],""),IF($O$7="ARANG",IF(ARG[TANGGAL]=B29,ARG[[RELASI]:[TANGGAL]],""))))),4,0),"000"),"")</f>
        <v/>
      </c>
      <c r="R29" s="214">
        <f>SUMIFS(KPR[NETTO],KPR[RELASI],PERBLNR!$E$5,KPR[TANGGAL],PERBLNR!B29)</f>
        <v>0</v>
      </c>
      <c r="S29" s="214">
        <f>SUMIFS(KPR[NETTOB],KPR[RELASI],PERBLNR!$E$5,KPR[TANGGAL],PERBLNR!B29)</f>
        <v>0</v>
      </c>
      <c r="T29" s="214" t="str">
        <f t="shared" si="3"/>
        <v/>
      </c>
      <c r="U29" s="217">
        <f>SUMIFS(KPR[TPEMBAYARAN],KPR[RELASI],PERBLNR!$E$5,KPR[TANGGAL],PERBLNR!B29)</f>
        <v>0</v>
      </c>
      <c r="V29" s="173"/>
      <c r="W29" s="218" t="str">
        <f t="array" ref="W29">IFERROR(TEXT(VLOOKUP($E$5,IF($V$7="KELAPA BULAT",IF(KB[TANGGAL]=B29,KB[[RELASI]:[TANGGAL]],""),IF($V$7="KELAPA BERSABUT",IF(KBS[TANGGAL]=B29,KBS[[RELASI]:[TANGGAL]],""),IF($V$7="KOPRA",IF(KPR[TANGGAL]=B29,KPR[[RELASI]:[TANGGAL]],""),IF($V$7="ARANG",IF(ARG[TANGGAL]=B29,ARG[[RELASI]:[TANGGAL]],""))))),2,0),"0000"),"")</f>
        <v/>
      </c>
      <c r="X29" s="213" t="str">
        <f t="array" ref="X29">IFERROR(TEXT(VLOOKUP($E$5,IF($V$7="KELAPA BULAT",IF(KB[TANGGAL]=B29,KB[[RELASI]:[TANGGAL]],""),IF($V$7="KELAPA BERSABUT",IF(KBS[TANGGAL]=B29,KBS[[RELASI]:[TANGGAL]],""),IF($V$7="KOPRA",IF(KPR[TANGGAL]=B29,KPR[[RELASI]:[TANGGAL]],""),IF($V$7="ARANG",IF(ARG[TANGGAL]=B29,ARG[[RELASI]:[TANGGAL]],""))))),4,0),"000"),"")</f>
        <v/>
      </c>
      <c r="Y29" s="214">
        <f>SUMIFS(KBS[NETTO2],KBS[RELASI],PERBLNR!$E$5,KBS[TANGGAL],PERBLNR!B29)</f>
        <v>0</v>
      </c>
      <c r="Z29" s="214">
        <f>SUMIFS(KBS[NETTO2],KBS[RELASI],PERBLNR!$E$5,KBS[TANGGAL],PERBLNR!B29)</f>
        <v>0</v>
      </c>
      <c r="AA29" s="214" t="str">
        <f t="shared" si="4"/>
        <v/>
      </c>
      <c r="AB29" s="217">
        <f>SUMIFS(KBS[TPEMBAYARAN],KBS[RELASI],PERBLNR!$E$5,KBS[TANGGAL],PERBLNR!B29)</f>
        <v>0</v>
      </c>
      <c r="AC29" s="173"/>
      <c r="AD29" s="218" t="str">
        <f t="array" ref="AD29">IFERROR(TEXT(VLOOKUP($E$5,IF($B$7="KELAPA BULAT",IF(KB[TANGGAL]=AC29,KB[[RELASI]:[TANGGAL]],""),IF($B$7="KELAPA BERSABUT",IF(KBS[TANGGAL]=AC29,KBS[[RELASI]:[TANGGAL]],""),IF($B$7="KOPRA",IF(KPR[TANGGAL]=AC29,KPR[[RELASI]:[TANGGAL]],""),IF($B$7="ARANG",IF(ARG[TANGGAL]=AC29,ARG[[RELASI]:[TANGGAL]],""))))),2,0),"0000"),"")</f>
        <v/>
      </c>
      <c r="AE29" s="213" t="str">
        <f t="array" ref="AE29">IFERROR(IF($B$7&lt;&gt;"KELAPA BULAT","",TEXT(VLOOKUP($E$5,IF(KB[NK]=VLOOKUP($E$5,IF(KB[TANGGAL]=V29,KB[[RELASI]:[TANGGAL]],""),2,0),IF(KB[TYPE]="B",KB[[RELASI]:[TYPE]],""),""),4,0),"000")),"")</f>
        <v/>
      </c>
      <c r="AF29" s="214">
        <f>SUMIFS(ARG[NETTO1],ARG[RELASI],PERBLNR!$E$5,ARG[TANGGAL],PERBLNR!B29)</f>
        <v>0</v>
      </c>
      <c r="AG29" s="214">
        <f>SUMIFS(ARG[NETTO3],ARG[RELASI],PERBLNR!$E$5,ARG[TANGGAL],PERBLNR!B29)</f>
        <v>0</v>
      </c>
      <c r="AH29" s="214" t="str">
        <f t="shared" si="5"/>
        <v/>
      </c>
      <c r="AI29" s="217">
        <f>SUMIFS(ARG[TPEMBAYARAN],ARG[RELASI],PERBLNR!$E$5,ARG[TANGGAL],PERBLNR!B29)</f>
        <v>0</v>
      </c>
      <c r="AK29" s="217">
        <f t="shared" si="6"/>
        <v>30222321</v>
      </c>
    </row>
    <row r="30" spans="2:37">
      <c r="B30" s="211">
        <f t="shared" si="0"/>
        <v>43911</v>
      </c>
      <c r="C30" s="212" t="str">
        <f t="array" ref="C30">IFERROR(TEXT(VLOOKUP($E$5,IF($B$7="KELAPA BULAT",IF(KB[TANGGAL]=B30,KB[[RELASI]:[TANGGAL]],""),IF($B$7="KELAPA BERSABUT",IF(KBS[TANGGAL]=B30,KBS[[RELASI]:[TANGGAL]],""),IF($B$7="KOPRA",IF(KPR[TANGGAL]=B30,KPR[[RELASI]:[TANGGAL]],""),IF($B$7="ARANG",IF(ARG[TANGGAL]=B30,ARG[[RELASI]:[TANGGAL]],""))))),2,0),"0000"),"")</f>
        <v>0048</v>
      </c>
      <c r="D30" s="213" t="str">
        <f t="array" ref="D30">IFERROR(TEXT(VLOOKUP($E$5,IF($B$7="KELAPA BULAT",IF(KB[TANGGAL]=B30,KB[[RELASI]:[TANGGAL]],""),IF($B$7="KELAPA BERSABUT",IF(KBS[TANGGAL]=B30,KBS[[RELASI]:[TANGGAL]],""),IF($B$7="KOPRA",IF(KPR[TANGGAL]=B30,KPR[[RELASI]:[TANGGAL]],""),IF($B$7="ARANG",IF(ARG[TANGGAL]=B30,ARG[[RELASI]:[TANGGAL]],""))))),4,0),"000"),"")</f>
        <v>048</v>
      </c>
      <c r="E30" s="214">
        <f>SUMIFS(KB[NETTO],KB[RELASI],PERBLNR!$E$5,KB[TANGGAL],PERBLNR!B30,KB[TYPE],"A")</f>
        <v>6200</v>
      </c>
      <c r="F30" s="214">
        <f>SUMIFS(KB[NETTO2],KB[RELASI],PERBLNR!$E$5,KB[TANGGAL],PERBLNR!B30,KB[TYPE],"A")</f>
        <v>5890</v>
      </c>
      <c r="G30" s="214">
        <f t="shared" si="2"/>
        <v>2899.9972835314093</v>
      </c>
      <c r="H30" s="215">
        <f>SUMIFS(KB[TPEMBAYARAN],KB[RELASI],PERBLNR!$E$5,KB[TANGGAL],PERBLNR!B30,KB[TYPE],"A")</f>
        <v>17080984</v>
      </c>
      <c r="I30" s="206"/>
      <c r="J30" s="213" t="str">
        <f t="array" ref="J30">IFERROR(IF($B$7&lt;&gt;"KELAPA BULAT","",TEXT(VLOOKUP($E$5,IF(KB[NK]=VLOOKUP($E$5,IF(KB[TANGGAL]=B30,KB[[RELASI]:[TANGGAL]],""),2,0),IF(KB[TYPE]="B",KB[[RELASI]:[TYPE]],""),""),4,0),"000")),"")</f>
        <v/>
      </c>
      <c r="K30" s="214">
        <f>SUMIFS(KB[NETTO],KB[RELASI],PERBLNR!$E$5,KB[TANGGAL],PERBLNR!B30,KB[TYPE],"B")</f>
        <v>0</v>
      </c>
      <c r="L30" s="214">
        <f>SUMIFS(KB[NETTO2],KB[RELASI],PERBLNR!$E$5,KB[TANGGAL],PERBLNR!B30,KB[TYPE],"B")</f>
        <v>0</v>
      </c>
      <c r="M30" s="214" t="str">
        <f t="shared" si="1"/>
        <v/>
      </c>
      <c r="N30" s="214">
        <f>SUMIFS(KB[TPEMBAYARAN],KB[RELASI],PERBLNR!$E$5,KB[TANGGAL],PERBLNR!B30,KB[TYPE],"B")</f>
        <v>0</v>
      </c>
      <c r="O30" s="173"/>
      <c r="P30" s="218" t="str">
        <f t="array" ref="P30">IFERROR(TEXT(VLOOKUP($E$5,IF($O$7="KELAPA BULAT",IF(KB[TANGGAL]=B30,KB[[RELASI]:[TANGGAL]],""),IF($O$7="KELAPA BERSABUT",IF(KBS[TANGGAL]=B30,KBS[[RELASI]:[TANGGAL]],""),IF($O$7="KOPRA",IF(KPR[TANGGAL]=B30,KPR[[RELASI]:[TANGGAL]],""),IF($O$7="ARANG",IF(ARG[TANGGAL]=B30,ARG[[RELASI]:[TANGGAL]],""))))),2,0),"0000"),"")</f>
        <v/>
      </c>
      <c r="Q30" s="213" t="str">
        <f t="array" ref="Q30">IFERROR(TEXT(VLOOKUP($E$5,IF($O$7="KELAPA BULAT",IF(KB[TANGGAL]=B30,KB[[RELASI]:[TANGGAL]],""),IF($O$7="KELAPA BERSABUT",IF(KBS[TANGGAL]=B30,KBS[[RELASI]:[TANGGAL]],""),IF($O$7="KOPRA",IF(KPR[TANGGAL]=B30,KPR[[RELASI]:[TANGGAL]],""),IF($O$7="ARANG",IF(ARG[TANGGAL]=B30,ARG[[RELASI]:[TANGGAL]],""))))),4,0),"000"),"")</f>
        <v/>
      </c>
      <c r="R30" s="214">
        <f>SUMIFS(KPR[NETTO],KPR[RELASI],PERBLNR!$E$5,KPR[TANGGAL],PERBLNR!B30)</f>
        <v>0</v>
      </c>
      <c r="S30" s="214">
        <f>SUMIFS(KPR[NETTOB],KPR[RELASI],PERBLNR!$E$5,KPR[TANGGAL],PERBLNR!B30)</f>
        <v>0</v>
      </c>
      <c r="T30" s="214" t="str">
        <f t="shared" si="3"/>
        <v/>
      </c>
      <c r="U30" s="217">
        <f>SUMIFS(KPR[TPEMBAYARAN],KPR[RELASI],PERBLNR!$E$5,KPR[TANGGAL],PERBLNR!B30)</f>
        <v>0</v>
      </c>
      <c r="V30" s="173"/>
      <c r="W30" s="218" t="str">
        <f t="array" ref="W30">IFERROR(TEXT(VLOOKUP($E$5,IF($V$7="KELAPA BULAT",IF(KB[TANGGAL]=B30,KB[[RELASI]:[TANGGAL]],""),IF($V$7="KELAPA BERSABUT",IF(KBS[TANGGAL]=B30,KBS[[RELASI]:[TANGGAL]],""),IF($V$7="KOPRA",IF(KPR[TANGGAL]=B30,KPR[[RELASI]:[TANGGAL]],""),IF($V$7="ARANG",IF(ARG[TANGGAL]=B30,ARG[[RELASI]:[TANGGAL]],""))))),2,0),"0000"),"")</f>
        <v/>
      </c>
      <c r="X30" s="213" t="str">
        <f t="array" ref="X30">IFERROR(TEXT(VLOOKUP($E$5,IF($V$7="KELAPA BULAT",IF(KB[TANGGAL]=B30,KB[[RELASI]:[TANGGAL]],""),IF($V$7="KELAPA BERSABUT",IF(KBS[TANGGAL]=B30,KBS[[RELASI]:[TANGGAL]],""),IF($V$7="KOPRA",IF(KPR[TANGGAL]=B30,KPR[[RELASI]:[TANGGAL]],""),IF($V$7="ARANG",IF(ARG[TANGGAL]=B30,ARG[[RELASI]:[TANGGAL]],""))))),4,0),"000"),"")</f>
        <v/>
      </c>
      <c r="Y30" s="214">
        <f>SUMIFS(KBS[NETTO2],KBS[RELASI],PERBLNR!$E$5,KBS[TANGGAL],PERBLNR!B30)</f>
        <v>0</v>
      </c>
      <c r="Z30" s="214">
        <f>SUMIFS(KBS[NETTO2],KBS[RELASI],PERBLNR!$E$5,KBS[TANGGAL],PERBLNR!B30)</f>
        <v>0</v>
      </c>
      <c r="AA30" s="214" t="str">
        <f t="shared" si="4"/>
        <v/>
      </c>
      <c r="AB30" s="217">
        <f>SUMIFS(KBS[TPEMBAYARAN],KBS[RELASI],PERBLNR!$E$5,KBS[TANGGAL],PERBLNR!B30)</f>
        <v>0</v>
      </c>
      <c r="AC30" s="173"/>
      <c r="AD30" s="218" t="str">
        <f t="array" ref="AD30">IFERROR(TEXT(VLOOKUP($E$5,IF($B$7="KELAPA BULAT",IF(KB[TANGGAL]=AC30,KB[[RELASI]:[TANGGAL]],""),IF($B$7="KELAPA BERSABUT",IF(KBS[TANGGAL]=AC30,KBS[[RELASI]:[TANGGAL]],""),IF($B$7="KOPRA",IF(KPR[TANGGAL]=AC30,KPR[[RELASI]:[TANGGAL]],""),IF($B$7="ARANG",IF(ARG[TANGGAL]=AC30,ARG[[RELASI]:[TANGGAL]],""))))),2,0),"0000"),"")</f>
        <v/>
      </c>
      <c r="AE30" s="213" t="str">
        <f t="array" ref="AE30">IFERROR(IF($B$7&lt;&gt;"KELAPA BULAT","",TEXT(VLOOKUP($E$5,IF(KB[NK]=VLOOKUP($E$5,IF(KB[TANGGAL]=V30,KB[[RELASI]:[TANGGAL]],""),2,0),IF(KB[TYPE]="B",KB[[RELASI]:[TYPE]],""),""),4,0),"000")),"")</f>
        <v/>
      </c>
      <c r="AF30" s="214">
        <f>SUMIFS(ARG[NETTO1],ARG[RELASI],PERBLNR!$E$5,ARG[TANGGAL],PERBLNR!B30)</f>
        <v>0</v>
      </c>
      <c r="AG30" s="214">
        <f>SUMIFS(ARG[NETTO3],ARG[RELASI],PERBLNR!$E$5,ARG[TANGGAL],PERBLNR!B30)</f>
        <v>0</v>
      </c>
      <c r="AH30" s="214" t="str">
        <f t="shared" si="5"/>
        <v/>
      </c>
      <c r="AI30" s="217">
        <f>SUMIFS(ARG[TPEMBAYARAN],ARG[RELASI],PERBLNR!$E$5,ARG[TANGGAL],PERBLNR!B30)</f>
        <v>0</v>
      </c>
      <c r="AK30" s="217">
        <f t="shared" si="6"/>
        <v>17080984</v>
      </c>
    </row>
    <row r="31" spans="2:37">
      <c r="B31" s="211">
        <f t="shared" si="0"/>
        <v>43912</v>
      </c>
      <c r="C31" s="212" t="str">
        <f t="array" ref="C31">IFERROR(TEXT(VLOOKUP($E$5,IF($B$7="KELAPA BULAT",IF(KB[TANGGAL]=B31,KB[[RELASI]:[TANGGAL]],""),IF($B$7="KELAPA BERSABUT",IF(KBS[TANGGAL]=B31,KBS[[RELASI]:[TANGGAL]],""),IF($B$7="KOPRA",IF(KPR[TANGGAL]=B31,KPR[[RELASI]:[TANGGAL]],""),IF($B$7="ARANG",IF(ARG[TANGGAL]=B31,ARG[[RELASI]:[TANGGAL]],""))))),2,0),"0000"),"")</f>
        <v/>
      </c>
      <c r="D31" s="213" t="str">
        <f t="array" ref="D31">IFERROR(TEXT(VLOOKUP($E$5,IF($B$7="KELAPA BULAT",IF(KB[TANGGAL]=B31,KB[[RELASI]:[TANGGAL]],""),IF($B$7="KELAPA BERSABUT",IF(KBS[TANGGAL]=B31,KBS[[RELASI]:[TANGGAL]],""),IF($B$7="KOPRA",IF(KPR[TANGGAL]=B31,KPR[[RELASI]:[TANGGAL]],""),IF($B$7="ARANG",IF(ARG[TANGGAL]=B31,ARG[[RELASI]:[TANGGAL]],""))))),4,0),"000"),"")</f>
        <v/>
      </c>
      <c r="E31" s="214">
        <f>SUMIFS(KB[NETTO],KB[RELASI],PERBLNR!$E$5,KB[TANGGAL],PERBLNR!B31,KB[TYPE],"A")</f>
        <v>0</v>
      </c>
      <c r="F31" s="214">
        <f>SUMIFS(KB[NETTO2],KB[RELASI],PERBLNR!$E$5,KB[TANGGAL],PERBLNR!B31,KB[TYPE],"A")</f>
        <v>0</v>
      </c>
      <c r="G31" s="214" t="str">
        <f t="shared" si="2"/>
        <v/>
      </c>
      <c r="H31" s="215">
        <f>SUMIFS(KB[TPEMBAYARAN],KB[RELASI],PERBLNR!$E$5,KB[TANGGAL],PERBLNR!B31,KB[TYPE],"A")</f>
        <v>0</v>
      </c>
      <c r="I31" s="206"/>
      <c r="J31" s="213" t="str">
        <f t="array" ref="J31">IFERROR(IF($B$7&lt;&gt;"KELAPA BULAT","",TEXT(VLOOKUP($E$5,IF(KB[NK]=VLOOKUP($E$5,IF(KB[TANGGAL]=B31,KB[[RELASI]:[TANGGAL]],""),2,0),IF(KB[TYPE]="B",KB[[RELASI]:[TYPE]],""),""),4,0),"000")),"")</f>
        <v/>
      </c>
      <c r="K31" s="214">
        <f>SUMIFS(KB[NETTO],KB[RELASI],PERBLNR!$E$5,KB[TANGGAL],PERBLNR!B31,KB[TYPE],"B")</f>
        <v>0</v>
      </c>
      <c r="L31" s="214">
        <f>SUMIFS(KB[NETTO2],KB[RELASI],PERBLNR!$E$5,KB[TANGGAL],PERBLNR!B31,KB[TYPE],"B")</f>
        <v>0</v>
      </c>
      <c r="M31" s="214" t="str">
        <f t="shared" si="1"/>
        <v/>
      </c>
      <c r="N31" s="214">
        <f>SUMIFS(KB[TPEMBAYARAN],KB[RELASI],PERBLNR!$E$5,KB[TANGGAL],PERBLNR!B31,KB[TYPE],"B")</f>
        <v>0</v>
      </c>
      <c r="O31" s="173"/>
      <c r="P31" s="218" t="str">
        <f t="array" ref="P31">IFERROR(TEXT(VLOOKUP($E$5,IF($O$7="KELAPA BULAT",IF(KB[TANGGAL]=B31,KB[[RELASI]:[TANGGAL]],""),IF($O$7="KELAPA BERSABUT",IF(KBS[TANGGAL]=B31,KBS[[RELASI]:[TANGGAL]],""),IF($O$7="KOPRA",IF(KPR[TANGGAL]=B31,KPR[[RELASI]:[TANGGAL]],""),IF($O$7="ARANG",IF(ARG[TANGGAL]=B31,ARG[[RELASI]:[TANGGAL]],""))))),2,0),"0000"),"")</f>
        <v/>
      </c>
      <c r="Q31" s="213" t="str">
        <f t="array" ref="Q31">IFERROR(TEXT(VLOOKUP($E$5,IF($O$7="KELAPA BULAT",IF(KB[TANGGAL]=B31,KB[[RELASI]:[TANGGAL]],""),IF($O$7="KELAPA BERSABUT",IF(KBS[TANGGAL]=B31,KBS[[RELASI]:[TANGGAL]],""),IF($O$7="KOPRA",IF(KPR[TANGGAL]=B31,KPR[[RELASI]:[TANGGAL]],""),IF($O$7="ARANG",IF(ARG[TANGGAL]=B31,ARG[[RELASI]:[TANGGAL]],""))))),4,0),"000"),"")</f>
        <v/>
      </c>
      <c r="R31" s="214">
        <f>SUMIFS(KPR[NETTO],KPR[RELASI],PERBLNR!$E$5,KPR[TANGGAL],PERBLNR!B31)</f>
        <v>0</v>
      </c>
      <c r="S31" s="214">
        <f>SUMIFS(KPR[NETTOB],KPR[RELASI],PERBLNR!$E$5,KPR[TANGGAL],PERBLNR!B31)</f>
        <v>0</v>
      </c>
      <c r="T31" s="214" t="str">
        <f t="shared" si="3"/>
        <v/>
      </c>
      <c r="U31" s="217">
        <f>SUMIFS(KPR[TPEMBAYARAN],KPR[RELASI],PERBLNR!$E$5,KPR[TANGGAL],PERBLNR!B31)</f>
        <v>0</v>
      </c>
      <c r="V31" s="173"/>
      <c r="W31" s="218" t="str">
        <f t="array" ref="W31">IFERROR(TEXT(VLOOKUP($E$5,IF($V$7="KELAPA BULAT",IF(KB[TANGGAL]=B31,KB[[RELASI]:[TANGGAL]],""),IF($V$7="KELAPA BERSABUT",IF(KBS[TANGGAL]=B31,KBS[[RELASI]:[TANGGAL]],""),IF($V$7="KOPRA",IF(KPR[TANGGAL]=B31,KPR[[RELASI]:[TANGGAL]],""),IF($V$7="ARANG",IF(ARG[TANGGAL]=B31,ARG[[RELASI]:[TANGGAL]],""))))),2,0),"0000"),"")</f>
        <v/>
      </c>
      <c r="X31" s="213" t="str">
        <f t="array" ref="X31">IFERROR(TEXT(VLOOKUP($E$5,IF($V$7="KELAPA BULAT",IF(KB[TANGGAL]=B31,KB[[RELASI]:[TANGGAL]],""),IF($V$7="KELAPA BERSABUT",IF(KBS[TANGGAL]=B31,KBS[[RELASI]:[TANGGAL]],""),IF($V$7="KOPRA",IF(KPR[TANGGAL]=B31,KPR[[RELASI]:[TANGGAL]],""),IF($V$7="ARANG",IF(ARG[TANGGAL]=B31,ARG[[RELASI]:[TANGGAL]],""))))),4,0),"000"),"")</f>
        <v/>
      </c>
      <c r="Y31" s="214">
        <f>SUMIFS(KBS[NETTO2],KBS[RELASI],PERBLNR!$E$5,KBS[TANGGAL],PERBLNR!B31)</f>
        <v>0</v>
      </c>
      <c r="Z31" s="214">
        <f>SUMIFS(KBS[NETTO2],KBS[RELASI],PERBLNR!$E$5,KBS[TANGGAL],PERBLNR!B31)</f>
        <v>0</v>
      </c>
      <c r="AA31" s="214" t="str">
        <f t="shared" si="4"/>
        <v/>
      </c>
      <c r="AB31" s="217">
        <f>SUMIFS(KBS[TPEMBAYARAN],KBS[RELASI],PERBLNR!$E$5,KBS[TANGGAL],PERBLNR!B31)</f>
        <v>0</v>
      </c>
      <c r="AC31" s="173"/>
      <c r="AD31" s="218" t="str">
        <f t="array" ref="AD31">IFERROR(TEXT(VLOOKUP($E$5,IF($B$7="KELAPA BULAT",IF(KB[TANGGAL]=AC31,KB[[RELASI]:[TANGGAL]],""),IF($B$7="KELAPA BERSABUT",IF(KBS[TANGGAL]=AC31,KBS[[RELASI]:[TANGGAL]],""),IF($B$7="KOPRA",IF(KPR[TANGGAL]=AC31,KPR[[RELASI]:[TANGGAL]],""),IF($B$7="ARANG",IF(ARG[TANGGAL]=AC31,ARG[[RELASI]:[TANGGAL]],""))))),2,0),"0000"),"")</f>
        <v/>
      </c>
      <c r="AE31" s="213" t="str">
        <f t="array" ref="AE31">IFERROR(IF($B$7&lt;&gt;"KELAPA BULAT","",TEXT(VLOOKUP($E$5,IF(KB[NK]=VLOOKUP($E$5,IF(KB[TANGGAL]=V31,KB[[RELASI]:[TANGGAL]],""),2,0),IF(KB[TYPE]="B",KB[[RELASI]:[TYPE]],""),""),4,0),"000")),"")</f>
        <v/>
      </c>
      <c r="AF31" s="214">
        <f>SUMIFS(ARG[NETTO1],ARG[RELASI],PERBLNR!$E$5,ARG[TANGGAL],PERBLNR!B31)</f>
        <v>0</v>
      </c>
      <c r="AG31" s="214">
        <f>SUMIFS(ARG[NETTO3],ARG[RELASI],PERBLNR!$E$5,ARG[TANGGAL],PERBLNR!B31)</f>
        <v>0</v>
      </c>
      <c r="AH31" s="214" t="str">
        <f t="shared" si="5"/>
        <v/>
      </c>
      <c r="AI31" s="217">
        <f>SUMIFS(ARG[TPEMBAYARAN],ARG[RELASI],PERBLNR!$E$5,ARG[TANGGAL],PERBLNR!B31)</f>
        <v>0</v>
      </c>
      <c r="AK31" s="217">
        <f t="shared" si="6"/>
        <v>0</v>
      </c>
    </row>
    <row r="32" spans="2:37">
      <c r="B32" s="211">
        <f t="shared" si="0"/>
        <v>43913</v>
      </c>
      <c r="C32" s="212" t="str">
        <f t="array" ref="C32">IFERROR(TEXT(VLOOKUP($E$5,IF($B$7="KELAPA BULAT",IF(KB[TANGGAL]=B32,KB[[RELASI]:[TANGGAL]],""),IF($B$7="KELAPA BERSABUT",IF(KBS[TANGGAL]=B32,KBS[[RELASI]:[TANGGAL]],""),IF($B$7="KOPRA",IF(KPR[TANGGAL]=B32,KPR[[RELASI]:[TANGGAL]],""),IF($B$7="ARANG",IF(ARG[TANGGAL]=B32,ARG[[RELASI]:[TANGGAL]],""))))),2,0),"0000"),"")</f>
        <v>0049</v>
      </c>
      <c r="D32" s="213" t="str">
        <f t="array" ref="D32">IFERROR(TEXT(VLOOKUP($E$5,IF($B$7="KELAPA BULAT",IF(KB[TANGGAL]=B32,KB[[RELASI]:[TANGGAL]],""),IF($B$7="KELAPA BERSABUT",IF(KBS[TANGGAL]=B32,KBS[[RELASI]:[TANGGAL]],""),IF($B$7="KOPRA",IF(KPR[TANGGAL]=B32,KPR[[RELASI]:[TANGGAL]],""),IF($B$7="ARANG",IF(ARG[TANGGAL]=B32,ARG[[RELASI]:[TANGGAL]],""))))),4,0),"000"),"")</f>
        <v>049</v>
      </c>
      <c r="E32" s="214">
        <f>SUMIFS(KB[NETTO],KB[RELASI],PERBLNR!$E$5,KB[TANGGAL],PERBLNR!B32,KB[TYPE],"A")</f>
        <v>3620</v>
      </c>
      <c r="F32" s="214">
        <f>SUMIFS(KB[NETTO2],KB[RELASI],PERBLNR!$E$5,KB[TANGGAL],PERBLNR!B32,KB[TYPE],"A")</f>
        <v>3439</v>
      </c>
      <c r="G32" s="214">
        <f t="shared" si="2"/>
        <v>2899.9970921779586</v>
      </c>
      <c r="H32" s="215">
        <f>SUMIFS(KB[TPEMBAYARAN],KB[RELASI],PERBLNR!$E$5,KB[TANGGAL],PERBLNR!B32,KB[TYPE],"A")</f>
        <v>9973090</v>
      </c>
      <c r="I32" s="206"/>
      <c r="J32" s="213" t="str">
        <f t="array" ref="J32">IFERROR(IF($B$7&lt;&gt;"KELAPA BULAT","",TEXT(VLOOKUP($E$5,IF(KB[NK]=VLOOKUP($E$5,IF(KB[TANGGAL]=B32,KB[[RELASI]:[TANGGAL]],""),2,0),IF(KB[TYPE]="B",KB[[RELASI]:[TYPE]],""),""),4,0),"000")),"")</f>
        <v/>
      </c>
      <c r="K32" s="214">
        <f>SUMIFS(KB[NETTO],KB[RELASI],PERBLNR!$E$5,KB[TANGGAL],PERBLNR!B32,KB[TYPE],"B")</f>
        <v>0</v>
      </c>
      <c r="L32" s="214">
        <f>SUMIFS(KB[NETTO2],KB[RELASI],PERBLNR!$E$5,KB[TANGGAL],PERBLNR!B32,KB[TYPE],"B")</f>
        <v>0</v>
      </c>
      <c r="M32" s="214" t="str">
        <f t="shared" si="1"/>
        <v/>
      </c>
      <c r="N32" s="214">
        <f>SUMIFS(KB[TPEMBAYARAN],KB[RELASI],PERBLNR!$E$5,KB[TANGGAL],PERBLNR!B32,KB[TYPE],"B")</f>
        <v>0</v>
      </c>
      <c r="O32" s="173"/>
      <c r="P32" s="218" t="str">
        <f t="array" ref="P32">IFERROR(TEXT(VLOOKUP($E$5,IF($O$7="KELAPA BULAT",IF(KB[TANGGAL]=B32,KB[[RELASI]:[TANGGAL]],""),IF($O$7="KELAPA BERSABUT",IF(KBS[TANGGAL]=B32,KBS[[RELASI]:[TANGGAL]],""),IF($O$7="KOPRA",IF(KPR[TANGGAL]=B32,KPR[[RELASI]:[TANGGAL]],""),IF($O$7="ARANG",IF(ARG[TANGGAL]=B32,ARG[[RELASI]:[TANGGAL]],""))))),2,0),"0000"),"")</f>
        <v/>
      </c>
      <c r="Q32" s="213" t="str">
        <f t="array" ref="Q32">IFERROR(TEXT(VLOOKUP($E$5,IF($O$7="KELAPA BULAT",IF(KB[TANGGAL]=B32,KB[[RELASI]:[TANGGAL]],""),IF($O$7="KELAPA BERSABUT",IF(KBS[TANGGAL]=B32,KBS[[RELASI]:[TANGGAL]],""),IF($O$7="KOPRA",IF(KPR[TANGGAL]=B32,KPR[[RELASI]:[TANGGAL]],""),IF($O$7="ARANG",IF(ARG[TANGGAL]=B32,ARG[[RELASI]:[TANGGAL]],""))))),4,0),"000"),"")</f>
        <v/>
      </c>
      <c r="R32" s="214">
        <f>SUMIFS(KPR[NETTO],KPR[RELASI],PERBLNR!$E$5,KPR[TANGGAL],PERBLNR!B32)</f>
        <v>0</v>
      </c>
      <c r="S32" s="214">
        <f>SUMIFS(KPR[NETTOB],KPR[RELASI],PERBLNR!$E$5,KPR[TANGGAL],PERBLNR!B32)</f>
        <v>0</v>
      </c>
      <c r="T32" s="214" t="str">
        <f t="shared" si="3"/>
        <v/>
      </c>
      <c r="U32" s="217">
        <f>SUMIFS(KPR[TPEMBAYARAN],KPR[RELASI],PERBLNR!$E$5,KPR[TANGGAL],PERBLNR!B32)</f>
        <v>0</v>
      </c>
      <c r="V32" s="173"/>
      <c r="W32" s="218" t="str">
        <f t="array" ref="W32">IFERROR(TEXT(VLOOKUP($E$5,IF($V$7="KELAPA BULAT",IF(KB[TANGGAL]=B32,KB[[RELASI]:[TANGGAL]],""),IF($V$7="KELAPA BERSABUT",IF(KBS[TANGGAL]=B32,KBS[[RELASI]:[TANGGAL]],""),IF($V$7="KOPRA",IF(KPR[TANGGAL]=B32,KPR[[RELASI]:[TANGGAL]],""),IF($V$7="ARANG",IF(ARG[TANGGAL]=B32,ARG[[RELASI]:[TANGGAL]],""))))),2,0),"0000"),"")</f>
        <v/>
      </c>
      <c r="X32" s="213" t="str">
        <f t="array" ref="X32">IFERROR(TEXT(VLOOKUP($E$5,IF($V$7="KELAPA BULAT",IF(KB[TANGGAL]=B32,KB[[RELASI]:[TANGGAL]],""),IF($V$7="KELAPA BERSABUT",IF(KBS[TANGGAL]=B32,KBS[[RELASI]:[TANGGAL]],""),IF($V$7="KOPRA",IF(KPR[TANGGAL]=B32,KPR[[RELASI]:[TANGGAL]],""),IF($V$7="ARANG",IF(ARG[TANGGAL]=B32,ARG[[RELASI]:[TANGGAL]],""))))),4,0),"000"),"")</f>
        <v/>
      </c>
      <c r="Y32" s="214">
        <f>SUMIFS(KBS[NETTO2],KBS[RELASI],PERBLNR!$E$5,KBS[TANGGAL],PERBLNR!B32)</f>
        <v>0</v>
      </c>
      <c r="Z32" s="214">
        <f>SUMIFS(KBS[NETTO2],KBS[RELASI],PERBLNR!$E$5,KBS[TANGGAL],PERBLNR!B32)</f>
        <v>0</v>
      </c>
      <c r="AA32" s="214" t="str">
        <f t="shared" si="4"/>
        <v/>
      </c>
      <c r="AB32" s="217">
        <f>SUMIFS(KBS[TPEMBAYARAN],KBS[RELASI],PERBLNR!$E$5,KBS[TANGGAL],PERBLNR!B32)</f>
        <v>0</v>
      </c>
      <c r="AC32" s="173"/>
      <c r="AD32" s="218" t="str">
        <f t="array" ref="AD32">IFERROR(TEXT(VLOOKUP($E$5,IF($B$7="KELAPA BULAT",IF(KB[TANGGAL]=AC32,KB[[RELASI]:[TANGGAL]],""),IF($B$7="KELAPA BERSABUT",IF(KBS[TANGGAL]=AC32,KBS[[RELASI]:[TANGGAL]],""),IF($B$7="KOPRA",IF(KPR[TANGGAL]=AC32,KPR[[RELASI]:[TANGGAL]],""),IF($B$7="ARANG",IF(ARG[TANGGAL]=AC32,ARG[[RELASI]:[TANGGAL]],""))))),2,0),"0000"),"")</f>
        <v/>
      </c>
      <c r="AE32" s="213" t="str">
        <f t="array" ref="AE32">IFERROR(IF($B$7&lt;&gt;"KELAPA BULAT","",TEXT(VLOOKUP($E$5,IF(KB[NK]=VLOOKUP($E$5,IF(KB[TANGGAL]=V32,KB[[RELASI]:[TANGGAL]],""),2,0),IF(KB[TYPE]="B",KB[[RELASI]:[TYPE]],""),""),4,0),"000")),"")</f>
        <v/>
      </c>
      <c r="AF32" s="214">
        <f>SUMIFS(ARG[NETTO1],ARG[RELASI],PERBLNR!$E$5,ARG[TANGGAL],PERBLNR!B32)</f>
        <v>0</v>
      </c>
      <c r="AG32" s="214">
        <f>SUMIFS(ARG[NETTO3],ARG[RELASI],PERBLNR!$E$5,ARG[TANGGAL],PERBLNR!B32)</f>
        <v>0</v>
      </c>
      <c r="AH32" s="214" t="str">
        <f t="shared" si="5"/>
        <v/>
      </c>
      <c r="AI32" s="217">
        <f>SUMIFS(ARG[TPEMBAYARAN],ARG[RELASI],PERBLNR!$E$5,ARG[TANGGAL],PERBLNR!B32)</f>
        <v>0</v>
      </c>
      <c r="AK32" s="217">
        <f t="shared" si="6"/>
        <v>9973090</v>
      </c>
    </row>
    <row r="33" spans="2:37">
      <c r="B33" s="211">
        <f t="shared" si="0"/>
        <v>43914</v>
      </c>
      <c r="C33" s="212" t="str">
        <f t="array" ref="C33">IFERROR(TEXT(VLOOKUP($E$5,IF($B$7="KELAPA BULAT",IF(KB[TANGGAL]=B33,KB[[RELASI]:[TANGGAL]],""),IF($B$7="KELAPA BERSABUT",IF(KBS[TANGGAL]=B33,KBS[[RELASI]:[TANGGAL]],""),IF($B$7="KOPRA",IF(KPR[TANGGAL]=B33,KPR[[RELASI]:[TANGGAL]],""),IF($B$7="ARANG",IF(ARG[TANGGAL]=B33,ARG[[RELASI]:[TANGGAL]],""))))),2,0),"0000"),"")</f>
        <v>0050</v>
      </c>
      <c r="D33" s="213" t="str">
        <f t="array" ref="D33">IFERROR(TEXT(VLOOKUP($E$5,IF($B$7="KELAPA BULAT",IF(KB[TANGGAL]=B33,KB[[RELASI]:[TANGGAL]],""),IF($B$7="KELAPA BERSABUT",IF(KBS[TANGGAL]=B33,KBS[[RELASI]:[TANGGAL]],""),IF($B$7="KOPRA",IF(KPR[TANGGAL]=B33,KPR[[RELASI]:[TANGGAL]],""),IF($B$7="ARANG",IF(ARG[TANGGAL]=B33,ARG[[RELASI]:[TANGGAL]],""))))),4,0),"000"),"")</f>
        <v>050</v>
      </c>
      <c r="E33" s="214">
        <f>SUMIFS(KB[NETTO],KB[RELASI],PERBLNR!$E$5,KB[TANGGAL],PERBLNR!B33,KB[TYPE],"A")</f>
        <v>11590</v>
      </c>
      <c r="F33" s="214">
        <f>SUMIFS(KB[NETTO2],KB[RELASI],PERBLNR!$E$5,KB[TANGGAL],PERBLNR!B33,KB[TYPE],"A")</f>
        <v>11010.5</v>
      </c>
      <c r="G33" s="214">
        <f t="shared" si="2"/>
        <v>2827.0912310975887</v>
      </c>
      <c r="H33" s="215">
        <f>SUMIFS(KB[TPEMBAYARAN],KB[RELASI],PERBLNR!$E$5,KB[TANGGAL],PERBLNR!B33,KB[TYPE],"A")</f>
        <v>31127688</v>
      </c>
      <c r="I33" s="206"/>
      <c r="J33" s="213" t="str">
        <f t="array" ref="J33">IFERROR(IF($B$7&lt;&gt;"KELAPA BULAT","",TEXT(VLOOKUP($E$5,IF(KB[NK]=VLOOKUP($E$5,IF(KB[TANGGAL]=B33,KB[[RELASI]:[TANGGAL]],""),2,0),IF(KB[TYPE]="B",KB[[RELASI]:[TYPE]],""),""),4,0),"000")),"")</f>
        <v/>
      </c>
      <c r="K33" s="214">
        <f>SUMIFS(KB[NETTO],KB[RELASI],PERBLNR!$E$5,KB[TANGGAL],PERBLNR!B33,KB[TYPE],"B")</f>
        <v>0</v>
      </c>
      <c r="L33" s="214">
        <f>SUMIFS(KB[NETTO2],KB[RELASI],PERBLNR!$E$5,KB[TANGGAL],PERBLNR!B33,KB[TYPE],"B")</f>
        <v>0</v>
      </c>
      <c r="M33" s="214" t="str">
        <f t="shared" si="1"/>
        <v/>
      </c>
      <c r="N33" s="214">
        <f>SUMIFS(KB[TPEMBAYARAN],KB[RELASI],PERBLNR!$E$5,KB[TANGGAL],PERBLNR!B33,KB[TYPE],"B")</f>
        <v>0</v>
      </c>
      <c r="O33" s="173"/>
      <c r="P33" s="218" t="str">
        <f t="array" ref="P33">IFERROR(TEXT(VLOOKUP($E$5,IF($O$7="KELAPA BULAT",IF(KB[TANGGAL]=B33,KB[[RELASI]:[TANGGAL]],""),IF($O$7="KELAPA BERSABUT",IF(KBS[TANGGAL]=B33,KBS[[RELASI]:[TANGGAL]],""),IF($O$7="KOPRA",IF(KPR[TANGGAL]=B33,KPR[[RELASI]:[TANGGAL]],""),IF($O$7="ARANG",IF(ARG[TANGGAL]=B33,ARG[[RELASI]:[TANGGAL]],""))))),2,0),"0000"),"")</f>
        <v/>
      </c>
      <c r="Q33" s="213" t="str">
        <f t="array" ref="Q33">IFERROR(TEXT(VLOOKUP($E$5,IF($O$7="KELAPA BULAT",IF(KB[TANGGAL]=B33,KB[[RELASI]:[TANGGAL]],""),IF($O$7="KELAPA BERSABUT",IF(KBS[TANGGAL]=B33,KBS[[RELASI]:[TANGGAL]],""),IF($O$7="KOPRA",IF(KPR[TANGGAL]=B33,KPR[[RELASI]:[TANGGAL]],""),IF($O$7="ARANG",IF(ARG[TANGGAL]=B33,ARG[[RELASI]:[TANGGAL]],""))))),4,0),"000"),"")</f>
        <v/>
      </c>
      <c r="R33" s="214">
        <f>SUMIFS(KPR[NETTO],KPR[RELASI],PERBLNR!$E$5,KPR[TANGGAL],PERBLNR!B33)</f>
        <v>0</v>
      </c>
      <c r="S33" s="214">
        <f>SUMIFS(KPR[NETTOB],KPR[RELASI],PERBLNR!$E$5,KPR[TANGGAL],PERBLNR!B33)</f>
        <v>0</v>
      </c>
      <c r="T33" s="214" t="str">
        <f t="shared" si="3"/>
        <v/>
      </c>
      <c r="U33" s="217">
        <f>SUMIFS(KPR[TPEMBAYARAN],KPR[RELASI],PERBLNR!$E$5,KPR[TANGGAL],PERBLNR!B33)</f>
        <v>0</v>
      </c>
      <c r="V33" s="173"/>
      <c r="W33" s="218" t="str">
        <f t="array" ref="W33">IFERROR(TEXT(VLOOKUP($E$5,IF($V$7="KELAPA BULAT",IF(KB[TANGGAL]=B33,KB[[RELASI]:[TANGGAL]],""),IF($V$7="KELAPA BERSABUT",IF(KBS[TANGGAL]=B33,KBS[[RELASI]:[TANGGAL]],""),IF($V$7="KOPRA",IF(KPR[TANGGAL]=B33,KPR[[RELASI]:[TANGGAL]],""),IF($V$7="ARANG",IF(ARG[TANGGAL]=B33,ARG[[RELASI]:[TANGGAL]],""))))),2,0),"0000"),"")</f>
        <v/>
      </c>
      <c r="X33" s="213" t="str">
        <f t="array" ref="X33">IFERROR(TEXT(VLOOKUP($E$5,IF($V$7="KELAPA BULAT",IF(KB[TANGGAL]=B33,KB[[RELASI]:[TANGGAL]],""),IF($V$7="KELAPA BERSABUT",IF(KBS[TANGGAL]=B33,KBS[[RELASI]:[TANGGAL]],""),IF($V$7="KOPRA",IF(KPR[TANGGAL]=B33,KPR[[RELASI]:[TANGGAL]],""),IF($V$7="ARANG",IF(ARG[TANGGAL]=B33,ARG[[RELASI]:[TANGGAL]],""))))),4,0),"000"),"")</f>
        <v/>
      </c>
      <c r="Y33" s="214">
        <f>SUMIFS(KBS[NETTO2],KBS[RELASI],PERBLNR!$E$5,KBS[TANGGAL],PERBLNR!B33)</f>
        <v>0</v>
      </c>
      <c r="Z33" s="214">
        <f>SUMIFS(KBS[NETTO2],KBS[RELASI],PERBLNR!$E$5,KBS[TANGGAL],PERBLNR!B33)</f>
        <v>0</v>
      </c>
      <c r="AA33" s="214" t="str">
        <f t="shared" si="4"/>
        <v/>
      </c>
      <c r="AB33" s="217">
        <f>SUMIFS(KBS[TPEMBAYARAN],KBS[RELASI],PERBLNR!$E$5,KBS[TANGGAL],PERBLNR!B33)</f>
        <v>0</v>
      </c>
      <c r="AC33" s="173"/>
      <c r="AD33" s="218" t="str">
        <f t="array" ref="AD33">IFERROR(TEXT(VLOOKUP($E$5,IF($B$7="KELAPA BULAT",IF(KB[TANGGAL]=AC33,KB[[RELASI]:[TANGGAL]],""),IF($B$7="KELAPA BERSABUT",IF(KBS[TANGGAL]=AC33,KBS[[RELASI]:[TANGGAL]],""),IF($B$7="KOPRA",IF(KPR[TANGGAL]=AC33,KPR[[RELASI]:[TANGGAL]],""),IF($B$7="ARANG",IF(ARG[TANGGAL]=AC33,ARG[[RELASI]:[TANGGAL]],""))))),2,0),"0000"),"")</f>
        <v/>
      </c>
      <c r="AE33" s="213" t="str">
        <f t="array" ref="AE33">IFERROR(IF($B$7&lt;&gt;"KELAPA BULAT","",TEXT(VLOOKUP($E$5,IF(KB[NK]=VLOOKUP($E$5,IF(KB[TANGGAL]=V33,KB[[RELASI]:[TANGGAL]],""),2,0),IF(KB[TYPE]="B",KB[[RELASI]:[TYPE]],""),""),4,0),"000")),"")</f>
        <v/>
      </c>
      <c r="AF33" s="214">
        <f>SUMIFS(ARG[NETTO1],ARG[RELASI],PERBLNR!$E$5,ARG[TANGGAL],PERBLNR!B33)</f>
        <v>0</v>
      </c>
      <c r="AG33" s="214">
        <f>SUMIFS(ARG[NETTO3],ARG[RELASI],PERBLNR!$E$5,ARG[TANGGAL],PERBLNR!B33)</f>
        <v>0</v>
      </c>
      <c r="AH33" s="214" t="str">
        <f t="shared" si="5"/>
        <v/>
      </c>
      <c r="AI33" s="217">
        <f>SUMIFS(ARG[TPEMBAYARAN],ARG[RELASI],PERBLNR!$E$5,ARG[TANGGAL],PERBLNR!B33)</f>
        <v>0</v>
      </c>
      <c r="AK33" s="217">
        <f t="shared" si="6"/>
        <v>31127688</v>
      </c>
    </row>
    <row r="34" spans="2:37">
      <c r="B34" s="211">
        <f t="shared" si="0"/>
        <v>43915</v>
      </c>
      <c r="C34" s="212" t="str">
        <f t="array" ref="C34">IFERROR(TEXT(VLOOKUP($E$5,IF($B$7="KELAPA BULAT",IF(KB[TANGGAL]=B34,KB[[RELASI]:[TANGGAL]],""),IF($B$7="KELAPA BERSABUT",IF(KBS[TANGGAL]=B34,KBS[[RELASI]:[TANGGAL]],""),IF($B$7="KOPRA",IF(KPR[TANGGAL]=B34,KPR[[RELASI]:[TANGGAL]],""),IF($B$7="ARANG",IF(ARG[TANGGAL]=B34,ARG[[RELASI]:[TANGGAL]],""))))),2,0),"0000"),"")</f>
        <v/>
      </c>
      <c r="D34" s="213" t="str">
        <f t="array" ref="D34">IFERROR(TEXT(VLOOKUP($E$5,IF($B$7="KELAPA BULAT",IF(KB[TANGGAL]=B34,KB[[RELASI]:[TANGGAL]],""),IF($B$7="KELAPA BERSABUT",IF(KBS[TANGGAL]=B34,KBS[[RELASI]:[TANGGAL]],""),IF($B$7="KOPRA",IF(KPR[TANGGAL]=B34,KPR[[RELASI]:[TANGGAL]],""),IF($B$7="ARANG",IF(ARG[TANGGAL]=B34,ARG[[RELASI]:[TANGGAL]],""))))),4,0),"000"),"")</f>
        <v/>
      </c>
      <c r="E34" s="214">
        <f>SUMIFS(KB[NETTO],KB[RELASI],PERBLNR!$E$5,KB[TANGGAL],PERBLNR!B34,KB[TYPE],"A")</f>
        <v>0</v>
      </c>
      <c r="F34" s="214">
        <f>SUMIFS(KB[NETTO2],KB[RELASI],PERBLNR!$E$5,KB[TANGGAL],PERBLNR!B34,KB[TYPE],"A")</f>
        <v>0</v>
      </c>
      <c r="G34" s="214" t="str">
        <f t="shared" si="2"/>
        <v/>
      </c>
      <c r="H34" s="215">
        <f>SUMIFS(KB[TPEMBAYARAN],KB[RELASI],PERBLNR!$E$5,KB[TANGGAL],PERBLNR!B34,KB[TYPE],"A")</f>
        <v>0</v>
      </c>
      <c r="I34" s="206"/>
      <c r="J34" s="213" t="str">
        <f t="array" ref="J34">IFERROR(IF($B$7&lt;&gt;"KELAPA BULAT","",TEXT(VLOOKUP($E$5,IF(KB[NK]=VLOOKUP($E$5,IF(KB[TANGGAL]=B34,KB[[RELASI]:[TANGGAL]],""),2,0),IF(KB[TYPE]="B",KB[[RELASI]:[TYPE]],""),""),4,0),"000")),"")</f>
        <v/>
      </c>
      <c r="K34" s="214">
        <f>SUMIFS(KB[NETTO],KB[RELASI],PERBLNR!$E$5,KB[TANGGAL],PERBLNR!B34,KB[TYPE],"B")</f>
        <v>0</v>
      </c>
      <c r="L34" s="214">
        <f>SUMIFS(KB[NETTO2],KB[RELASI],PERBLNR!$E$5,KB[TANGGAL],PERBLNR!B34,KB[TYPE],"B")</f>
        <v>0</v>
      </c>
      <c r="M34" s="214" t="str">
        <f t="shared" si="1"/>
        <v/>
      </c>
      <c r="N34" s="214">
        <f>SUMIFS(KB[TPEMBAYARAN],KB[RELASI],PERBLNR!$E$5,KB[TANGGAL],PERBLNR!B34,KB[TYPE],"B")</f>
        <v>0</v>
      </c>
      <c r="O34" s="173"/>
      <c r="P34" s="218" t="str">
        <f t="array" ref="P34">IFERROR(TEXT(VLOOKUP($E$5,IF($O$7="KELAPA BULAT",IF(KB[TANGGAL]=B34,KB[[RELASI]:[TANGGAL]],""),IF($O$7="KELAPA BERSABUT",IF(KBS[TANGGAL]=B34,KBS[[RELASI]:[TANGGAL]],""),IF($O$7="KOPRA",IF(KPR[TANGGAL]=B34,KPR[[RELASI]:[TANGGAL]],""),IF($O$7="ARANG",IF(ARG[TANGGAL]=B34,ARG[[RELASI]:[TANGGAL]],""))))),2,0),"0000"),"")</f>
        <v/>
      </c>
      <c r="Q34" s="213" t="str">
        <f t="array" ref="Q34">IFERROR(TEXT(VLOOKUP($E$5,IF($O$7="KELAPA BULAT",IF(KB[TANGGAL]=B34,KB[[RELASI]:[TANGGAL]],""),IF($O$7="KELAPA BERSABUT",IF(KBS[TANGGAL]=B34,KBS[[RELASI]:[TANGGAL]],""),IF($O$7="KOPRA",IF(KPR[TANGGAL]=B34,KPR[[RELASI]:[TANGGAL]],""),IF($O$7="ARANG",IF(ARG[TANGGAL]=B34,ARG[[RELASI]:[TANGGAL]],""))))),4,0),"000"),"")</f>
        <v/>
      </c>
      <c r="R34" s="214">
        <f>SUMIFS(KPR[NETTO],KPR[RELASI],PERBLNR!$E$5,KPR[TANGGAL],PERBLNR!B34)</f>
        <v>0</v>
      </c>
      <c r="S34" s="214">
        <f>SUMIFS(KPR[NETTOB],KPR[RELASI],PERBLNR!$E$5,KPR[TANGGAL],PERBLNR!B34)</f>
        <v>0</v>
      </c>
      <c r="T34" s="214" t="str">
        <f t="shared" si="3"/>
        <v/>
      </c>
      <c r="U34" s="217">
        <f>SUMIFS(KPR[TPEMBAYARAN],KPR[RELASI],PERBLNR!$E$5,KPR[TANGGAL],PERBLNR!B34)</f>
        <v>0</v>
      </c>
      <c r="V34" s="173"/>
      <c r="W34" s="218" t="str">
        <f t="array" ref="W34">IFERROR(TEXT(VLOOKUP($E$5,IF($V$7="KELAPA BULAT",IF(KB[TANGGAL]=B34,KB[[RELASI]:[TANGGAL]],""),IF($V$7="KELAPA BERSABUT",IF(KBS[TANGGAL]=B34,KBS[[RELASI]:[TANGGAL]],""),IF($V$7="KOPRA",IF(KPR[TANGGAL]=B34,KPR[[RELASI]:[TANGGAL]],""),IF($V$7="ARANG",IF(ARG[TANGGAL]=B34,ARG[[RELASI]:[TANGGAL]],""))))),2,0),"0000"),"")</f>
        <v/>
      </c>
      <c r="X34" s="213" t="str">
        <f t="array" ref="X34">IFERROR(TEXT(VLOOKUP($E$5,IF($V$7="KELAPA BULAT",IF(KB[TANGGAL]=B34,KB[[RELASI]:[TANGGAL]],""),IF($V$7="KELAPA BERSABUT",IF(KBS[TANGGAL]=B34,KBS[[RELASI]:[TANGGAL]],""),IF($V$7="KOPRA",IF(KPR[TANGGAL]=B34,KPR[[RELASI]:[TANGGAL]],""),IF($V$7="ARANG",IF(ARG[TANGGAL]=B34,ARG[[RELASI]:[TANGGAL]],""))))),4,0),"000"),"")</f>
        <v/>
      </c>
      <c r="Y34" s="214">
        <f>SUMIFS(KBS[NETTO2],KBS[RELASI],PERBLNR!$E$5,KBS[TANGGAL],PERBLNR!B34)</f>
        <v>0</v>
      </c>
      <c r="Z34" s="214">
        <f>SUMIFS(KBS[NETTO2],KBS[RELASI],PERBLNR!$E$5,KBS[TANGGAL],PERBLNR!B34)</f>
        <v>0</v>
      </c>
      <c r="AA34" s="214" t="str">
        <f t="shared" si="4"/>
        <v/>
      </c>
      <c r="AB34" s="217">
        <f>SUMIFS(KBS[TPEMBAYARAN],KBS[RELASI],PERBLNR!$E$5,KBS[TANGGAL],PERBLNR!B34)</f>
        <v>0</v>
      </c>
      <c r="AC34" s="173"/>
      <c r="AD34" s="218" t="str">
        <f t="array" ref="AD34">IFERROR(TEXT(VLOOKUP($E$5,IF($B$7="KELAPA BULAT",IF(KB[TANGGAL]=AC34,KB[[RELASI]:[TANGGAL]],""),IF($B$7="KELAPA BERSABUT",IF(KBS[TANGGAL]=AC34,KBS[[RELASI]:[TANGGAL]],""),IF($B$7="KOPRA",IF(KPR[TANGGAL]=AC34,KPR[[RELASI]:[TANGGAL]],""),IF($B$7="ARANG",IF(ARG[TANGGAL]=AC34,ARG[[RELASI]:[TANGGAL]],""))))),2,0),"0000"),"")</f>
        <v/>
      </c>
      <c r="AE34" s="213" t="str">
        <f t="array" ref="AE34">IFERROR(IF($B$7&lt;&gt;"KELAPA BULAT","",TEXT(VLOOKUP($E$5,IF(KB[NK]=VLOOKUP($E$5,IF(KB[TANGGAL]=V34,KB[[RELASI]:[TANGGAL]],""),2,0),IF(KB[TYPE]="B",KB[[RELASI]:[TYPE]],""),""),4,0),"000")),"")</f>
        <v/>
      </c>
      <c r="AF34" s="214">
        <f>SUMIFS(ARG[NETTO1],ARG[RELASI],PERBLNR!$E$5,ARG[TANGGAL],PERBLNR!B34)</f>
        <v>0</v>
      </c>
      <c r="AG34" s="214">
        <f>SUMIFS(ARG[NETTO3],ARG[RELASI],PERBLNR!$E$5,ARG[TANGGAL],PERBLNR!B34)</f>
        <v>0</v>
      </c>
      <c r="AH34" s="214" t="str">
        <f t="shared" si="5"/>
        <v/>
      </c>
      <c r="AI34" s="217">
        <f>SUMIFS(ARG[TPEMBAYARAN],ARG[RELASI],PERBLNR!$E$5,ARG[TANGGAL],PERBLNR!B34)</f>
        <v>0</v>
      </c>
      <c r="AK34" s="217">
        <f t="shared" si="6"/>
        <v>0</v>
      </c>
    </row>
    <row r="35" spans="2:37">
      <c r="B35" s="211">
        <f t="shared" si="0"/>
        <v>43916</v>
      </c>
      <c r="C35" s="212" t="str">
        <f t="array" ref="C35">IFERROR(TEXT(VLOOKUP($E$5,IF($B$7="KELAPA BULAT",IF(KB[TANGGAL]=B35,KB[[RELASI]:[TANGGAL]],""),IF($B$7="KELAPA BERSABUT",IF(KBS[TANGGAL]=B35,KBS[[RELASI]:[TANGGAL]],""),IF($B$7="KOPRA",IF(KPR[TANGGAL]=B35,KPR[[RELASI]:[TANGGAL]],""),IF($B$7="ARANG",IF(ARG[TANGGAL]=B35,ARG[[RELASI]:[TANGGAL]],""))))),2,0),"0000"),"")</f>
        <v>0051</v>
      </c>
      <c r="D35" s="213" t="str">
        <f t="array" ref="D35">IFERROR(TEXT(VLOOKUP($E$5,IF($B$7="KELAPA BULAT",IF(KB[TANGGAL]=B35,KB[[RELASI]:[TANGGAL]],""),IF($B$7="KELAPA BERSABUT",IF(KBS[TANGGAL]=B35,KBS[[RELASI]:[TANGGAL]],""),IF($B$7="KOPRA",IF(KPR[TANGGAL]=B35,KPR[[RELASI]:[TANGGAL]],""),IF($B$7="ARANG",IF(ARG[TANGGAL]=B35,ARG[[RELASI]:[TANGGAL]],""))))),4,0),"000"),"")</f>
        <v>051</v>
      </c>
      <c r="E35" s="214">
        <f>SUMIFS(KB[NETTO],KB[RELASI],PERBLNR!$E$5,KB[TANGGAL],PERBLNR!B35,KB[TYPE],"A")</f>
        <v>2480</v>
      </c>
      <c r="F35" s="214">
        <f>SUMIFS(KB[NETTO2],KB[RELASI],PERBLNR!$E$5,KB[TANGGAL],PERBLNR!B35,KB[TYPE],"A")</f>
        <v>2356</v>
      </c>
      <c r="G35" s="214">
        <f t="shared" si="2"/>
        <v>2799.9995755517825</v>
      </c>
      <c r="H35" s="215">
        <f>SUMIFS(KB[TPEMBAYARAN],KB[RELASI],PERBLNR!$E$5,KB[TANGGAL],PERBLNR!B35,KB[TYPE],"A")</f>
        <v>6596799</v>
      </c>
      <c r="I35" s="206"/>
      <c r="J35" s="213" t="str">
        <f t="array" ref="J35">IFERROR(IF($B$7&lt;&gt;"KELAPA BULAT","",TEXT(VLOOKUP($E$5,IF(KB[NK]=VLOOKUP($E$5,IF(KB[TANGGAL]=B35,KB[[RELASI]:[TANGGAL]],""),2,0),IF(KB[TYPE]="B",KB[[RELASI]:[TYPE]],""),""),4,0),"000")),"")</f>
        <v/>
      </c>
      <c r="K35" s="214">
        <f>SUMIFS(KB[NETTO],KB[RELASI],PERBLNR!$E$5,KB[TANGGAL],PERBLNR!B35,KB[TYPE],"B")</f>
        <v>0</v>
      </c>
      <c r="L35" s="214">
        <f>SUMIFS(KB[NETTO2],KB[RELASI],PERBLNR!$E$5,KB[TANGGAL],PERBLNR!B35,KB[TYPE],"B")</f>
        <v>0</v>
      </c>
      <c r="M35" s="214" t="str">
        <f t="shared" si="1"/>
        <v/>
      </c>
      <c r="N35" s="214">
        <f>SUMIFS(KB[TPEMBAYARAN],KB[RELASI],PERBLNR!$E$5,KB[TANGGAL],PERBLNR!B35,KB[TYPE],"B")</f>
        <v>0</v>
      </c>
      <c r="O35" s="173"/>
      <c r="P35" s="218" t="str">
        <f t="array" ref="P35">IFERROR(TEXT(VLOOKUP($E$5,IF($O$7="KELAPA BULAT",IF(KB[TANGGAL]=B35,KB[[RELASI]:[TANGGAL]],""),IF($O$7="KELAPA BERSABUT",IF(KBS[TANGGAL]=B35,KBS[[RELASI]:[TANGGAL]],""),IF($O$7="KOPRA",IF(KPR[TANGGAL]=B35,KPR[[RELASI]:[TANGGAL]],""),IF($O$7="ARANG",IF(ARG[TANGGAL]=B35,ARG[[RELASI]:[TANGGAL]],""))))),2,0),"0000"),"")</f>
        <v/>
      </c>
      <c r="Q35" s="213" t="str">
        <f t="array" ref="Q35">IFERROR(TEXT(VLOOKUP($E$5,IF($O$7="KELAPA BULAT",IF(KB[TANGGAL]=B35,KB[[RELASI]:[TANGGAL]],""),IF($O$7="KELAPA BERSABUT",IF(KBS[TANGGAL]=B35,KBS[[RELASI]:[TANGGAL]],""),IF($O$7="KOPRA",IF(KPR[TANGGAL]=B35,KPR[[RELASI]:[TANGGAL]],""),IF($O$7="ARANG",IF(ARG[TANGGAL]=B35,ARG[[RELASI]:[TANGGAL]],""))))),4,0),"000"),"")</f>
        <v/>
      </c>
      <c r="R35" s="214">
        <f>SUMIFS(KPR[NETTO],KPR[RELASI],PERBLNR!$E$5,KPR[TANGGAL],PERBLNR!B35)</f>
        <v>0</v>
      </c>
      <c r="S35" s="214">
        <f>SUMIFS(KPR[NETTOB],KPR[RELASI],PERBLNR!$E$5,KPR[TANGGAL],PERBLNR!B35)</f>
        <v>0</v>
      </c>
      <c r="T35" s="214" t="str">
        <f t="shared" si="3"/>
        <v/>
      </c>
      <c r="U35" s="217">
        <f>SUMIFS(KPR[TPEMBAYARAN],KPR[RELASI],PERBLNR!$E$5,KPR[TANGGAL],PERBLNR!B35)</f>
        <v>0</v>
      </c>
      <c r="V35" s="173"/>
      <c r="W35" s="218" t="str">
        <f t="array" ref="W35">IFERROR(TEXT(VLOOKUP($E$5,IF($V$7="KELAPA BULAT",IF(KB[TANGGAL]=B35,KB[[RELASI]:[TANGGAL]],""),IF($V$7="KELAPA BERSABUT",IF(KBS[TANGGAL]=B35,KBS[[RELASI]:[TANGGAL]],""),IF($V$7="KOPRA",IF(KPR[TANGGAL]=B35,KPR[[RELASI]:[TANGGAL]],""),IF($V$7="ARANG",IF(ARG[TANGGAL]=B35,ARG[[RELASI]:[TANGGAL]],""))))),2,0),"0000"),"")</f>
        <v/>
      </c>
      <c r="X35" s="213" t="str">
        <f t="array" ref="X35">IFERROR(TEXT(VLOOKUP($E$5,IF($V$7="KELAPA BULAT",IF(KB[TANGGAL]=B35,KB[[RELASI]:[TANGGAL]],""),IF($V$7="KELAPA BERSABUT",IF(KBS[TANGGAL]=B35,KBS[[RELASI]:[TANGGAL]],""),IF($V$7="KOPRA",IF(KPR[TANGGAL]=B35,KPR[[RELASI]:[TANGGAL]],""),IF($V$7="ARANG",IF(ARG[TANGGAL]=B35,ARG[[RELASI]:[TANGGAL]],""))))),4,0),"000"),"")</f>
        <v/>
      </c>
      <c r="Y35" s="214">
        <f>SUMIFS(KBS[NETTO2],KBS[RELASI],PERBLNR!$E$5,KBS[TANGGAL],PERBLNR!B35)</f>
        <v>0</v>
      </c>
      <c r="Z35" s="214">
        <f>SUMIFS(KBS[NETTO2],KBS[RELASI],PERBLNR!$E$5,KBS[TANGGAL],PERBLNR!B35)</f>
        <v>0</v>
      </c>
      <c r="AA35" s="214" t="str">
        <f t="shared" si="4"/>
        <v/>
      </c>
      <c r="AB35" s="217">
        <f>SUMIFS(KBS[TPEMBAYARAN],KBS[RELASI],PERBLNR!$E$5,KBS[TANGGAL],PERBLNR!B35)</f>
        <v>0</v>
      </c>
      <c r="AC35" s="173"/>
      <c r="AD35" s="218" t="str">
        <f t="array" ref="AD35">IFERROR(TEXT(VLOOKUP($E$5,IF($B$7="KELAPA BULAT",IF(KB[TANGGAL]=AC35,KB[[RELASI]:[TANGGAL]],""),IF($B$7="KELAPA BERSABUT",IF(KBS[TANGGAL]=AC35,KBS[[RELASI]:[TANGGAL]],""),IF($B$7="KOPRA",IF(KPR[TANGGAL]=AC35,KPR[[RELASI]:[TANGGAL]],""),IF($B$7="ARANG",IF(ARG[TANGGAL]=AC35,ARG[[RELASI]:[TANGGAL]],""))))),2,0),"0000"),"")</f>
        <v/>
      </c>
      <c r="AE35" s="213" t="str">
        <f t="array" ref="AE35">IFERROR(IF($B$7&lt;&gt;"KELAPA BULAT","",TEXT(VLOOKUP($E$5,IF(KB[NK]=VLOOKUP($E$5,IF(KB[TANGGAL]=V35,KB[[RELASI]:[TANGGAL]],""),2,0),IF(KB[TYPE]="B",KB[[RELASI]:[TYPE]],""),""),4,0),"000")),"")</f>
        <v/>
      </c>
      <c r="AF35" s="214">
        <f>SUMIFS(ARG[NETTO1],ARG[RELASI],PERBLNR!$E$5,ARG[TANGGAL],PERBLNR!B35)</f>
        <v>0</v>
      </c>
      <c r="AG35" s="214">
        <f>SUMIFS(ARG[NETTO3],ARG[RELASI],PERBLNR!$E$5,ARG[TANGGAL],PERBLNR!B35)</f>
        <v>0</v>
      </c>
      <c r="AH35" s="214" t="str">
        <f t="shared" si="5"/>
        <v/>
      </c>
      <c r="AI35" s="217">
        <f>SUMIFS(ARG[TPEMBAYARAN],ARG[RELASI],PERBLNR!$E$5,ARG[TANGGAL],PERBLNR!B35)</f>
        <v>0</v>
      </c>
      <c r="AK35" s="217">
        <f t="shared" si="6"/>
        <v>6596799</v>
      </c>
    </row>
    <row r="36" spans="2:37">
      <c r="B36" s="211">
        <f t="shared" si="0"/>
        <v>43917</v>
      </c>
      <c r="C36" s="212" t="str">
        <f t="array" ref="C36">IFERROR(TEXT(VLOOKUP($E$5,IF($B$7="KELAPA BULAT",IF(KB[TANGGAL]=B36,KB[[RELASI]:[TANGGAL]],""),IF($B$7="KELAPA BERSABUT",IF(KBS[TANGGAL]=B36,KBS[[RELASI]:[TANGGAL]],""),IF($B$7="KOPRA",IF(KPR[TANGGAL]=B36,KPR[[RELASI]:[TANGGAL]],""),IF($B$7="ARANG",IF(ARG[TANGGAL]=B36,ARG[[RELASI]:[TANGGAL]],""))))),2,0),"0000"),"")</f>
        <v>0052</v>
      </c>
      <c r="D36" s="213" t="str">
        <f t="array" ref="D36">IFERROR(TEXT(VLOOKUP($E$5,IF($B$7="KELAPA BULAT",IF(KB[TANGGAL]=B36,KB[[RELASI]:[TANGGAL]],""),IF($B$7="KELAPA BERSABUT",IF(KBS[TANGGAL]=B36,KBS[[RELASI]:[TANGGAL]],""),IF($B$7="KOPRA",IF(KPR[TANGGAL]=B36,KPR[[RELASI]:[TANGGAL]],""),IF($B$7="ARANG",IF(ARG[TANGGAL]=B36,ARG[[RELASI]:[TANGGAL]],""))))),4,0),"000"),"")</f>
        <v>052</v>
      </c>
      <c r="E36" s="214">
        <f>SUMIFS(KB[NETTO],KB[RELASI],PERBLNR!$E$5,KB[TANGGAL],PERBLNR!B36,KB[TYPE],"A")</f>
        <v>10550</v>
      </c>
      <c r="F36" s="214">
        <f>SUMIFS(KB[NETTO2],KB[RELASI],PERBLNR!$E$5,KB[TANGGAL],PERBLNR!B36,KB[TYPE],"A")</f>
        <v>10022.5</v>
      </c>
      <c r="G36" s="214">
        <f t="shared" si="2"/>
        <v>2799.9996008979797</v>
      </c>
      <c r="H36" s="215">
        <f>SUMIFS(KB[TPEMBAYARAN],KB[RELASI],PERBLNR!$E$5,KB[TANGGAL],PERBLNR!B36,KB[TYPE],"A")</f>
        <v>28062996</v>
      </c>
      <c r="I36" s="206"/>
      <c r="J36" s="213" t="str">
        <f t="array" ref="J36">IFERROR(IF($B$7&lt;&gt;"KELAPA BULAT","",TEXT(VLOOKUP($E$5,IF(KB[NK]=VLOOKUP($E$5,IF(KB[TANGGAL]=B36,KB[[RELASI]:[TANGGAL]],""),2,0),IF(KB[TYPE]="B",KB[[RELASI]:[TYPE]],""),""),4,0),"000")),"")</f>
        <v/>
      </c>
      <c r="K36" s="214">
        <f>SUMIFS(KB[NETTO],KB[RELASI],PERBLNR!$E$5,KB[TANGGAL],PERBLNR!B36,KB[TYPE],"B")</f>
        <v>0</v>
      </c>
      <c r="L36" s="214">
        <f>SUMIFS(KB[NETTO2],KB[RELASI],PERBLNR!$E$5,KB[TANGGAL],PERBLNR!B36,KB[TYPE],"B")</f>
        <v>0</v>
      </c>
      <c r="M36" s="214" t="str">
        <f t="shared" si="1"/>
        <v/>
      </c>
      <c r="N36" s="214">
        <f>SUMIFS(KB[TPEMBAYARAN],KB[RELASI],PERBLNR!$E$5,KB[TANGGAL],PERBLNR!B36,KB[TYPE],"B")</f>
        <v>0</v>
      </c>
      <c r="O36" s="173"/>
      <c r="P36" s="218" t="str">
        <f t="array" ref="P36">IFERROR(TEXT(VLOOKUP($E$5,IF($O$7="KELAPA BULAT",IF(KB[TANGGAL]=B36,KB[[RELASI]:[TANGGAL]],""),IF($O$7="KELAPA BERSABUT",IF(KBS[TANGGAL]=B36,KBS[[RELASI]:[TANGGAL]],""),IF($O$7="KOPRA",IF(KPR[TANGGAL]=B36,KPR[[RELASI]:[TANGGAL]],""),IF($O$7="ARANG",IF(ARG[TANGGAL]=B36,ARG[[RELASI]:[TANGGAL]],""))))),2,0),"0000"),"")</f>
        <v/>
      </c>
      <c r="Q36" s="213" t="str">
        <f t="array" ref="Q36">IFERROR(TEXT(VLOOKUP($E$5,IF($O$7="KELAPA BULAT",IF(KB[TANGGAL]=B36,KB[[RELASI]:[TANGGAL]],""),IF($O$7="KELAPA BERSABUT",IF(KBS[TANGGAL]=B36,KBS[[RELASI]:[TANGGAL]],""),IF($O$7="KOPRA",IF(KPR[TANGGAL]=B36,KPR[[RELASI]:[TANGGAL]],""),IF($O$7="ARANG",IF(ARG[TANGGAL]=B36,ARG[[RELASI]:[TANGGAL]],""))))),4,0),"000"),"")</f>
        <v/>
      </c>
      <c r="R36" s="214">
        <f>SUMIFS(KPR[NETTO],KPR[RELASI],PERBLNR!$E$5,KPR[TANGGAL],PERBLNR!B36)</f>
        <v>0</v>
      </c>
      <c r="S36" s="214">
        <f>SUMIFS(KPR[NETTOB],KPR[RELASI],PERBLNR!$E$5,KPR[TANGGAL],PERBLNR!B36)</f>
        <v>0</v>
      </c>
      <c r="T36" s="214" t="str">
        <f t="shared" si="3"/>
        <v/>
      </c>
      <c r="U36" s="217">
        <f>SUMIFS(KPR[TPEMBAYARAN],KPR[RELASI],PERBLNR!$E$5,KPR[TANGGAL],PERBLNR!B36)</f>
        <v>0</v>
      </c>
      <c r="V36" s="173"/>
      <c r="W36" s="218" t="str">
        <f t="array" ref="W36">IFERROR(TEXT(VLOOKUP($E$5,IF($V$7="KELAPA BULAT",IF(KB[TANGGAL]=B36,KB[[RELASI]:[TANGGAL]],""),IF($V$7="KELAPA BERSABUT",IF(KBS[TANGGAL]=B36,KBS[[RELASI]:[TANGGAL]],""),IF($V$7="KOPRA",IF(KPR[TANGGAL]=B36,KPR[[RELASI]:[TANGGAL]],""),IF($V$7="ARANG",IF(ARG[TANGGAL]=B36,ARG[[RELASI]:[TANGGAL]],""))))),2,0),"0000"),"")</f>
        <v/>
      </c>
      <c r="X36" s="213" t="str">
        <f t="array" ref="X36">IFERROR(TEXT(VLOOKUP($E$5,IF($V$7="KELAPA BULAT",IF(KB[TANGGAL]=B36,KB[[RELASI]:[TANGGAL]],""),IF($V$7="KELAPA BERSABUT",IF(KBS[TANGGAL]=B36,KBS[[RELASI]:[TANGGAL]],""),IF($V$7="KOPRA",IF(KPR[TANGGAL]=B36,KPR[[RELASI]:[TANGGAL]],""),IF($V$7="ARANG",IF(ARG[TANGGAL]=B36,ARG[[RELASI]:[TANGGAL]],""))))),4,0),"000"),"")</f>
        <v/>
      </c>
      <c r="Y36" s="214">
        <f>SUMIFS(KBS[NETTO2],KBS[RELASI],PERBLNR!$E$5,KBS[TANGGAL],PERBLNR!B36)</f>
        <v>0</v>
      </c>
      <c r="Z36" s="214">
        <f>SUMIFS(KBS[NETTO2],KBS[RELASI],PERBLNR!$E$5,KBS[TANGGAL],PERBLNR!B36)</f>
        <v>0</v>
      </c>
      <c r="AA36" s="214" t="str">
        <f t="shared" si="4"/>
        <v/>
      </c>
      <c r="AB36" s="217">
        <f>SUMIFS(KBS[TPEMBAYARAN],KBS[RELASI],PERBLNR!$E$5,KBS[TANGGAL],PERBLNR!B36)</f>
        <v>0</v>
      </c>
      <c r="AC36" s="173"/>
      <c r="AD36" s="218" t="str">
        <f t="array" ref="AD36">IFERROR(TEXT(VLOOKUP($E$5,IF($B$7="KELAPA BULAT",IF(KB[TANGGAL]=AC36,KB[[RELASI]:[TANGGAL]],""),IF($B$7="KELAPA BERSABUT",IF(KBS[TANGGAL]=AC36,KBS[[RELASI]:[TANGGAL]],""),IF($B$7="KOPRA",IF(KPR[TANGGAL]=AC36,KPR[[RELASI]:[TANGGAL]],""),IF($B$7="ARANG",IF(ARG[TANGGAL]=AC36,ARG[[RELASI]:[TANGGAL]],""))))),2,0),"0000"),"")</f>
        <v/>
      </c>
      <c r="AE36" s="213" t="str">
        <f t="array" ref="AE36">IFERROR(IF($B$7&lt;&gt;"KELAPA BULAT","",TEXT(VLOOKUP($E$5,IF(KB[NK]=VLOOKUP($E$5,IF(KB[TANGGAL]=V36,KB[[RELASI]:[TANGGAL]],""),2,0),IF(KB[TYPE]="B",KB[[RELASI]:[TYPE]],""),""),4,0),"000")),"")</f>
        <v/>
      </c>
      <c r="AF36" s="214">
        <f>SUMIFS(ARG[NETTO1],ARG[RELASI],PERBLNR!$E$5,ARG[TANGGAL],PERBLNR!B36)</f>
        <v>0</v>
      </c>
      <c r="AG36" s="214">
        <f>SUMIFS(ARG[NETTO3],ARG[RELASI],PERBLNR!$E$5,ARG[TANGGAL],PERBLNR!B36)</f>
        <v>0</v>
      </c>
      <c r="AH36" s="214" t="str">
        <f t="shared" si="5"/>
        <v/>
      </c>
      <c r="AI36" s="217">
        <f>SUMIFS(ARG[TPEMBAYARAN],ARG[RELASI],PERBLNR!$E$5,ARG[TANGGAL],PERBLNR!B36)</f>
        <v>0</v>
      </c>
      <c r="AK36" s="217">
        <f t="shared" si="6"/>
        <v>28062996</v>
      </c>
    </row>
    <row r="37" spans="2:37">
      <c r="B37" s="211">
        <f t="shared" si="0"/>
        <v>43918</v>
      </c>
      <c r="C37" s="212" t="str">
        <f t="array" ref="C37">IFERROR(TEXT(VLOOKUP($E$5,IF($B$7="KELAPA BULAT",IF(KB[TANGGAL]=B37,KB[[RELASI]:[TANGGAL]],""),IF($B$7="KELAPA BERSABUT",IF(KBS[TANGGAL]=B37,KBS[[RELASI]:[TANGGAL]],""),IF($B$7="KOPRA",IF(KPR[TANGGAL]=B37,KPR[[RELASI]:[TANGGAL]],""),IF($B$7="ARANG",IF(ARG[TANGGAL]=B37,ARG[[RELASI]:[TANGGAL]],""))))),2,0),"0000"),"")</f>
        <v>0053</v>
      </c>
      <c r="D37" s="213" t="str">
        <f t="array" ref="D37">IFERROR(TEXT(VLOOKUP($E$5,IF($B$7="KELAPA BULAT",IF(KB[TANGGAL]=B37,KB[[RELASI]:[TANGGAL]],""),IF($B$7="KELAPA BERSABUT",IF(KBS[TANGGAL]=B37,KBS[[RELASI]:[TANGGAL]],""),IF($B$7="KOPRA",IF(KPR[TANGGAL]=B37,KPR[[RELASI]:[TANGGAL]],""),IF($B$7="ARANG",IF(ARG[TANGGAL]=B37,ARG[[RELASI]:[TANGGAL]],""))))),4,0),"000"),"")</f>
        <v>053</v>
      </c>
      <c r="E37" s="214">
        <f>SUMIFS(KB[NETTO],KB[RELASI],PERBLNR!$E$5,KB[TANGGAL],PERBLNR!B37,KB[TYPE],"A")</f>
        <v>23510</v>
      </c>
      <c r="F37" s="214">
        <f>SUMIFS(KB[NETTO2],KB[RELASI],PERBLNR!$E$5,KB[TANGGAL],PERBLNR!B37,KB[TYPE],"A")</f>
        <v>22334.5</v>
      </c>
      <c r="G37" s="214">
        <f t="shared" si="2"/>
        <v>2799.9996865835365</v>
      </c>
      <c r="H37" s="215">
        <f>SUMIFS(KB[TPEMBAYARAN],KB[RELASI],PERBLNR!$E$5,KB[TANGGAL],PERBLNR!B37,KB[TYPE],"A")</f>
        <v>62536593</v>
      </c>
      <c r="I37" s="206"/>
      <c r="J37" s="213" t="str">
        <f t="array" ref="J37">IFERROR(IF($B$7&lt;&gt;"KELAPA BULAT","",TEXT(VLOOKUP($E$5,IF(KB[NK]=VLOOKUP($E$5,IF(KB[TANGGAL]=B37,KB[[RELASI]:[TANGGAL]],""),2,0),IF(KB[TYPE]="B",KB[[RELASI]:[TYPE]],""),""),4,0),"000")),"")</f>
        <v/>
      </c>
      <c r="K37" s="214">
        <f>SUMIFS(KB[NETTO],KB[RELASI],PERBLNR!$E$5,KB[TANGGAL],PERBLNR!B37,KB[TYPE],"B")</f>
        <v>0</v>
      </c>
      <c r="L37" s="214">
        <f>SUMIFS(KB[NETTO2],KB[RELASI],PERBLNR!$E$5,KB[TANGGAL],PERBLNR!B37,KB[TYPE],"B")</f>
        <v>0</v>
      </c>
      <c r="M37" s="214" t="str">
        <f t="shared" si="1"/>
        <v/>
      </c>
      <c r="N37" s="214">
        <f>SUMIFS(KB[TPEMBAYARAN],KB[RELASI],PERBLNR!$E$5,KB[TANGGAL],PERBLNR!B37,KB[TYPE],"B")</f>
        <v>0</v>
      </c>
      <c r="O37" s="173"/>
      <c r="P37" s="218" t="str">
        <f t="array" ref="P37">IFERROR(TEXT(VLOOKUP($E$5,IF($O$7="KELAPA BULAT",IF(KB[TANGGAL]=B37,KB[[RELASI]:[TANGGAL]],""),IF($O$7="KELAPA BERSABUT",IF(KBS[TANGGAL]=B37,KBS[[RELASI]:[TANGGAL]],""),IF($O$7="KOPRA",IF(KPR[TANGGAL]=B37,KPR[[RELASI]:[TANGGAL]],""),IF($O$7="ARANG",IF(ARG[TANGGAL]=B37,ARG[[RELASI]:[TANGGAL]],""))))),2,0),"0000"),"")</f>
        <v/>
      </c>
      <c r="Q37" s="213" t="str">
        <f t="array" ref="Q37">IFERROR(TEXT(VLOOKUP($E$5,IF($O$7="KELAPA BULAT",IF(KB[TANGGAL]=B37,KB[[RELASI]:[TANGGAL]],""),IF($O$7="KELAPA BERSABUT",IF(KBS[TANGGAL]=B37,KBS[[RELASI]:[TANGGAL]],""),IF($O$7="KOPRA",IF(KPR[TANGGAL]=B37,KPR[[RELASI]:[TANGGAL]],""),IF($O$7="ARANG",IF(ARG[TANGGAL]=B37,ARG[[RELASI]:[TANGGAL]],""))))),4,0),"000"),"")</f>
        <v/>
      </c>
      <c r="R37" s="214">
        <f>SUMIFS(KPR[NETTO],KPR[RELASI],PERBLNR!$E$5,KPR[TANGGAL],PERBLNR!B37)</f>
        <v>0</v>
      </c>
      <c r="S37" s="214">
        <f>SUMIFS(KPR[NETTOB],KPR[RELASI],PERBLNR!$E$5,KPR[TANGGAL],PERBLNR!B37)</f>
        <v>0</v>
      </c>
      <c r="T37" s="214" t="str">
        <f t="shared" si="3"/>
        <v/>
      </c>
      <c r="U37" s="217">
        <f>SUMIFS(KPR[TPEMBAYARAN],KPR[RELASI],PERBLNR!$E$5,KPR[TANGGAL],PERBLNR!B37)</f>
        <v>0</v>
      </c>
      <c r="V37" s="173"/>
      <c r="W37" s="218" t="str">
        <f t="array" ref="W37">IFERROR(TEXT(VLOOKUP($E$5,IF($V$7="KELAPA BULAT",IF(KB[TANGGAL]=B37,KB[[RELASI]:[TANGGAL]],""),IF($V$7="KELAPA BERSABUT",IF(KBS[TANGGAL]=B37,KBS[[RELASI]:[TANGGAL]],""),IF($V$7="KOPRA",IF(KPR[TANGGAL]=B37,KPR[[RELASI]:[TANGGAL]],""),IF($V$7="ARANG",IF(ARG[TANGGAL]=B37,ARG[[RELASI]:[TANGGAL]],""))))),2,0),"0000"),"")</f>
        <v/>
      </c>
      <c r="X37" s="213" t="str">
        <f t="array" ref="X37">IFERROR(TEXT(VLOOKUP($E$5,IF($V$7="KELAPA BULAT",IF(KB[TANGGAL]=B37,KB[[RELASI]:[TANGGAL]],""),IF($V$7="KELAPA BERSABUT",IF(KBS[TANGGAL]=B37,KBS[[RELASI]:[TANGGAL]],""),IF($V$7="KOPRA",IF(KPR[TANGGAL]=B37,KPR[[RELASI]:[TANGGAL]],""),IF($V$7="ARANG",IF(ARG[TANGGAL]=B37,ARG[[RELASI]:[TANGGAL]],""))))),4,0),"000"),"")</f>
        <v/>
      </c>
      <c r="Y37" s="214">
        <f>SUMIFS(KBS[NETTO2],KBS[RELASI],PERBLNR!$E$5,KBS[TANGGAL],PERBLNR!B37)</f>
        <v>0</v>
      </c>
      <c r="Z37" s="214">
        <f>SUMIFS(KBS[NETTO2],KBS[RELASI],PERBLNR!$E$5,KBS[TANGGAL],PERBLNR!B37)</f>
        <v>0</v>
      </c>
      <c r="AA37" s="214" t="str">
        <f t="shared" si="4"/>
        <v/>
      </c>
      <c r="AB37" s="217">
        <f>SUMIFS(KBS[TPEMBAYARAN],KBS[RELASI],PERBLNR!$E$5,KBS[TANGGAL],PERBLNR!B37)</f>
        <v>0</v>
      </c>
      <c r="AC37" s="173"/>
      <c r="AD37" s="218" t="str">
        <f t="array" ref="AD37">IFERROR(TEXT(VLOOKUP($E$5,IF($B$7="KELAPA BULAT",IF(KB[TANGGAL]=AC37,KB[[RELASI]:[TANGGAL]],""),IF($B$7="KELAPA BERSABUT",IF(KBS[TANGGAL]=AC37,KBS[[RELASI]:[TANGGAL]],""),IF($B$7="KOPRA",IF(KPR[TANGGAL]=AC37,KPR[[RELASI]:[TANGGAL]],""),IF($B$7="ARANG",IF(ARG[TANGGAL]=AC37,ARG[[RELASI]:[TANGGAL]],""))))),2,0),"0000"),"")</f>
        <v/>
      </c>
      <c r="AE37" s="213" t="str">
        <f t="array" ref="AE37">IFERROR(IF($B$7&lt;&gt;"KELAPA BULAT","",TEXT(VLOOKUP($E$5,IF(KB[NK]=VLOOKUP($E$5,IF(KB[TANGGAL]=V37,KB[[RELASI]:[TANGGAL]],""),2,0),IF(KB[TYPE]="B",KB[[RELASI]:[TYPE]],""),""),4,0),"000")),"")</f>
        <v/>
      </c>
      <c r="AF37" s="214">
        <f>SUMIFS(ARG[NETTO1],ARG[RELASI],PERBLNR!$E$5,ARG[TANGGAL],PERBLNR!B37)</f>
        <v>0</v>
      </c>
      <c r="AG37" s="214">
        <f>SUMIFS(ARG[NETTO3],ARG[RELASI],PERBLNR!$E$5,ARG[TANGGAL],PERBLNR!B37)</f>
        <v>0</v>
      </c>
      <c r="AH37" s="214" t="str">
        <f t="shared" si="5"/>
        <v/>
      </c>
      <c r="AI37" s="217">
        <f>SUMIFS(ARG[TPEMBAYARAN],ARG[RELASI],PERBLNR!$E$5,ARG[TANGGAL],PERBLNR!B37)</f>
        <v>0</v>
      </c>
      <c r="AK37" s="217">
        <f t="shared" si="6"/>
        <v>62536593</v>
      </c>
    </row>
    <row r="38" spans="2:37">
      <c r="B38" s="211">
        <f>IFERROR(IF(MONTH(DATE(YEAR(B37),MONTH(B37),DAY(B37)+1))&gt;MONTH(B10),"-",B37+1),"-")</f>
        <v>43919</v>
      </c>
      <c r="C38" s="212" t="str">
        <f t="array" ref="C38">IFERROR(TEXT(VLOOKUP($E$5,IF($B$7="KELAPA BULAT",IF(KB[TANGGAL]=B38,KB[[RELASI]:[TANGGAL]],""),IF($B$7="KELAPA BERSABUT",IF(KBS[TANGGAL]=B38,KBS[[RELASI]:[TANGGAL]],""),IF($B$7="KOPRA",IF(KPR[TANGGAL]=B38,KPR[[RELASI]:[TANGGAL]],""),IF($B$7="ARANG",IF(ARG[TANGGAL]=B38,ARG[[RELASI]:[TANGGAL]],""))))),2,0),"0000"),"")</f>
        <v/>
      </c>
      <c r="D38" s="213" t="str">
        <f t="array" ref="D38">IFERROR(TEXT(VLOOKUP($E$5,IF($B$7="KELAPA BULAT",IF(KB[TANGGAL]=B38,KB[[RELASI]:[TANGGAL]],""),IF($B$7="KELAPA BERSABUT",IF(KBS[TANGGAL]=B38,KBS[[RELASI]:[TANGGAL]],""),IF($B$7="KOPRA",IF(KPR[TANGGAL]=B38,KPR[[RELASI]:[TANGGAL]],""),IF($B$7="ARANG",IF(ARG[TANGGAL]=B38,ARG[[RELASI]:[TANGGAL]],""))))),4,0),"000"),"")</f>
        <v/>
      </c>
      <c r="E38" s="214">
        <f>SUMIFS(KB[NETTO],KB[RELASI],PERBLNR!$E$5,KB[TANGGAL],PERBLNR!B38,KB[TYPE],"A")</f>
        <v>0</v>
      </c>
      <c r="F38" s="214">
        <f>SUMIFS(KB[NETTO2],KB[RELASI],PERBLNR!$E$5,KB[TANGGAL],PERBLNR!B38,KB[TYPE],"A")</f>
        <v>0</v>
      </c>
      <c r="G38" s="214" t="str">
        <f t="shared" si="2"/>
        <v/>
      </c>
      <c r="H38" s="215">
        <f>SUMIFS(KB[TPEMBAYARAN],KB[RELASI],PERBLNR!$E$5,KB[TANGGAL],PERBLNR!B38,KB[TYPE],"A")</f>
        <v>0</v>
      </c>
      <c r="I38" s="206"/>
      <c r="J38" s="213" t="str">
        <f t="array" ref="J38">IFERROR(IF($B$7&lt;&gt;"KELAPA BULAT","",TEXT(VLOOKUP($E$5,IF(KB[NK]=VLOOKUP($E$5,IF(KB[TANGGAL]=B38,KB[[RELASI]:[TANGGAL]],""),2,0),IF(KB[TYPE]="B",KB[[RELASI]:[TYPE]],""),""),4,0),"000")),"")</f>
        <v/>
      </c>
      <c r="K38" s="214">
        <f>SUMIFS(KB[NETTO],KB[RELASI],PERBLNR!$E$5,KB[TANGGAL],PERBLNR!B38,KB[TYPE],"B")</f>
        <v>0</v>
      </c>
      <c r="L38" s="214">
        <f>SUMIFS(KB[NETTO2],KB[RELASI],PERBLNR!$E$5,KB[TANGGAL],PERBLNR!B38,KB[TYPE],"B")</f>
        <v>0</v>
      </c>
      <c r="M38" s="214" t="str">
        <f t="shared" si="1"/>
        <v/>
      </c>
      <c r="N38" s="214">
        <f>SUMIFS(KB[TPEMBAYARAN],KB[RELASI],PERBLNR!$E$5,KB[TANGGAL],PERBLNR!B38,KB[TYPE],"B")</f>
        <v>0</v>
      </c>
      <c r="O38" s="173"/>
      <c r="P38" s="218" t="str">
        <f t="array" ref="P38">IFERROR(TEXT(VLOOKUP($E$5,IF($O$7="KELAPA BULAT",IF(KB[TANGGAL]=B38,KB[[RELASI]:[TANGGAL]],""),IF($O$7="KELAPA BERSABUT",IF(KBS[TANGGAL]=B38,KBS[[RELASI]:[TANGGAL]],""),IF($O$7="KOPRA",IF(KPR[TANGGAL]=B38,KPR[[RELASI]:[TANGGAL]],""),IF($O$7="ARANG",IF(ARG[TANGGAL]=B38,ARG[[RELASI]:[TANGGAL]],""))))),2,0),"0000"),"")</f>
        <v/>
      </c>
      <c r="Q38" s="213" t="str">
        <f t="array" ref="Q38">IFERROR(TEXT(VLOOKUP($E$5,IF($O$7="KELAPA BULAT",IF(KB[TANGGAL]=B38,KB[[RELASI]:[TANGGAL]],""),IF($O$7="KELAPA BERSABUT",IF(KBS[TANGGAL]=B38,KBS[[RELASI]:[TANGGAL]],""),IF($O$7="KOPRA",IF(KPR[TANGGAL]=B38,KPR[[RELASI]:[TANGGAL]],""),IF($O$7="ARANG",IF(ARG[TANGGAL]=B38,ARG[[RELASI]:[TANGGAL]],""))))),4,0),"000"),"")</f>
        <v/>
      </c>
      <c r="R38" s="214">
        <f>SUMIFS(KPR[NETTO],KPR[RELASI],PERBLNR!$E$5,KPR[TANGGAL],PERBLNR!B38)</f>
        <v>0</v>
      </c>
      <c r="S38" s="214">
        <f>SUMIFS(KPR[NETTOB],KPR[RELASI],PERBLNR!$E$5,KPR[TANGGAL],PERBLNR!B38)</f>
        <v>0</v>
      </c>
      <c r="T38" s="214" t="str">
        <f t="shared" si="3"/>
        <v/>
      </c>
      <c r="U38" s="217">
        <f>SUMIFS(KPR[TPEMBAYARAN],KPR[RELASI],PERBLNR!$E$5,KPR[TANGGAL],PERBLNR!B38)</f>
        <v>0</v>
      </c>
      <c r="V38" s="173"/>
      <c r="W38" s="218" t="str">
        <f t="array" ref="W38">IFERROR(TEXT(VLOOKUP($E$5,IF($V$7="KELAPA BULAT",IF(KB[TANGGAL]=B38,KB[[RELASI]:[TANGGAL]],""),IF($V$7="KELAPA BERSABUT",IF(KBS[TANGGAL]=B38,KBS[[RELASI]:[TANGGAL]],""),IF($V$7="KOPRA",IF(KPR[TANGGAL]=B38,KPR[[RELASI]:[TANGGAL]],""),IF($V$7="ARANG",IF(ARG[TANGGAL]=B38,ARG[[RELASI]:[TANGGAL]],""))))),2,0),"0000"),"")</f>
        <v/>
      </c>
      <c r="X38" s="213" t="str">
        <f t="array" ref="X38">IFERROR(TEXT(VLOOKUP($E$5,IF($V$7="KELAPA BULAT",IF(KB[TANGGAL]=B38,KB[[RELASI]:[TANGGAL]],""),IF($V$7="KELAPA BERSABUT",IF(KBS[TANGGAL]=B38,KBS[[RELASI]:[TANGGAL]],""),IF($V$7="KOPRA",IF(KPR[TANGGAL]=B38,KPR[[RELASI]:[TANGGAL]],""),IF($V$7="ARANG",IF(ARG[TANGGAL]=B38,ARG[[RELASI]:[TANGGAL]],""))))),4,0),"000"),"")</f>
        <v/>
      </c>
      <c r="Y38" s="214">
        <f>SUMIFS(KBS[NETTO2],KBS[RELASI],PERBLNR!$E$5,KBS[TANGGAL],PERBLNR!B38)</f>
        <v>0</v>
      </c>
      <c r="Z38" s="214">
        <f>SUMIFS(KBS[NETTO2],KBS[RELASI],PERBLNR!$E$5,KBS[TANGGAL],PERBLNR!B38)</f>
        <v>0</v>
      </c>
      <c r="AA38" s="214" t="str">
        <f t="shared" si="4"/>
        <v/>
      </c>
      <c r="AB38" s="217">
        <f>SUMIFS(KBS[TPEMBAYARAN],KBS[RELASI],PERBLNR!$E$5,KBS[TANGGAL],PERBLNR!B38)</f>
        <v>0</v>
      </c>
      <c r="AC38" s="173"/>
      <c r="AD38" s="218" t="str">
        <f t="array" ref="AD38">IFERROR(TEXT(VLOOKUP($E$5,IF($B$7="KELAPA BULAT",IF(KB[TANGGAL]=AC38,KB[[RELASI]:[TANGGAL]],""),IF($B$7="KELAPA BERSABUT",IF(KBS[TANGGAL]=AC38,KBS[[RELASI]:[TANGGAL]],""),IF($B$7="KOPRA",IF(KPR[TANGGAL]=AC38,KPR[[RELASI]:[TANGGAL]],""),IF($B$7="ARANG",IF(ARG[TANGGAL]=AC38,ARG[[RELASI]:[TANGGAL]],""))))),2,0),"0000"),"")</f>
        <v/>
      </c>
      <c r="AE38" s="213" t="str">
        <f t="array" ref="AE38">IFERROR(IF($B$7&lt;&gt;"KELAPA BULAT","",TEXT(VLOOKUP($E$5,IF(KB[NK]=VLOOKUP($E$5,IF(KB[TANGGAL]=V38,KB[[RELASI]:[TANGGAL]],""),2,0),IF(KB[TYPE]="B",KB[[RELASI]:[TYPE]],""),""),4,0),"000")),"")</f>
        <v/>
      </c>
      <c r="AF38" s="214">
        <f>SUMIFS(ARG[NETTO1],ARG[RELASI],PERBLNR!$E$5,ARG[TANGGAL],PERBLNR!B38)</f>
        <v>0</v>
      </c>
      <c r="AG38" s="214">
        <f>SUMIFS(ARG[NETTO3],ARG[RELASI],PERBLNR!$E$5,ARG[TANGGAL],PERBLNR!B38)</f>
        <v>0</v>
      </c>
      <c r="AH38" s="214" t="str">
        <f t="shared" si="5"/>
        <v/>
      </c>
      <c r="AI38" s="217">
        <f>SUMIFS(ARG[TPEMBAYARAN],ARG[RELASI],PERBLNR!$E$5,ARG[TANGGAL],PERBLNR!B38)</f>
        <v>0</v>
      </c>
      <c r="AK38" s="217">
        <f t="shared" si="6"/>
        <v>0</v>
      </c>
    </row>
    <row r="39" spans="2:37">
      <c r="B39" s="211">
        <f t="shared" ref="B39:B40" si="7">IFERROR(IF(MONTH(DATE(YEAR(B38),MONTH(B38),DAY(B38)+1))&gt;MONTH(B11),"-",B38+1),"-")</f>
        <v>43920</v>
      </c>
      <c r="C39" s="212" t="str">
        <f t="array" ref="C39">IFERROR(TEXT(VLOOKUP($E$5,IF($B$7="KELAPA BULAT",IF(KB[TANGGAL]=B39,KB[[RELASI]:[TANGGAL]],""),IF($B$7="KELAPA BERSABUT",IF(KBS[TANGGAL]=B39,KBS[[RELASI]:[TANGGAL]],""),IF($B$7="KOPRA",IF(KPR[TANGGAL]=B39,KPR[[RELASI]:[TANGGAL]],""),IF($B$7="ARANG",IF(ARG[TANGGAL]=B39,ARG[[RELASI]:[TANGGAL]],""))))),2,0),"0000"),"")</f>
        <v>0054</v>
      </c>
      <c r="D39" s="213" t="str">
        <f t="array" ref="D39">IFERROR(TEXT(VLOOKUP($E$5,IF($B$7="KELAPA BULAT",IF(KB[TANGGAL]=B39,KB[[RELASI]:[TANGGAL]],""),IF($B$7="KELAPA BERSABUT",IF(KBS[TANGGAL]=B39,KBS[[RELASI]:[TANGGAL]],""),IF($B$7="KOPRA",IF(KPR[TANGGAL]=B39,KPR[[RELASI]:[TANGGAL]],""),IF($B$7="ARANG",IF(ARG[TANGGAL]=B39,ARG[[RELASI]:[TANGGAL]],""))))),4,0),"000"),"")</f>
        <v>054</v>
      </c>
      <c r="E39" s="214">
        <f>SUMIFS(KB[NETTO],KB[RELASI],PERBLNR!$E$5,KB[TANGGAL],PERBLNR!B39,KB[TYPE],"A")</f>
        <v>11470</v>
      </c>
      <c r="F39" s="214">
        <f>SUMIFS(KB[NETTO2],KB[RELASI],PERBLNR!$E$5,KB[TANGGAL],PERBLNR!B39,KB[TYPE],"A")</f>
        <v>10896.5</v>
      </c>
      <c r="G39" s="214">
        <f t="shared" si="2"/>
        <v>2799.9997246822372</v>
      </c>
      <c r="H39" s="215">
        <f>SUMIFS(KB[TPEMBAYARAN],KB[RELASI],PERBLNR!$E$5,KB[TANGGAL],PERBLNR!B39,KB[TYPE],"A")</f>
        <v>30510197</v>
      </c>
      <c r="I39" s="206"/>
      <c r="J39" s="213" t="str">
        <f t="array" ref="J39">IFERROR(IF($B$7&lt;&gt;"KELAPA BULAT","",TEXT(VLOOKUP($E$5,IF(KB[NK]=VLOOKUP($E$5,IF(KB[TANGGAL]=B39,KB[[RELASI]:[TANGGAL]],""),2,0),IF(KB[TYPE]="B",KB[[RELASI]:[TYPE]],""),""),4,0),"000")),"")</f>
        <v/>
      </c>
      <c r="K39" s="214">
        <f>SUMIFS(KB[NETTO],KB[RELASI],PERBLNR!$E$5,KB[TANGGAL],PERBLNR!B39,KB[TYPE],"B")</f>
        <v>0</v>
      </c>
      <c r="L39" s="214">
        <f>SUMIFS(KB[NETTO2],KB[RELASI],PERBLNR!$E$5,KB[TANGGAL],PERBLNR!B39,KB[TYPE],"B")</f>
        <v>0</v>
      </c>
      <c r="M39" s="214" t="str">
        <f t="shared" si="1"/>
        <v/>
      </c>
      <c r="N39" s="214">
        <f>SUMIFS(KB[TPEMBAYARAN],KB[RELASI],PERBLNR!$E$5,KB[TANGGAL],PERBLNR!B39,KB[TYPE],"B")</f>
        <v>0</v>
      </c>
      <c r="O39" s="173"/>
      <c r="P39" s="218" t="str">
        <f t="array" ref="P39">IFERROR(TEXT(VLOOKUP($E$5,IF($O$7="KELAPA BULAT",IF(KB[TANGGAL]=B39,KB[[RELASI]:[TANGGAL]],""),IF($O$7="KELAPA BERSABUT",IF(KBS[TANGGAL]=B39,KBS[[RELASI]:[TANGGAL]],""),IF($O$7="KOPRA",IF(KPR[TANGGAL]=B39,KPR[[RELASI]:[TANGGAL]],""),IF($O$7="ARANG",IF(ARG[TANGGAL]=B39,ARG[[RELASI]:[TANGGAL]],""))))),2,0),"0000"),"")</f>
        <v/>
      </c>
      <c r="Q39" s="213" t="str">
        <f t="array" ref="Q39">IFERROR(TEXT(VLOOKUP($E$5,IF($O$7="KELAPA BULAT",IF(KB[TANGGAL]=B39,KB[[RELASI]:[TANGGAL]],""),IF($O$7="KELAPA BERSABUT",IF(KBS[TANGGAL]=B39,KBS[[RELASI]:[TANGGAL]],""),IF($O$7="KOPRA",IF(KPR[TANGGAL]=B39,KPR[[RELASI]:[TANGGAL]],""),IF($O$7="ARANG",IF(ARG[TANGGAL]=B39,ARG[[RELASI]:[TANGGAL]],""))))),4,0),"000"),"")</f>
        <v/>
      </c>
      <c r="R39" s="214">
        <f>SUMIFS(KPR[NETTO],KPR[RELASI],PERBLNR!$E$5,KPR[TANGGAL],PERBLNR!B39)</f>
        <v>0</v>
      </c>
      <c r="S39" s="214">
        <f>SUMIFS(KPR[NETTOB],KPR[RELASI],PERBLNR!$E$5,KPR[TANGGAL],PERBLNR!B39)</f>
        <v>0</v>
      </c>
      <c r="T39" s="214" t="str">
        <f t="shared" si="3"/>
        <v/>
      </c>
      <c r="U39" s="217">
        <f>SUMIFS(KPR[TPEMBAYARAN],KPR[RELASI],PERBLNR!$E$5,KPR[TANGGAL],PERBLNR!B39)</f>
        <v>0</v>
      </c>
      <c r="V39" s="173"/>
      <c r="W39" s="218" t="str">
        <f t="array" ref="W39">IFERROR(TEXT(VLOOKUP($E$5,IF($V$7="KELAPA BULAT",IF(KB[TANGGAL]=B39,KB[[RELASI]:[TANGGAL]],""),IF($V$7="KELAPA BERSABUT",IF(KBS[TANGGAL]=B39,KBS[[RELASI]:[TANGGAL]],""),IF($V$7="KOPRA",IF(KPR[TANGGAL]=B39,KPR[[RELASI]:[TANGGAL]],""),IF($V$7="ARANG",IF(ARG[TANGGAL]=B39,ARG[[RELASI]:[TANGGAL]],""))))),2,0),"0000"),"")</f>
        <v/>
      </c>
      <c r="X39" s="213" t="str">
        <f t="array" ref="X39">IFERROR(TEXT(VLOOKUP($E$5,IF($V$7="KELAPA BULAT",IF(KB[TANGGAL]=B39,KB[[RELASI]:[TANGGAL]],""),IF($V$7="KELAPA BERSABUT",IF(KBS[TANGGAL]=B39,KBS[[RELASI]:[TANGGAL]],""),IF($V$7="KOPRA",IF(KPR[TANGGAL]=B39,KPR[[RELASI]:[TANGGAL]],""),IF($V$7="ARANG",IF(ARG[TANGGAL]=B39,ARG[[RELASI]:[TANGGAL]],""))))),4,0),"000"),"")</f>
        <v/>
      </c>
      <c r="Y39" s="214">
        <f>SUMIFS(KBS[NETTO2],KBS[RELASI],PERBLNR!$E$5,KBS[TANGGAL],PERBLNR!B39)</f>
        <v>0</v>
      </c>
      <c r="Z39" s="214">
        <f>SUMIFS(KBS[NETTO2],KBS[RELASI],PERBLNR!$E$5,KBS[TANGGAL],PERBLNR!B39)</f>
        <v>0</v>
      </c>
      <c r="AA39" s="214" t="str">
        <f t="shared" si="4"/>
        <v/>
      </c>
      <c r="AB39" s="217">
        <f>SUMIFS(KBS[TPEMBAYARAN],KBS[RELASI],PERBLNR!$E$5,KBS[TANGGAL],PERBLNR!B39)</f>
        <v>0</v>
      </c>
      <c r="AC39" s="173"/>
      <c r="AD39" s="218" t="str">
        <f t="array" ref="AD39">IFERROR(TEXT(VLOOKUP($E$5,IF($B$7="KELAPA BULAT",IF(KB[TANGGAL]=AC39,KB[[RELASI]:[TANGGAL]],""),IF($B$7="KELAPA BERSABUT",IF(KBS[TANGGAL]=AC39,KBS[[RELASI]:[TANGGAL]],""),IF($B$7="KOPRA",IF(KPR[TANGGAL]=AC39,KPR[[RELASI]:[TANGGAL]],""),IF($B$7="ARANG",IF(ARG[TANGGAL]=AC39,ARG[[RELASI]:[TANGGAL]],""))))),2,0),"0000"),"")</f>
        <v/>
      </c>
      <c r="AE39" s="213" t="str">
        <f t="array" ref="AE39">IFERROR(IF($B$7&lt;&gt;"KELAPA BULAT","",TEXT(VLOOKUP($E$5,IF(KB[NK]=VLOOKUP($E$5,IF(KB[TANGGAL]=V39,KB[[RELASI]:[TANGGAL]],""),2,0),IF(KB[TYPE]="B",KB[[RELASI]:[TYPE]],""),""),4,0),"000")),"")</f>
        <v/>
      </c>
      <c r="AF39" s="214">
        <f>SUMIFS(ARG[NETTO1],ARG[RELASI],PERBLNR!$E$5,ARG[TANGGAL],PERBLNR!B39)</f>
        <v>0</v>
      </c>
      <c r="AG39" s="214">
        <f>SUMIFS(ARG[NETTO3],ARG[RELASI],PERBLNR!$E$5,ARG[TANGGAL],PERBLNR!B39)</f>
        <v>0</v>
      </c>
      <c r="AH39" s="214" t="str">
        <f t="shared" si="5"/>
        <v/>
      </c>
      <c r="AI39" s="217">
        <f>SUMIFS(ARG[TPEMBAYARAN],ARG[RELASI],PERBLNR!$E$5,ARG[TANGGAL],PERBLNR!B39)</f>
        <v>0</v>
      </c>
      <c r="AK39" s="217">
        <f t="shared" si="6"/>
        <v>30510197</v>
      </c>
    </row>
    <row r="40" spans="2:37">
      <c r="B40" s="211">
        <f t="shared" si="7"/>
        <v>43921</v>
      </c>
      <c r="C40" s="219" t="str">
        <f t="array" ref="C40">IFERROR(TEXT(VLOOKUP($E$5,IF($B$7="KELAPA BULAT",IF(KB[TANGGAL]=B40,KB[[RELASI]:[TANGGAL]],""),IF($B$7="KELAPA BERSABUT",IF(KBS[TANGGAL]=B40,KBS[[RELASI]:[TANGGAL]],""),IF($B$7="KOPRA",IF(KPR[TANGGAL]=B40,KPR[[RELASI]:[TANGGAL]],""),IF($B$7="ARANG",IF(ARG[TANGGAL]=B40,ARG[[RELASI]:[TANGGAL]],""))))),2,0),"0000"),"")</f>
        <v/>
      </c>
      <c r="D40" s="213" t="str">
        <f t="array" ref="D40">IFERROR(TEXT(VLOOKUP($E$5,IF($B$7="KELAPA BULAT",IF(KB[TANGGAL]=B40,KB[[RELASI]:[TANGGAL]],""),IF($B$7="KELAPA BERSABUT",IF(KBS[TANGGAL]=B40,KBS[[RELASI]:[TANGGAL]],""),IF($B$7="KOPRA",IF(KPR[TANGGAL]=B40,KPR[[RELASI]:[TANGGAL]],""),IF($B$7="ARANG",IF(ARG[TANGGAL]=B40,ARG[[RELASI]:[TANGGAL]],""))))),4,0),"000"),"")</f>
        <v/>
      </c>
      <c r="E40" s="214">
        <f>SUMIFS(KB[NETTO],KB[RELASI],PERBLNR!$E$5,KB[TANGGAL],PERBLNR!B40,KB[TYPE],"A")</f>
        <v>0</v>
      </c>
      <c r="F40" s="214">
        <f>SUMIFS(KB[NETTO2],KB[RELASI],PERBLNR!$E$5,KB[TANGGAL],PERBLNR!B40,KB[TYPE],"A")</f>
        <v>0</v>
      </c>
      <c r="G40" s="214" t="str">
        <f t="shared" si="2"/>
        <v/>
      </c>
      <c r="H40" s="215">
        <f>SUMIFS(KB[TPEMBAYARAN],KB[RELASI],PERBLNR!$E$5,KB[TANGGAL],PERBLNR!B40,KB[TYPE],"A")</f>
        <v>0</v>
      </c>
      <c r="I40" s="221"/>
      <c r="J40" s="213" t="str">
        <f t="array" ref="J40">IFERROR(IF($B$7&lt;&gt;"KELAPA BULAT","",TEXT(VLOOKUP($E$5,IF(KB[NK]=VLOOKUP($E$5,IF(KB[TANGGAL]=B40,KB[[RELASI]:[TANGGAL]],""),2,0),IF(KB[TYPE]="B",KB[[RELASI]:[TYPE]],""),""),4,0),"000")),"")</f>
        <v/>
      </c>
      <c r="K40" s="214">
        <f>SUMIFS(KB[NETTO],KB[RELASI],PERBLNR!$E$5,KB[TANGGAL],PERBLNR!B40,KB[TYPE],"B")</f>
        <v>0</v>
      </c>
      <c r="L40" s="214">
        <f>SUMIFS(KB[NETTO2],KB[RELASI],PERBLNR!$E$5,KB[TANGGAL],PERBLNR!B40,KB[TYPE],"B")</f>
        <v>0</v>
      </c>
      <c r="M40" s="214" t="str">
        <f t="shared" si="1"/>
        <v/>
      </c>
      <c r="N40" s="214">
        <f>SUMIFS(KB[TPEMBAYARAN],KB[RELASI],PERBLNR!$E$5,KB[TANGGAL],PERBLNR!B40,KB[TYPE],"B")</f>
        <v>0</v>
      </c>
      <c r="O40" s="173"/>
      <c r="P40" s="222" t="str">
        <f t="array" ref="P40">IFERROR(TEXT(VLOOKUP($E$5,IF($O$7="KELAPA BULAT",IF(KB[TANGGAL]=B40,KB[[RELASI]:[TANGGAL]],""),IF($O$7="KELAPA BERSABUT",IF(KBS[TANGGAL]=B40,KBS[[RELASI]:[TANGGAL]],""),IF($O$7="KOPRA",IF(KPR[TANGGAL]=B40,KPR[[RELASI]:[TANGGAL]],""),IF($O$7="ARANG",IF(ARG[TANGGAL]=B40,ARG[[RELASI]:[TANGGAL]],""))))),2,0),"0000"),"")</f>
        <v/>
      </c>
      <c r="Q40" s="213" t="str">
        <f t="array" ref="Q40">IFERROR(TEXT(VLOOKUP($E$5,IF($O$7="KELAPA BULAT",IF(KB[TANGGAL]=B40,KB[[RELASI]:[TANGGAL]],""),IF($O$7="KELAPA BERSABUT",IF(KBS[TANGGAL]=B40,KBS[[RELASI]:[TANGGAL]],""),IF($O$7="KOPRA",IF(KPR[TANGGAL]=B40,KPR[[RELASI]:[TANGGAL]],""),IF($O$7="ARANG",IF(ARG[TANGGAL]=B40,ARG[[RELASI]:[TANGGAL]],""))))),4,0),"000"),"")</f>
        <v/>
      </c>
      <c r="R40" s="214">
        <f>SUMIFS(KPR[NETTO],KPR[RELASI],PERBLNR!$E$5,KPR[TANGGAL],PERBLNR!B40)</f>
        <v>0</v>
      </c>
      <c r="S40" s="214">
        <f>SUMIFS(KPR[NETTOB],KPR[RELASI],PERBLNR!$E$5,KPR[TANGGAL],PERBLNR!B40)</f>
        <v>0</v>
      </c>
      <c r="T40" s="214" t="str">
        <f t="shared" si="3"/>
        <v/>
      </c>
      <c r="U40" s="217">
        <f>SUMIFS(KPR[TPEMBAYARAN],KPR[RELASI],PERBLNR!$E$5,KPR[TANGGAL],PERBLNR!B40)</f>
        <v>0</v>
      </c>
      <c r="V40" s="173"/>
      <c r="W40" s="222" t="str">
        <f t="array" ref="W40">IFERROR(TEXT(VLOOKUP($E$5,IF($V$7="KELAPA BULAT",IF(KB[TANGGAL]=B40,KB[[RELASI]:[TANGGAL]],""),IF($V$7="KELAPA BERSABUT",IF(KBS[TANGGAL]=B40,KBS[[RELASI]:[TANGGAL]],""),IF($V$7="KOPRA",IF(KPR[TANGGAL]=B40,KPR[[RELASI]:[TANGGAL]],""),IF($V$7="ARANG",IF(ARG[TANGGAL]=B40,ARG[[RELASI]:[TANGGAL]],""))))),2,0),"0000"),"")</f>
        <v/>
      </c>
      <c r="X40" s="213" t="str">
        <f t="array" ref="X40">IFERROR(TEXT(VLOOKUP($E$5,IF($V$7="KELAPA BULAT",IF(KB[TANGGAL]=B40,KB[[RELASI]:[TANGGAL]],""),IF($V$7="KELAPA BERSABUT",IF(KBS[TANGGAL]=B40,KBS[[RELASI]:[TANGGAL]],""),IF($V$7="KOPRA",IF(KPR[TANGGAL]=B40,KPR[[RELASI]:[TANGGAL]],""),IF($V$7="ARANG",IF(ARG[TANGGAL]=B40,ARG[[RELASI]:[TANGGAL]],""))))),4,0),"000"),"")</f>
        <v/>
      </c>
      <c r="Y40" s="214">
        <f>SUMIFS(KBS[NETTO2],KBS[RELASI],PERBLNR!$E$5,KBS[TANGGAL],PERBLNR!B40)</f>
        <v>0</v>
      </c>
      <c r="Z40" s="214">
        <f>SUMIFS(KBS[NETTO2],KBS[RELASI],PERBLNR!$E$5,KBS[TANGGAL],PERBLNR!B40)</f>
        <v>0</v>
      </c>
      <c r="AA40" s="214" t="str">
        <f t="shared" si="4"/>
        <v/>
      </c>
      <c r="AB40" s="217">
        <f>SUMIFS(KBS[TPEMBAYARAN],KBS[RELASI],PERBLNR!$E$5,KBS[TANGGAL],PERBLNR!B40)</f>
        <v>0</v>
      </c>
      <c r="AC40" s="173"/>
      <c r="AD40" s="222" t="str">
        <f t="array" ref="AD40">IFERROR(TEXT(VLOOKUP($E$5,IF($B$7="KELAPA BULAT",IF(KB[TANGGAL]=AC40,KB[[RELASI]:[TANGGAL]],""),IF($B$7="KELAPA BERSABUT",IF(KBS[TANGGAL]=AC40,KBS[[RELASI]:[TANGGAL]],""),IF($B$7="KOPRA",IF(KPR[TANGGAL]=AC40,KPR[[RELASI]:[TANGGAL]],""),IF($B$7="ARANG",IF(ARG[TANGGAL]=AC40,ARG[[RELASI]:[TANGGAL]],""))))),2,0),"0000"),"")</f>
        <v/>
      </c>
      <c r="AE40" s="220" t="str">
        <f t="array" ref="AE40">IFERROR(IF($B$7&lt;&gt;"KELAPA BULAT","",TEXT(VLOOKUP($E$5,IF(KB[NK]=VLOOKUP($E$5,IF(KB[TANGGAL]=V40,KB[[RELASI]:[TANGGAL]],""),2,0),IF(KB[TYPE]="B",KB[[RELASI]:[TYPE]],""),""),4,0),"000")),"")</f>
        <v/>
      </c>
      <c r="AF40" s="214">
        <f>SUMIFS(ARG[NETTO1],ARG[RELASI],PERBLNR!$E$5,ARG[TANGGAL],PERBLNR!B40)</f>
        <v>0</v>
      </c>
      <c r="AG40" s="214">
        <f>SUMIFS(ARG[NETTO3],ARG[RELASI],PERBLNR!$E$5,ARG[TANGGAL],PERBLNR!B40)</f>
        <v>0</v>
      </c>
      <c r="AH40" s="214" t="str">
        <f t="shared" si="5"/>
        <v/>
      </c>
      <c r="AI40" s="217">
        <f>SUMIFS(ARG[TPEMBAYARAN],ARG[RELASI],PERBLNR!$E$5,ARG[TANGGAL],PERBLNR!B40)</f>
        <v>0</v>
      </c>
      <c r="AK40" s="217">
        <f t="shared" si="6"/>
        <v>0</v>
      </c>
    </row>
    <row r="41" spans="2:37" ht="9.75" customHeight="1" thickBot="1">
      <c r="B41" s="223"/>
      <c r="C41" s="224"/>
      <c r="D41" s="224"/>
      <c r="E41" s="224"/>
      <c r="F41" s="225"/>
      <c r="G41" s="225"/>
      <c r="H41" s="226"/>
      <c r="I41" s="206"/>
      <c r="J41" s="227"/>
      <c r="K41" s="227"/>
      <c r="L41" s="228"/>
      <c r="M41" s="228"/>
      <c r="N41" s="228"/>
      <c r="O41" s="173"/>
      <c r="P41" s="229"/>
      <c r="Q41" s="230"/>
      <c r="R41" s="230"/>
      <c r="S41" s="230"/>
      <c r="T41" s="230"/>
      <c r="U41" s="231"/>
      <c r="V41" s="173"/>
      <c r="W41" s="229"/>
      <c r="X41" s="230"/>
      <c r="Y41" s="230"/>
      <c r="Z41" s="230"/>
      <c r="AA41" s="230"/>
      <c r="AB41" s="231"/>
      <c r="AC41" s="173"/>
      <c r="AD41" s="229"/>
      <c r="AE41" s="230"/>
      <c r="AF41" s="230"/>
      <c r="AG41" s="230"/>
      <c r="AH41" s="230"/>
      <c r="AI41" s="231"/>
      <c r="AK41" s="231"/>
    </row>
    <row r="42" spans="2:37" ht="26.25" customHeight="1" thickTop="1" thickBot="1">
      <c r="B42" s="232" t="s">
        <v>68</v>
      </c>
      <c r="C42" s="233"/>
      <c r="D42" s="233"/>
      <c r="E42" s="234">
        <f>SUM(E10:E40)</f>
        <v>251520</v>
      </c>
      <c r="F42" s="234">
        <f>SUM(F10:F40)</f>
        <v>238740.2</v>
      </c>
      <c r="G42" s="234">
        <f>H42/F42</f>
        <v>2874.9245749144884</v>
      </c>
      <c r="H42" s="235">
        <f t="shared" ref="H42" si="8">SUM(H10:H40)</f>
        <v>686360068</v>
      </c>
      <c r="I42" s="236"/>
      <c r="J42" s="237"/>
      <c r="K42" s="237"/>
      <c r="L42" s="234">
        <f t="shared" ref="L42:N42" si="9">SUM(L10:L40)</f>
        <v>0</v>
      </c>
      <c r="M42" s="234" t="str">
        <f t="shared" si="1"/>
        <v/>
      </c>
      <c r="N42" s="234">
        <f t="shared" si="9"/>
        <v>0</v>
      </c>
      <c r="O42" s="173"/>
      <c r="P42" s="232"/>
      <c r="Q42" s="233"/>
      <c r="R42" s="234">
        <f t="shared" ref="R42" si="10">SUM(R10:R40)</f>
        <v>0</v>
      </c>
      <c r="S42" s="234"/>
      <c r="T42" s="234" t="str">
        <f t="shared" ref="T42" si="11">IFERROR(U42/R42,"")</f>
        <v/>
      </c>
      <c r="U42" s="238">
        <f t="shared" ref="U42" si="12">SUM(U10:U40)</f>
        <v>0</v>
      </c>
      <c r="V42" s="173"/>
      <c r="W42" s="232"/>
      <c r="X42" s="233"/>
      <c r="Y42" s="234">
        <f t="shared" ref="Y42" si="13">SUM(Y10:Y40)</f>
        <v>0</v>
      </c>
      <c r="Z42" s="234"/>
      <c r="AA42" s="234" t="str">
        <f t="shared" ref="AA42" si="14">IFERROR(AB42/Y42,"")</f>
        <v/>
      </c>
      <c r="AB42" s="238">
        <f t="shared" ref="AB42" si="15">SUM(AB10:AB40)</f>
        <v>0</v>
      </c>
      <c r="AC42" s="173"/>
      <c r="AD42" s="239"/>
      <c r="AE42" s="240"/>
      <c r="AF42" s="241">
        <f t="shared" ref="AF42" si="16">SUM(AF10:AF40)</f>
        <v>0</v>
      </c>
      <c r="AG42" s="241"/>
      <c r="AH42" s="234" t="str">
        <f t="shared" ref="AH42" si="17">IFERROR(AI42/AF42,"")</f>
        <v/>
      </c>
      <c r="AI42" s="242">
        <f t="shared" ref="AI42:AK42" si="18">SUM(AI10:AI40)</f>
        <v>0</v>
      </c>
      <c r="AK42" s="242">
        <f t="shared" si="18"/>
        <v>686360068</v>
      </c>
    </row>
    <row r="43" spans="2:37" ht="15.75" thickTop="1"/>
  </sheetData>
  <sheetProtection password="C46B" sheet="1" objects="1" scenarios="1"/>
  <mergeCells count="3">
    <mergeCell ref="E2:H2"/>
    <mergeCell ref="E3:H3"/>
    <mergeCell ref="E5:H5"/>
  </mergeCells>
  <conditionalFormatting sqref="J10:J40 Q10:Q40 X10:X40 AE10:AE40 D10:D40">
    <cfRule type="expression" dxfId="79" priority="1">
      <formula>IF(D10="","",IF(COUNTIFS(D10:D40,D10)&gt;1,TRUE,FALSE))</formula>
    </cfRule>
  </conditionalFormatting>
  <dataValidations count="3">
    <dataValidation type="list" allowBlank="1" showInputMessage="1" showErrorMessage="1" sqref="B7 O7 U5 N5 AK5 V7 AB5 AC7 AI5">
      <formula1>"KELAPA BULAT,KELAPA BERSABUT,KOPRA,ARANG,"</formula1>
    </dataValidation>
    <dataValidation type="whole" allowBlank="1" showInputMessage="1" showErrorMessage="1" sqref="E3">
      <formula1>1</formula1>
      <formula2>12</formula2>
    </dataValidation>
    <dataValidation type="list" allowBlank="1" showInputMessage="1" showErrorMessage="1" sqref="E5">
      <formula1>SUPPLIER</formula1>
    </dataValidation>
  </dataValidations>
  <pageMargins left="0.7" right="0.7" top="0.75" bottom="0.75" header="0.3" footer="0.3"/>
  <pageSetup orientation="portrait" horizontalDpi="180" verticalDpi="18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RELASI!C3:C66</xm:f>
          </x14:formula1>
          <xm:sqref>E5:G5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theme="9" tint="-0.499984740745262"/>
  </sheetPr>
  <dimension ref="A1:X68"/>
  <sheetViews>
    <sheetView zoomScale="55" zoomScaleNormal="55" workbookViewId="0">
      <pane xSplit="3" ySplit="6" topLeftCell="D7" activePane="bottomRight" state="frozen"/>
      <selection activeCell="G21" sqref="G21"/>
      <selection pane="topRight" activeCell="G21" sqref="G21"/>
      <selection pane="bottomLeft" activeCell="G21" sqref="G21"/>
      <selection pane="bottomRight" activeCell="D28" sqref="D28"/>
    </sheetView>
  </sheetViews>
  <sheetFormatPr defaultRowHeight="15"/>
  <cols>
    <col min="1" max="1" width="6.5703125" style="172" customWidth="1"/>
    <col min="2" max="2" width="6.140625" style="172" customWidth="1"/>
    <col min="3" max="3" width="32.85546875" style="202" bestFit="1" customWidth="1"/>
    <col min="4" max="4" width="17" style="172" customWidth="1"/>
    <col min="5" max="5" width="12.5703125" style="172" customWidth="1"/>
    <col min="6" max="6" width="27.5703125" style="173" customWidth="1"/>
    <col min="7" max="7" width="3" style="173" customWidth="1"/>
    <col min="8" max="8" width="17" style="173" customWidth="1"/>
    <col min="9" max="9" width="12.5703125" style="173" customWidth="1"/>
    <col min="10" max="10" width="27.5703125" style="173" customWidth="1"/>
    <col min="11" max="11" width="3" style="256" customWidth="1"/>
    <col min="12" max="12" width="17" style="173" customWidth="1"/>
    <col min="13" max="13" width="12.5703125" style="173" customWidth="1"/>
    <col min="14" max="14" width="27.5703125" style="173" customWidth="1"/>
    <col min="15" max="15" width="3" style="256" customWidth="1"/>
    <col min="16" max="16" width="17" style="173" customWidth="1"/>
    <col min="17" max="17" width="12.5703125" style="173" customWidth="1"/>
    <col min="18" max="18" width="27.5703125" style="173" customWidth="1"/>
    <col min="19" max="19" width="3" style="256" customWidth="1"/>
    <col min="20" max="20" width="17" style="173" customWidth="1"/>
    <col min="21" max="21" width="12.5703125" style="173" customWidth="1"/>
    <col min="22" max="22" width="27.5703125" style="173" customWidth="1"/>
    <col min="23" max="23" width="3" style="173" customWidth="1"/>
    <col min="24" max="24" width="27.5703125" style="173" customWidth="1"/>
    <col min="25" max="16384" width="9.140625" style="173"/>
  </cols>
  <sheetData>
    <row r="1" spans="1:24" ht="8.25" customHeight="1">
      <c r="C1" s="172"/>
      <c r="E1" s="173"/>
    </row>
    <row r="2" spans="1:24" ht="33" customHeight="1">
      <c r="C2" s="248" t="s">
        <v>281</v>
      </c>
      <c r="D2" s="261">
        <v>2019</v>
      </c>
      <c r="E2" s="173"/>
    </row>
    <row r="3" spans="1:24" s="186" customFormat="1" ht="33" customHeight="1">
      <c r="A3" s="182"/>
      <c r="B3" s="172"/>
      <c r="C3" s="248" t="s">
        <v>282</v>
      </c>
      <c r="D3" s="261">
        <v>8</v>
      </c>
    </row>
    <row r="4" spans="1:24" s="186" customFormat="1" ht="12" customHeight="1">
      <c r="A4" s="182"/>
      <c r="B4" s="202"/>
      <c r="C4" s="293"/>
      <c r="D4" s="732"/>
    </row>
    <row r="5" spans="1:24" s="186" customFormat="1" ht="30" customHeight="1" thickBot="1">
      <c r="B5" s="182"/>
      <c r="C5" s="182"/>
      <c r="D5" s="262" t="s">
        <v>317</v>
      </c>
      <c r="E5" s="263"/>
      <c r="F5" s="263"/>
      <c r="G5" s="290"/>
      <c r="H5" s="262" t="s">
        <v>318</v>
      </c>
      <c r="I5" s="263"/>
      <c r="J5" s="263"/>
      <c r="L5" s="263" t="s">
        <v>261</v>
      </c>
      <c r="M5" s="263"/>
      <c r="N5" s="263"/>
      <c r="P5" s="263" t="s">
        <v>251</v>
      </c>
      <c r="Q5" s="263"/>
      <c r="R5" s="263"/>
      <c r="T5" s="263" t="s">
        <v>262</v>
      </c>
      <c r="U5" s="263"/>
      <c r="V5" s="263"/>
      <c r="X5" s="188"/>
    </row>
    <row r="6" spans="1:24" ht="30.75" customHeight="1" thickTop="1" thickBot="1">
      <c r="A6" s="173"/>
      <c r="B6" s="280" t="s">
        <v>112</v>
      </c>
      <c r="C6" s="189" t="s">
        <v>55</v>
      </c>
      <c r="D6" s="190" t="s">
        <v>89</v>
      </c>
      <c r="E6" s="190" t="s">
        <v>67</v>
      </c>
      <c r="F6" s="194" t="s">
        <v>280</v>
      </c>
      <c r="H6" s="189" t="s">
        <v>89</v>
      </c>
      <c r="I6" s="191" t="s">
        <v>67</v>
      </c>
      <c r="J6" s="284" t="s">
        <v>280</v>
      </c>
      <c r="K6" s="173"/>
      <c r="L6" s="264" t="s">
        <v>89</v>
      </c>
      <c r="M6" s="265" t="s">
        <v>67</v>
      </c>
      <c r="N6" s="266" t="s">
        <v>280</v>
      </c>
      <c r="O6" s="173"/>
      <c r="P6" s="195" t="s">
        <v>89</v>
      </c>
      <c r="Q6" s="196" t="s">
        <v>67</v>
      </c>
      <c r="R6" s="197" t="s">
        <v>280</v>
      </c>
      <c r="S6" s="173"/>
      <c r="T6" s="198" t="s">
        <v>89</v>
      </c>
      <c r="U6" s="199" t="s">
        <v>67</v>
      </c>
      <c r="V6" s="200" t="s">
        <v>280</v>
      </c>
      <c r="X6" s="269" t="s">
        <v>280</v>
      </c>
    </row>
    <row r="7" spans="1:24" ht="5.0999999999999996" customHeight="1" thickTop="1">
      <c r="A7" s="173"/>
      <c r="B7" s="256" t="s">
        <v>287</v>
      </c>
      <c r="C7" s="285"/>
      <c r="D7" s="247"/>
      <c r="E7" s="247"/>
      <c r="F7" s="286"/>
      <c r="H7" s="285"/>
      <c r="I7" s="247"/>
      <c r="J7" s="286"/>
      <c r="K7" s="173"/>
      <c r="L7" s="275"/>
      <c r="M7" s="257"/>
      <c r="N7" s="258"/>
      <c r="O7" s="173"/>
      <c r="P7" s="275"/>
      <c r="Q7" s="257"/>
      <c r="R7" s="258"/>
      <c r="S7" s="173"/>
      <c r="T7" s="275"/>
      <c r="U7" s="257"/>
      <c r="V7" s="258"/>
      <c r="X7" s="270"/>
    </row>
    <row r="8" spans="1:24" ht="18" customHeight="1">
      <c r="A8" s="173"/>
      <c r="B8" s="246">
        <v>1</v>
      </c>
      <c r="C8" s="245" t="str">
        <f>RELASI!C3</f>
        <v>ABU NAWAS</v>
      </c>
      <c r="D8" s="259">
        <f>SUMIFS(KB[NETTO2],KB[RELASI],C8,KB[TYPE],"A",KB[TANGGAL],"&gt;="&amp;DATE($D$2,$D$3,1),KB[TANGGAL],"&lt;"&amp;DATE($D$2+1,$D$3,1))</f>
        <v>0</v>
      </c>
      <c r="E8" s="214" t="str">
        <f>IFERROR(F8/D8,"")</f>
        <v/>
      </c>
      <c r="F8" s="288">
        <f>SUMIFS(KB[TPEMBAYARAN],KB[RELASI],C8,KB[TYPE],"A",KB[TANGGAL],"&gt;="&amp;DATE($D$2,$D$3,1),KB[TANGGAL],"&lt;"&amp;DATE($D$2+1,$D$3,1))</f>
        <v>0</v>
      </c>
      <c r="G8" s="291"/>
      <c r="H8" s="276">
        <f>SUMIFS(KB[NETTO2],KB[RELASI],C8,KB[TYPE],"B",KB[TANGGAL],"&gt;="&amp;DATE($D$2,$D$3,1),KB[TANGGAL],"&lt;"&amp;DATE($D$2+1,$D$3,1))</f>
        <v>0</v>
      </c>
      <c r="I8" s="214" t="str">
        <f t="shared" ref="I8" si="0">IFERROR(J8/H8,"")</f>
        <v/>
      </c>
      <c r="J8" s="217">
        <f>SUMIFS(KB[TPEMBAYARAN],KB[RELASI],C8,KB[TYPE],"B",KB[TANGGAL],"&gt;="&amp;DATE($D$2,$D$3,1),KB[TANGGAL],"&lt;"&amp;DATE($D$2+1,$D$3,1))</f>
        <v>0</v>
      </c>
      <c r="K8" s="291"/>
      <c r="L8" s="276">
        <f>SUMIFS(KBS[NETTO2],KBS[RELASI],C8,KBS[TANGGAL],"&gt;="&amp;DATE($D$2,$D$3,1),KBS[TANGGAL],"&lt;"&amp;DATE($D$2+1,$D$3,1))</f>
        <v>0</v>
      </c>
      <c r="M8" s="214" t="str">
        <f>IFERROR(N8/L8,"")</f>
        <v/>
      </c>
      <c r="N8" s="217">
        <f>SUMIFS(KBS[TPEMBAYARAN],KBS[RELASI],C8,KBS[TANGGAL],"&gt;="&amp;DATE($D$2,$D$3,1),KBS[TANGGAL],"&lt;"&amp;DATE($D$2+1,$D$3,1))</f>
        <v>0</v>
      </c>
      <c r="O8" s="291"/>
      <c r="P8" s="281">
        <f>SUMIFS(KPR[NETTOB],KPR[RELASI],C8,KPR[TANGGAL],"&gt;="&amp;DATE($D$2,$D$3,1),KPR[TANGGAL],"&lt;"&amp;DATE($D$2+1,$D$3,1))</f>
        <v>0</v>
      </c>
      <c r="Q8" s="214" t="str">
        <f>IFERROR(R8/P8,"")</f>
        <v/>
      </c>
      <c r="R8" s="217">
        <f>SUMIFS(KPR[TPEMBAYARAN],KPR[RELASI],C8,KPR[TANGGAL],"&gt;="&amp;DATE($D$2,$D$3,1),KPR[TANGGAL],"&lt;"&amp;DATE($D$2+1,$D$3,1))</f>
        <v>0</v>
      </c>
      <c r="S8" s="291"/>
      <c r="T8" s="276">
        <f>SUMIFS(ARG[NETTO3],ARG[RELASI],C8,ARG[TANGGAL],"&gt;="&amp;DATE($D$2,$D$3,1),ARG[TANGGAL],"&lt;"&amp;DATE($D$2+1,$D$3,1))</f>
        <v>0</v>
      </c>
      <c r="U8" s="214" t="str">
        <f>IFERROR(V8/T8,"")</f>
        <v/>
      </c>
      <c r="V8" s="217">
        <f>SUMIFS(ARG[TPEMBAYARAN],ARG[RELASI],C8,ARG[TANGGAL],"&gt;="&amp;DATE($D$2,$D$3,1),ARG[TANGGAL],"&lt;"&amp;DATE($D$2+1,$D$3,1))</f>
        <v>0</v>
      </c>
      <c r="W8" s="291"/>
      <c r="X8" s="271">
        <f>SUM(V8,N8,R8,J8,F8)</f>
        <v>0</v>
      </c>
    </row>
    <row r="9" spans="1:24" ht="18" customHeight="1">
      <c r="A9" s="173"/>
      <c r="B9" s="246">
        <f>IF(C9=0,"",B8+1)</f>
        <v>2</v>
      </c>
      <c r="C9" s="245" t="str">
        <f>RELASI!C4</f>
        <v>ADEN</v>
      </c>
      <c r="D9" s="259">
        <f>SUMIFS(KB[NETTO2],KB[RELASI],C9,KB[TYPE],"A",KB[TANGGAL],"&gt;="&amp;DATE($D$2,$D$3,1),KB[TANGGAL],"&lt;"&amp;DATE($D$2+1,$D$3,1))</f>
        <v>0</v>
      </c>
      <c r="E9" s="214" t="str">
        <f t="shared" ref="E9:E57" si="1">IFERROR(F9/D9,"")</f>
        <v/>
      </c>
      <c r="F9" s="288">
        <f>SUMIFS(KB[TPEMBAYARAN],KB[RELASI],C9,KB[TYPE],"A",KB[TANGGAL],"&gt;="&amp;DATE($D$2,$D$3,1),KB[TANGGAL],"&lt;"&amp;DATE($D$2+1,$D$3,1))</f>
        <v>0</v>
      </c>
      <c r="G9" s="291"/>
      <c r="H9" s="276">
        <f>SUMIFS(KB[NETTO2],KB[RELASI],C9,KB[TYPE],"B",KB[TANGGAL],"&gt;="&amp;DATE($D$2,$D$3,1),KB[TANGGAL],"&lt;"&amp;DATE($D$2+1,$D$3,1))</f>
        <v>0</v>
      </c>
      <c r="I9" s="214" t="str">
        <f t="shared" ref="I9:I57" si="2">IFERROR(J9/H9,"")</f>
        <v/>
      </c>
      <c r="J9" s="217">
        <f>SUMIFS(KB[TPEMBAYARAN],KB[RELASI],C9,KB[TYPE],"B",KB[TANGGAL],"&gt;="&amp;DATE($D$2,$D$3,1),KB[TANGGAL],"&lt;"&amp;DATE($D$2+1,$D$3,1))</f>
        <v>0</v>
      </c>
      <c r="K9" s="291"/>
      <c r="L9" s="276">
        <f>SUMIFS(KBS[NETTO2],KBS[RELASI],C9,KBS[TANGGAL],"&gt;="&amp;DATE($D$2,$D$3,1),KBS[TANGGAL],"&lt;"&amp;DATE($D$2+1,$D$3,1))</f>
        <v>0</v>
      </c>
      <c r="M9" s="214" t="str">
        <f t="shared" ref="M9:M57" si="3">IFERROR(N9/L9,"")</f>
        <v/>
      </c>
      <c r="N9" s="217">
        <f>SUMIFS(KBS[TPEMBAYARAN],KBS[RELASI],C9,KBS[TANGGAL],"&gt;="&amp;DATE($D$2,$D$3,1),KBS[TANGGAL],"&lt;"&amp;DATE($D$2+1,$D$3,1))</f>
        <v>0</v>
      </c>
      <c r="O9" s="291"/>
      <c r="P9" s="281">
        <f>SUMIFS(KPR[NETTOB],KPR[RELASI],C9,KPR[TANGGAL],"&gt;="&amp;DATE($D$2,$D$3,1),KPR[TANGGAL],"&lt;"&amp;DATE($D$2+1,$D$3,1))</f>
        <v>0</v>
      </c>
      <c r="Q9" s="214" t="str">
        <f t="shared" ref="Q9:Q57" si="4">IFERROR(R9/P9,"")</f>
        <v/>
      </c>
      <c r="R9" s="217">
        <f>SUMIFS(KPR[TPEMBAYARAN],KPR[RELASI],C9,KPR[TANGGAL],"&gt;="&amp;DATE($D$2,$D$3,1),KPR[TANGGAL],"&lt;"&amp;DATE($D$2+1,$D$3,1))</f>
        <v>0</v>
      </c>
      <c r="S9" s="291"/>
      <c r="T9" s="276">
        <f>SUMIFS(ARG[NETTO3],ARG[RELASI],C9,ARG[TANGGAL],"&gt;="&amp;DATE($D$2,$D$3,1),ARG[TANGGAL],"&lt;"&amp;DATE($D$2+1,$D$3,1))</f>
        <v>0</v>
      </c>
      <c r="U9" s="214" t="str">
        <f t="shared" ref="U9:U57" si="5">IFERROR(V9/T9,"")</f>
        <v/>
      </c>
      <c r="V9" s="217">
        <f>SUMIFS(ARG[TPEMBAYARAN],ARG[RELASI],C9,ARG[TANGGAL],"&gt;="&amp;DATE($D$2,$D$3,1),ARG[TANGGAL],"&lt;"&amp;DATE($D$2+1,$D$3,1))</f>
        <v>0</v>
      </c>
      <c r="W9" s="291"/>
      <c r="X9" s="271">
        <f t="shared" ref="X9:X57" si="6">SUM(V9,N9,R9,J9,F9)</f>
        <v>0</v>
      </c>
    </row>
    <row r="10" spans="1:24" ht="18" customHeight="1">
      <c r="A10" s="173"/>
      <c r="B10" s="246">
        <f t="shared" ref="B10:B57" si="7">IF(C10=0,"",B9+1)</f>
        <v>3</v>
      </c>
      <c r="C10" s="245" t="str">
        <f>RELASI!C5</f>
        <v>AHMAD TARMIZI</v>
      </c>
      <c r="D10" s="259">
        <f>SUMIFS(KB[NETTO2],KB[RELASI],C10,KB[TYPE],"A",KB[TANGGAL],"&gt;="&amp;DATE($D$2,$D$3,1),KB[TANGGAL],"&lt;"&amp;DATE($D$2+1,$D$3,1))</f>
        <v>0</v>
      </c>
      <c r="E10" s="214" t="str">
        <f t="shared" si="1"/>
        <v/>
      </c>
      <c r="F10" s="288">
        <f>SUMIFS(KB[TPEMBAYARAN],KB[RELASI],C10,KB[TYPE],"A",KB[TANGGAL],"&gt;="&amp;DATE($D$2,$D$3,1),KB[TANGGAL],"&lt;"&amp;DATE($D$2+1,$D$3,1))</f>
        <v>0</v>
      </c>
      <c r="G10" s="291"/>
      <c r="H10" s="276">
        <f>SUMIFS(KB[NETTO2],KB[RELASI],C10,KB[TYPE],"B",KB[TANGGAL],"&gt;="&amp;DATE($D$2,$D$3,1),KB[TANGGAL],"&lt;"&amp;DATE($D$2+1,$D$3,1))</f>
        <v>0</v>
      </c>
      <c r="I10" s="214" t="str">
        <f t="shared" si="2"/>
        <v/>
      </c>
      <c r="J10" s="217">
        <f>SUMIFS(KB[TPEMBAYARAN],KB[RELASI],C10,KB[TYPE],"B",KB[TANGGAL],"&gt;="&amp;DATE($D$2,$D$3,1),KB[TANGGAL],"&lt;"&amp;DATE($D$2+1,$D$3,1))</f>
        <v>0</v>
      </c>
      <c r="K10" s="291"/>
      <c r="L10" s="276">
        <f>SUMIFS(KBS[NETTO2],KBS[RELASI],C10,KBS[TANGGAL],"&gt;="&amp;DATE($D$2,$D$3,1),KBS[TANGGAL],"&lt;"&amp;DATE($D$2+1,$D$3,1))</f>
        <v>0</v>
      </c>
      <c r="M10" s="214" t="str">
        <f t="shared" si="3"/>
        <v/>
      </c>
      <c r="N10" s="217">
        <f>SUMIFS(KBS[TPEMBAYARAN],KBS[RELASI],C10,KBS[TANGGAL],"&gt;="&amp;DATE($D$2,$D$3,1),KBS[TANGGAL],"&lt;"&amp;DATE($D$2+1,$D$3,1))</f>
        <v>0</v>
      </c>
      <c r="O10" s="291"/>
      <c r="P10" s="281">
        <f>SUMIFS(KPR[NETTOB],KPR[RELASI],C10,KPR[TANGGAL],"&gt;="&amp;DATE($D$2,$D$3,1),KPR[TANGGAL],"&lt;"&amp;DATE($D$2+1,$D$3,1))</f>
        <v>0</v>
      </c>
      <c r="Q10" s="214" t="str">
        <f t="shared" si="4"/>
        <v/>
      </c>
      <c r="R10" s="217">
        <f>SUMIFS(KPR[TPEMBAYARAN],KPR[RELASI],C10,KPR[TANGGAL],"&gt;="&amp;DATE($D$2,$D$3,1),KPR[TANGGAL],"&lt;"&amp;DATE($D$2+1,$D$3,1))</f>
        <v>0</v>
      </c>
      <c r="S10" s="291"/>
      <c r="T10" s="276">
        <f>SUMIFS(ARG[NETTO3],ARG[RELASI],C10,ARG[TANGGAL],"&gt;="&amp;DATE($D$2,$D$3,1),ARG[TANGGAL],"&lt;"&amp;DATE($D$2+1,$D$3,1))</f>
        <v>0</v>
      </c>
      <c r="U10" s="214" t="str">
        <f t="shared" si="5"/>
        <v/>
      </c>
      <c r="V10" s="217">
        <f>SUMIFS(ARG[TPEMBAYARAN],ARG[RELASI],C10,ARG[TANGGAL],"&gt;="&amp;DATE($D$2,$D$3,1),ARG[TANGGAL],"&lt;"&amp;DATE($D$2+1,$D$3,1))</f>
        <v>0</v>
      </c>
      <c r="W10" s="291"/>
      <c r="X10" s="271">
        <f t="shared" si="6"/>
        <v>0</v>
      </c>
    </row>
    <row r="11" spans="1:24" ht="18" customHeight="1">
      <c r="A11" s="173"/>
      <c r="B11" s="246">
        <f t="shared" si="7"/>
        <v>4</v>
      </c>
      <c r="C11" s="245" t="str">
        <f>RELASI!C6</f>
        <v>AHUAT</v>
      </c>
      <c r="D11" s="259">
        <f>SUMIFS(KB[NETTO2],KB[RELASI],C11,KB[TYPE],"A",KB[TANGGAL],"&gt;="&amp;DATE($D$2,$D$3,1),KB[TANGGAL],"&lt;"&amp;DATE($D$2+1,$D$3,1))</f>
        <v>0</v>
      </c>
      <c r="E11" s="214" t="str">
        <f t="shared" si="1"/>
        <v/>
      </c>
      <c r="F11" s="288">
        <f>SUMIFS(KB[TPEMBAYARAN],KB[RELASI],C11,KB[TYPE],"A",KB[TANGGAL],"&gt;="&amp;DATE($D$2,$D$3,1),KB[TANGGAL],"&lt;"&amp;DATE($D$2+1,$D$3,1))</f>
        <v>0</v>
      </c>
      <c r="G11" s="291"/>
      <c r="H11" s="276">
        <f>SUMIFS(KB[NETTO2],KB[RELASI],C11,KB[TYPE],"B",KB[TANGGAL],"&gt;="&amp;DATE($D$2,$D$3,1),KB[TANGGAL],"&lt;"&amp;DATE($D$2+1,$D$3,1))</f>
        <v>0</v>
      </c>
      <c r="I11" s="214" t="str">
        <f t="shared" si="2"/>
        <v/>
      </c>
      <c r="J11" s="217">
        <f>SUMIFS(KB[TPEMBAYARAN],KB[RELASI],C11,KB[TYPE],"B",KB[TANGGAL],"&gt;="&amp;DATE($D$2,$D$3,1),KB[TANGGAL],"&lt;"&amp;DATE($D$2+1,$D$3,1))</f>
        <v>0</v>
      </c>
      <c r="K11" s="291"/>
      <c r="L11" s="276">
        <f>SUMIFS(KBS[NETTO2],KBS[RELASI],C11,KBS[TANGGAL],"&gt;="&amp;DATE($D$2,$D$3,1),KBS[TANGGAL],"&lt;"&amp;DATE($D$2+1,$D$3,1))</f>
        <v>0</v>
      </c>
      <c r="M11" s="214" t="str">
        <f t="shared" si="3"/>
        <v/>
      </c>
      <c r="N11" s="217">
        <f>SUMIFS(KBS[TPEMBAYARAN],KBS[RELASI],C11,KBS[TANGGAL],"&gt;="&amp;DATE($D$2,$D$3,1),KBS[TANGGAL],"&lt;"&amp;DATE($D$2+1,$D$3,1))</f>
        <v>0</v>
      </c>
      <c r="O11" s="291"/>
      <c r="P11" s="281">
        <f>SUMIFS(KPR[NETTOB],KPR[RELASI],C11,KPR[TANGGAL],"&gt;="&amp;DATE($D$2,$D$3,1),KPR[TANGGAL],"&lt;"&amp;DATE($D$2+1,$D$3,1))</f>
        <v>0</v>
      </c>
      <c r="Q11" s="214" t="str">
        <f t="shared" si="4"/>
        <v/>
      </c>
      <c r="R11" s="217">
        <f>SUMIFS(KPR[TPEMBAYARAN],KPR[RELASI],C11,KPR[TANGGAL],"&gt;="&amp;DATE($D$2,$D$3,1),KPR[TANGGAL],"&lt;"&amp;DATE($D$2+1,$D$3,1))</f>
        <v>0</v>
      </c>
      <c r="S11" s="291"/>
      <c r="T11" s="276">
        <f>SUMIFS(ARG[NETTO3],ARG[RELASI],C11,ARG[TANGGAL],"&gt;="&amp;DATE($D$2,$D$3,1),ARG[TANGGAL],"&lt;"&amp;DATE($D$2+1,$D$3,1))</f>
        <v>0</v>
      </c>
      <c r="U11" s="214" t="str">
        <f t="shared" si="5"/>
        <v/>
      </c>
      <c r="V11" s="217">
        <f>SUMIFS(ARG[TPEMBAYARAN],ARG[RELASI],C11,ARG[TANGGAL],"&gt;="&amp;DATE($D$2,$D$3,1),ARG[TANGGAL],"&lt;"&amp;DATE($D$2+1,$D$3,1))</f>
        <v>0</v>
      </c>
      <c r="W11" s="291"/>
      <c r="X11" s="271">
        <f t="shared" si="6"/>
        <v>0</v>
      </c>
    </row>
    <row r="12" spans="1:24" ht="18" customHeight="1">
      <c r="A12" s="173"/>
      <c r="B12" s="246">
        <f t="shared" si="7"/>
        <v>5</v>
      </c>
      <c r="C12" s="245" t="str">
        <f>RELASI!C7</f>
        <v>AHWA</v>
      </c>
      <c r="D12" s="259">
        <f>SUMIFS(KB[NETTO2],KB[RELASI],C12,KB[TYPE],"A",KB[TANGGAL],"&gt;="&amp;DATE($D$2,$D$3,1),KB[TANGGAL],"&lt;"&amp;DATE($D$2+1,$D$3,1))</f>
        <v>0</v>
      </c>
      <c r="E12" s="214" t="str">
        <f t="shared" si="1"/>
        <v/>
      </c>
      <c r="F12" s="288">
        <f>SUMIFS(KB[TPEMBAYARAN],KB[RELASI],C12,KB[TYPE],"A",KB[TANGGAL],"&gt;="&amp;DATE($D$2,$D$3,1),KB[TANGGAL],"&lt;"&amp;DATE($D$2+1,$D$3,1))</f>
        <v>0</v>
      </c>
      <c r="G12" s="291"/>
      <c r="H12" s="276">
        <f>SUMIFS(KB[NETTO2],KB[RELASI],C12,KB[TYPE],"B",KB[TANGGAL],"&gt;="&amp;DATE($D$2,$D$3,1),KB[TANGGAL],"&lt;"&amp;DATE($D$2+1,$D$3,1))</f>
        <v>0</v>
      </c>
      <c r="I12" s="214" t="str">
        <f t="shared" si="2"/>
        <v/>
      </c>
      <c r="J12" s="217">
        <f>SUMIFS(KB[TPEMBAYARAN],KB[RELASI],C12,KB[TYPE],"B",KB[TANGGAL],"&gt;="&amp;DATE($D$2,$D$3,1),KB[TANGGAL],"&lt;"&amp;DATE($D$2+1,$D$3,1))</f>
        <v>0</v>
      </c>
      <c r="K12" s="291"/>
      <c r="L12" s="276">
        <f>SUMIFS(KBS[NETTO2],KBS[RELASI],C12,KBS[TANGGAL],"&gt;="&amp;DATE($D$2,$D$3,1),KBS[TANGGAL],"&lt;"&amp;DATE($D$2+1,$D$3,1))</f>
        <v>0</v>
      </c>
      <c r="M12" s="214" t="str">
        <f t="shared" si="3"/>
        <v/>
      </c>
      <c r="N12" s="217">
        <f>SUMIFS(KBS[TPEMBAYARAN],KBS[RELASI],C12,KBS[TANGGAL],"&gt;="&amp;DATE($D$2,$D$3,1),KBS[TANGGAL],"&lt;"&amp;DATE($D$2+1,$D$3,1))</f>
        <v>0</v>
      </c>
      <c r="O12" s="291"/>
      <c r="P12" s="281">
        <f>SUMIFS(KPR[NETTOB],KPR[RELASI],C12,KPR[TANGGAL],"&gt;="&amp;DATE($D$2,$D$3,1),KPR[TANGGAL],"&lt;"&amp;DATE($D$2+1,$D$3,1))</f>
        <v>0</v>
      </c>
      <c r="Q12" s="214" t="str">
        <f t="shared" si="4"/>
        <v/>
      </c>
      <c r="R12" s="217">
        <f>SUMIFS(KPR[TPEMBAYARAN],KPR[RELASI],C12,KPR[TANGGAL],"&gt;="&amp;DATE($D$2,$D$3,1),KPR[TANGGAL],"&lt;"&amp;DATE($D$2+1,$D$3,1))</f>
        <v>0</v>
      </c>
      <c r="S12" s="291"/>
      <c r="T12" s="276">
        <f>SUMIFS(ARG[NETTO3],ARG[RELASI],C12,ARG[TANGGAL],"&gt;="&amp;DATE($D$2,$D$3,1),ARG[TANGGAL],"&lt;"&amp;DATE($D$2+1,$D$3,1))</f>
        <v>0</v>
      </c>
      <c r="U12" s="214" t="str">
        <f t="shared" si="5"/>
        <v/>
      </c>
      <c r="V12" s="217">
        <f>SUMIFS(ARG[TPEMBAYARAN],ARG[RELASI],C12,ARG[TANGGAL],"&gt;="&amp;DATE($D$2,$D$3,1),ARG[TANGGAL],"&lt;"&amp;DATE($D$2+1,$D$3,1))</f>
        <v>0</v>
      </c>
      <c r="W12" s="291"/>
      <c r="X12" s="271">
        <f t="shared" si="6"/>
        <v>0</v>
      </c>
    </row>
    <row r="13" spans="1:24" ht="18" customHeight="1">
      <c r="A13" s="173"/>
      <c r="B13" s="246">
        <f t="shared" si="7"/>
        <v>6</v>
      </c>
      <c r="C13" s="245" t="str">
        <f>RELASI!C8</f>
        <v>AMIR</v>
      </c>
      <c r="D13" s="259">
        <f>SUMIFS(KB[NETTO2],KB[RELASI],C13,KB[TYPE],"A",KB[TANGGAL],"&gt;="&amp;DATE($D$2,$D$3,1),KB[TANGGAL],"&lt;"&amp;DATE($D$2+1,$D$3,1))</f>
        <v>59962.599999999991</v>
      </c>
      <c r="E13" s="214">
        <f t="shared" si="1"/>
        <v>2786.5025866123219</v>
      </c>
      <c r="F13" s="288">
        <f>SUMIFS(KB[TPEMBAYARAN],KB[RELASI],C13,KB[TYPE],"A",KB[TANGGAL],"&gt;="&amp;DATE($D$2,$D$3,1),KB[TANGGAL],"&lt;"&amp;DATE($D$2+1,$D$3,1))</f>
        <v>167085940</v>
      </c>
      <c r="G13" s="291"/>
      <c r="H13" s="276">
        <f>SUMIFS(KB[NETTO2],KB[RELASI],C13,KB[TYPE],"B",KB[TANGGAL],"&gt;="&amp;DATE($D$2,$D$3,1),KB[TANGGAL],"&lt;"&amp;DATE($D$2+1,$D$3,1))</f>
        <v>0</v>
      </c>
      <c r="I13" s="214" t="str">
        <f t="shared" si="2"/>
        <v/>
      </c>
      <c r="J13" s="217">
        <f>SUMIFS(KB[TPEMBAYARAN],KB[RELASI],C13,KB[TYPE],"B",KB[TANGGAL],"&gt;="&amp;DATE($D$2,$D$3,1),KB[TANGGAL],"&lt;"&amp;DATE($D$2+1,$D$3,1))</f>
        <v>0</v>
      </c>
      <c r="K13" s="291"/>
      <c r="L13" s="276">
        <f>SUMIFS(KBS[NETTO2],KBS[RELASI],C13,KBS[TANGGAL],"&gt;="&amp;DATE($D$2,$D$3,1),KBS[TANGGAL],"&lt;"&amp;DATE($D$2+1,$D$3,1))</f>
        <v>0</v>
      </c>
      <c r="M13" s="214" t="str">
        <f t="shared" si="3"/>
        <v/>
      </c>
      <c r="N13" s="217">
        <f>SUMIFS(KBS[TPEMBAYARAN],KBS[RELASI],C13,KBS[TANGGAL],"&gt;="&amp;DATE($D$2,$D$3,1),KBS[TANGGAL],"&lt;"&amp;DATE($D$2+1,$D$3,1))</f>
        <v>0</v>
      </c>
      <c r="O13" s="291"/>
      <c r="P13" s="281">
        <f>SUMIFS(KPR[NETTOB],KPR[RELASI],C13,KPR[TANGGAL],"&gt;="&amp;DATE($D$2,$D$3,1),KPR[TANGGAL],"&lt;"&amp;DATE($D$2+1,$D$3,1))</f>
        <v>0</v>
      </c>
      <c r="Q13" s="214" t="str">
        <f t="shared" si="4"/>
        <v/>
      </c>
      <c r="R13" s="217">
        <f>SUMIFS(KPR[TPEMBAYARAN],KPR[RELASI],C13,KPR[TANGGAL],"&gt;="&amp;DATE($D$2,$D$3,1),KPR[TANGGAL],"&lt;"&amp;DATE($D$2+1,$D$3,1))</f>
        <v>0</v>
      </c>
      <c r="S13" s="291"/>
      <c r="T13" s="276">
        <f>SUMIFS(ARG[NETTO3],ARG[RELASI],C13,ARG[TANGGAL],"&gt;="&amp;DATE($D$2,$D$3,1),ARG[TANGGAL],"&lt;"&amp;DATE($D$2+1,$D$3,1))</f>
        <v>0</v>
      </c>
      <c r="U13" s="214" t="str">
        <f t="shared" si="5"/>
        <v/>
      </c>
      <c r="V13" s="217">
        <f>SUMIFS(ARG[TPEMBAYARAN],ARG[RELASI],C13,ARG[TANGGAL],"&gt;="&amp;DATE($D$2,$D$3,1),ARG[TANGGAL],"&lt;"&amp;DATE($D$2+1,$D$3,1))</f>
        <v>0</v>
      </c>
      <c r="W13" s="291"/>
      <c r="X13" s="271">
        <f t="shared" si="6"/>
        <v>167085940</v>
      </c>
    </row>
    <row r="14" spans="1:24" ht="18" customHeight="1">
      <c r="A14" s="173"/>
      <c r="B14" s="246">
        <f t="shared" si="7"/>
        <v>7</v>
      </c>
      <c r="C14" s="245" t="str">
        <f>RELASI!C9</f>
        <v>AMIRUDDIN</v>
      </c>
      <c r="D14" s="259">
        <f>SUMIFS(KB[NETTO2],KB[RELASI],C14,KB[TYPE],"A",KB[TANGGAL],"&gt;="&amp;DATE($D$2,$D$3,1),KB[TANGGAL],"&lt;"&amp;DATE($D$2+1,$D$3,1))</f>
        <v>0</v>
      </c>
      <c r="E14" s="214" t="str">
        <f t="shared" si="1"/>
        <v/>
      </c>
      <c r="F14" s="288">
        <f>SUMIFS(KB[TPEMBAYARAN],KB[RELASI],C14,KB[TYPE],"A",KB[TANGGAL],"&gt;="&amp;DATE($D$2,$D$3,1),KB[TANGGAL],"&lt;"&amp;DATE($D$2+1,$D$3,1))</f>
        <v>0</v>
      </c>
      <c r="G14" s="291"/>
      <c r="H14" s="276">
        <f>SUMIFS(KB[NETTO2],KB[RELASI],C14,KB[TYPE],"B",KB[TANGGAL],"&gt;="&amp;DATE($D$2,$D$3,1),KB[TANGGAL],"&lt;"&amp;DATE($D$2+1,$D$3,1))</f>
        <v>0</v>
      </c>
      <c r="I14" s="214" t="str">
        <f t="shared" si="2"/>
        <v/>
      </c>
      <c r="J14" s="217">
        <f>SUMIFS(KB[TPEMBAYARAN],KB[RELASI],C14,KB[TYPE],"B",KB[TANGGAL],"&gt;="&amp;DATE($D$2,$D$3,1),KB[TANGGAL],"&lt;"&amp;DATE($D$2+1,$D$3,1))</f>
        <v>0</v>
      </c>
      <c r="K14" s="291"/>
      <c r="L14" s="276">
        <f>SUMIFS(KBS[NETTO2],KBS[RELASI],C14,KBS[TANGGAL],"&gt;="&amp;DATE($D$2,$D$3,1),KBS[TANGGAL],"&lt;"&amp;DATE($D$2+1,$D$3,1))</f>
        <v>0</v>
      </c>
      <c r="M14" s="214" t="str">
        <f t="shared" si="3"/>
        <v/>
      </c>
      <c r="N14" s="217">
        <f>SUMIFS(KBS[TPEMBAYARAN],KBS[RELASI],C14,KBS[TANGGAL],"&gt;="&amp;DATE($D$2,$D$3,1),KBS[TANGGAL],"&lt;"&amp;DATE($D$2+1,$D$3,1))</f>
        <v>0</v>
      </c>
      <c r="O14" s="291"/>
      <c r="P14" s="281">
        <f>SUMIFS(KPR[NETTOB],KPR[RELASI],C14,KPR[TANGGAL],"&gt;="&amp;DATE($D$2,$D$3,1),KPR[TANGGAL],"&lt;"&amp;DATE($D$2+1,$D$3,1))</f>
        <v>0</v>
      </c>
      <c r="Q14" s="214" t="str">
        <f t="shared" si="4"/>
        <v/>
      </c>
      <c r="R14" s="217">
        <f>SUMIFS(KPR[TPEMBAYARAN],KPR[RELASI],C14,KPR[TANGGAL],"&gt;="&amp;DATE($D$2,$D$3,1),KPR[TANGGAL],"&lt;"&amp;DATE($D$2+1,$D$3,1))</f>
        <v>0</v>
      </c>
      <c r="S14" s="291"/>
      <c r="T14" s="276">
        <f>SUMIFS(ARG[NETTO3],ARG[RELASI],C14,ARG[TANGGAL],"&gt;="&amp;DATE($D$2,$D$3,1),ARG[TANGGAL],"&lt;"&amp;DATE($D$2+1,$D$3,1))</f>
        <v>0</v>
      </c>
      <c r="U14" s="214" t="str">
        <f t="shared" si="5"/>
        <v/>
      </c>
      <c r="V14" s="217">
        <f>SUMIFS(ARG[TPEMBAYARAN],ARG[RELASI],C14,ARG[TANGGAL],"&gt;="&amp;DATE($D$2,$D$3,1),ARG[TANGGAL],"&lt;"&amp;DATE($D$2+1,$D$3,1))</f>
        <v>0</v>
      </c>
      <c r="W14" s="291"/>
      <c r="X14" s="271">
        <f t="shared" si="6"/>
        <v>0</v>
      </c>
    </row>
    <row r="15" spans="1:24" ht="18" customHeight="1">
      <c r="A15" s="173"/>
      <c r="B15" s="246">
        <f t="shared" si="7"/>
        <v>8</v>
      </c>
      <c r="C15" s="245" t="str">
        <f>RELASI!C10</f>
        <v>BUMDESA AMANAH NEGERI</v>
      </c>
      <c r="D15" s="259">
        <f>SUMIFS(KB[NETTO2],KB[RELASI],C15,KB[TYPE],"A",KB[TANGGAL],"&gt;="&amp;DATE($D$2,$D$3,1),KB[TANGGAL],"&lt;"&amp;DATE($D$2+1,$D$3,1))</f>
        <v>0</v>
      </c>
      <c r="E15" s="214" t="str">
        <f t="shared" si="1"/>
        <v/>
      </c>
      <c r="F15" s="288">
        <f>SUMIFS(KB[TPEMBAYARAN],KB[RELASI],C15,KB[TYPE],"A",KB[TANGGAL],"&gt;="&amp;DATE($D$2,$D$3,1),KB[TANGGAL],"&lt;"&amp;DATE($D$2+1,$D$3,1))</f>
        <v>0</v>
      </c>
      <c r="G15" s="291"/>
      <c r="H15" s="276">
        <f>SUMIFS(KB[NETTO2],KB[RELASI],C15,KB[TYPE],"B",KB[TANGGAL],"&gt;="&amp;DATE($D$2,$D$3,1),KB[TANGGAL],"&lt;"&amp;DATE($D$2+1,$D$3,1))</f>
        <v>0</v>
      </c>
      <c r="I15" s="214" t="str">
        <f t="shared" si="2"/>
        <v/>
      </c>
      <c r="J15" s="217">
        <f>SUMIFS(KB[TPEMBAYARAN],KB[RELASI],C15,KB[TYPE],"B",KB[TANGGAL],"&gt;="&amp;DATE($D$2,$D$3,1),KB[TANGGAL],"&lt;"&amp;DATE($D$2+1,$D$3,1))</f>
        <v>0</v>
      </c>
      <c r="K15" s="291"/>
      <c r="L15" s="276">
        <f>SUMIFS(KBS[NETTO2],KBS[RELASI],C15,KBS[TANGGAL],"&gt;="&amp;DATE($D$2,$D$3,1),KBS[TANGGAL],"&lt;"&amp;DATE($D$2+1,$D$3,1))</f>
        <v>0</v>
      </c>
      <c r="M15" s="214" t="str">
        <f t="shared" si="3"/>
        <v/>
      </c>
      <c r="N15" s="217">
        <f>SUMIFS(KBS[TPEMBAYARAN],KBS[RELASI],C15,KBS[TANGGAL],"&gt;="&amp;DATE($D$2,$D$3,1),KBS[TANGGAL],"&lt;"&amp;DATE($D$2+1,$D$3,1))</f>
        <v>0</v>
      </c>
      <c r="O15" s="291"/>
      <c r="P15" s="281">
        <f>SUMIFS(KPR[NETTOB],KPR[RELASI],C15,KPR[TANGGAL],"&gt;="&amp;DATE($D$2,$D$3,1),KPR[TANGGAL],"&lt;"&amp;DATE($D$2+1,$D$3,1))</f>
        <v>0</v>
      </c>
      <c r="Q15" s="214" t="str">
        <f t="shared" si="4"/>
        <v/>
      </c>
      <c r="R15" s="217">
        <f>SUMIFS(KPR[TPEMBAYARAN],KPR[RELASI],C15,KPR[TANGGAL],"&gt;="&amp;DATE($D$2,$D$3,1),KPR[TANGGAL],"&lt;"&amp;DATE($D$2+1,$D$3,1))</f>
        <v>0</v>
      </c>
      <c r="S15" s="291"/>
      <c r="T15" s="276">
        <f>SUMIFS(ARG[NETTO3],ARG[RELASI],C15,ARG[TANGGAL],"&gt;="&amp;DATE($D$2,$D$3,1),ARG[TANGGAL],"&lt;"&amp;DATE($D$2+1,$D$3,1))</f>
        <v>0</v>
      </c>
      <c r="U15" s="214" t="str">
        <f t="shared" si="5"/>
        <v/>
      </c>
      <c r="V15" s="217">
        <f>SUMIFS(ARG[TPEMBAYARAN],ARG[RELASI],C15,ARG[TANGGAL],"&gt;="&amp;DATE($D$2,$D$3,1),ARG[TANGGAL],"&lt;"&amp;DATE($D$2+1,$D$3,1))</f>
        <v>0</v>
      </c>
      <c r="W15" s="291"/>
      <c r="X15" s="271">
        <f t="shared" si="6"/>
        <v>0</v>
      </c>
    </row>
    <row r="16" spans="1:24" ht="18" customHeight="1">
      <c r="A16" s="173"/>
      <c r="B16" s="246">
        <f t="shared" si="7"/>
        <v>9</v>
      </c>
      <c r="C16" s="245" t="str">
        <f>RELASI!C11</f>
        <v>DARMI</v>
      </c>
      <c r="D16" s="259">
        <f>SUMIFS(KB[NETTO2],KB[RELASI],C16,KB[TYPE],"A",KB[TANGGAL],"&gt;="&amp;DATE($D$2,$D$3,1),KB[TANGGAL],"&lt;"&amp;DATE($D$2+1,$D$3,1))</f>
        <v>0</v>
      </c>
      <c r="E16" s="214" t="str">
        <f t="shared" si="1"/>
        <v/>
      </c>
      <c r="F16" s="288">
        <f>SUMIFS(KB[TPEMBAYARAN],KB[RELASI],C16,KB[TYPE],"A",KB[TANGGAL],"&gt;="&amp;DATE($D$2,$D$3,1),KB[TANGGAL],"&lt;"&amp;DATE($D$2+1,$D$3,1))</f>
        <v>0</v>
      </c>
      <c r="G16" s="291"/>
      <c r="H16" s="276">
        <f>SUMIFS(KB[NETTO2],KB[RELASI],C16,KB[TYPE],"B",KB[TANGGAL],"&gt;="&amp;DATE($D$2,$D$3,1),KB[TANGGAL],"&lt;"&amp;DATE($D$2+1,$D$3,1))</f>
        <v>0</v>
      </c>
      <c r="I16" s="214" t="str">
        <f t="shared" si="2"/>
        <v/>
      </c>
      <c r="J16" s="217">
        <f>SUMIFS(KB[TPEMBAYARAN],KB[RELASI],C16,KB[TYPE],"B",KB[TANGGAL],"&gt;="&amp;DATE($D$2,$D$3,1),KB[TANGGAL],"&lt;"&amp;DATE($D$2+1,$D$3,1))</f>
        <v>0</v>
      </c>
      <c r="K16" s="291"/>
      <c r="L16" s="276">
        <f>SUMIFS(KBS[NETTO2],KBS[RELASI],C16,KBS[TANGGAL],"&gt;="&amp;DATE($D$2,$D$3,1),KBS[TANGGAL],"&lt;"&amp;DATE($D$2+1,$D$3,1))</f>
        <v>0</v>
      </c>
      <c r="M16" s="214" t="str">
        <f t="shared" si="3"/>
        <v/>
      </c>
      <c r="N16" s="217">
        <f>SUMIFS(KBS[TPEMBAYARAN],KBS[RELASI],C16,KBS[TANGGAL],"&gt;="&amp;DATE($D$2,$D$3,1),KBS[TANGGAL],"&lt;"&amp;DATE($D$2+1,$D$3,1))</f>
        <v>0</v>
      </c>
      <c r="O16" s="291"/>
      <c r="P16" s="281">
        <f>SUMIFS(KPR[NETTOB],KPR[RELASI],C16,KPR[TANGGAL],"&gt;="&amp;DATE($D$2,$D$3,1),KPR[TANGGAL],"&lt;"&amp;DATE($D$2+1,$D$3,1))</f>
        <v>0</v>
      </c>
      <c r="Q16" s="214" t="str">
        <f t="shared" si="4"/>
        <v/>
      </c>
      <c r="R16" s="217">
        <f>SUMIFS(KPR[TPEMBAYARAN],KPR[RELASI],C16,KPR[TANGGAL],"&gt;="&amp;DATE($D$2,$D$3,1),KPR[TANGGAL],"&lt;"&amp;DATE($D$2+1,$D$3,1))</f>
        <v>0</v>
      </c>
      <c r="S16" s="291"/>
      <c r="T16" s="276">
        <f>SUMIFS(ARG[NETTO3],ARG[RELASI],C16,ARG[TANGGAL],"&gt;="&amp;DATE($D$2,$D$3,1),ARG[TANGGAL],"&lt;"&amp;DATE($D$2+1,$D$3,1))</f>
        <v>0</v>
      </c>
      <c r="U16" s="214" t="str">
        <f t="shared" si="5"/>
        <v/>
      </c>
      <c r="V16" s="217">
        <f>SUMIFS(ARG[TPEMBAYARAN],ARG[RELASI],C16,ARG[TANGGAL],"&gt;="&amp;DATE($D$2,$D$3,1),ARG[TANGGAL],"&lt;"&amp;DATE($D$2+1,$D$3,1))</f>
        <v>0</v>
      </c>
      <c r="W16" s="291"/>
      <c r="X16" s="271">
        <f t="shared" si="6"/>
        <v>0</v>
      </c>
    </row>
    <row r="17" spans="1:24" ht="18" customHeight="1">
      <c r="A17" s="173"/>
      <c r="B17" s="246">
        <f t="shared" si="7"/>
        <v>10</v>
      </c>
      <c r="C17" s="245" t="str">
        <f>RELASI!C12</f>
        <v>DINI CHAIRANI</v>
      </c>
      <c r="D17" s="259">
        <f>SUMIFS(KB[NETTO2],KB[RELASI],C17,KB[TYPE],"A",KB[TANGGAL],"&gt;="&amp;DATE($D$2,$D$3,1),KB[TANGGAL],"&lt;"&amp;DATE($D$2+1,$D$3,1))</f>
        <v>502298.4</v>
      </c>
      <c r="E17" s="214">
        <f t="shared" si="1"/>
        <v>2774.8142777281391</v>
      </c>
      <c r="F17" s="288">
        <f>SUMIFS(KB[TPEMBAYARAN],KB[RELASI],C17,KB[TYPE],"A",KB[TANGGAL],"&gt;="&amp;DATE($D$2,$D$3,1),KB[TANGGAL],"&lt;"&amp;DATE($D$2+1,$D$3,1))</f>
        <v>1393784772</v>
      </c>
      <c r="G17" s="291"/>
      <c r="H17" s="276">
        <f>SUMIFS(KB[NETTO2],KB[RELASI],C17,KB[TYPE],"B",KB[TANGGAL],"&gt;="&amp;DATE($D$2,$D$3,1),KB[TANGGAL],"&lt;"&amp;DATE($D$2+1,$D$3,1))</f>
        <v>0</v>
      </c>
      <c r="I17" s="214" t="str">
        <f t="shared" si="2"/>
        <v/>
      </c>
      <c r="J17" s="217">
        <f>SUMIFS(KB[TPEMBAYARAN],KB[RELASI],C17,KB[TYPE],"B",KB[TANGGAL],"&gt;="&amp;DATE($D$2,$D$3,1),KB[TANGGAL],"&lt;"&amp;DATE($D$2+1,$D$3,1))</f>
        <v>0</v>
      </c>
      <c r="K17" s="291"/>
      <c r="L17" s="276">
        <f>SUMIFS(KBS[NETTO2],KBS[RELASI],C17,KBS[TANGGAL],"&gt;="&amp;DATE($D$2,$D$3,1),KBS[TANGGAL],"&lt;"&amp;DATE($D$2+1,$D$3,1))</f>
        <v>0</v>
      </c>
      <c r="M17" s="214" t="str">
        <f t="shared" si="3"/>
        <v/>
      </c>
      <c r="N17" s="217">
        <f>SUMIFS(KBS[TPEMBAYARAN],KBS[RELASI],C17,KBS[TANGGAL],"&gt;="&amp;DATE($D$2,$D$3,1),KBS[TANGGAL],"&lt;"&amp;DATE($D$2+1,$D$3,1))</f>
        <v>0</v>
      </c>
      <c r="O17" s="291"/>
      <c r="P17" s="281">
        <f>SUMIFS(KPR[NETTOB],KPR[RELASI],C17,KPR[TANGGAL],"&gt;="&amp;DATE($D$2,$D$3,1),KPR[TANGGAL],"&lt;"&amp;DATE($D$2+1,$D$3,1))</f>
        <v>0</v>
      </c>
      <c r="Q17" s="214" t="str">
        <f t="shared" si="4"/>
        <v/>
      </c>
      <c r="R17" s="217">
        <f>SUMIFS(KPR[TPEMBAYARAN],KPR[RELASI],C17,KPR[TANGGAL],"&gt;="&amp;DATE($D$2,$D$3,1),KPR[TANGGAL],"&lt;"&amp;DATE($D$2+1,$D$3,1))</f>
        <v>0</v>
      </c>
      <c r="S17" s="291"/>
      <c r="T17" s="276">
        <f>SUMIFS(ARG[NETTO3],ARG[RELASI],C17,ARG[TANGGAL],"&gt;="&amp;DATE($D$2,$D$3,1),ARG[TANGGAL],"&lt;"&amp;DATE($D$2+1,$D$3,1))</f>
        <v>0</v>
      </c>
      <c r="U17" s="214" t="str">
        <f t="shared" si="5"/>
        <v/>
      </c>
      <c r="V17" s="217">
        <f>SUMIFS(ARG[TPEMBAYARAN],ARG[RELASI],C17,ARG[TANGGAL],"&gt;="&amp;DATE($D$2,$D$3,1),ARG[TANGGAL],"&lt;"&amp;DATE($D$2+1,$D$3,1))</f>
        <v>0</v>
      </c>
      <c r="W17" s="291"/>
      <c r="X17" s="271">
        <f t="shared" si="6"/>
        <v>1393784772</v>
      </c>
    </row>
    <row r="18" spans="1:24" ht="18" customHeight="1">
      <c r="A18" s="173"/>
      <c r="B18" s="246">
        <f t="shared" si="7"/>
        <v>11</v>
      </c>
      <c r="C18" s="245" t="str">
        <f>RELASI!C13</f>
        <v>EDBERT</v>
      </c>
      <c r="D18" s="259">
        <f>SUMIFS(KB[NETTO2],KB[RELASI],C18,KB[TYPE],"A",KB[TANGGAL],"&gt;="&amp;DATE($D$2,$D$3,1),KB[TANGGAL],"&lt;"&amp;DATE($D$2+1,$D$3,1))</f>
        <v>0</v>
      </c>
      <c r="E18" s="214" t="str">
        <f t="shared" si="1"/>
        <v/>
      </c>
      <c r="F18" s="288">
        <f>SUMIFS(KB[TPEMBAYARAN],KB[RELASI],C18,KB[TYPE],"A",KB[TANGGAL],"&gt;="&amp;DATE($D$2,$D$3,1),KB[TANGGAL],"&lt;"&amp;DATE($D$2+1,$D$3,1))</f>
        <v>0</v>
      </c>
      <c r="G18" s="291"/>
      <c r="H18" s="276">
        <f>SUMIFS(KB[NETTO2],KB[RELASI],C18,KB[TYPE],"B",KB[TANGGAL],"&gt;="&amp;DATE($D$2,$D$3,1),KB[TANGGAL],"&lt;"&amp;DATE($D$2+1,$D$3,1))</f>
        <v>0</v>
      </c>
      <c r="I18" s="214" t="str">
        <f t="shared" si="2"/>
        <v/>
      </c>
      <c r="J18" s="217">
        <f>SUMIFS(KB[TPEMBAYARAN],KB[RELASI],C18,KB[TYPE],"B",KB[TANGGAL],"&gt;="&amp;DATE($D$2,$D$3,1),KB[TANGGAL],"&lt;"&amp;DATE($D$2+1,$D$3,1))</f>
        <v>0</v>
      </c>
      <c r="K18" s="291"/>
      <c r="L18" s="276">
        <f>SUMIFS(KBS[NETTO2],KBS[RELASI],C18,KBS[TANGGAL],"&gt;="&amp;DATE($D$2,$D$3,1),KBS[TANGGAL],"&lt;"&amp;DATE($D$2+1,$D$3,1))</f>
        <v>0</v>
      </c>
      <c r="M18" s="214" t="str">
        <f t="shared" si="3"/>
        <v/>
      </c>
      <c r="N18" s="217">
        <f>SUMIFS(KBS[TPEMBAYARAN],KBS[RELASI],C18,KBS[TANGGAL],"&gt;="&amp;DATE($D$2,$D$3,1),KBS[TANGGAL],"&lt;"&amp;DATE($D$2+1,$D$3,1))</f>
        <v>0</v>
      </c>
      <c r="O18" s="291"/>
      <c r="P18" s="281">
        <f>SUMIFS(KPR[NETTOB],KPR[RELASI],C18,KPR[TANGGAL],"&gt;="&amp;DATE($D$2,$D$3,1),KPR[TANGGAL],"&lt;"&amp;DATE($D$2+1,$D$3,1))</f>
        <v>0</v>
      </c>
      <c r="Q18" s="214" t="str">
        <f t="shared" si="4"/>
        <v/>
      </c>
      <c r="R18" s="217">
        <f>SUMIFS(KPR[TPEMBAYARAN],KPR[RELASI],C18,KPR[TANGGAL],"&gt;="&amp;DATE($D$2,$D$3,1),KPR[TANGGAL],"&lt;"&amp;DATE($D$2+1,$D$3,1))</f>
        <v>0</v>
      </c>
      <c r="S18" s="291"/>
      <c r="T18" s="276">
        <f>SUMIFS(ARG[NETTO3],ARG[RELASI],C18,ARG[TANGGAL],"&gt;="&amp;DATE($D$2,$D$3,1),ARG[TANGGAL],"&lt;"&amp;DATE($D$2+1,$D$3,1))</f>
        <v>0</v>
      </c>
      <c r="U18" s="214" t="str">
        <f t="shared" si="5"/>
        <v/>
      </c>
      <c r="V18" s="217">
        <f>SUMIFS(ARG[TPEMBAYARAN],ARG[RELASI],C18,ARG[TANGGAL],"&gt;="&amp;DATE($D$2,$D$3,1),ARG[TANGGAL],"&lt;"&amp;DATE($D$2+1,$D$3,1))</f>
        <v>0</v>
      </c>
      <c r="W18" s="291"/>
      <c r="X18" s="271">
        <f t="shared" si="6"/>
        <v>0</v>
      </c>
    </row>
    <row r="19" spans="1:24" ht="18" customHeight="1">
      <c r="A19" s="173"/>
      <c r="B19" s="246">
        <f t="shared" si="7"/>
        <v>12</v>
      </c>
      <c r="C19" s="245" t="str">
        <f>RELASI!C14</f>
        <v>ERAWATI</v>
      </c>
      <c r="D19" s="259">
        <f>SUMIFS(KB[NETTO2],KB[RELASI],C19,KB[TYPE],"A",KB[TANGGAL],"&gt;="&amp;DATE($D$2,$D$3,1),KB[TANGGAL],"&lt;"&amp;DATE($D$2+1,$D$3,1))</f>
        <v>1094846.0999999999</v>
      </c>
      <c r="E19" s="214">
        <f t="shared" si="1"/>
        <v>2814.0281250488088</v>
      </c>
      <c r="F19" s="288">
        <f>SUMIFS(KB[TPEMBAYARAN],KB[RELASI],C19,KB[TYPE],"A",KB[TANGGAL],"&gt;="&amp;DATE($D$2,$D$3,1),KB[TANGGAL],"&lt;"&amp;DATE($D$2+1,$D$3,1))</f>
        <v>3080927718</v>
      </c>
      <c r="G19" s="291"/>
      <c r="H19" s="276">
        <f>SUMIFS(KB[NETTO2],KB[RELASI],C19,KB[TYPE],"B",KB[TANGGAL],"&gt;="&amp;DATE($D$2,$D$3,1),KB[TANGGAL],"&lt;"&amp;DATE($D$2+1,$D$3,1))</f>
        <v>0</v>
      </c>
      <c r="I19" s="214" t="str">
        <f t="shared" si="2"/>
        <v/>
      </c>
      <c r="J19" s="217">
        <f>SUMIFS(KB[TPEMBAYARAN],KB[RELASI],C19,KB[TYPE],"B",KB[TANGGAL],"&gt;="&amp;DATE($D$2,$D$3,1),KB[TANGGAL],"&lt;"&amp;DATE($D$2+1,$D$3,1))</f>
        <v>0</v>
      </c>
      <c r="K19" s="291"/>
      <c r="L19" s="276">
        <f>SUMIFS(KBS[NETTO2],KBS[RELASI],C19,KBS[TANGGAL],"&gt;="&amp;DATE($D$2,$D$3,1),KBS[TANGGAL],"&lt;"&amp;DATE($D$2+1,$D$3,1))</f>
        <v>0</v>
      </c>
      <c r="M19" s="214" t="str">
        <f t="shared" si="3"/>
        <v/>
      </c>
      <c r="N19" s="217">
        <f>SUMIFS(KBS[TPEMBAYARAN],KBS[RELASI],C19,KBS[TANGGAL],"&gt;="&amp;DATE($D$2,$D$3,1),KBS[TANGGAL],"&lt;"&amp;DATE($D$2+1,$D$3,1))</f>
        <v>0</v>
      </c>
      <c r="O19" s="291"/>
      <c r="P19" s="281">
        <f>SUMIFS(KPR[NETTOB],KPR[RELASI],C19,KPR[TANGGAL],"&gt;="&amp;DATE($D$2,$D$3,1),KPR[TANGGAL],"&lt;"&amp;DATE($D$2+1,$D$3,1))</f>
        <v>0</v>
      </c>
      <c r="Q19" s="214" t="str">
        <f t="shared" si="4"/>
        <v/>
      </c>
      <c r="R19" s="217">
        <f>SUMIFS(KPR[TPEMBAYARAN],KPR[RELASI],C19,KPR[TANGGAL],"&gt;="&amp;DATE($D$2,$D$3,1),KPR[TANGGAL],"&lt;"&amp;DATE($D$2+1,$D$3,1))</f>
        <v>0</v>
      </c>
      <c r="S19" s="291"/>
      <c r="T19" s="276">
        <f>SUMIFS(ARG[NETTO3],ARG[RELASI],C19,ARG[TANGGAL],"&gt;="&amp;DATE($D$2,$D$3,1),ARG[TANGGAL],"&lt;"&amp;DATE($D$2+1,$D$3,1))</f>
        <v>0</v>
      </c>
      <c r="U19" s="214" t="str">
        <f t="shared" si="5"/>
        <v/>
      </c>
      <c r="V19" s="217">
        <f>SUMIFS(ARG[TPEMBAYARAN],ARG[RELASI],C19,ARG[TANGGAL],"&gt;="&amp;DATE($D$2,$D$3,1),ARG[TANGGAL],"&lt;"&amp;DATE($D$2+1,$D$3,1))</f>
        <v>0</v>
      </c>
      <c r="W19" s="291"/>
      <c r="X19" s="271">
        <f t="shared" si="6"/>
        <v>3080927718</v>
      </c>
    </row>
    <row r="20" spans="1:24" ht="18" customHeight="1">
      <c r="A20" s="173"/>
      <c r="B20" s="246">
        <f t="shared" si="7"/>
        <v>13</v>
      </c>
      <c r="C20" s="245" t="str">
        <f>RELASI!C15</f>
        <v>H.ARSAD</v>
      </c>
      <c r="D20" s="259">
        <f>SUMIFS(KB[NETTO2],KB[RELASI],C20,KB[TYPE],"A",KB[TANGGAL],"&gt;="&amp;DATE($D$2,$D$3,1),KB[TANGGAL],"&lt;"&amp;DATE($D$2+1,$D$3,1))</f>
        <v>0</v>
      </c>
      <c r="E20" s="214" t="str">
        <f t="shared" si="1"/>
        <v/>
      </c>
      <c r="F20" s="288">
        <f>SUMIFS(KB[TPEMBAYARAN],KB[RELASI],C20,KB[TYPE],"A",KB[TANGGAL],"&gt;="&amp;DATE($D$2,$D$3,1),KB[TANGGAL],"&lt;"&amp;DATE($D$2+1,$D$3,1))</f>
        <v>0</v>
      </c>
      <c r="G20" s="291"/>
      <c r="H20" s="276">
        <f>SUMIFS(KB[NETTO2],KB[RELASI],C20,KB[TYPE],"B",KB[TANGGAL],"&gt;="&amp;DATE($D$2,$D$3,1),KB[TANGGAL],"&lt;"&amp;DATE($D$2+1,$D$3,1))</f>
        <v>0</v>
      </c>
      <c r="I20" s="214" t="str">
        <f t="shared" si="2"/>
        <v/>
      </c>
      <c r="J20" s="217">
        <f>SUMIFS(KB[TPEMBAYARAN],KB[RELASI],C20,KB[TYPE],"B",KB[TANGGAL],"&gt;="&amp;DATE($D$2,$D$3,1),KB[TANGGAL],"&lt;"&amp;DATE($D$2+1,$D$3,1))</f>
        <v>0</v>
      </c>
      <c r="K20" s="291"/>
      <c r="L20" s="276">
        <f>SUMIFS(KBS[NETTO2],KBS[RELASI],C20,KBS[TANGGAL],"&gt;="&amp;DATE($D$2,$D$3,1),KBS[TANGGAL],"&lt;"&amp;DATE($D$2+1,$D$3,1))</f>
        <v>0</v>
      </c>
      <c r="M20" s="214" t="str">
        <f t="shared" si="3"/>
        <v/>
      </c>
      <c r="N20" s="217">
        <f>SUMIFS(KBS[TPEMBAYARAN],KBS[RELASI],C20,KBS[TANGGAL],"&gt;="&amp;DATE($D$2,$D$3,1),KBS[TANGGAL],"&lt;"&amp;DATE($D$2+1,$D$3,1))</f>
        <v>0</v>
      </c>
      <c r="O20" s="291"/>
      <c r="P20" s="281">
        <f>SUMIFS(KPR[NETTOB],KPR[RELASI],C20,KPR[TANGGAL],"&gt;="&amp;DATE($D$2,$D$3,1),KPR[TANGGAL],"&lt;"&amp;DATE($D$2+1,$D$3,1))</f>
        <v>0</v>
      </c>
      <c r="Q20" s="214" t="str">
        <f t="shared" si="4"/>
        <v/>
      </c>
      <c r="R20" s="217">
        <f>SUMIFS(KPR[TPEMBAYARAN],KPR[RELASI],C20,KPR[TANGGAL],"&gt;="&amp;DATE($D$2,$D$3,1),KPR[TANGGAL],"&lt;"&amp;DATE($D$2+1,$D$3,1))</f>
        <v>0</v>
      </c>
      <c r="S20" s="291"/>
      <c r="T20" s="276">
        <f>SUMIFS(ARG[NETTO3],ARG[RELASI],C20,ARG[TANGGAL],"&gt;="&amp;DATE($D$2,$D$3,1),ARG[TANGGAL],"&lt;"&amp;DATE($D$2+1,$D$3,1))</f>
        <v>0</v>
      </c>
      <c r="U20" s="214" t="str">
        <f t="shared" si="5"/>
        <v/>
      </c>
      <c r="V20" s="217">
        <f>SUMIFS(ARG[TPEMBAYARAN],ARG[RELASI],C20,ARG[TANGGAL],"&gt;="&amp;DATE($D$2,$D$3,1),ARG[TANGGAL],"&lt;"&amp;DATE($D$2+1,$D$3,1))</f>
        <v>0</v>
      </c>
      <c r="W20" s="291"/>
      <c r="X20" s="271">
        <f t="shared" si="6"/>
        <v>0</v>
      </c>
    </row>
    <row r="21" spans="1:24" ht="18" customHeight="1">
      <c r="A21" s="173"/>
      <c r="B21" s="246">
        <f t="shared" si="7"/>
        <v>14</v>
      </c>
      <c r="C21" s="245" t="str">
        <f>RELASI!C16</f>
        <v>H.HAMID</v>
      </c>
      <c r="D21" s="259">
        <f>SUMIFS(KB[NETTO2],KB[RELASI],C21,KB[TYPE],"A",KB[TANGGAL],"&gt;="&amp;DATE($D$2,$D$3,1),KB[TANGGAL],"&lt;"&amp;DATE($D$2+1,$D$3,1))</f>
        <v>0</v>
      </c>
      <c r="E21" s="214" t="str">
        <f t="shared" si="1"/>
        <v/>
      </c>
      <c r="F21" s="288">
        <f>SUMIFS(KB[TPEMBAYARAN],KB[RELASI],C21,KB[TYPE],"A",KB[TANGGAL],"&gt;="&amp;DATE($D$2,$D$3,1),KB[TANGGAL],"&lt;"&amp;DATE($D$2+1,$D$3,1))</f>
        <v>0</v>
      </c>
      <c r="G21" s="291"/>
      <c r="H21" s="276">
        <f>SUMIFS(KB[NETTO2],KB[RELASI],C21,KB[TYPE],"B",KB[TANGGAL],"&gt;="&amp;DATE($D$2,$D$3,1),KB[TANGGAL],"&lt;"&amp;DATE($D$2+1,$D$3,1))</f>
        <v>0</v>
      </c>
      <c r="I21" s="214" t="str">
        <f t="shared" si="2"/>
        <v/>
      </c>
      <c r="J21" s="217">
        <f>SUMIFS(KB[TPEMBAYARAN],KB[RELASI],C21,KB[TYPE],"B",KB[TANGGAL],"&gt;="&amp;DATE($D$2,$D$3,1),KB[TANGGAL],"&lt;"&amp;DATE($D$2+1,$D$3,1))</f>
        <v>0</v>
      </c>
      <c r="K21" s="291"/>
      <c r="L21" s="276">
        <f>SUMIFS(KBS[NETTO2],KBS[RELASI],C21,KBS[TANGGAL],"&gt;="&amp;DATE($D$2,$D$3,1),KBS[TANGGAL],"&lt;"&amp;DATE($D$2+1,$D$3,1))</f>
        <v>0</v>
      </c>
      <c r="M21" s="214" t="str">
        <f t="shared" si="3"/>
        <v/>
      </c>
      <c r="N21" s="217">
        <f>SUMIFS(KBS[TPEMBAYARAN],KBS[RELASI],C21,KBS[TANGGAL],"&gt;="&amp;DATE($D$2,$D$3,1),KBS[TANGGAL],"&lt;"&amp;DATE($D$2+1,$D$3,1))</f>
        <v>0</v>
      </c>
      <c r="O21" s="291"/>
      <c r="P21" s="281">
        <f>SUMIFS(KPR[NETTOB],KPR[RELASI],C21,KPR[TANGGAL],"&gt;="&amp;DATE($D$2,$D$3,1),KPR[TANGGAL],"&lt;"&amp;DATE($D$2+1,$D$3,1))</f>
        <v>0</v>
      </c>
      <c r="Q21" s="214" t="str">
        <f t="shared" si="4"/>
        <v/>
      </c>
      <c r="R21" s="217">
        <f>SUMIFS(KPR[TPEMBAYARAN],KPR[RELASI],C21,KPR[TANGGAL],"&gt;="&amp;DATE($D$2,$D$3,1),KPR[TANGGAL],"&lt;"&amp;DATE($D$2+1,$D$3,1))</f>
        <v>0</v>
      </c>
      <c r="S21" s="291"/>
      <c r="T21" s="276">
        <f>SUMIFS(ARG[NETTO3],ARG[RELASI],C21,ARG[TANGGAL],"&gt;="&amp;DATE($D$2,$D$3,1),ARG[TANGGAL],"&lt;"&amp;DATE($D$2+1,$D$3,1))</f>
        <v>0</v>
      </c>
      <c r="U21" s="214" t="str">
        <f t="shared" si="5"/>
        <v/>
      </c>
      <c r="V21" s="217">
        <f>SUMIFS(ARG[TPEMBAYARAN],ARG[RELASI],C21,ARG[TANGGAL],"&gt;="&amp;DATE($D$2,$D$3,1),ARG[TANGGAL],"&lt;"&amp;DATE($D$2+1,$D$3,1))</f>
        <v>0</v>
      </c>
      <c r="W21" s="291"/>
      <c r="X21" s="271">
        <f t="shared" si="6"/>
        <v>0</v>
      </c>
    </row>
    <row r="22" spans="1:24" ht="18" customHeight="1">
      <c r="A22" s="173"/>
      <c r="B22" s="246">
        <f t="shared" si="7"/>
        <v>15</v>
      </c>
      <c r="C22" s="245" t="str">
        <f>RELASI!C17</f>
        <v>H.HARIS</v>
      </c>
      <c r="D22" s="259">
        <f>SUMIFS(KB[NETTO2],KB[RELASI],C22,KB[TYPE],"A",KB[TANGGAL],"&gt;="&amp;DATE($D$2,$D$3,1),KB[TANGGAL],"&lt;"&amp;DATE($D$2+1,$D$3,1))</f>
        <v>0</v>
      </c>
      <c r="E22" s="214" t="str">
        <f t="shared" si="1"/>
        <v/>
      </c>
      <c r="F22" s="288">
        <f>SUMIFS(KB[TPEMBAYARAN],KB[RELASI],C22,KB[TYPE],"A",KB[TANGGAL],"&gt;="&amp;DATE($D$2,$D$3,1),KB[TANGGAL],"&lt;"&amp;DATE($D$2+1,$D$3,1))</f>
        <v>0</v>
      </c>
      <c r="G22" s="291"/>
      <c r="H22" s="276">
        <f>SUMIFS(KB[NETTO2],KB[RELASI],C22,KB[TYPE],"B",KB[TANGGAL],"&gt;="&amp;DATE($D$2,$D$3,1),KB[TANGGAL],"&lt;"&amp;DATE($D$2+1,$D$3,1))</f>
        <v>0</v>
      </c>
      <c r="I22" s="214" t="str">
        <f t="shared" si="2"/>
        <v/>
      </c>
      <c r="J22" s="217">
        <f>SUMIFS(KB[TPEMBAYARAN],KB[RELASI],C22,KB[TYPE],"B",KB[TANGGAL],"&gt;="&amp;DATE($D$2,$D$3,1),KB[TANGGAL],"&lt;"&amp;DATE($D$2+1,$D$3,1))</f>
        <v>0</v>
      </c>
      <c r="K22" s="291"/>
      <c r="L22" s="276">
        <f>SUMIFS(KBS[NETTO2],KBS[RELASI],C22,KBS[TANGGAL],"&gt;="&amp;DATE($D$2,$D$3,1),KBS[TANGGAL],"&lt;"&amp;DATE($D$2+1,$D$3,1))</f>
        <v>0</v>
      </c>
      <c r="M22" s="214" t="str">
        <f t="shared" si="3"/>
        <v/>
      </c>
      <c r="N22" s="217">
        <f>SUMIFS(KBS[TPEMBAYARAN],KBS[RELASI],C22,KBS[TANGGAL],"&gt;="&amp;DATE($D$2,$D$3,1),KBS[TANGGAL],"&lt;"&amp;DATE($D$2+1,$D$3,1))</f>
        <v>0</v>
      </c>
      <c r="O22" s="291"/>
      <c r="P22" s="281">
        <f>SUMIFS(KPR[NETTOB],KPR[RELASI],C22,KPR[TANGGAL],"&gt;="&amp;DATE($D$2,$D$3,1),KPR[TANGGAL],"&lt;"&amp;DATE($D$2+1,$D$3,1))</f>
        <v>0</v>
      </c>
      <c r="Q22" s="214" t="str">
        <f t="shared" si="4"/>
        <v/>
      </c>
      <c r="R22" s="217">
        <f>SUMIFS(KPR[TPEMBAYARAN],KPR[RELASI],C22,KPR[TANGGAL],"&gt;="&amp;DATE($D$2,$D$3,1),KPR[TANGGAL],"&lt;"&amp;DATE($D$2+1,$D$3,1))</f>
        <v>0</v>
      </c>
      <c r="S22" s="291"/>
      <c r="T22" s="276">
        <f>SUMIFS(ARG[NETTO3],ARG[RELASI],C22,ARG[TANGGAL],"&gt;="&amp;DATE($D$2,$D$3,1),ARG[TANGGAL],"&lt;"&amp;DATE($D$2+1,$D$3,1))</f>
        <v>0</v>
      </c>
      <c r="U22" s="214" t="str">
        <f t="shared" si="5"/>
        <v/>
      </c>
      <c r="V22" s="217">
        <f>SUMIFS(ARG[TPEMBAYARAN],ARG[RELASI],C22,ARG[TANGGAL],"&gt;="&amp;DATE($D$2,$D$3,1),ARG[TANGGAL],"&lt;"&amp;DATE($D$2+1,$D$3,1))</f>
        <v>0</v>
      </c>
      <c r="W22" s="291"/>
      <c r="X22" s="271">
        <f t="shared" si="6"/>
        <v>0</v>
      </c>
    </row>
    <row r="23" spans="1:24" ht="18" customHeight="1">
      <c r="A23" s="173"/>
      <c r="B23" s="246">
        <f t="shared" si="7"/>
        <v>16</v>
      </c>
      <c r="C23" s="245" t="str">
        <f>RELASI!C18</f>
        <v>H.SALINDRI</v>
      </c>
      <c r="D23" s="259">
        <f>SUMIFS(KB[NETTO2],KB[RELASI],C23,KB[TYPE],"A",KB[TANGGAL],"&gt;="&amp;DATE($D$2,$D$3,1),KB[TANGGAL],"&lt;"&amp;DATE($D$2+1,$D$3,1))</f>
        <v>0</v>
      </c>
      <c r="E23" s="214" t="str">
        <f t="shared" si="1"/>
        <v/>
      </c>
      <c r="F23" s="288">
        <f>SUMIFS(KB[TPEMBAYARAN],KB[RELASI],C23,KB[TYPE],"A",KB[TANGGAL],"&gt;="&amp;DATE($D$2,$D$3,1),KB[TANGGAL],"&lt;"&amp;DATE($D$2+1,$D$3,1))</f>
        <v>0</v>
      </c>
      <c r="G23" s="291"/>
      <c r="H23" s="276">
        <f>SUMIFS(KB[NETTO2],KB[RELASI],C23,KB[TYPE],"B",KB[TANGGAL],"&gt;="&amp;DATE($D$2,$D$3,1),KB[TANGGAL],"&lt;"&amp;DATE($D$2+1,$D$3,1))</f>
        <v>0</v>
      </c>
      <c r="I23" s="214" t="str">
        <f t="shared" si="2"/>
        <v/>
      </c>
      <c r="J23" s="217">
        <f>SUMIFS(KB[TPEMBAYARAN],KB[RELASI],C23,KB[TYPE],"B",KB[TANGGAL],"&gt;="&amp;DATE($D$2,$D$3,1),KB[TANGGAL],"&lt;"&amp;DATE($D$2+1,$D$3,1))</f>
        <v>0</v>
      </c>
      <c r="K23" s="291"/>
      <c r="L23" s="276">
        <f>SUMIFS(KBS[NETTO2],KBS[RELASI],C23,KBS[TANGGAL],"&gt;="&amp;DATE($D$2,$D$3,1),KBS[TANGGAL],"&lt;"&amp;DATE($D$2+1,$D$3,1))</f>
        <v>0</v>
      </c>
      <c r="M23" s="214" t="str">
        <f t="shared" si="3"/>
        <v/>
      </c>
      <c r="N23" s="217">
        <f>SUMIFS(KBS[TPEMBAYARAN],KBS[RELASI],C23,KBS[TANGGAL],"&gt;="&amp;DATE($D$2,$D$3,1),KBS[TANGGAL],"&lt;"&amp;DATE($D$2+1,$D$3,1))</f>
        <v>0</v>
      </c>
      <c r="O23" s="291"/>
      <c r="P23" s="281">
        <f>SUMIFS(KPR[NETTOB],KPR[RELASI],C23,KPR[TANGGAL],"&gt;="&amp;DATE($D$2,$D$3,1),KPR[TANGGAL],"&lt;"&amp;DATE($D$2+1,$D$3,1))</f>
        <v>0</v>
      </c>
      <c r="Q23" s="214" t="str">
        <f t="shared" si="4"/>
        <v/>
      </c>
      <c r="R23" s="217">
        <f>SUMIFS(KPR[TPEMBAYARAN],KPR[RELASI],C23,KPR[TANGGAL],"&gt;="&amp;DATE($D$2,$D$3,1),KPR[TANGGAL],"&lt;"&amp;DATE($D$2+1,$D$3,1))</f>
        <v>0</v>
      </c>
      <c r="S23" s="291"/>
      <c r="T23" s="276">
        <f>SUMIFS(ARG[NETTO3],ARG[RELASI],C23,ARG[TANGGAL],"&gt;="&amp;DATE($D$2,$D$3,1),ARG[TANGGAL],"&lt;"&amp;DATE($D$2+1,$D$3,1))</f>
        <v>0</v>
      </c>
      <c r="U23" s="214" t="str">
        <f t="shared" si="5"/>
        <v/>
      </c>
      <c r="V23" s="217">
        <f>SUMIFS(ARG[TPEMBAYARAN],ARG[RELASI],C23,ARG[TANGGAL],"&gt;="&amp;DATE($D$2,$D$3,1),ARG[TANGGAL],"&lt;"&amp;DATE($D$2+1,$D$3,1))</f>
        <v>0</v>
      </c>
      <c r="W23" s="291"/>
      <c r="X23" s="271">
        <f t="shared" si="6"/>
        <v>0</v>
      </c>
    </row>
    <row r="24" spans="1:24" ht="18" customHeight="1">
      <c r="A24" s="173"/>
      <c r="B24" s="246">
        <f t="shared" si="7"/>
        <v>17</v>
      </c>
      <c r="C24" s="245" t="str">
        <f>RELASI!C19</f>
        <v>H.SYAMSUDDIN</v>
      </c>
      <c r="D24" s="259">
        <f>SUMIFS(KB[NETTO2],KB[RELASI],C24,KB[TYPE],"A",KB[TANGGAL],"&gt;="&amp;DATE($D$2,$D$3,1),KB[TANGGAL],"&lt;"&amp;DATE($D$2+1,$D$3,1))</f>
        <v>0</v>
      </c>
      <c r="E24" s="214" t="str">
        <f t="shared" si="1"/>
        <v/>
      </c>
      <c r="F24" s="288">
        <f>SUMIFS(KB[TPEMBAYARAN],KB[RELASI],C24,KB[TYPE],"A",KB[TANGGAL],"&gt;="&amp;DATE($D$2,$D$3,1),KB[TANGGAL],"&lt;"&amp;DATE($D$2+1,$D$3,1))</f>
        <v>0</v>
      </c>
      <c r="G24" s="291"/>
      <c r="H24" s="276">
        <f>SUMIFS(KB[NETTO2],KB[RELASI],C24,KB[TYPE],"B",KB[TANGGAL],"&gt;="&amp;DATE($D$2,$D$3,1),KB[TANGGAL],"&lt;"&amp;DATE($D$2+1,$D$3,1))</f>
        <v>0</v>
      </c>
      <c r="I24" s="214" t="str">
        <f t="shared" si="2"/>
        <v/>
      </c>
      <c r="J24" s="217">
        <f>SUMIFS(KB[TPEMBAYARAN],KB[RELASI],C24,KB[TYPE],"B",KB[TANGGAL],"&gt;="&amp;DATE($D$2,$D$3,1),KB[TANGGAL],"&lt;"&amp;DATE($D$2+1,$D$3,1))</f>
        <v>0</v>
      </c>
      <c r="K24" s="291"/>
      <c r="L24" s="276">
        <f>SUMIFS(KBS[NETTO2],KBS[RELASI],C24,KBS[TANGGAL],"&gt;="&amp;DATE($D$2,$D$3,1),KBS[TANGGAL],"&lt;"&amp;DATE($D$2+1,$D$3,1))</f>
        <v>0</v>
      </c>
      <c r="M24" s="214" t="str">
        <f t="shared" si="3"/>
        <v/>
      </c>
      <c r="N24" s="217">
        <f>SUMIFS(KBS[TPEMBAYARAN],KBS[RELASI],C24,KBS[TANGGAL],"&gt;="&amp;DATE($D$2,$D$3,1),KBS[TANGGAL],"&lt;"&amp;DATE($D$2+1,$D$3,1))</f>
        <v>0</v>
      </c>
      <c r="O24" s="291"/>
      <c r="P24" s="281">
        <f>SUMIFS(KPR[NETTOB],KPR[RELASI],C24,KPR[TANGGAL],"&gt;="&amp;DATE($D$2,$D$3,1),KPR[TANGGAL],"&lt;"&amp;DATE($D$2+1,$D$3,1))</f>
        <v>0</v>
      </c>
      <c r="Q24" s="214" t="str">
        <f t="shared" si="4"/>
        <v/>
      </c>
      <c r="R24" s="217">
        <f>SUMIFS(KPR[TPEMBAYARAN],KPR[RELASI],C24,KPR[TANGGAL],"&gt;="&amp;DATE($D$2,$D$3,1),KPR[TANGGAL],"&lt;"&amp;DATE($D$2+1,$D$3,1))</f>
        <v>0</v>
      </c>
      <c r="S24" s="291"/>
      <c r="T24" s="276">
        <f>SUMIFS(ARG[NETTO3],ARG[RELASI],C24,ARG[TANGGAL],"&gt;="&amp;DATE($D$2,$D$3,1),ARG[TANGGAL],"&lt;"&amp;DATE($D$2+1,$D$3,1))</f>
        <v>0</v>
      </c>
      <c r="U24" s="214" t="str">
        <f t="shared" si="5"/>
        <v/>
      </c>
      <c r="V24" s="217">
        <f>SUMIFS(ARG[TPEMBAYARAN],ARG[RELASI],C24,ARG[TANGGAL],"&gt;="&amp;DATE($D$2,$D$3,1),ARG[TANGGAL],"&lt;"&amp;DATE($D$2+1,$D$3,1))</f>
        <v>0</v>
      </c>
      <c r="W24" s="291"/>
      <c r="X24" s="271">
        <f t="shared" si="6"/>
        <v>0</v>
      </c>
    </row>
    <row r="25" spans="1:24" ht="18" customHeight="1">
      <c r="A25" s="173"/>
      <c r="B25" s="246">
        <f t="shared" si="7"/>
        <v>18</v>
      </c>
      <c r="C25" s="245" t="str">
        <f>RELASI!C20</f>
        <v>HAMLAN</v>
      </c>
      <c r="D25" s="259">
        <f>SUMIFS(KB[NETTO2],KB[RELASI],C25,KB[TYPE],"A",KB[TANGGAL],"&gt;="&amp;DATE($D$2,$D$3,1),KB[TANGGAL],"&lt;"&amp;DATE($D$2+1,$D$3,1))</f>
        <v>0</v>
      </c>
      <c r="E25" s="214" t="str">
        <f t="shared" si="1"/>
        <v/>
      </c>
      <c r="F25" s="288">
        <f>SUMIFS(KB[TPEMBAYARAN],KB[RELASI],C25,KB[TYPE],"A",KB[TANGGAL],"&gt;="&amp;DATE($D$2,$D$3,1),KB[TANGGAL],"&lt;"&amp;DATE($D$2+1,$D$3,1))</f>
        <v>0</v>
      </c>
      <c r="G25" s="291"/>
      <c r="H25" s="276">
        <f>SUMIFS(KB[NETTO2],KB[RELASI],C25,KB[TYPE],"B",KB[TANGGAL],"&gt;="&amp;DATE($D$2,$D$3,1),KB[TANGGAL],"&lt;"&amp;DATE($D$2+1,$D$3,1))</f>
        <v>0</v>
      </c>
      <c r="I25" s="214" t="str">
        <f t="shared" si="2"/>
        <v/>
      </c>
      <c r="J25" s="217">
        <f>SUMIFS(KB[TPEMBAYARAN],KB[RELASI],C25,KB[TYPE],"B",KB[TANGGAL],"&gt;="&amp;DATE($D$2,$D$3,1),KB[TANGGAL],"&lt;"&amp;DATE($D$2+1,$D$3,1))</f>
        <v>0</v>
      </c>
      <c r="K25" s="291"/>
      <c r="L25" s="276">
        <f>SUMIFS(KBS[NETTO2],KBS[RELASI],C25,KBS[TANGGAL],"&gt;="&amp;DATE($D$2,$D$3,1),KBS[TANGGAL],"&lt;"&amp;DATE($D$2+1,$D$3,1))</f>
        <v>0</v>
      </c>
      <c r="M25" s="214" t="str">
        <f t="shared" si="3"/>
        <v/>
      </c>
      <c r="N25" s="217">
        <f>SUMIFS(KBS[TPEMBAYARAN],KBS[RELASI],C25,KBS[TANGGAL],"&gt;="&amp;DATE($D$2,$D$3,1),KBS[TANGGAL],"&lt;"&amp;DATE($D$2+1,$D$3,1))</f>
        <v>0</v>
      </c>
      <c r="O25" s="291"/>
      <c r="P25" s="281">
        <f>SUMIFS(KPR[NETTOB],KPR[RELASI],C25,KPR[TANGGAL],"&gt;="&amp;DATE($D$2,$D$3,1),KPR[TANGGAL],"&lt;"&amp;DATE($D$2+1,$D$3,1))</f>
        <v>0</v>
      </c>
      <c r="Q25" s="214" t="str">
        <f t="shared" si="4"/>
        <v/>
      </c>
      <c r="R25" s="217">
        <f>SUMIFS(KPR[TPEMBAYARAN],KPR[RELASI],C25,KPR[TANGGAL],"&gt;="&amp;DATE($D$2,$D$3,1),KPR[TANGGAL],"&lt;"&amp;DATE($D$2+1,$D$3,1))</f>
        <v>0</v>
      </c>
      <c r="S25" s="291"/>
      <c r="T25" s="276">
        <f>SUMIFS(ARG[NETTO3],ARG[RELASI],C25,ARG[TANGGAL],"&gt;="&amp;DATE($D$2,$D$3,1),ARG[TANGGAL],"&lt;"&amp;DATE($D$2+1,$D$3,1))</f>
        <v>0</v>
      </c>
      <c r="U25" s="214" t="str">
        <f t="shared" si="5"/>
        <v/>
      </c>
      <c r="V25" s="217">
        <f>SUMIFS(ARG[TPEMBAYARAN],ARG[RELASI],C25,ARG[TANGGAL],"&gt;="&amp;DATE($D$2,$D$3,1),ARG[TANGGAL],"&lt;"&amp;DATE($D$2+1,$D$3,1))</f>
        <v>0</v>
      </c>
      <c r="W25" s="291"/>
      <c r="X25" s="271">
        <f t="shared" si="6"/>
        <v>0</v>
      </c>
    </row>
    <row r="26" spans="1:24" ht="18" customHeight="1">
      <c r="A26" s="173"/>
      <c r="B26" s="246">
        <f t="shared" si="7"/>
        <v>19</v>
      </c>
      <c r="C26" s="245" t="str">
        <f>RELASI!C21</f>
        <v>HELMANSYAH</v>
      </c>
      <c r="D26" s="259">
        <f>SUMIFS(KB[NETTO2],KB[RELASI],C26,KB[TYPE],"A",KB[TANGGAL],"&gt;="&amp;DATE($D$2,$D$3,1),KB[TANGGAL],"&lt;"&amp;DATE($D$2+1,$D$3,1))</f>
        <v>176503.80000000002</v>
      </c>
      <c r="E26" s="214">
        <f t="shared" si="1"/>
        <v>2910.9131984693813</v>
      </c>
      <c r="F26" s="288">
        <f>SUMIFS(KB[TPEMBAYARAN],KB[RELASI],C26,KB[TYPE],"A",KB[TANGGAL],"&gt;="&amp;DATE($D$2,$D$3,1),KB[TANGGAL],"&lt;"&amp;DATE($D$2+1,$D$3,1))</f>
        <v>513787241</v>
      </c>
      <c r="G26" s="291"/>
      <c r="H26" s="276">
        <f>SUMIFS(KB[NETTO2],KB[RELASI],C26,KB[TYPE],"B",KB[TANGGAL],"&gt;="&amp;DATE($D$2,$D$3,1),KB[TANGGAL],"&lt;"&amp;DATE($D$2+1,$D$3,1))</f>
        <v>0</v>
      </c>
      <c r="I26" s="214" t="str">
        <f t="shared" si="2"/>
        <v/>
      </c>
      <c r="J26" s="217">
        <f>SUMIFS(KB[TPEMBAYARAN],KB[RELASI],C26,KB[TYPE],"B",KB[TANGGAL],"&gt;="&amp;DATE($D$2,$D$3,1),KB[TANGGAL],"&lt;"&amp;DATE($D$2+1,$D$3,1))</f>
        <v>0</v>
      </c>
      <c r="K26" s="291"/>
      <c r="L26" s="276">
        <f>SUMIFS(KBS[NETTO2],KBS[RELASI],C26,KBS[TANGGAL],"&gt;="&amp;DATE($D$2,$D$3,1),KBS[TANGGAL],"&lt;"&amp;DATE($D$2+1,$D$3,1))</f>
        <v>0</v>
      </c>
      <c r="M26" s="214" t="str">
        <f t="shared" si="3"/>
        <v/>
      </c>
      <c r="N26" s="217">
        <f>SUMIFS(KBS[TPEMBAYARAN],KBS[RELASI],C26,KBS[TANGGAL],"&gt;="&amp;DATE($D$2,$D$3,1),KBS[TANGGAL],"&lt;"&amp;DATE($D$2+1,$D$3,1))</f>
        <v>0</v>
      </c>
      <c r="O26" s="291"/>
      <c r="P26" s="281">
        <f>SUMIFS(KPR[NETTOB],KPR[RELASI],C26,KPR[TANGGAL],"&gt;="&amp;DATE($D$2,$D$3,1),KPR[TANGGAL],"&lt;"&amp;DATE($D$2+1,$D$3,1))</f>
        <v>0</v>
      </c>
      <c r="Q26" s="214" t="str">
        <f t="shared" si="4"/>
        <v/>
      </c>
      <c r="R26" s="217">
        <f>SUMIFS(KPR[TPEMBAYARAN],KPR[RELASI],C26,KPR[TANGGAL],"&gt;="&amp;DATE($D$2,$D$3,1),KPR[TANGGAL],"&lt;"&amp;DATE($D$2+1,$D$3,1))</f>
        <v>0</v>
      </c>
      <c r="S26" s="291"/>
      <c r="T26" s="276">
        <f>SUMIFS(ARG[NETTO3],ARG[RELASI],C26,ARG[TANGGAL],"&gt;="&amp;DATE($D$2,$D$3,1),ARG[TANGGAL],"&lt;"&amp;DATE($D$2+1,$D$3,1))</f>
        <v>0</v>
      </c>
      <c r="U26" s="214" t="str">
        <f t="shared" si="5"/>
        <v/>
      </c>
      <c r="V26" s="217">
        <f>SUMIFS(ARG[TPEMBAYARAN],ARG[RELASI],C26,ARG[TANGGAL],"&gt;="&amp;DATE($D$2,$D$3,1),ARG[TANGGAL],"&lt;"&amp;DATE($D$2+1,$D$3,1))</f>
        <v>0</v>
      </c>
      <c r="W26" s="291"/>
      <c r="X26" s="271">
        <f t="shared" si="6"/>
        <v>513787241</v>
      </c>
    </row>
    <row r="27" spans="1:24" ht="18" customHeight="1">
      <c r="A27" s="173"/>
      <c r="B27" s="246">
        <f t="shared" si="7"/>
        <v>20</v>
      </c>
      <c r="C27" s="245" t="str">
        <f>RELASI!C22</f>
        <v>HENDRI</v>
      </c>
      <c r="D27" s="259">
        <f>SUMIFS(KB[NETTO2],KB[RELASI],C27,KB[TYPE],"A",KB[TANGGAL],"&gt;="&amp;DATE($D$2,$D$3,1),KB[TANGGAL],"&lt;"&amp;DATE($D$2+1,$D$3,1))</f>
        <v>538413.20000000007</v>
      </c>
      <c r="E27" s="214">
        <f t="shared" si="1"/>
        <v>2784.3984471405975</v>
      </c>
      <c r="F27" s="288">
        <f>SUMIFS(KB[TPEMBAYARAN],KB[RELASI],C27,KB[TYPE],"A",KB[TANGGAL],"&gt;="&amp;DATE($D$2,$D$3,1),KB[TANGGAL],"&lt;"&amp;DATE($D$2+1,$D$3,1))</f>
        <v>1499156878</v>
      </c>
      <c r="G27" s="291"/>
      <c r="H27" s="276">
        <f>SUMIFS(KB[NETTO2],KB[RELASI],C27,KB[TYPE],"B",KB[TANGGAL],"&gt;="&amp;DATE($D$2,$D$3,1),KB[TANGGAL],"&lt;"&amp;DATE($D$2+1,$D$3,1))</f>
        <v>0</v>
      </c>
      <c r="I27" s="214" t="str">
        <f t="shared" si="2"/>
        <v/>
      </c>
      <c r="J27" s="217">
        <f>SUMIFS(KB[TPEMBAYARAN],KB[RELASI],C27,KB[TYPE],"B",KB[TANGGAL],"&gt;="&amp;DATE($D$2,$D$3,1),KB[TANGGAL],"&lt;"&amp;DATE($D$2+1,$D$3,1))</f>
        <v>0</v>
      </c>
      <c r="K27" s="291"/>
      <c r="L27" s="276">
        <f>SUMIFS(KBS[NETTO2],KBS[RELASI],C27,KBS[TANGGAL],"&gt;="&amp;DATE($D$2,$D$3,1),KBS[TANGGAL],"&lt;"&amp;DATE($D$2+1,$D$3,1))</f>
        <v>0</v>
      </c>
      <c r="M27" s="214" t="str">
        <f t="shared" si="3"/>
        <v/>
      </c>
      <c r="N27" s="217">
        <f>SUMIFS(KBS[TPEMBAYARAN],KBS[RELASI],C27,KBS[TANGGAL],"&gt;="&amp;DATE($D$2,$D$3,1),KBS[TANGGAL],"&lt;"&amp;DATE($D$2+1,$D$3,1))</f>
        <v>0</v>
      </c>
      <c r="O27" s="291"/>
      <c r="P27" s="281">
        <f>SUMIFS(KPR[NETTOB],KPR[RELASI],C27,KPR[TANGGAL],"&gt;="&amp;DATE($D$2,$D$3,1),KPR[TANGGAL],"&lt;"&amp;DATE($D$2+1,$D$3,1))</f>
        <v>0</v>
      </c>
      <c r="Q27" s="214" t="str">
        <f t="shared" si="4"/>
        <v/>
      </c>
      <c r="R27" s="217">
        <f>SUMIFS(KPR[TPEMBAYARAN],KPR[RELASI],C27,KPR[TANGGAL],"&gt;="&amp;DATE($D$2,$D$3,1),KPR[TANGGAL],"&lt;"&amp;DATE($D$2+1,$D$3,1))</f>
        <v>0</v>
      </c>
      <c r="S27" s="291"/>
      <c r="T27" s="276">
        <f>SUMIFS(ARG[NETTO3],ARG[RELASI],C27,ARG[TANGGAL],"&gt;="&amp;DATE($D$2,$D$3,1),ARG[TANGGAL],"&lt;"&amp;DATE($D$2+1,$D$3,1))</f>
        <v>0</v>
      </c>
      <c r="U27" s="214" t="str">
        <f t="shared" si="5"/>
        <v/>
      </c>
      <c r="V27" s="217">
        <f>SUMIFS(ARG[TPEMBAYARAN],ARG[RELASI],C27,ARG[TANGGAL],"&gt;="&amp;DATE($D$2,$D$3,1),ARG[TANGGAL],"&lt;"&amp;DATE($D$2+1,$D$3,1))</f>
        <v>0</v>
      </c>
      <c r="W27" s="291"/>
      <c r="X27" s="271">
        <f t="shared" si="6"/>
        <v>1499156878</v>
      </c>
    </row>
    <row r="28" spans="1:24" ht="18" customHeight="1">
      <c r="A28" s="173"/>
      <c r="B28" s="246">
        <f t="shared" si="7"/>
        <v>21</v>
      </c>
      <c r="C28" s="245" t="str">
        <f>RELASI!C23</f>
        <v>HENDRY JOHANES</v>
      </c>
      <c r="D28" s="259">
        <f>SUMIFS(KB[NETTO2],KB[RELASI],C28,KB[TYPE],"A",KB[TANGGAL],"&gt;="&amp;DATE($D$2,$D$3,1),KB[TANGGAL],"&lt;"&amp;DATE($D$2+1,$D$3,1))</f>
        <v>112163.3</v>
      </c>
      <c r="E28" s="214">
        <f t="shared" si="1"/>
        <v>2788.9081455342343</v>
      </c>
      <c r="F28" s="288">
        <f>SUMIFS(KB[TPEMBAYARAN],KB[RELASI],C28,KB[TYPE],"A",KB[TANGGAL],"&gt;="&amp;DATE($D$2,$D$3,1),KB[TANGGAL],"&lt;"&amp;DATE($D$2+1,$D$3,1))</f>
        <v>312813141</v>
      </c>
      <c r="G28" s="291"/>
      <c r="H28" s="276">
        <f>SUMIFS(KB[NETTO2],KB[RELASI],C28,KB[TYPE],"B",KB[TANGGAL],"&gt;="&amp;DATE($D$2,$D$3,1),KB[TANGGAL],"&lt;"&amp;DATE($D$2+1,$D$3,1))</f>
        <v>0</v>
      </c>
      <c r="I28" s="214" t="str">
        <f t="shared" si="2"/>
        <v/>
      </c>
      <c r="J28" s="217">
        <f>SUMIFS(KB[TPEMBAYARAN],KB[RELASI],C28,KB[TYPE],"B",KB[TANGGAL],"&gt;="&amp;DATE($D$2,$D$3,1),KB[TANGGAL],"&lt;"&amp;DATE($D$2+1,$D$3,1))</f>
        <v>0</v>
      </c>
      <c r="K28" s="291"/>
      <c r="L28" s="276">
        <f>SUMIFS(KBS[NETTO2],KBS[RELASI],C28,KBS[TANGGAL],"&gt;="&amp;DATE($D$2,$D$3,1),KBS[TANGGAL],"&lt;"&amp;DATE($D$2+1,$D$3,1))</f>
        <v>0</v>
      </c>
      <c r="M28" s="214" t="str">
        <f t="shared" si="3"/>
        <v/>
      </c>
      <c r="N28" s="217">
        <f>SUMIFS(KBS[TPEMBAYARAN],KBS[RELASI],C28,KBS[TANGGAL],"&gt;="&amp;DATE($D$2,$D$3,1),KBS[TANGGAL],"&lt;"&amp;DATE($D$2+1,$D$3,1))</f>
        <v>0</v>
      </c>
      <c r="O28" s="291"/>
      <c r="P28" s="281">
        <f>SUMIFS(KPR[NETTOB],KPR[RELASI],C28,KPR[TANGGAL],"&gt;="&amp;DATE($D$2,$D$3,1),KPR[TANGGAL],"&lt;"&amp;DATE($D$2+1,$D$3,1))</f>
        <v>0</v>
      </c>
      <c r="Q28" s="214" t="str">
        <f t="shared" si="4"/>
        <v/>
      </c>
      <c r="R28" s="217">
        <f>SUMIFS(KPR[TPEMBAYARAN],KPR[RELASI],C28,KPR[TANGGAL],"&gt;="&amp;DATE($D$2,$D$3,1),KPR[TANGGAL],"&lt;"&amp;DATE($D$2+1,$D$3,1))</f>
        <v>0</v>
      </c>
      <c r="S28" s="291"/>
      <c r="T28" s="276">
        <f>SUMIFS(ARG[NETTO3],ARG[RELASI],C28,ARG[TANGGAL],"&gt;="&amp;DATE($D$2,$D$3,1),ARG[TANGGAL],"&lt;"&amp;DATE($D$2+1,$D$3,1))</f>
        <v>0</v>
      </c>
      <c r="U28" s="214" t="str">
        <f t="shared" si="5"/>
        <v/>
      </c>
      <c r="V28" s="217">
        <f>SUMIFS(ARG[TPEMBAYARAN],ARG[RELASI],C28,ARG[TANGGAL],"&gt;="&amp;DATE($D$2,$D$3,1),ARG[TANGGAL],"&lt;"&amp;DATE($D$2+1,$D$3,1))</f>
        <v>0</v>
      </c>
      <c r="W28" s="291"/>
      <c r="X28" s="271">
        <f t="shared" si="6"/>
        <v>312813141</v>
      </c>
    </row>
    <row r="29" spans="1:24" ht="18" customHeight="1">
      <c r="A29" s="173"/>
      <c r="B29" s="246">
        <f t="shared" si="7"/>
        <v>22</v>
      </c>
      <c r="C29" s="245" t="str">
        <f>RELASI!C24</f>
        <v>INDRAYANI</v>
      </c>
      <c r="D29" s="259">
        <f>SUMIFS(KB[NETTO2],KB[RELASI],C29,KB[TYPE],"A",KB[TANGGAL],"&gt;="&amp;DATE($D$2,$D$3,1),KB[TANGGAL],"&lt;"&amp;DATE($D$2+1,$D$3,1))</f>
        <v>698111.5</v>
      </c>
      <c r="E29" s="214">
        <f t="shared" si="1"/>
        <v>2890.1621990183517</v>
      </c>
      <c r="F29" s="288">
        <f>SUMIFS(KB[TPEMBAYARAN],KB[RELASI],C29,KB[TYPE],"A",KB[TANGGAL],"&gt;="&amp;DATE($D$2,$D$3,1),KB[TANGGAL],"&lt;"&amp;DATE($D$2+1,$D$3,1))</f>
        <v>2017655468</v>
      </c>
      <c r="G29" s="291"/>
      <c r="H29" s="276">
        <f>SUMIFS(KB[NETTO2],KB[RELASI],C29,KB[TYPE],"B",KB[TANGGAL],"&gt;="&amp;DATE($D$2,$D$3,1),KB[TANGGAL],"&lt;"&amp;DATE($D$2+1,$D$3,1))</f>
        <v>0</v>
      </c>
      <c r="I29" s="214" t="str">
        <f t="shared" si="2"/>
        <v/>
      </c>
      <c r="J29" s="217">
        <f>SUMIFS(KB[TPEMBAYARAN],KB[RELASI],C29,KB[TYPE],"B",KB[TANGGAL],"&gt;="&amp;DATE($D$2,$D$3,1),KB[TANGGAL],"&lt;"&amp;DATE($D$2+1,$D$3,1))</f>
        <v>0</v>
      </c>
      <c r="K29" s="291"/>
      <c r="L29" s="276">
        <f>SUMIFS(KBS[NETTO2],KBS[RELASI],C29,KBS[TANGGAL],"&gt;="&amp;DATE($D$2,$D$3,1),KBS[TANGGAL],"&lt;"&amp;DATE($D$2+1,$D$3,1))</f>
        <v>0</v>
      </c>
      <c r="M29" s="214" t="str">
        <f t="shared" si="3"/>
        <v/>
      </c>
      <c r="N29" s="217">
        <f>SUMIFS(KBS[TPEMBAYARAN],KBS[RELASI],C29,KBS[TANGGAL],"&gt;="&amp;DATE($D$2,$D$3,1),KBS[TANGGAL],"&lt;"&amp;DATE($D$2+1,$D$3,1))</f>
        <v>0</v>
      </c>
      <c r="O29" s="291"/>
      <c r="P29" s="281">
        <f>SUMIFS(KPR[NETTOB],KPR[RELASI],C29,KPR[TANGGAL],"&gt;="&amp;DATE($D$2,$D$3,1),KPR[TANGGAL],"&lt;"&amp;DATE($D$2+1,$D$3,1))</f>
        <v>0</v>
      </c>
      <c r="Q29" s="214" t="str">
        <f t="shared" si="4"/>
        <v/>
      </c>
      <c r="R29" s="217">
        <f>SUMIFS(KPR[TPEMBAYARAN],KPR[RELASI],C29,KPR[TANGGAL],"&gt;="&amp;DATE($D$2,$D$3,1),KPR[TANGGAL],"&lt;"&amp;DATE($D$2+1,$D$3,1))</f>
        <v>0</v>
      </c>
      <c r="S29" s="291"/>
      <c r="T29" s="276">
        <f>SUMIFS(ARG[NETTO3],ARG[RELASI],C29,ARG[TANGGAL],"&gt;="&amp;DATE($D$2,$D$3,1),ARG[TANGGAL],"&lt;"&amp;DATE($D$2+1,$D$3,1))</f>
        <v>0</v>
      </c>
      <c r="U29" s="214" t="str">
        <f t="shared" si="5"/>
        <v/>
      </c>
      <c r="V29" s="217">
        <f>SUMIFS(ARG[TPEMBAYARAN],ARG[RELASI],C29,ARG[TANGGAL],"&gt;="&amp;DATE($D$2,$D$3,1),ARG[TANGGAL],"&lt;"&amp;DATE($D$2+1,$D$3,1))</f>
        <v>0</v>
      </c>
      <c r="W29" s="291"/>
      <c r="X29" s="271">
        <f t="shared" si="6"/>
        <v>2017655468</v>
      </c>
    </row>
    <row r="30" spans="1:24" ht="18" customHeight="1">
      <c r="A30" s="173"/>
      <c r="B30" s="246">
        <f t="shared" si="7"/>
        <v>23</v>
      </c>
      <c r="C30" s="245" t="str">
        <f>RELASI!C25</f>
        <v>ISANG</v>
      </c>
      <c r="D30" s="259">
        <f>SUMIFS(KB[NETTO2],KB[RELASI],C30,KB[TYPE],"A",KB[TANGGAL],"&gt;="&amp;DATE($D$2,$D$3,1),KB[TANGGAL],"&lt;"&amp;DATE($D$2+1,$D$3,1))</f>
        <v>0</v>
      </c>
      <c r="E30" s="214" t="str">
        <f t="shared" si="1"/>
        <v/>
      </c>
      <c r="F30" s="288">
        <f>SUMIFS(KB[TPEMBAYARAN],KB[RELASI],C30,KB[TYPE],"A",KB[TANGGAL],"&gt;="&amp;DATE($D$2,$D$3,1),KB[TANGGAL],"&lt;"&amp;DATE($D$2+1,$D$3,1))</f>
        <v>0</v>
      </c>
      <c r="G30" s="291"/>
      <c r="H30" s="276">
        <f>SUMIFS(KB[NETTO2],KB[RELASI],C30,KB[TYPE],"B",KB[TANGGAL],"&gt;="&amp;DATE($D$2,$D$3,1),KB[TANGGAL],"&lt;"&amp;DATE($D$2+1,$D$3,1))</f>
        <v>0</v>
      </c>
      <c r="I30" s="214" t="str">
        <f t="shared" si="2"/>
        <v/>
      </c>
      <c r="J30" s="217">
        <f>SUMIFS(KB[TPEMBAYARAN],KB[RELASI],C30,KB[TYPE],"B",KB[TANGGAL],"&gt;="&amp;DATE($D$2,$D$3,1),KB[TANGGAL],"&lt;"&amp;DATE($D$2+1,$D$3,1))</f>
        <v>0</v>
      </c>
      <c r="K30" s="291"/>
      <c r="L30" s="276">
        <f>SUMIFS(KBS[NETTO2],KBS[RELASI],C30,KBS[TANGGAL],"&gt;="&amp;DATE($D$2,$D$3,1),KBS[TANGGAL],"&lt;"&amp;DATE($D$2+1,$D$3,1))</f>
        <v>0</v>
      </c>
      <c r="M30" s="214" t="str">
        <f t="shared" si="3"/>
        <v/>
      </c>
      <c r="N30" s="217">
        <f>SUMIFS(KBS[TPEMBAYARAN],KBS[RELASI],C30,KBS[TANGGAL],"&gt;="&amp;DATE($D$2,$D$3,1),KBS[TANGGAL],"&lt;"&amp;DATE($D$2+1,$D$3,1))</f>
        <v>0</v>
      </c>
      <c r="O30" s="291"/>
      <c r="P30" s="281">
        <f>SUMIFS(KPR[NETTOB],KPR[RELASI],C30,KPR[TANGGAL],"&gt;="&amp;DATE($D$2,$D$3,1),KPR[TANGGAL],"&lt;"&amp;DATE($D$2+1,$D$3,1))</f>
        <v>0</v>
      </c>
      <c r="Q30" s="214" t="str">
        <f t="shared" si="4"/>
        <v/>
      </c>
      <c r="R30" s="217">
        <f>SUMIFS(KPR[TPEMBAYARAN],KPR[RELASI],C30,KPR[TANGGAL],"&gt;="&amp;DATE($D$2,$D$3,1),KPR[TANGGAL],"&lt;"&amp;DATE($D$2+1,$D$3,1))</f>
        <v>0</v>
      </c>
      <c r="S30" s="291"/>
      <c r="T30" s="276">
        <f>SUMIFS(ARG[NETTO3],ARG[RELASI],C30,ARG[TANGGAL],"&gt;="&amp;DATE($D$2,$D$3,1),ARG[TANGGAL],"&lt;"&amp;DATE($D$2+1,$D$3,1))</f>
        <v>0</v>
      </c>
      <c r="U30" s="214" t="str">
        <f t="shared" si="5"/>
        <v/>
      </c>
      <c r="V30" s="217">
        <f>SUMIFS(ARG[TPEMBAYARAN],ARG[RELASI],C30,ARG[TANGGAL],"&gt;="&amp;DATE($D$2,$D$3,1),ARG[TANGGAL],"&lt;"&amp;DATE($D$2+1,$D$3,1))</f>
        <v>0</v>
      </c>
      <c r="W30" s="291"/>
      <c r="X30" s="271">
        <f t="shared" si="6"/>
        <v>0</v>
      </c>
    </row>
    <row r="31" spans="1:24" ht="18" customHeight="1">
      <c r="A31" s="173"/>
      <c r="B31" s="246">
        <f t="shared" si="7"/>
        <v>24</v>
      </c>
      <c r="C31" s="245" t="str">
        <f>RELASI!C26</f>
        <v>IWAN</v>
      </c>
      <c r="D31" s="259">
        <f>SUMIFS(KB[NETTO2],KB[RELASI],C31,KB[TYPE],"A",KB[TANGGAL],"&gt;="&amp;DATE($D$2,$D$3,1),KB[TANGGAL],"&lt;"&amp;DATE($D$2+1,$D$3,1))</f>
        <v>0</v>
      </c>
      <c r="E31" s="214" t="str">
        <f t="shared" si="1"/>
        <v/>
      </c>
      <c r="F31" s="288">
        <f>SUMIFS(KB[TPEMBAYARAN],KB[RELASI],C31,KB[TYPE],"A",KB[TANGGAL],"&gt;="&amp;DATE($D$2,$D$3,1),KB[TANGGAL],"&lt;"&amp;DATE($D$2+1,$D$3,1))</f>
        <v>0</v>
      </c>
      <c r="G31" s="291"/>
      <c r="H31" s="276">
        <f>SUMIFS(KB[NETTO2],KB[RELASI],C31,KB[TYPE],"B",KB[TANGGAL],"&gt;="&amp;DATE($D$2,$D$3,1),KB[TANGGAL],"&lt;"&amp;DATE($D$2+1,$D$3,1))</f>
        <v>0</v>
      </c>
      <c r="I31" s="214" t="str">
        <f t="shared" si="2"/>
        <v/>
      </c>
      <c r="J31" s="217">
        <f>SUMIFS(KB[TPEMBAYARAN],KB[RELASI],C31,KB[TYPE],"B",KB[TANGGAL],"&gt;="&amp;DATE($D$2,$D$3,1),KB[TANGGAL],"&lt;"&amp;DATE($D$2+1,$D$3,1))</f>
        <v>0</v>
      </c>
      <c r="K31" s="291"/>
      <c r="L31" s="276">
        <f>SUMIFS(KBS[NETTO2],KBS[RELASI],C31,KBS[TANGGAL],"&gt;="&amp;DATE($D$2,$D$3,1),KBS[TANGGAL],"&lt;"&amp;DATE($D$2+1,$D$3,1))</f>
        <v>0</v>
      </c>
      <c r="M31" s="214" t="str">
        <f t="shared" si="3"/>
        <v/>
      </c>
      <c r="N31" s="217">
        <f>SUMIFS(KBS[TPEMBAYARAN],KBS[RELASI],C31,KBS[TANGGAL],"&gt;="&amp;DATE($D$2,$D$3,1),KBS[TANGGAL],"&lt;"&amp;DATE($D$2+1,$D$3,1))</f>
        <v>0</v>
      </c>
      <c r="O31" s="291"/>
      <c r="P31" s="281">
        <f>SUMIFS(KPR[NETTOB],KPR[RELASI],C31,KPR[TANGGAL],"&gt;="&amp;DATE($D$2,$D$3,1),KPR[TANGGAL],"&lt;"&amp;DATE($D$2+1,$D$3,1))</f>
        <v>0</v>
      </c>
      <c r="Q31" s="214" t="str">
        <f t="shared" si="4"/>
        <v/>
      </c>
      <c r="R31" s="217">
        <f>SUMIFS(KPR[TPEMBAYARAN],KPR[RELASI],C31,KPR[TANGGAL],"&gt;="&amp;DATE($D$2,$D$3,1),KPR[TANGGAL],"&lt;"&amp;DATE($D$2+1,$D$3,1))</f>
        <v>0</v>
      </c>
      <c r="S31" s="291"/>
      <c r="T31" s="276">
        <f>SUMIFS(ARG[NETTO3],ARG[RELASI],C31,ARG[TANGGAL],"&gt;="&amp;DATE($D$2,$D$3,1),ARG[TANGGAL],"&lt;"&amp;DATE($D$2+1,$D$3,1))</f>
        <v>0</v>
      </c>
      <c r="U31" s="214" t="str">
        <f t="shared" si="5"/>
        <v/>
      </c>
      <c r="V31" s="217">
        <f>SUMIFS(ARG[TPEMBAYARAN],ARG[RELASI],C31,ARG[TANGGAL],"&gt;="&amp;DATE($D$2,$D$3,1),ARG[TANGGAL],"&lt;"&amp;DATE($D$2+1,$D$3,1))</f>
        <v>0</v>
      </c>
      <c r="W31" s="291"/>
      <c r="X31" s="271">
        <f t="shared" si="6"/>
        <v>0</v>
      </c>
    </row>
    <row r="32" spans="1:24" ht="18" customHeight="1">
      <c r="A32" s="173"/>
      <c r="B32" s="246">
        <f t="shared" si="7"/>
        <v>25</v>
      </c>
      <c r="C32" s="245" t="str">
        <f>RELASI!C27</f>
        <v>JOHAN</v>
      </c>
      <c r="D32" s="259">
        <f>SUMIFS(KB[NETTO2],KB[RELASI],C32,KB[TYPE],"A",KB[TANGGAL],"&gt;="&amp;DATE($D$2,$D$3,1),KB[TANGGAL],"&lt;"&amp;DATE($D$2+1,$D$3,1))</f>
        <v>0</v>
      </c>
      <c r="E32" s="214" t="str">
        <f t="shared" si="1"/>
        <v/>
      </c>
      <c r="F32" s="288">
        <f>SUMIFS(KB[TPEMBAYARAN],KB[RELASI],C32,KB[TYPE],"A",KB[TANGGAL],"&gt;="&amp;DATE($D$2,$D$3,1),KB[TANGGAL],"&lt;"&amp;DATE($D$2+1,$D$3,1))</f>
        <v>0</v>
      </c>
      <c r="G32" s="291"/>
      <c r="H32" s="276">
        <f>SUMIFS(KB[NETTO2],KB[RELASI],C32,KB[TYPE],"B",KB[TANGGAL],"&gt;="&amp;DATE($D$2,$D$3,1),KB[TANGGAL],"&lt;"&amp;DATE($D$2+1,$D$3,1))</f>
        <v>0</v>
      </c>
      <c r="I32" s="214" t="str">
        <f t="shared" si="2"/>
        <v/>
      </c>
      <c r="J32" s="217">
        <f>SUMIFS(KB[TPEMBAYARAN],KB[RELASI],C32,KB[TYPE],"B",KB[TANGGAL],"&gt;="&amp;DATE($D$2,$D$3,1),KB[TANGGAL],"&lt;"&amp;DATE($D$2+1,$D$3,1))</f>
        <v>0</v>
      </c>
      <c r="K32" s="291"/>
      <c r="L32" s="276">
        <f>SUMIFS(KBS[NETTO2],KBS[RELASI],C32,KBS[TANGGAL],"&gt;="&amp;DATE($D$2,$D$3,1),KBS[TANGGAL],"&lt;"&amp;DATE($D$2+1,$D$3,1))</f>
        <v>0</v>
      </c>
      <c r="M32" s="214" t="str">
        <f t="shared" si="3"/>
        <v/>
      </c>
      <c r="N32" s="217">
        <f>SUMIFS(KBS[TPEMBAYARAN],KBS[RELASI],C32,KBS[TANGGAL],"&gt;="&amp;DATE($D$2,$D$3,1),KBS[TANGGAL],"&lt;"&amp;DATE($D$2+1,$D$3,1))</f>
        <v>0</v>
      </c>
      <c r="O32" s="291"/>
      <c r="P32" s="281">
        <f>SUMIFS(KPR[NETTOB],KPR[RELASI],C32,KPR[TANGGAL],"&gt;="&amp;DATE($D$2,$D$3,1),KPR[TANGGAL],"&lt;"&amp;DATE($D$2+1,$D$3,1))</f>
        <v>0</v>
      </c>
      <c r="Q32" s="214" t="str">
        <f t="shared" si="4"/>
        <v/>
      </c>
      <c r="R32" s="217">
        <f>SUMIFS(KPR[TPEMBAYARAN],KPR[RELASI],C32,KPR[TANGGAL],"&gt;="&amp;DATE($D$2,$D$3,1),KPR[TANGGAL],"&lt;"&amp;DATE($D$2+1,$D$3,1))</f>
        <v>0</v>
      </c>
      <c r="S32" s="291"/>
      <c r="T32" s="276">
        <f>SUMIFS(ARG[NETTO3],ARG[RELASI],C32,ARG[TANGGAL],"&gt;="&amp;DATE($D$2,$D$3,1),ARG[TANGGAL],"&lt;"&amp;DATE($D$2+1,$D$3,1))</f>
        <v>0</v>
      </c>
      <c r="U32" s="214" t="str">
        <f t="shared" si="5"/>
        <v/>
      </c>
      <c r="V32" s="217">
        <f>SUMIFS(ARG[TPEMBAYARAN],ARG[RELASI],C32,ARG[TANGGAL],"&gt;="&amp;DATE($D$2,$D$3,1),ARG[TANGGAL],"&lt;"&amp;DATE($D$2+1,$D$3,1))</f>
        <v>0</v>
      </c>
      <c r="W32" s="291"/>
      <c r="X32" s="271">
        <f t="shared" si="6"/>
        <v>0</v>
      </c>
    </row>
    <row r="33" spans="1:24" ht="18" customHeight="1">
      <c r="A33" s="173"/>
      <c r="B33" s="246">
        <f t="shared" si="7"/>
        <v>26</v>
      </c>
      <c r="C33" s="245" t="str">
        <f>RELASI!C28</f>
        <v>JULYASNO</v>
      </c>
      <c r="D33" s="259">
        <f>SUMIFS(KB[NETTO2],KB[RELASI],C33,KB[TYPE],"A",KB[TANGGAL],"&gt;="&amp;DATE($D$2,$D$3,1),KB[TANGGAL],"&lt;"&amp;DATE($D$2+1,$D$3,1))</f>
        <v>0</v>
      </c>
      <c r="E33" s="214" t="str">
        <f t="shared" si="1"/>
        <v/>
      </c>
      <c r="F33" s="288">
        <f>SUMIFS(KB[TPEMBAYARAN],KB[RELASI],C33,KB[TYPE],"A",KB[TANGGAL],"&gt;="&amp;DATE($D$2,$D$3,1),KB[TANGGAL],"&lt;"&amp;DATE($D$2+1,$D$3,1))</f>
        <v>0</v>
      </c>
      <c r="G33" s="291"/>
      <c r="H33" s="276">
        <f>SUMIFS(KB[NETTO2],KB[RELASI],C33,KB[TYPE],"B",KB[TANGGAL],"&gt;="&amp;DATE($D$2,$D$3,1),KB[TANGGAL],"&lt;"&amp;DATE($D$2+1,$D$3,1))</f>
        <v>0</v>
      </c>
      <c r="I33" s="214" t="str">
        <f t="shared" si="2"/>
        <v/>
      </c>
      <c r="J33" s="217">
        <f>SUMIFS(KB[TPEMBAYARAN],KB[RELASI],C33,KB[TYPE],"B",KB[TANGGAL],"&gt;="&amp;DATE($D$2,$D$3,1),KB[TANGGAL],"&lt;"&amp;DATE($D$2+1,$D$3,1))</f>
        <v>0</v>
      </c>
      <c r="K33" s="291"/>
      <c r="L33" s="276">
        <f>SUMIFS(KBS[NETTO2],KBS[RELASI],C33,KBS[TANGGAL],"&gt;="&amp;DATE($D$2,$D$3,1),KBS[TANGGAL],"&lt;"&amp;DATE($D$2+1,$D$3,1))</f>
        <v>0</v>
      </c>
      <c r="M33" s="214" t="str">
        <f t="shared" si="3"/>
        <v/>
      </c>
      <c r="N33" s="217">
        <f>SUMIFS(KBS[TPEMBAYARAN],KBS[RELASI],C33,KBS[TANGGAL],"&gt;="&amp;DATE($D$2,$D$3,1),KBS[TANGGAL],"&lt;"&amp;DATE($D$2+1,$D$3,1))</f>
        <v>0</v>
      </c>
      <c r="O33" s="291"/>
      <c r="P33" s="281">
        <f>SUMIFS(KPR[NETTOB],KPR[RELASI],C33,KPR[TANGGAL],"&gt;="&amp;DATE($D$2,$D$3,1),KPR[TANGGAL],"&lt;"&amp;DATE($D$2+1,$D$3,1))</f>
        <v>0</v>
      </c>
      <c r="Q33" s="214" t="str">
        <f t="shared" si="4"/>
        <v/>
      </c>
      <c r="R33" s="217">
        <f>SUMIFS(KPR[TPEMBAYARAN],KPR[RELASI],C33,KPR[TANGGAL],"&gt;="&amp;DATE($D$2,$D$3,1),KPR[TANGGAL],"&lt;"&amp;DATE($D$2+1,$D$3,1))</f>
        <v>0</v>
      </c>
      <c r="S33" s="291"/>
      <c r="T33" s="276">
        <f>SUMIFS(ARG[NETTO3],ARG[RELASI],C33,ARG[TANGGAL],"&gt;="&amp;DATE($D$2,$D$3,1),ARG[TANGGAL],"&lt;"&amp;DATE($D$2+1,$D$3,1))</f>
        <v>0</v>
      </c>
      <c r="U33" s="214" t="str">
        <f t="shared" si="5"/>
        <v/>
      </c>
      <c r="V33" s="217">
        <f>SUMIFS(ARG[TPEMBAYARAN],ARG[RELASI],C33,ARG[TANGGAL],"&gt;="&amp;DATE($D$2,$D$3,1),ARG[TANGGAL],"&lt;"&amp;DATE($D$2+1,$D$3,1))</f>
        <v>0</v>
      </c>
      <c r="W33" s="291"/>
      <c r="X33" s="271">
        <f t="shared" si="6"/>
        <v>0</v>
      </c>
    </row>
    <row r="34" spans="1:24" ht="18" customHeight="1">
      <c r="A34" s="173"/>
      <c r="B34" s="246">
        <f t="shared" si="7"/>
        <v>27</v>
      </c>
      <c r="C34" s="245" t="str">
        <f>RELASI!C29</f>
        <v>M.ALI-KTM</v>
      </c>
      <c r="D34" s="259">
        <f>SUMIFS(KB[NETTO2],KB[RELASI],C34,KB[TYPE],"A",KB[TANGGAL],"&gt;="&amp;DATE($D$2,$D$3,1),KB[TANGGAL],"&lt;"&amp;DATE($D$2+1,$D$3,1))</f>
        <v>0</v>
      </c>
      <c r="E34" s="214" t="str">
        <f t="shared" si="1"/>
        <v/>
      </c>
      <c r="F34" s="288">
        <f>SUMIFS(KB[TPEMBAYARAN],KB[RELASI],C34,KB[TYPE],"A",KB[TANGGAL],"&gt;="&amp;DATE($D$2,$D$3,1),KB[TANGGAL],"&lt;"&amp;DATE($D$2+1,$D$3,1))</f>
        <v>0</v>
      </c>
      <c r="G34" s="291"/>
      <c r="H34" s="276">
        <f>SUMIFS(KB[NETTO2],KB[RELASI],C34,KB[TYPE],"B",KB[TANGGAL],"&gt;="&amp;DATE($D$2,$D$3,1),KB[TANGGAL],"&lt;"&amp;DATE($D$2+1,$D$3,1))</f>
        <v>0</v>
      </c>
      <c r="I34" s="214" t="str">
        <f t="shared" si="2"/>
        <v/>
      </c>
      <c r="J34" s="217">
        <f>SUMIFS(KB[TPEMBAYARAN],KB[RELASI],C34,KB[TYPE],"B",KB[TANGGAL],"&gt;="&amp;DATE($D$2,$D$3,1),KB[TANGGAL],"&lt;"&amp;DATE($D$2+1,$D$3,1))</f>
        <v>0</v>
      </c>
      <c r="K34" s="291"/>
      <c r="L34" s="276">
        <f>SUMIFS(KBS[NETTO2],KBS[RELASI],C34,KBS[TANGGAL],"&gt;="&amp;DATE($D$2,$D$3,1),KBS[TANGGAL],"&lt;"&amp;DATE($D$2+1,$D$3,1))</f>
        <v>0</v>
      </c>
      <c r="M34" s="214" t="str">
        <f t="shared" si="3"/>
        <v/>
      </c>
      <c r="N34" s="217">
        <f>SUMIFS(KBS[TPEMBAYARAN],KBS[RELASI],C34,KBS[TANGGAL],"&gt;="&amp;DATE($D$2,$D$3,1),KBS[TANGGAL],"&lt;"&amp;DATE($D$2+1,$D$3,1))</f>
        <v>0</v>
      </c>
      <c r="O34" s="291"/>
      <c r="P34" s="281">
        <f>SUMIFS(KPR[NETTOB],KPR[RELASI],C34,KPR[TANGGAL],"&gt;="&amp;DATE($D$2,$D$3,1),KPR[TANGGAL],"&lt;"&amp;DATE($D$2+1,$D$3,1))</f>
        <v>0</v>
      </c>
      <c r="Q34" s="214" t="str">
        <f t="shared" si="4"/>
        <v/>
      </c>
      <c r="R34" s="217">
        <f>SUMIFS(KPR[TPEMBAYARAN],KPR[RELASI],C34,KPR[TANGGAL],"&gt;="&amp;DATE($D$2,$D$3,1),KPR[TANGGAL],"&lt;"&amp;DATE($D$2+1,$D$3,1))</f>
        <v>0</v>
      </c>
      <c r="S34" s="291"/>
      <c r="T34" s="276">
        <f>SUMIFS(ARG[NETTO3],ARG[RELASI],C34,ARG[TANGGAL],"&gt;="&amp;DATE($D$2,$D$3,1),ARG[TANGGAL],"&lt;"&amp;DATE($D$2+1,$D$3,1))</f>
        <v>0</v>
      </c>
      <c r="U34" s="214" t="str">
        <f t="shared" si="5"/>
        <v/>
      </c>
      <c r="V34" s="217">
        <f>SUMIFS(ARG[TPEMBAYARAN],ARG[RELASI],C34,ARG[TANGGAL],"&gt;="&amp;DATE($D$2,$D$3,1),ARG[TANGGAL],"&lt;"&amp;DATE($D$2+1,$D$3,1))</f>
        <v>0</v>
      </c>
      <c r="W34" s="291"/>
      <c r="X34" s="271">
        <f t="shared" si="6"/>
        <v>0</v>
      </c>
    </row>
    <row r="35" spans="1:24" ht="18" customHeight="1">
      <c r="A35" s="173"/>
      <c r="B35" s="246">
        <f t="shared" si="7"/>
        <v>28</v>
      </c>
      <c r="C35" s="245" t="str">
        <f>RELASI!C30</f>
        <v>M.AMIN</v>
      </c>
      <c r="D35" s="259">
        <f>SUMIFS(KB[NETTO2],KB[RELASI],C35,KB[TYPE],"A",KB[TANGGAL],"&gt;="&amp;DATE($D$2,$D$3,1),KB[TANGGAL],"&lt;"&amp;DATE($D$2+1,$D$3,1))</f>
        <v>0</v>
      </c>
      <c r="E35" s="214" t="str">
        <f t="shared" si="1"/>
        <v/>
      </c>
      <c r="F35" s="288">
        <f>SUMIFS(KB[TPEMBAYARAN],KB[RELASI],C35,KB[TYPE],"A",KB[TANGGAL],"&gt;="&amp;DATE($D$2,$D$3,1),KB[TANGGAL],"&lt;"&amp;DATE($D$2+1,$D$3,1))</f>
        <v>0</v>
      </c>
      <c r="G35" s="291"/>
      <c r="H35" s="276">
        <f>SUMIFS(KB[NETTO2],KB[RELASI],C35,KB[TYPE],"B",KB[TANGGAL],"&gt;="&amp;DATE($D$2,$D$3,1),KB[TANGGAL],"&lt;"&amp;DATE($D$2+1,$D$3,1))</f>
        <v>0</v>
      </c>
      <c r="I35" s="214" t="str">
        <f t="shared" si="2"/>
        <v/>
      </c>
      <c r="J35" s="217">
        <f>SUMIFS(KB[TPEMBAYARAN],KB[RELASI],C35,KB[TYPE],"B",KB[TANGGAL],"&gt;="&amp;DATE($D$2,$D$3,1),KB[TANGGAL],"&lt;"&amp;DATE($D$2+1,$D$3,1))</f>
        <v>0</v>
      </c>
      <c r="K35" s="291"/>
      <c r="L35" s="276">
        <f>SUMIFS(KBS[NETTO2],KBS[RELASI],C35,KBS[TANGGAL],"&gt;="&amp;DATE($D$2,$D$3,1),KBS[TANGGAL],"&lt;"&amp;DATE($D$2+1,$D$3,1))</f>
        <v>0</v>
      </c>
      <c r="M35" s="214" t="str">
        <f t="shared" si="3"/>
        <v/>
      </c>
      <c r="N35" s="217">
        <f>SUMIFS(KBS[TPEMBAYARAN],KBS[RELASI],C35,KBS[TANGGAL],"&gt;="&amp;DATE($D$2,$D$3,1),KBS[TANGGAL],"&lt;"&amp;DATE($D$2+1,$D$3,1))</f>
        <v>0</v>
      </c>
      <c r="O35" s="291"/>
      <c r="P35" s="281">
        <f>SUMIFS(KPR[NETTOB],KPR[RELASI],C35,KPR[TANGGAL],"&gt;="&amp;DATE($D$2,$D$3,1),KPR[TANGGAL],"&lt;"&amp;DATE($D$2+1,$D$3,1))</f>
        <v>0</v>
      </c>
      <c r="Q35" s="214" t="str">
        <f t="shared" si="4"/>
        <v/>
      </c>
      <c r="R35" s="217">
        <f>SUMIFS(KPR[TPEMBAYARAN],KPR[RELASI],C35,KPR[TANGGAL],"&gt;="&amp;DATE($D$2,$D$3,1),KPR[TANGGAL],"&lt;"&amp;DATE($D$2+1,$D$3,1))</f>
        <v>0</v>
      </c>
      <c r="S35" s="291"/>
      <c r="T35" s="276">
        <f>SUMIFS(ARG[NETTO3],ARG[RELASI],C35,ARG[TANGGAL],"&gt;="&amp;DATE($D$2,$D$3,1),ARG[TANGGAL],"&lt;"&amp;DATE($D$2+1,$D$3,1))</f>
        <v>0</v>
      </c>
      <c r="U35" s="214" t="str">
        <f t="shared" si="5"/>
        <v/>
      </c>
      <c r="V35" s="217">
        <f>SUMIFS(ARG[TPEMBAYARAN],ARG[RELASI],C35,ARG[TANGGAL],"&gt;="&amp;DATE($D$2,$D$3,1),ARG[TANGGAL],"&lt;"&amp;DATE($D$2+1,$D$3,1))</f>
        <v>0</v>
      </c>
      <c r="W35" s="291"/>
      <c r="X35" s="271">
        <f t="shared" si="6"/>
        <v>0</v>
      </c>
    </row>
    <row r="36" spans="1:24" ht="18" customHeight="1">
      <c r="A36" s="173"/>
      <c r="B36" s="246">
        <f t="shared" si="7"/>
        <v>29</v>
      </c>
      <c r="C36" s="245" t="str">
        <f>RELASI!C31</f>
        <v>M.ASNAWI</v>
      </c>
      <c r="D36" s="259">
        <f>SUMIFS(KB[NETTO2],KB[RELASI],C36,KB[TYPE],"A",KB[TANGGAL],"&gt;="&amp;DATE($D$2,$D$3,1),KB[TANGGAL],"&lt;"&amp;DATE($D$2+1,$D$3,1))</f>
        <v>0</v>
      </c>
      <c r="E36" s="214" t="str">
        <f t="shared" si="1"/>
        <v/>
      </c>
      <c r="F36" s="288">
        <f>SUMIFS(KB[TPEMBAYARAN],KB[RELASI],C36,KB[TYPE],"A",KB[TANGGAL],"&gt;="&amp;DATE($D$2,$D$3,1),KB[TANGGAL],"&lt;"&amp;DATE($D$2+1,$D$3,1))</f>
        <v>0</v>
      </c>
      <c r="G36" s="291"/>
      <c r="H36" s="276">
        <f>SUMIFS(KB[NETTO2],KB[RELASI],C36,KB[TYPE],"B",KB[TANGGAL],"&gt;="&amp;DATE($D$2,$D$3,1),KB[TANGGAL],"&lt;"&amp;DATE($D$2+1,$D$3,1))</f>
        <v>0</v>
      </c>
      <c r="I36" s="214" t="str">
        <f t="shared" si="2"/>
        <v/>
      </c>
      <c r="J36" s="217">
        <f>SUMIFS(KB[TPEMBAYARAN],KB[RELASI],C36,KB[TYPE],"B",KB[TANGGAL],"&gt;="&amp;DATE($D$2,$D$3,1),KB[TANGGAL],"&lt;"&amp;DATE($D$2+1,$D$3,1))</f>
        <v>0</v>
      </c>
      <c r="K36" s="291"/>
      <c r="L36" s="276">
        <f>SUMIFS(KBS[NETTO2],KBS[RELASI],C36,KBS[TANGGAL],"&gt;="&amp;DATE($D$2,$D$3,1),KBS[TANGGAL],"&lt;"&amp;DATE($D$2+1,$D$3,1))</f>
        <v>0</v>
      </c>
      <c r="M36" s="214" t="str">
        <f t="shared" si="3"/>
        <v/>
      </c>
      <c r="N36" s="217">
        <f>SUMIFS(KBS[TPEMBAYARAN],KBS[RELASI],C36,KBS[TANGGAL],"&gt;="&amp;DATE($D$2,$D$3,1),KBS[TANGGAL],"&lt;"&amp;DATE($D$2+1,$D$3,1))</f>
        <v>0</v>
      </c>
      <c r="O36" s="291"/>
      <c r="P36" s="281">
        <f>SUMIFS(KPR[NETTOB],KPR[RELASI],C36,KPR[TANGGAL],"&gt;="&amp;DATE($D$2,$D$3,1),KPR[TANGGAL],"&lt;"&amp;DATE($D$2+1,$D$3,1))</f>
        <v>0</v>
      </c>
      <c r="Q36" s="214" t="str">
        <f t="shared" si="4"/>
        <v/>
      </c>
      <c r="R36" s="217">
        <f>SUMIFS(KPR[TPEMBAYARAN],KPR[RELASI],C36,KPR[TANGGAL],"&gt;="&amp;DATE($D$2,$D$3,1),KPR[TANGGAL],"&lt;"&amp;DATE($D$2+1,$D$3,1))</f>
        <v>0</v>
      </c>
      <c r="S36" s="291"/>
      <c r="T36" s="276">
        <f>SUMIFS(ARG[NETTO3],ARG[RELASI],C36,ARG[TANGGAL],"&gt;="&amp;DATE($D$2,$D$3,1),ARG[TANGGAL],"&lt;"&amp;DATE($D$2+1,$D$3,1))</f>
        <v>0</v>
      </c>
      <c r="U36" s="214" t="str">
        <f t="shared" si="5"/>
        <v/>
      </c>
      <c r="V36" s="217">
        <f>SUMIFS(ARG[TPEMBAYARAN],ARG[RELASI],C36,ARG[TANGGAL],"&gt;="&amp;DATE($D$2,$D$3,1),ARG[TANGGAL],"&lt;"&amp;DATE($D$2+1,$D$3,1))</f>
        <v>0</v>
      </c>
      <c r="W36" s="291"/>
      <c r="X36" s="271">
        <f t="shared" si="6"/>
        <v>0</v>
      </c>
    </row>
    <row r="37" spans="1:24" ht="18" customHeight="1">
      <c r="A37" s="173"/>
      <c r="B37" s="246">
        <f t="shared" si="7"/>
        <v>30</v>
      </c>
      <c r="C37" s="245" t="str">
        <f>RELASI!C32</f>
        <v>M.FUADI R.</v>
      </c>
      <c r="D37" s="259">
        <f>SUMIFS(KB[NETTO2],KB[RELASI],C37,KB[TYPE],"A",KB[TANGGAL],"&gt;="&amp;DATE($D$2,$D$3,1),KB[TANGGAL],"&lt;"&amp;DATE($D$2+1,$D$3,1))</f>
        <v>0</v>
      </c>
      <c r="E37" s="214" t="str">
        <f t="shared" si="1"/>
        <v/>
      </c>
      <c r="F37" s="288">
        <f>SUMIFS(KB[TPEMBAYARAN],KB[RELASI],C37,KB[TYPE],"A",KB[TANGGAL],"&gt;="&amp;DATE($D$2,$D$3,1),KB[TANGGAL],"&lt;"&amp;DATE($D$2+1,$D$3,1))</f>
        <v>0</v>
      </c>
      <c r="G37" s="291"/>
      <c r="H37" s="276">
        <f>SUMIFS(KB[NETTO2],KB[RELASI],C37,KB[TYPE],"B",KB[TANGGAL],"&gt;="&amp;DATE($D$2,$D$3,1),KB[TANGGAL],"&lt;"&amp;DATE($D$2+1,$D$3,1))</f>
        <v>0</v>
      </c>
      <c r="I37" s="214" t="str">
        <f t="shared" si="2"/>
        <v/>
      </c>
      <c r="J37" s="217">
        <f>SUMIFS(KB[TPEMBAYARAN],KB[RELASI],C37,KB[TYPE],"B",KB[TANGGAL],"&gt;="&amp;DATE($D$2,$D$3,1),KB[TANGGAL],"&lt;"&amp;DATE($D$2+1,$D$3,1))</f>
        <v>0</v>
      </c>
      <c r="K37" s="291"/>
      <c r="L37" s="276">
        <f>SUMIFS(KBS[NETTO2],KBS[RELASI],C37,KBS[TANGGAL],"&gt;="&amp;DATE($D$2,$D$3,1),KBS[TANGGAL],"&lt;"&amp;DATE($D$2+1,$D$3,1))</f>
        <v>0</v>
      </c>
      <c r="M37" s="214" t="str">
        <f t="shared" si="3"/>
        <v/>
      </c>
      <c r="N37" s="217">
        <f>SUMIFS(KBS[TPEMBAYARAN],KBS[RELASI],C37,KBS[TANGGAL],"&gt;="&amp;DATE($D$2,$D$3,1),KBS[TANGGAL],"&lt;"&amp;DATE($D$2+1,$D$3,1))</f>
        <v>0</v>
      </c>
      <c r="O37" s="291"/>
      <c r="P37" s="281">
        <f>SUMIFS(KPR[NETTOB],KPR[RELASI],C37,KPR[TANGGAL],"&gt;="&amp;DATE($D$2,$D$3,1),KPR[TANGGAL],"&lt;"&amp;DATE($D$2+1,$D$3,1))</f>
        <v>0</v>
      </c>
      <c r="Q37" s="214" t="str">
        <f t="shared" si="4"/>
        <v/>
      </c>
      <c r="R37" s="217">
        <f>SUMIFS(KPR[TPEMBAYARAN],KPR[RELASI],C37,KPR[TANGGAL],"&gt;="&amp;DATE($D$2,$D$3,1),KPR[TANGGAL],"&lt;"&amp;DATE($D$2+1,$D$3,1))</f>
        <v>0</v>
      </c>
      <c r="S37" s="291"/>
      <c r="T37" s="276">
        <f>SUMIFS(ARG[NETTO3],ARG[RELASI],C37,ARG[TANGGAL],"&gt;="&amp;DATE($D$2,$D$3,1),ARG[TANGGAL],"&lt;"&amp;DATE($D$2+1,$D$3,1))</f>
        <v>0</v>
      </c>
      <c r="U37" s="214" t="str">
        <f t="shared" si="5"/>
        <v/>
      </c>
      <c r="V37" s="217">
        <f>SUMIFS(ARG[TPEMBAYARAN],ARG[RELASI],C37,ARG[TANGGAL],"&gt;="&amp;DATE($D$2,$D$3,1),ARG[TANGGAL],"&lt;"&amp;DATE($D$2+1,$D$3,1))</f>
        <v>0</v>
      </c>
      <c r="W37" s="291"/>
      <c r="X37" s="271">
        <f t="shared" si="6"/>
        <v>0</v>
      </c>
    </row>
    <row r="38" spans="1:24" ht="18" customHeight="1">
      <c r="A38" s="173"/>
      <c r="B38" s="246">
        <f t="shared" si="7"/>
        <v>31</v>
      </c>
      <c r="C38" s="245" t="str">
        <f>RELASI!C33</f>
        <v>M.RIDWAN ARSYAD</v>
      </c>
      <c r="D38" s="259">
        <f>SUMIFS(KB[NETTO2],KB[RELASI],C38,KB[TYPE],"A",KB[TANGGAL],"&gt;="&amp;DATE($D$2,$D$3,1),KB[TANGGAL],"&lt;"&amp;DATE($D$2+1,$D$3,1))</f>
        <v>0</v>
      </c>
      <c r="E38" s="214" t="str">
        <f t="shared" si="1"/>
        <v/>
      </c>
      <c r="F38" s="288">
        <f>SUMIFS(KB[TPEMBAYARAN],KB[RELASI],C38,KB[TYPE],"A",KB[TANGGAL],"&gt;="&amp;DATE($D$2,$D$3,1),KB[TANGGAL],"&lt;"&amp;DATE($D$2+1,$D$3,1))</f>
        <v>0</v>
      </c>
      <c r="G38" s="291"/>
      <c r="H38" s="276">
        <f>SUMIFS(KB[NETTO2],KB[RELASI],C38,KB[TYPE],"B",KB[TANGGAL],"&gt;="&amp;DATE($D$2,$D$3,1),KB[TANGGAL],"&lt;"&amp;DATE($D$2+1,$D$3,1))</f>
        <v>0</v>
      </c>
      <c r="I38" s="214" t="str">
        <f t="shared" si="2"/>
        <v/>
      </c>
      <c r="J38" s="217">
        <f>SUMIFS(KB[TPEMBAYARAN],KB[RELASI],C38,KB[TYPE],"B",KB[TANGGAL],"&gt;="&amp;DATE($D$2,$D$3,1),KB[TANGGAL],"&lt;"&amp;DATE($D$2+1,$D$3,1))</f>
        <v>0</v>
      </c>
      <c r="K38" s="291"/>
      <c r="L38" s="276">
        <f>SUMIFS(KBS[NETTO2],KBS[RELASI],C38,KBS[TANGGAL],"&gt;="&amp;DATE($D$2,$D$3,1),KBS[TANGGAL],"&lt;"&amp;DATE($D$2+1,$D$3,1))</f>
        <v>0</v>
      </c>
      <c r="M38" s="214" t="str">
        <f t="shared" si="3"/>
        <v/>
      </c>
      <c r="N38" s="217">
        <f>SUMIFS(KBS[TPEMBAYARAN],KBS[RELASI],C38,KBS[TANGGAL],"&gt;="&amp;DATE($D$2,$D$3,1),KBS[TANGGAL],"&lt;"&amp;DATE($D$2+1,$D$3,1))</f>
        <v>0</v>
      </c>
      <c r="O38" s="291"/>
      <c r="P38" s="281">
        <f>SUMIFS(KPR[NETTOB],KPR[RELASI],C38,KPR[TANGGAL],"&gt;="&amp;DATE($D$2,$D$3,1),KPR[TANGGAL],"&lt;"&amp;DATE($D$2+1,$D$3,1))</f>
        <v>0</v>
      </c>
      <c r="Q38" s="214" t="str">
        <f t="shared" si="4"/>
        <v/>
      </c>
      <c r="R38" s="217">
        <f>SUMIFS(KPR[TPEMBAYARAN],KPR[RELASI],C38,KPR[TANGGAL],"&gt;="&amp;DATE($D$2,$D$3,1),KPR[TANGGAL],"&lt;"&amp;DATE($D$2+1,$D$3,1))</f>
        <v>0</v>
      </c>
      <c r="S38" s="291"/>
      <c r="T38" s="276">
        <f>SUMIFS(ARG[NETTO3],ARG[RELASI],C38,ARG[TANGGAL],"&gt;="&amp;DATE($D$2,$D$3,1),ARG[TANGGAL],"&lt;"&amp;DATE($D$2+1,$D$3,1))</f>
        <v>0</v>
      </c>
      <c r="U38" s="214" t="str">
        <f t="shared" si="5"/>
        <v/>
      </c>
      <c r="V38" s="217">
        <f>SUMIFS(ARG[TPEMBAYARAN],ARG[RELASI],C38,ARG[TANGGAL],"&gt;="&amp;DATE($D$2,$D$3,1),ARG[TANGGAL],"&lt;"&amp;DATE($D$2+1,$D$3,1))</f>
        <v>0</v>
      </c>
      <c r="W38" s="291"/>
      <c r="X38" s="271">
        <f t="shared" si="6"/>
        <v>0</v>
      </c>
    </row>
    <row r="39" spans="1:24" ht="18" customHeight="1">
      <c r="A39" s="173"/>
      <c r="B39" s="246">
        <f t="shared" si="7"/>
        <v>32</v>
      </c>
      <c r="C39" s="245" t="str">
        <f>RELASI!C34</f>
        <v>MARTONO</v>
      </c>
      <c r="D39" s="259">
        <f>SUMIFS(KB[NETTO2],KB[RELASI],C39,KB[TYPE],"A",KB[TANGGAL],"&gt;="&amp;DATE($D$2,$D$3,1),KB[TANGGAL],"&lt;"&amp;DATE($D$2+1,$D$3,1))</f>
        <v>734950.89999999979</v>
      </c>
      <c r="E39" s="214">
        <f t="shared" si="1"/>
        <v>2771.4740739823578</v>
      </c>
      <c r="F39" s="288">
        <f>SUMIFS(KB[TPEMBAYARAN],KB[RELASI],C39,KB[TYPE],"A",KB[TANGGAL],"&gt;="&amp;DATE($D$2,$D$3,1),KB[TANGGAL],"&lt;"&amp;DATE($D$2+1,$D$3,1))</f>
        <v>2036897365</v>
      </c>
      <c r="G39" s="291"/>
      <c r="H39" s="276">
        <f>SUMIFS(KB[NETTO2],KB[RELASI],C39,KB[TYPE],"B",KB[TANGGAL],"&gt;="&amp;DATE($D$2,$D$3,1),KB[TANGGAL],"&lt;"&amp;DATE($D$2+1,$D$3,1))</f>
        <v>0</v>
      </c>
      <c r="I39" s="214" t="str">
        <f t="shared" si="2"/>
        <v/>
      </c>
      <c r="J39" s="217">
        <f>SUMIFS(KB[TPEMBAYARAN],KB[RELASI],C39,KB[TYPE],"B",KB[TANGGAL],"&gt;="&amp;DATE($D$2,$D$3,1),KB[TANGGAL],"&lt;"&amp;DATE($D$2+1,$D$3,1))</f>
        <v>0</v>
      </c>
      <c r="K39" s="291"/>
      <c r="L39" s="276">
        <f>SUMIFS(KBS[NETTO2],KBS[RELASI],C39,KBS[TANGGAL],"&gt;="&amp;DATE($D$2,$D$3,1),KBS[TANGGAL],"&lt;"&amp;DATE($D$2+1,$D$3,1))</f>
        <v>0</v>
      </c>
      <c r="M39" s="214" t="str">
        <f t="shared" si="3"/>
        <v/>
      </c>
      <c r="N39" s="217">
        <f>SUMIFS(KBS[TPEMBAYARAN],KBS[RELASI],C39,KBS[TANGGAL],"&gt;="&amp;DATE($D$2,$D$3,1),KBS[TANGGAL],"&lt;"&amp;DATE($D$2+1,$D$3,1))</f>
        <v>0</v>
      </c>
      <c r="O39" s="291"/>
      <c r="P39" s="281">
        <f>SUMIFS(KPR[NETTOB],KPR[RELASI],C39,KPR[TANGGAL],"&gt;="&amp;DATE($D$2,$D$3,1),KPR[TANGGAL],"&lt;"&amp;DATE($D$2+1,$D$3,1))</f>
        <v>0</v>
      </c>
      <c r="Q39" s="214" t="str">
        <f t="shared" si="4"/>
        <v/>
      </c>
      <c r="R39" s="217">
        <f>SUMIFS(KPR[TPEMBAYARAN],KPR[RELASI],C39,KPR[TANGGAL],"&gt;="&amp;DATE($D$2,$D$3,1),KPR[TANGGAL],"&lt;"&amp;DATE($D$2+1,$D$3,1))</f>
        <v>0</v>
      </c>
      <c r="S39" s="291"/>
      <c r="T39" s="276">
        <f>SUMIFS(ARG[NETTO3],ARG[RELASI],C39,ARG[TANGGAL],"&gt;="&amp;DATE($D$2,$D$3,1),ARG[TANGGAL],"&lt;"&amp;DATE($D$2+1,$D$3,1))</f>
        <v>0</v>
      </c>
      <c r="U39" s="214" t="str">
        <f t="shared" si="5"/>
        <v/>
      </c>
      <c r="V39" s="217">
        <f>SUMIFS(ARG[TPEMBAYARAN],ARG[RELASI],C39,ARG[TANGGAL],"&gt;="&amp;DATE($D$2,$D$3,1),ARG[TANGGAL],"&lt;"&amp;DATE($D$2+1,$D$3,1))</f>
        <v>0</v>
      </c>
      <c r="W39" s="291"/>
      <c r="X39" s="271">
        <f t="shared" si="6"/>
        <v>2036897365</v>
      </c>
    </row>
    <row r="40" spans="1:24" ht="18" customHeight="1">
      <c r="A40" s="173"/>
      <c r="B40" s="246">
        <f t="shared" si="7"/>
        <v>33</v>
      </c>
      <c r="C40" s="245" t="str">
        <f>RELASI!C35</f>
        <v>MASRI</v>
      </c>
      <c r="D40" s="259">
        <f>SUMIFS(KB[NETTO2],KB[RELASI],C40,KB[TYPE],"A",KB[TANGGAL],"&gt;="&amp;DATE($D$2,$D$3,1),KB[TANGGAL],"&lt;"&amp;DATE($D$2+1,$D$3,1))</f>
        <v>1701936.2999999998</v>
      </c>
      <c r="E40" s="214">
        <f t="shared" si="1"/>
        <v>2918.8460414176493</v>
      </c>
      <c r="F40" s="288">
        <f>SUMIFS(KB[TPEMBAYARAN],KB[RELASI],C40,KB[TYPE],"A",KB[TANGGAL],"&gt;="&amp;DATE($D$2,$D$3,1),KB[TANGGAL],"&lt;"&amp;DATE($D$2+1,$D$3,1))</f>
        <v>4967690032</v>
      </c>
      <c r="G40" s="291"/>
      <c r="H40" s="276">
        <f>SUMIFS(KB[NETTO2],KB[RELASI],C40,KB[TYPE],"B",KB[TANGGAL],"&gt;="&amp;DATE($D$2,$D$3,1),KB[TANGGAL],"&lt;"&amp;DATE($D$2+1,$D$3,1))</f>
        <v>0</v>
      </c>
      <c r="I40" s="214" t="str">
        <f t="shared" si="2"/>
        <v/>
      </c>
      <c r="J40" s="217">
        <f>SUMIFS(KB[TPEMBAYARAN],KB[RELASI],C40,KB[TYPE],"B",KB[TANGGAL],"&gt;="&amp;DATE($D$2,$D$3,1),KB[TANGGAL],"&lt;"&amp;DATE($D$2+1,$D$3,1))</f>
        <v>0</v>
      </c>
      <c r="K40" s="291"/>
      <c r="L40" s="276">
        <f>SUMIFS(KBS[NETTO2],KBS[RELASI],C40,KBS[TANGGAL],"&gt;="&amp;DATE($D$2,$D$3,1),KBS[TANGGAL],"&lt;"&amp;DATE($D$2+1,$D$3,1))</f>
        <v>0</v>
      </c>
      <c r="M40" s="214" t="str">
        <f t="shared" si="3"/>
        <v/>
      </c>
      <c r="N40" s="217">
        <f>SUMIFS(KBS[TPEMBAYARAN],KBS[RELASI],C40,KBS[TANGGAL],"&gt;="&amp;DATE($D$2,$D$3,1),KBS[TANGGAL],"&lt;"&amp;DATE($D$2+1,$D$3,1))</f>
        <v>0</v>
      </c>
      <c r="O40" s="291"/>
      <c r="P40" s="281">
        <f>SUMIFS(KPR[NETTOB],KPR[RELASI],C40,KPR[TANGGAL],"&gt;="&amp;DATE($D$2,$D$3,1),KPR[TANGGAL],"&lt;"&amp;DATE($D$2+1,$D$3,1))</f>
        <v>0</v>
      </c>
      <c r="Q40" s="214" t="str">
        <f t="shared" si="4"/>
        <v/>
      </c>
      <c r="R40" s="217">
        <f>SUMIFS(KPR[TPEMBAYARAN],KPR[RELASI],C40,KPR[TANGGAL],"&gt;="&amp;DATE($D$2,$D$3,1),KPR[TANGGAL],"&lt;"&amp;DATE($D$2+1,$D$3,1))</f>
        <v>0</v>
      </c>
      <c r="S40" s="291"/>
      <c r="T40" s="276">
        <f>SUMIFS(ARG[NETTO3],ARG[RELASI],C40,ARG[TANGGAL],"&gt;="&amp;DATE($D$2,$D$3,1),ARG[TANGGAL],"&lt;"&amp;DATE($D$2+1,$D$3,1))</f>
        <v>0</v>
      </c>
      <c r="U40" s="214" t="str">
        <f t="shared" si="5"/>
        <v/>
      </c>
      <c r="V40" s="217">
        <f>SUMIFS(ARG[TPEMBAYARAN],ARG[RELASI],C40,ARG[TANGGAL],"&gt;="&amp;DATE($D$2,$D$3,1),ARG[TANGGAL],"&lt;"&amp;DATE($D$2+1,$D$3,1))</f>
        <v>0</v>
      </c>
      <c r="W40" s="291"/>
      <c r="X40" s="271">
        <f t="shared" si="6"/>
        <v>4967690032</v>
      </c>
    </row>
    <row r="41" spans="1:24" ht="18" customHeight="1">
      <c r="A41" s="173"/>
      <c r="B41" s="246">
        <f t="shared" si="7"/>
        <v>34</v>
      </c>
      <c r="C41" s="245" t="str">
        <f>RELASI!C36</f>
        <v>MINSAR</v>
      </c>
      <c r="D41" s="259">
        <f>SUMIFS(KB[NETTO2],KB[RELASI],C41,KB[TYPE],"A",KB[TANGGAL],"&gt;="&amp;DATE($D$2,$D$3,1),KB[TANGGAL],"&lt;"&amp;DATE($D$2+1,$D$3,1))</f>
        <v>0</v>
      </c>
      <c r="E41" s="214" t="str">
        <f t="shared" si="1"/>
        <v/>
      </c>
      <c r="F41" s="288">
        <f>SUMIFS(KB[TPEMBAYARAN],KB[RELASI],C41,KB[TYPE],"A",KB[TANGGAL],"&gt;="&amp;DATE($D$2,$D$3,1),KB[TANGGAL],"&lt;"&amp;DATE($D$2+1,$D$3,1))</f>
        <v>0</v>
      </c>
      <c r="G41" s="291"/>
      <c r="H41" s="276">
        <f>SUMIFS(KB[NETTO2],KB[RELASI],C41,KB[TYPE],"B",KB[TANGGAL],"&gt;="&amp;DATE($D$2,$D$3,1),KB[TANGGAL],"&lt;"&amp;DATE($D$2+1,$D$3,1))</f>
        <v>0</v>
      </c>
      <c r="I41" s="214" t="str">
        <f t="shared" si="2"/>
        <v/>
      </c>
      <c r="J41" s="217">
        <f>SUMIFS(KB[TPEMBAYARAN],KB[RELASI],C41,KB[TYPE],"B",KB[TANGGAL],"&gt;="&amp;DATE($D$2,$D$3,1),KB[TANGGAL],"&lt;"&amp;DATE($D$2+1,$D$3,1))</f>
        <v>0</v>
      </c>
      <c r="K41" s="291"/>
      <c r="L41" s="276">
        <f>SUMIFS(KBS[NETTO2],KBS[RELASI],C41,KBS[TANGGAL],"&gt;="&amp;DATE($D$2,$D$3,1),KBS[TANGGAL],"&lt;"&amp;DATE($D$2+1,$D$3,1))</f>
        <v>0</v>
      </c>
      <c r="M41" s="214" t="str">
        <f t="shared" si="3"/>
        <v/>
      </c>
      <c r="N41" s="217">
        <f>SUMIFS(KBS[TPEMBAYARAN],KBS[RELASI],C41,KBS[TANGGAL],"&gt;="&amp;DATE($D$2,$D$3,1),KBS[TANGGAL],"&lt;"&amp;DATE($D$2+1,$D$3,1))</f>
        <v>0</v>
      </c>
      <c r="O41" s="291"/>
      <c r="P41" s="281">
        <f>SUMIFS(KPR[NETTOB],KPR[RELASI],C41,KPR[TANGGAL],"&gt;="&amp;DATE($D$2,$D$3,1),KPR[TANGGAL],"&lt;"&amp;DATE($D$2+1,$D$3,1))</f>
        <v>0</v>
      </c>
      <c r="Q41" s="214" t="str">
        <f t="shared" si="4"/>
        <v/>
      </c>
      <c r="R41" s="217">
        <f>SUMIFS(KPR[TPEMBAYARAN],KPR[RELASI],C41,KPR[TANGGAL],"&gt;="&amp;DATE($D$2,$D$3,1),KPR[TANGGAL],"&lt;"&amp;DATE($D$2+1,$D$3,1))</f>
        <v>0</v>
      </c>
      <c r="S41" s="291"/>
      <c r="T41" s="276">
        <f>SUMIFS(ARG[NETTO3],ARG[RELASI],C41,ARG[TANGGAL],"&gt;="&amp;DATE($D$2,$D$3,1),ARG[TANGGAL],"&lt;"&amp;DATE($D$2+1,$D$3,1))</f>
        <v>0</v>
      </c>
      <c r="U41" s="214" t="str">
        <f t="shared" si="5"/>
        <v/>
      </c>
      <c r="V41" s="217">
        <f>SUMIFS(ARG[TPEMBAYARAN],ARG[RELASI],C41,ARG[TANGGAL],"&gt;="&amp;DATE($D$2,$D$3,1),ARG[TANGGAL],"&lt;"&amp;DATE($D$2+1,$D$3,1))</f>
        <v>0</v>
      </c>
      <c r="W41" s="291"/>
      <c r="X41" s="271">
        <f t="shared" si="6"/>
        <v>0</v>
      </c>
    </row>
    <row r="42" spans="1:24" ht="18" customHeight="1">
      <c r="A42" s="173"/>
      <c r="B42" s="246">
        <f t="shared" si="7"/>
        <v>35</v>
      </c>
      <c r="C42" s="245" t="str">
        <f>RELASI!C37</f>
        <v>MUHAMMAD ARAB</v>
      </c>
      <c r="D42" s="259">
        <f>SUMIFS(KB[NETTO2],KB[RELASI],C42,KB[TYPE],"A",KB[TANGGAL],"&gt;="&amp;DATE($D$2,$D$3,1),KB[TANGGAL],"&lt;"&amp;DATE($D$2+1,$D$3,1))</f>
        <v>40767.800000000003</v>
      </c>
      <c r="E42" s="214">
        <f t="shared" si="1"/>
        <v>2586.9605914471713</v>
      </c>
      <c r="F42" s="288">
        <f>SUMIFS(KB[TPEMBAYARAN],KB[RELASI],C42,KB[TYPE],"A",KB[TANGGAL],"&gt;="&amp;DATE($D$2,$D$3,1),KB[TANGGAL],"&lt;"&amp;DATE($D$2+1,$D$3,1))</f>
        <v>105464692</v>
      </c>
      <c r="G42" s="291"/>
      <c r="H42" s="276">
        <f>SUMIFS(KB[NETTO2],KB[RELASI],C42,KB[TYPE],"B",KB[TANGGAL],"&gt;="&amp;DATE($D$2,$D$3,1),KB[TANGGAL],"&lt;"&amp;DATE($D$2+1,$D$3,1))</f>
        <v>0</v>
      </c>
      <c r="I42" s="214" t="str">
        <f t="shared" si="2"/>
        <v/>
      </c>
      <c r="J42" s="217">
        <f>SUMIFS(KB[TPEMBAYARAN],KB[RELASI],C42,KB[TYPE],"B",KB[TANGGAL],"&gt;="&amp;DATE($D$2,$D$3,1),KB[TANGGAL],"&lt;"&amp;DATE($D$2+1,$D$3,1))</f>
        <v>0</v>
      </c>
      <c r="K42" s="291"/>
      <c r="L42" s="276">
        <f>SUMIFS(KBS[NETTO2],KBS[RELASI],C42,KBS[TANGGAL],"&gt;="&amp;DATE($D$2,$D$3,1),KBS[TANGGAL],"&lt;"&amp;DATE($D$2+1,$D$3,1))</f>
        <v>0</v>
      </c>
      <c r="M42" s="214" t="str">
        <f t="shared" si="3"/>
        <v/>
      </c>
      <c r="N42" s="217">
        <f>SUMIFS(KBS[TPEMBAYARAN],KBS[RELASI],C42,KBS[TANGGAL],"&gt;="&amp;DATE($D$2,$D$3,1),KBS[TANGGAL],"&lt;"&amp;DATE($D$2+1,$D$3,1))</f>
        <v>0</v>
      </c>
      <c r="O42" s="291"/>
      <c r="P42" s="281">
        <f>SUMIFS(KPR[NETTOB],KPR[RELASI],C42,KPR[TANGGAL],"&gt;="&amp;DATE($D$2,$D$3,1),KPR[TANGGAL],"&lt;"&amp;DATE($D$2+1,$D$3,1))</f>
        <v>0</v>
      </c>
      <c r="Q42" s="214" t="str">
        <f t="shared" si="4"/>
        <v/>
      </c>
      <c r="R42" s="217">
        <f>SUMIFS(KPR[TPEMBAYARAN],KPR[RELASI],C42,KPR[TANGGAL],"&gt;="&amp;DATE($D$2,$D$3,1),KPR[TANGGAL],"&lt;"&amp;DATE($D$2+1,$D$3,1))</f>
        <v>0</v>
      </c>
      <c r="S42" s="291"/>
      <c r="T42" s="276">
        <f>SUMIFS(ARG[NETTO3],ARG[RELASI],C42,ARG[TANGGAL],"&gt;="&amp;DATE($D$2,$D$3,1),ARG[TANGGAL],"&lt;"&amp;DATE($D$2+1,$D$3,1))</f>
        <v>0</v>
      </c>
      <c r="U42" s="214" t="str">
        <f t="shared" si="5"/>
        <v/>
      </c>
      <c r="V42" s="217">
        <f>SUMIFS(ARG[TPEMBAYARAN],ARG[RELASI],C42,ARG[TANGGAL],"&gt;="&amp;DATE($D$2,$D$3,1),ARG[TANGGAL],"&lt;"&amp;DATE($D$2+1,$D$3,1))</f>
        <v>0</v>
      </c>
      <c r="W42" s="291"/>
      <c r="X42" s="271">
        <f t="shared" si="6"/>
        <v>105464692</v>
      </c>
    </row>
    <row r="43" spans="1:24" ht="18" customHeight="1">
      <c r="A43" s="173"/>
      <c r="B43" s="246">
        <f t="shared" si="7"/>
        <v>36</v>
      </c>
      <c r="C43" s="245" t="str">
        <f>RELASI!C38</f>
        <v>MURYADI</v>
      </c>
      <c r="D43" s="259">
        <f>SUMIFS(KB[NETTO2],KB[RELASI],C43,KB[TYPE],"A",KB[TANGGAL],"&gt;="&amp;DATE($D$2,$D$3,1),KB[TANGGAL],"&lt;"&amp;DATE($D$2+1,$D$3,1))</f>
        <v>0</v>
      </c>
      <c r="E43" s="214" t="str">
        <f t="shared" si="1"/>
        <v/>
      </c>
      <c r="F43" s="288">
        <f>SUMIFS(KB[TPEMBAYARAN],KB[RELASI],C43,KB[TYPE],"A",KB[TANGGAL],"&gt;="&amp;DATE($D$2,$D$3,1),KB[TANGGAL],"&lt;"&amp;DATE($D$2+1,$D$3,1))</f>
        <v>0</v>
      </c>
      <c r="G43" s="291"/>
      <c r="H43" s="276">
        <f>SUMIFS(KB[NETTO2],KB[RELASI],C43,KB[TYPE],"B",KB[TANGGAL],"&gt;="&amp;DATE($D$2,$D$3,1),KB[TANGGAL],"&lt;"&amp;DATE($D$2+1,$D$3,1))</f>
        <v>0</v>
      </c>
      <c r="I43" s="214" t="str">
        <f t="shared" si="2"/>
        <v/>
      </c>
      <c r="J43" s="217">
        <f>SUMIFS(KB[TPEMBAYARAN],KB[RELASI],C43,KB[TYPE],"B",KB[TANGGAL],"&gt;="&amp;DATE($D$2,$D$3,1),KB[TANGGAL],"&lt;"&amp;DATE($D$2+1,$D$3,1))</f>
        <v>0</v>
      </c>
      <c r="K43" s="291"/>
      <c r="L43" s="276">
        <f>SUMIFS(KBS[NETTO2],KBS[RELASI],C43,KBS[TANGGAL],"&gt;="&amp;DATE($D$2,$D$3,1),KBS[TANGGAL],"&lt;"&amp;DATE($D$2+1,$D$3,1))</f>
        <v>0</v>
      </c>
      <c r="M43" s="214" t="str">
        <f t="shared" si="3"/>
        <v/>
      </c>
      <c r="N43" s="217">
        <f>SUMIFS(KBS[TPEMBAYARAN],KBS[RELASI],C43,KBS[TANGGAL],"&gt;="&amp;DATE($D$2,$D$3,1),KBS[TANGGAL],"&lt;"&amp;DATE($D$2+1,$D$3,1))</f>
        <v>0</v>
      </c>
      <c r="O43" s="291"/>
      <c r="P43" s="281">
        <f>SUMIFS(KPR[NETTOB],KPR[RELASI],C43,KPR[TANGGAL],"&gt;="&amp;DATE($D$2,$D$3,1),KPR[TANGGAL],"&lt;"&amp;DATE($D$2+1,$D$3,1))</f>
        <v>0</v>
      </c>
      <c r="Q43" s="214" t="str">
        <f t="shared" si="4"/>
        <v/>
      </c>
      <c r="R43" s="217">
        <f>SUMIFS(KPR[TPEMBAYARAN],KPR[RELASI],C43,KPR[TANGGAL],"&gt;="&amp;DATE($D$2,$D$3,1),KPR[TANGGAL],"&lt;"&amp;DATE($D$2+1,$D$3,1))</f>
        <v>0</v>
      </c>
      <c r="S43" s="291"/>
      <c r="T43" s="276">
        <f>SUMIFS(ARG[NETTO3],ARG[RELASI],C43,ARG[TANGGAL],"&gt;="&amp;DATE($D$2,$D$3,1),ARG[TANGGAL],"&lt;"&amp;DATE($D$2+1,$D$3,1))</f>
        <v>0</v>
      </c>
      <c r="U43" s="214" t="str">
        <f t="shared" si="5"/>
        <v/>
      </c>
      <c r="V43" s="217">
        <f>SUMIFS(ARG[TPEMBAYARAN],ARG[RELASI],C43,ARG[TANGGAL],"&gt;="&amp;DATE($D$2,$D$3,1),ARG[TANGGAL],"&lt;"&amp;DATE($D$2+1,$D$3,1))</f>
        <v>0</v>
      </c>
      <c r="W43" s="291"/>
      <c r="X43" s="271">
        <f t="shared" si="6"/>
        <v>0</v>
      </c>
    </row>
    <row r="44" spans="1:24" ht="18" customHeight="1">
      <c r="A44" s="173"/>
      <c r="B44" s="246">
        <f t="shared" si="7"/>
        <v>37</v>
      </c>
      <c r="C44" s="245" t="str">
        <f>RELASI!C39</f>
        <v>PT.SINAR KELAPA TEMBILAHAN</v>
      </c>
      <c r="D44" s="259">
        <f>SUMIFS(KB[NETTO2],KB[RELASI],C44,KB[TYPE],"A",KB[TANGGAL],"&gt;="&amp;DATE($D$2,$D$3,1),KB[TANGGAL],"&lt;"&amp;DATE($D$2+1,$D$3,1))</f>
        <v>568126.60000000009</v>
      </c>
      <c r="E44" s="214">
        <f t="shared" si="1"/>
        <v>2887.6699894002495</v>
      </c>
      <c r="F44" s="288">
        <f>SUMIFS(KB[TPEMBAYARAN],KB[RELASI],C44,KB[TYPE],"A",KB[TANGGAL],"&gt;="&amp;DATE($D$2,$D$3,1),KB[TANGGAL],"&lt;"&amp;DATE($D$2+1,$D$3,1))</f>
        <v>1640562133</v>
      </c>
      <c r="G44" s="291"/>
      <c r="H44" s="276">
        <f>SUMIFS(KB[NETTO2],KB[RELASI],C44,KB[TYPE],"B",KB[TANGGAL],"&gt;="&amp;DATE($D$2,$D$3,1),KB[TANGGAL],"&lt;"&amp;DATE($D$2+1,$D$3,1))</f>
        <v>0</v>
      </c>
      <c r="I44" s="214" t="str">
        <f t="shared" si="2"/>
        <v/>
      </c>
      <c r="J44" s="217">
        <f>SUMIFS(KB[TPEMBAYARAN],KB[RELASI],C44,KB[TYPE],"B",KB[TANGGAL],"&gt;="&amp;DATE($D$2,$D$3,1),KB[TANGGAL],"&lt;"&amp;DATE($D$2+1,$D$3,1))</f>
        <v>0</v>
      </c>
      <c r="K44" s="291"/>
      <c r="L44" s="276">
        <f>SUMIFS(KBS[NETTO2],KBS[RELASI],C44,KBS[TANGGAL],"&gt;="&amp;DATE($D$2,$D$3,1),KBS[TANGGAL],"&lt;"&amp;DATE($D$2+1,$D$3,1))</f>
        <v>0</v>
      </c>
      <c r="M44" s="214" t="str">
        <f t="shared" si="3"/>
        <v/>
      </c>
      <c r="N44" s="217">
        <f>SUMIFS(KBS[TPEMBAYARAN],KBS[RELASI],C44,KBS[TANGGAL],"&gt;="&amp;DATE($D$2,$D$3,1),KBS[TANGGAL],"&lt;"&amp;DATE($D$2+1,$D$3,1))</f>
        <v>0</v>
      </c>
      <c r="O44" s="291"/>
      <c r="P44" s="281">
        <f>SUMIFS(KPR[NETTOB],KPR[RELASI],C44,KPR[TANGGAL],"&gt;="&amp;DATE($D$2,$D$3,1),KPR[TANGGAL],"&lt;"&amp;DATE($D$2+1,$D$3,1))</f>
        <v>0</v>
      </c>
      <c r="Q44" s="214" t="str">
        <f t="shared" si="4"/>
        <v/>
      </c>
      <c r="R44" s="217">
        <f>SUMIFS(KPR[TPEMBAYARAN],KPR[RELASI],C44,KPR[TANGGAL],"&gt;="&amp;DATE($D$2,$D$3,1),KPR[TANGGAL],"&lt;"&amp;DATE($D$2+1,$D$3,1))</f>
        <v>0</v>
      </c>
      <c r="S44" s="291"/>
      <c r="T44" s="276">
        <f>SUMIFS(ARG[NETTO3],ARG[RELASI],C44,ARG[TANGGAL],"&gt;="&amp;DATE($D$2,$D$3,1),ARG[TANGGAL],"&lt;"&amp;DATE($D$2+1,$D$3,1))</f>
        <v>0</v>
      </c>
      <c r="U44" s="214" t="str">
        <f t="shared" si="5"/>
        <v/>
      </c>
      <c r="V44" s="217">
        <f>SUMIFS(ARG[TPEMBAYARAN],ARG[RELASI],C44,ARG[TANGGAL],"&gt;="&amp;DATE($D$2,$D$3,1),ARG[TANGGAL],"&lt;"&amp;DATE($D$2+1,$D$3,1))</f>
        <v>0</v>
      </c>
      <c r="W44" s="291"/>
      <c r="X44" s="271">
        <f t="shared" si="6"/>
        <v>1640562133</v>
      </c>
    </row>
    <row r="45" spans="1:24" ht="18" customHeight="1">
      <c r="A45" s="173"/>
      <c r="B45" s="246">
        <f t="shared" si="7"/>
        <v>38</v>
      </c>
      <c r="C45" s="245" t="str">
        <f>RELASI!C40</f>
        <v>RITA ERNITA</v>
      </c>
      <c r="D45" s="259">
        <f>SUMIFS(KB[NETTO2],KB[RELASI],C45,KB[TYPE],"A",KB[TANGGAL],"&gt;="&amp;DATE($D$2,$D$3,1),KB[TANGGAL],"&lt;"&amp;DATE($D$2+1,$D$3,1))</f>
        <v>247026.1</v>
      </c>
      <c r="E45" s="214">
        <f t="shared" si="1"/>
        <v>2833.5252874089015</v>
      </c>
      <c r="F45" s="288">
        <f>SUMIFS(KB[TPEMBAYARAN],KB[RELASI],C45,KB[TYPE],"A",KB[TANGGAL],"&gt;="&amp;DATE($D$2,$D$3,1),KB[TANGGAL],"&lt;"&amp;DATE($D$2+1,$D$3,1))</f>
        <v>699954701</v>
      </c>
      <c r="G45" s="291"/>
      <c r="H45" s="276">
        <f>SUMIFS(KB[NETTO2],KB[RELASI],C45,KB[TYPE],"B",KB[TANGGAL],"&gt;="&amp;DATE($D$2,$D$3,1),KB[TANGGAL],"&lt;"&amp;DATE($D$2+1,$D$3,1))</f>
        <v>0</v>
      </c>
      <c r="I45" s="214" t="str">
        <f t="shared" si="2"/>
        <v/>
      </c>
      <c r="J45" s="217">
        <f>SUMIFS(KB[TPEMBAYARAN],KB[RELASI],C45,KB[TYPE],"B",KB[TANGGAL],"&gt;="&amp;DATE($D$2,$D$3,1),KB[TANGGAL],"&lt;"&amp;DATE($D$2+1,$D$3,1))</f>
        <v>0</v>
      </c>
      <c r="K45" s="291"/>
      <c r="L45" s="276">
        <f>SUMIFS(KBS[NETTO2],KBS[RELASI],C45,KBS[TANGGAL],"&gt;="&amp;DATE($D$2,$D$3,1),KBS[TANGGAL],"&lt;"&amp;DATE($D$2+1,$D$3,1))</f>
        <v>0</v>
      </c>
      <c r="M45" s="214" t="str">
        <f t="shared" si="3"/>
        <v/>
      </c>
      <c r="N45" s="217">
        <f>SUMIFS(KBS[TPEMBAYARAN],KBS[RELASI],C45,KBS[TANGGAL],"&gt;="&amp;DATE($D$2,$D$3,1),KBS[TANGGAL],"&lt;"&amp;DATE($D$2+1,$D$3,1))</f>
        <v>0</v>
      </c>
      <c r="O45" s="291"/>
      <c r="P45" s="281">
        <f>SUMIFS(KPR[NETTOB],KPR[RELASI],C45,KPR[TANGGAL],"&gt;="&amp;DATE($D$2,$D$3,1),KPR[TANGGAL],"&lt;"&amp;DATE($D$2+1,$D$3,1))</f>
        <v>0</v>
      </c>
      <c r="Q45" s="214" t="str">
        <f t="shared" si="4"/>
        <v/>
      </c>
      <c r="R45" s="217">
        <f>SUMIFS(KPR[TPEMBAYARAN],KPR[RELASI],C45,KPR[TANGGAL],"&gt;="&amp;DATE($D$2,$D$3,1),KPR[TANGGAL],"&lt;"&amp;DATE($D$2+1,$D$3,1))</f>
        <v>0</v>
      </c>
      <c r="S45" s="291"/>
      <c r="T45" s="276">
        <f>SUMIFS(ARG[NETTO3],ARG[RELASI],C45,ARG[TANGGAL],"&gt;="&amp;DATE($D$2,$D$3,1),ARG[TANGGAL],"&lt;"&amp;DATE($D$2+1,$D$3,1))</f>
        <v>0</v>
      </c>
      <c r="U45" s="214" t="str">
        <f t="shared" si="5"/>
        <v/>
      </c>
      <c r="V45" s="217">
        <f>SUMIFS(ARG[TPEMBAYARAN],ARG[RELASI],C45,ARG[TANGGAL],"&gt;="&amp;DATE($D$2,$D$3,1),ARG[TANGGAL],"&lt;"&amp;DATE($D$2+1,$D$3,1))</f>
        <v>0</v>
      </c>
      <c r="W45" s="291"/>
      <c r="X45" s="271">
        <f t="shared" si="6"/>
        <v>699954701</v>
      </c>
    </row>
    <row r="46" spans="1:24" ht="18" customHeight="1">
      <c r="A46" s="173"/>
      <c r="B46" s="246">
        <f t="shared" si="7"/>
        <v>39</v>
      </c>
      <c r="C46" s="245" t="str">
        <f>RELASI!C41</f>
        <v>ROSDIANTO</v>
      </c>
      <c r="D46" s="259">
        <f>SUMIFS(KB[NETTO2],KB[RELASI],C46,KB[TYPE],"A",KB[TANGGAL],"&gt;="&amp;DATE($D$2,$D$3,1),KB[TANGGAL],"&lt;"&amp;DATE($D$2+1,$D$3,1))</f>
        <v>68065.400000000009</v>
      </c>
      <c r="E46" s="214">
        <f t="shared" si="1"/>
        <v>2799.9996473979436</v>
      </c>
      <c r="F46" s="288">
        <f>SUMIFS(KB[TPEMBAYARAN],KB[RELASI],C46,KB[TYPE],"A",KB[TANGGAL],"&gt;="&amp;DATE($D$2,$D$3,1),KB[TANGGAL],"&lt;"&amp;DATE($D$2+1,$D$3,1))</f>
        <v>190583096</v>
      </c>
      <c r="G46" s="291"/>
      <c r="H46" s="276">
        <f>SUMIFS(KB[NETTO2],KB[RELASI],C46,KB[TYPE],"B",KB[TANGGAL],"&gt;="&amp;DATE($D$2,$D$3,1),KB[TANGGAL],"&lt;"&amp;DATE($D$2+1,$D$3,1))</f>
        <v>0</v>
      </c>
      <c r="I46" s="214" t="str">
        <f t="shared" si="2"/>
        <v/>
      </c>
      <c r="J46" s="217">
        <f>SUMIFS(KB[TPEMBAYARAN],KB[RELASI],C46,KB[TYPE],"B",KB[TANGGAL],"&gt;="&amp;DATE($D$2,$D$3,1),KB[TANGGAL],"&lt;"&amp;DATE($D$2+1,$D$3,1))</f>
        <v>0</v>
      </c>
      <c r="K46" s="291"/>
      <c r="L46" s="276">
        <f>SUMIFS(KBS[NETTO2],KBS[RELASI],C46,KBS[TANGGAL],"&gt;="&amp;DATE($D$2,$D$3,1),KBS[TANGGAL],"&lt;"&amp;DATE($D$2+1,$D$3,1))</f>
        <v>0</v>
      </c>
      <c r="M46" s="214" t="str">
        <f t="shared" si="3"/>
        <v/>
      </c>
      <c r="N46" s="217">
        <f>SUMIFS(KBS[TPEMBAYARAN],KBS[RELASI],C46,KBS[TANGGAL],"&gt;="&amp;DATE($D$2,$D$3,1),KBS[TANGGAL],"&lt;"&amp;DATE($D$2+1,$D$3,1))</f>
        <v>0</v>
      </c>
      <c r="O46" s="291"/>
      <c r="P46" s="281">
        <f>SUMIFS(KPR[NETTOB],KPR[RELASI],C46,KPR[TANGGAL],"&gt;="&amp;DATE($D$2,$D$3,1),KPR[TANGGAL],"&lt;"&amp;DATE($D$2+1,$D$3,1))</f>
        <v>0</v>
      </c>
      <c r="Q46" s="214" t="str">
        <f t="shared" si="4"/>
        <v/>
      </c>
      <c r="R46" s="217">
        <f>SUMIFS(KPR[TPEMBAYARAN],KPR[RELASI],C46,KPR[TANGGAL],"&gt;="&amp;DATE($D$2,$D$3,1),KPR[TANGGAL],"&lt;"&amp;DATE($D$2+1,$D$3,1))</f>
        <v>0</v>
      </c>
      <c r="S46" s="291"/>
      <c r="T46" s="276">
        <f>SUMIFS(ARG[NETTO3],ARG[RELASI],C46,ARG[TANGGAL],"&gt;="&amp;DATE($D$2,$D$3,1),ARG[TANGGAL],"&lt;"&amp;DATE($D$2+1,$D$3,1))</f>
        <v>0</v>
      </c>
      <c r="U46" s="214" t="str">
        <f t="shared" si="5"/>
        <v/>
      </c>
      <c r="V46" s="217">
        <f>SUMIFS(ARG[TPEMBAYARAN],ARG[RELASI],C46,ARG[TANGGAL],"&gt;="&amp;DATE($D$2,$D$3,1),ARG[TANGGAL],"&lt;"&amp;DATE($D$2+1,$D$3,1))</f>
        <v>0</v>
      </c>
      <c r="W46" s="291"/>
      <c r="X46" s="271">
        <f t="shared" si="6"/>
        <v>190583096</v>
      </c>
    </row>
    <row r="47" spans="1:24" ht="18" customHeight="1">
      <c r="A47" s="173"/>
      <c r="B47" s="246">
        <f t="shared" si="7"/>
        <v>40</v>
      </c>
      <c r="C47" s="245" t="str">
        <f>RELASI!C42</f>
        <v>RUSLAN JAYA, SH</v>
      </c>
      <c r="D47" s="259">
        <f>SUMIFS(KB[NETTO2],KB[RELASI],C47,KB[TYPE],"A",KB[TANGGAL],"&gt;="&amp;DATE($D$2,$D$3,1),KB[TANGGAL],"&lt;"&amp;DATE($D$2+1,$D$3,1))</f>
        <v>848815.1</v>
      </c>
      <c r="E47" s="214">
        <f t="shared" si="1"/>
        <v>2862.5272264831292</v>
      </c>
      <c r="F47" s="288">
        <f>SUMIFS(KB[TPEMBAYARAN],KB[RELASI],C47,KB[TYPE],"A",KB[TANGGAL],"&gt;="&amp;DATE($D$2,$D$3,1),KB[TANGGAL],"&lt;"&amp;DATE($D$2+1,$D$3,1))</f>
        <v>2429756334</v>
      </c>
      <c r="G47" s="291"/>
      <c r="H47" s="276">
        <f>SUMIFS(KB[NETTO2],KB[RELASI],C47,KB[TYPE],"B",KB[TANGGAL],"&gt;="&amp;DATE($D$2,$D$3,1),KB[TANGGAL],"&lt;"&amp;DATE($D$2+1,$D$3,1))</f>
        <v>0</v>
      </c>
      <c r="I47" s="214" t="str">
        <f t="shared" si="2"/>
        <v/>
      </c>
      <c r="J47" s="217">
        <f>SUMIFS(KB[TPEMBAYARAN],KB[RELASI],C47,KB[TYPE],"B",KB[TANGGAL],"&gt;="&amp;DATE($D$2,$D$3,1),KB[TANGGAL],"&lt;"&amp;DATE($D$2+1,$D$3,1))</f>
        <v>0</v>
      </c>
      <c r="K47" s="291"/>
      <c r="L47" s="276">
        <f>SUMIFS(KBS[NETTO2],KBS[RELASI],C47,KBS[TANGGAL],"&gt;="&amp;DATE($D$2,$D$3,1),KBS[TANGGAL],"&lt;"&amp;DATE($D$2+1,$D$3,1))</f>
        <v>0</v>
      </c>
      <c r="M47" s="214" t="str">
        <f t="shared" si="3"/>
        <v/>
      </c>
      <c r="N47" s="217">
        <f>SUMIFS(KBS[TPEMBAYARAN],KBS[RELASI],C47,KBS[TANGGAL],"&gt;="&amp;DATE($D$2,$D$3,1),KBS[TANGGAL],"&lt;"&amp;DATE($D$2+1,$D$3,1))</f>
        <v>0</v>
      </c>
      <c r="O47" s="291"/>
      <c r="P47" s="281">
        <f>SUMIFS(KPR[NETTOB],KPR[RELASI],C47,KPR[TANGGAL],"&gt;="&amp;DATE($D$2,$D$3,1),KPR[TANGGAL],"&lt;"&amp;DATE($D$2+1,$D$3,1))</f>
        <v>0</v>
      </c>
      <c r="Q47" s="214" t="str">
        <f t="shared" si="4"/>
        <v/>
      </c>
      <c r="R47" s="217">
        <f>SUMIFS(KPR[TPEMBAYARAN],KPR[RELASI],C47,KPR[TANGGAL],"&gt;="&amp;DATE($D$2,$D$3,1),KPR[TANGGAL],"&lt;"&amp;DATE($D$2+1,$D$3,1))</f>
        <v>0</v>
      </c>
      <c r="S47" s="291"/>
      <c r="T47" s="276">
        <f>SUMIFS(ARG[NETTO3],ARG[RELASI],C47,ARG[TANGGAL],"&gt;="&amp;DATE($D$2,$D$3,1),ARG[TANGGAL],"&lt;"&amp;DATE($D$2+1,$D$3,1))</f>
        <v>0</v>
      </c>
      <c r="U47" s="214" t="str">
        <f t="shared" si="5"/>
        <v/>
      </c>
      <c r="V47" s="217">
        <f>SUMIFS(ARG[TPEMBAYARAN],ARG[RELASI],C47,ARG[TANGGAL],"&gt;="&amp;DATE($D$2,$D$3,1),ARG[TANGGAL],"&lt;"&amp;DATE($D$2+1,$D$3,1))</f>
        <v>0</v>
      </c>
      <c r="W47" s="291"/>
      <c r="X47" s="271">
        <f t="shared" si="6"/>
        <v>2429756334</v>
      </c>
    </row>
    <row r="48" spans="1:24" ht="18" customHeight="1">
      <c r="A48" s="173"/>
      <c r="B48" s="246">
        <f t="shared" si="7"/>
        <v>41</v>
      </c>
      <c r="C48" s="245" t="str">
        <f>RELASI!C43</f>
        <v>SAIRI</v>
      </c>
      <c r="D48" s="259">
        <f>SUMIFS(KB[NETTO2],KB[RELASI],C48,KB[TYPE],"A",KB[TANGGAL],"&gt;="&amp;DATE($D$2,$D$3,1),KB[TANGGAL],"&lt;"&amp;DATE($D$2+1,$D$3,1))</f>
        <v>144509.29999999999</v>
      </c>
      <c r="E48" s="214">
        <f t="shared" si="1"/>
        <v>2801.9446568490748</v>
      </c>
      <c r="F48" s="288">
        <f>SUMIFS(KB[TPEMBAYARAN],KB[RELASI],C48,KB[TYPE],"A",KB[TANGGAL],"&gt;="&amp;DATE($D$2,$D$3,1),KB[TANGGAL],"&lt;"&amp;DATE($D$2+1,$D$3,1))</f>
        <v>404907061</v>
      </c>
      <c r="G48" s="291"/>
      <c r="H48" s="276">
        <f>SUMIFS(KB[NETTO2],KB[RELASI],C48,KB[TYPE],"B",KB[TANGGAL],"&gt;="&amp;DATE($D$2,$D$3,1),KB[TANGGAL],"&lt;"&amp;DATE($D$2+1,$D$3,1))</f>
        <v>0</v>
      </c>
      <c r="I48" s="214" t="str">
        <f t="shared" si="2"/>
        <v/>
      </c>
      <c r="J48" s="217">
        <f>SUMIFS(KB[TPEMBAYARAN],KB[RELASI],C48,KB[TYPE],"B",KB[TANGGAL],"&gt;="&amp;DATE($D$2,$D$3,1),KB[TANGGAL],"&lt;"&amp;DATE($D$2+1,$D$3,1))</f>
        <v>0</v>
      </c>
      <c r="K48" s="291"/>
      <c r="L48" s="276">
        <f>SUMIFS(KBS[NETTO2],KBS[RELASI],C48,KBS[TANGGAL],"&gt;="&amp;DATE($D$2,$D$3,1),KBS[TANGGAL],"&lt;"&amp;DATE($D$2+1,$D$3,1))</f>
        <v>0</v>
      </c>
      <c r="M48" s="214" t="str">
        <f t="shared" si="3"/>
        <v/>
      </c>
      <c r="N48" s="217">
        <f>SUMIFS(KBS[TPEMBAYARAN],KBS[RELASI],C48,KBS[TANGGAL],"&gt;="&amp;DATE($D$2,$D$3,1),KBS[TANGGAL],"&lt;"&amp;DATE($D$2+1,$D$3,1))</f>
        <v>0</v>
      </c>
      <c r="O48" s="291"/>
      <c r="P48" s="281">
        <f>SUMIFS(KPR[NETTOB],KPR[RELASI],C48,KPR[TANGGAL],"&gt;="&amp;DATE($D$2,$D$3,1),KPR[TANGGAL],"&lt;"&amp;DATE($D$2+1,$D$3,1))</f>
        <v>0</v>
      </c>
      <c r="Q48" s="214" t="str">
        <f t="shared" si="4"/>
        <v/>
      </c>
      <c r="R48" s="217">
        <f>SUMIFS(KPR[TPEMBAYARAN],KPR[RELASI],C48,KPR[TANGGAL],"&gt;="&amp;DATE($D$2,$D$3,1),KPR[TANGGAL],"&lt;"&amp;DATE($D$2+1,$D$3,1))</f>
        <v>0</v>
      </c>
      <c r="S48" s="291"/>
      <c r="T48" s="276">
        <f>SUMIFS(ARG[NETTO3],ARG[RELASI],C48,ARG[TANGGAL],"&gt;="&amp;DATE($D$2,$D$3,1),ARG[TANGGAL],"&lt;"&amp;DATE($D$2+1,$D$3,1))</f>
        <v>0</v>
      </c>
      <c r="U48" s="214" t="str">
        <f t="shared" si="5"/>
        <v/>
      </c>
      <c r="V48" s="217">
        <f>SUMIFS(ARG[TPEMBAYARAN],ARG[RELASI],C48,ARG[TANGGAL],"&gt;="&amp;DATE($D$2,$D$3,1),ARG[TANGGAL],"&lt;"&amp;DATE($D$2+1,$D$3,1))</f>
        <v>0</v>
      </c>
      <c r="W48" s="291"/>
      <c r="X48" s="271">
        <f t="shared" si="6"/>
        <v>404907061</v>
      </c>
    </row>
    <row r="49" spans="1:24" ht="18" customHeight="1">
      <c r="A49" s="173"/>
      <c r="B49" s="246">
        <f t="shared" si="7"/>
        <v>42</v>
      </c>
      <c r="C49" s="245" t="str">
        <f>RELASI!C44</f>
        <v>SIHOMBING</v>
      </c>
      <c r="D49" s="259">
        <f>SUMIFS(KB[NETTO2],KB[RELASI],C49,KB[TYPE],"A",KB[TANGGAL],"&gt;="&amp;DATE($D$2,$D$3,1),KB[TANGGAL],"&lt;"&amp;DATE($D$2+1,$D$3,1))</f>
        <v>0</v>
      </c>
      <c r="E49" s="214" t="str">
        <f t="shared" si="1"/>
        <v/>
      </c>
      <c r="F49" s="288">
        <f>SUMIFS(KB[TPEMBAYARAN],KB[RELASI],C49,KB[TYPE],"A",KB[TANGGAL],"&gt;="&amp;DATE($D$2,$D$3,1),KB[TANGGAL],"&lt;"&amp;DATE($D$2+1,$D$3,1))</f>
        <v>0</v>
      </c>
      <c r="G49" s="291"/>
      <c r="H49" s="276">
        <f>SUMIFS(KB[NETTO2],KB[RELASI],C49,KB[TYPE],"B",KB[TANGGAL],"&gt;="&amp;DATE($D$2,$D$3,1),KB[TANGGAL],"&lt;"&amp;DATE($D$2+1,$D$3,1))</f>
        <v>0</v>
      </c>
      <c r="I49" s="214" t="str">
        <f t="shared" si="2"/>
        <v/>
      </c>
      <c r="J49" s="217">
        <f>SUMIFS(KB[TPEMBAYARAN],KB[RELASI],C49,KB[TYPE],"B",KB[TANGGAL],"&gt;="&amp;DATE($D$2,$D$3,1),KB[TANGGAL],"&lt;"&amp;DATE($D$2+1,$D$3,1))</f>
        <v>0</v>
      </c>
      <c r="K49" s="291"/>
      <c r="L49" s="276">
        <f>SUMIFS(KBS[NETTO2],KBS[RELASI],C49,KBS[TANGGAL],"&gt;="&amp;DATE($D$2,$D$3,1),KBS[TANGGAL],"&lt;"&amp;DATE($D$2+1,$D$3,1))</f>
        <v>0</v>
      </c>
      <c r="M49" s="214" t="str">
        <f t="shared" si="3"/>
        <v/>
      </c>
      <c r="N49" s="217">
        <f>SUMIFS(KBS[TPEMBAYARAN],KBS[RELASI],C49,KBS[TANGGAL],"&gt;="&amp;DATE($D$2,$D$3,1),KBS[TANGGAL],"&lt;"&amp;DATE($D$2+1,$D$3,1))</f>
        <v>0</v>
      </c>
      <c r="O49" s="291"/>
      <c r="P49" s="281">
        <f>SUMIFS(KPR[NETTOB],KPR[RELASI],C49,KPR[TANGGAL],"&gt;="&amp;DATE($D$2,$D$3,1),KPR[TANGGAL],"&lt;"&amp;DATE($D$2+1,$D$3,1))</f>
        <v>0</v>
      </c>
      <c r="Q49" s="214" t="str">
        <f t="shared" si="4"/>
        <v/>
      </c>
      <c r="R49" s="217">
        <f>SUMIFS(KPR[TPEMBAYARAN],KPR[RELASI],C49,KPR[TANGGAL],"&gt;="&amp;DATE($D$2,$D$3,1),KPR[TANGGAL],"&lt;"&amp;DATE($D$2+1,$D$3,1))</f>
        <v>0</v>
      </c>
      <c r="S49" s="291"/>
      <c r="T49" s="276">
        <f>SUMIFS(ARG[NETTO3],ARG[RELASI],C49,ARG[TANGGAL],"&gt;="&amp;DATE($D$2,$D$3,1),ARG[TANGGAL],"&lt;"&amp;DATE($D$2+1,$D$3,1))</f>
        <v>0</v>
      </c>
      <c r="U49" s="214" t="str">
        <f t="shared" si="5"/>
        <v/>
      </c>
      <c r="V49" s="217">
        <f>SUMIFS(ARG[TPEMBAYARAN],ARG[RELASI],C49,ARG[TANGGAL],"&gt;="&amp;DATE($D$2,$D$3,1),ARG[TANGGAL],"&lt;"&amp;DATE($D$2+1,$D$3,1))</f>
        <v>0</v>
      </c>
      <c r="W49" s="291"/>
      <c r="X49" s="271">
        <f t="shared" si="6"/>
        <v>0</v>
      </c>
    </row>
    <row r="50" spans="1:24" ht="18" customHeight="1">
      <c r="A50" s="173"/>
      <c r="B50" s="246">
        <f t="shared" si="7"/>
        <v>43</v>
      </c>
      <c r="C50" s="245" t="str">
        <f>RELASI!C45</f>
        <v>SITI FATIMAH</v>
      </c>
      <c r="D50" s="259">
        <f>SUMIFS(KB[NETTO2],KB[RELASI],C50,KB[TYPE],"A",KB[TANGGAL],"&gt;="&amp;DATE($D$2,$D$3,1),KB[TANGGAL],"&lt;"&amp;DATE($D$2+1,$D$3,1))</f>
        <v>0</v>
      </c>
      <c r="E50" s="214" t="str">
        <f t="shared" si="1"/>
        <v/>
      </c>
      <c r="F50" s="288">
        <f>SUMIFS(KB[TPEMBAYARAN],KB[RELASI],C50,KB[TYPE],"A",KB[TANGGAL],"&gt;="&amp;DATE($D$2,$D$3,1),KB[TANGGAL],"&lt;"&amp;DATE($D$2+1,$D$3,1))</f>
        <v>0</v>
      </c>
      <c r="G50" s="291"/>
      <c r="H50" s="276">
        <f>SUMIFS(KB[NETTO2],KB[RELASI],C50,KB[TYPE],"B",KB[TANGGAL],"&gt;="&amp;DATE($D$2,$D$3,1),KB[TANGGAL],"&lt;"&amp;DATE($D$2+1,$D$3,1))</f>
        <v>0</v>
      </c>
      <c r="I50" s="214" t="str">
        <f t="shared" si="2"/>
        <v/>
      </c>
      <c r="J50" s="217">
        <f>SUMIFS(KB[TPEMBAYARAN],KB[RELASI],C50,KB[TYPE],"B",KB[TANGGAL],"&gt;="&amp;DATE($D$2,$D$3,1),KB[TANGGAL],"&lt;"&amp;DATE($D$2+1,$D$3,1))</f>
        <v>0</v>
      </c>
      <c r="K50" s="291"/>
      <c r="L50" s="276">
        <f>SUMIFS(KBS[NETTO2],KBS[RELASI],C50,KBS[TANGGAL],"&gt;="&amp;DATE($D$2,$D$3,1),KBS[TANGGAL],"&lt;"&amp;DATE($D$2+1,$D$3,1))</f>
        <v>0</v>
      </c>
      <c r="M50" s="214" t="str">
        <f t="shared" si="3"/>
        <v/>
      </c>
      <c r="N50" s="217">
        <f>SUMIFS(KBS[TPEMBAYARAN],KBS[RELASI],C50,KBS[TANGGAL],"&gt;="&amp;DATE($D$2,$D$3,1),KBS[TANGGAL],"&lt;"&amp;DATE($D$2+1,$D$3,1))</f>
        <v>0</v>
      </c>
      <c r="O50" s="291"/>
      <c r="P50" s="281">
        <f>SUMIFS(KPR[NETTOB],KPR[RELASI],C50,KPR[TANGGAL],"&gt;="&amp;DATE($D$2,$D$3,1),KPR[TANGGAL],"&lt;"&amp;DATE($D$2+1,$D$3,1))</f>
        <v>0</v>
      </c>
      <c r="Q50" s="214" t="str">
        <f t="shared" si="4"/>
        <v/>
      </c>
      <c r="R50" s="217">
        <f>SUMIFS(KPR[TPEMBAYARAN],KPR[RELASI],C50,KPR[TANGGAL],"&gt;="&amp;DATE($D$2,$D$3,1),KPR[TANGGAL],"&lt;"&amp;DATE($D$2+1,$D$3,1))</f>
        <v>0</v>
      </c>
      <c r="S50" s="291"/>
      <c r="T50" s="276">
        <f>SUMIFS(ARG[NETTO3],ARG[RELASI],C50,ARG[TANGGAL],"&gt;="&amp;DATE($D$2,$D$3,1),ARG[TANGGAL],"&lt;"&amp;DATE($D$2+1,$D$3,1))</f>
        <v>0</v>
      </c>
      <c r="U50" s="214" t="str">
        <f t="shared" si="5"/>
        <v/>
      </c>
      <c r="V50" s="217">
        <f>SUMIFS(ARG[TPEMBAYARAN],ARG[RELASI],C50,ARG[TANGGAL],"&gt;="&amp;DATE($D$2,$D$3,1),ARG[TANGGAL],"&lt;"&amp;DATE($D$2+1,$D$3,1))</f>
        <v>0</v>
      </c>
      <c r="W50" s="291"/>
      <c r="X50" s="271">
        <f t="shared" si="6"/>
        <v>0</v>
      </c>
    </row>
    <row r="51" spans="1:24" ht="18" customHeight="1">
      <c r="A51" s="173"/>
      <c r="B51" s="246">
        <f t="shared" si="7"/>
        <v>44</v>
      </c>
      <c r="C51" s="245" t="str">
        <f>RELASI!C46</f>
        <v>SUKAMTO</v>
      </c>
      <c r="D51" s="259">
        <f>SUMIFS(KB[NETTO2],KB[RELASI],C51,KB[TYPE],"A",KB[TANGGAL],"&gt;="&amp;DATE($D$2,$D$3,1),KB[TANGGAL],"&lt;"&amp;DATE($D$2+1,$D$3,1))</f>
        <v>92787.400000000009</v>
      </c>
      <c r="E51" s="214">
        <f t="shared" si="1"/>
        <v>2742.3000536710801</v>
      </c>
      <c r="F51" s="288">
        <f>SUMIFS(KB[TPEMBAYARAN],KB[RELASI],C51,KB[TYPE],"A",KB[TANGGAL],"&gt;="&amp;DATE($D$2,$D$3,1),KB[TANGGAL],"&lt;"&amp;DATE($D$2+1,$D$3,1))</f>
        <v>254450892</v>
      </c>
      <c r="G51" s="291"/>
      <c r="H51" s="276">
        <f>SUMIFS(KB[NETTO2],KB[RELASI],C51,KB[TYPE],"B",KB[TANGGAL],"&gt;="&amp;DATE($D$2,$D$3,1),KB[TANGGAL],"&lt;"&amp;DATE($D$2+1,$D$3,1))</f>
        <v>0</v>
      </c>
      <c r="I51" s="214" t="str">
        <f t="shared" si="2"/>
        <v/>
      </c>
      <c r="J51" s="217">
        <f>SUMIFS(KB[TPEMBAYARAN],KB[RELASI],C51,KB[TYPE],"B",KB[TANGGAL],"&gt;="&amp;DATE($D$2,$D$3,1),KB[TANGGAL],"&lt;"&amp;DATE($D$2+1,$D$3,1))</f>
        <v>0</v>
      </c>
      <c r="K51" s="291"/>
      <c r="L51" s="276">
        <f>SUMIFS(KBS[NETTO2],KBS[RELASI],C51,KBS[TANGGAL],"&gt;="&amp;DATE($D$2,$D$3,1),KBS[TANGGAL],"&lt;"&amp;DATE($D$2+1,$D$3,1))</f>
        <v>0</v>
      </c>
      <c r="M51" s="214" t="str">
        <f t="shared" si="3"/>
        <v/>
      </c>
      <c r="N51" s="217">
        <f>SUMIFS(KBS[TPEMBAYARAN],KBS[RELASI],C51,KBS[TANGGAL],"&gt;="&amp;DATE($D$2,$D$3,1),KBS[TANGGAL],"&lt;"&amp;DATE($D$2+1,$D$3,1))</f>
        <v>0</v>
      </c>
      <c r="O51" s="291"/>
      <c r="P51" s="281">
        <f>SUMIFS(KPR[NETTOB],KPR[RELASI],C51,KPR[TANGGAL],"&gt;="&amp;DATE($D$2,$D$3,1),KPR[TANGGAL],"&lt;"&amp;DATE($D$2+1,$D$3,1))</f>
        <v>0</v>
      </c>
      <c r="Q51" s="214" t="str">
        <f t="shared" si="4"/>
        <v/>
      </c>
      <c r="R51" s="217">
        <f>SUMIFS(KPR[TPEMBAYARAN],KPR[RELASI],C51,KPR[TANGGAL],"&gt;="&amp;DATE($D$2,$D$3,1),KPR[TANGGAL],"&lt;"&amp;DATE($D$2+1,$D$3,1))</f>
        <v>0</v>
      </c>
      <c r="S51" s="291"/>
      <c r="T51" s="276">
        <f>SUMIFS(ARG[NETTO3],ARG[RELASI],C51,ARG[TANGGAL],"&gt;="&amp;DATE($D$2,$D$3,1),ARG[TANGGAL],"&lt;"&amp;DATE($D$2+1,$D$3,1))</f>
        <v>0</v>
      </c>
      <c r="U51" s="214" t="str">
        <f t="shared" si="5"/>
        <v/>
      </c>
      <c r="V51" s="217">
        <f>SUMIFS(ARG[TPEMBAYARAN],ARG[RELASI],C51,ARG[TANGGAL],"&gt;="&amp;DATE($D$2,$D$3,1),ARG[TANGGAL],"&lt;"&amp;DATE($D$2+1,$D$3,1))</f>
        <v>0</v>
      </c>
      <c r="W51" s="291"/>
      <c r="X51" s="271">
        <f t="shared" si="6"/>
        <v>254450892</v>
      </c>
    </row>
    <row r="52" spans="1:24" ht="18" customHeight="1">
      <c r="A52" s="173"/>
      <c r="B52" s="246">
        <f t="shared" si="7"/>
        <v>45</v>
      </c>
      <c r="C52" s="245" t="str">
        <f>RELASI!C47</f>
        <v>WARTINI</v>
      </c>
      <c r="D52" s="259">
        <f>SUMIFS(KB[NETTO2],KB[RELASI],C52,KB[TYPE],"A",KB[TANGGAL],"&gt;="&amp;DATE($D$2,$D$3,1),KB[TANGGAL],"&lt;"&amp;DATE($D$2+1,$D$3,1))</f>
        <v>343758</v>
      </c>
      <c r="E52" s="214">
        <f t="shared" si="1"/>
        <v>3119.7012607706583</v>
      </c>
      <c r="F52" s="288">
        <f>SUMIFS(KB[TPEMBAYARAN],KB[RELASI],C52,KB[TYPE],"A",KB[TANGGAL],"&gt;="&amp;DATE($D$2,$D$3,1),KB[TANGGAL],"&lt;"&amp;DATE($D$2+1,$D$3,1))</f>
        <v>1072422266</v>
      </c>
      <c r="G52" s="291"/>
      <c r="H52" s="276">
        <f>SUMIFS(KB[NETTO2],KB[RELASI],C52,KB[TYPE],"B",KB[TANGGAL],"&gt;="&amp;DATE($D$2,$D$3,1),KB[TANGGAL],"&lt;"&amp;DATE($D$2+1,$D$3,1))</f>
        <v>0</v>
      </c>
      <c r="I52" s="214" t="str">
        <f t="shared" si="2"/>
        <v/>
      </c>
      <c r="J52" s="217">
        <f>SUMIFS(KB[TPEMBAYARAN],KB[RELASI],C52,KB[TYPE],"B",KB[TANGGAL],"&gt;="&amp;DATE($D$2,$D$3,1),KB[TANGGAL],"&lt;"&amp;DATE($D$2+1,$D$3,1))</f>
        <v>0</v>
      </c>
      <c r="K52" s="291"/>
      <c r="L52" s="276">
        <f>SUMIFS(KBS[NETTO2],KBS[RELASI],C52,KBS[TANGGAL],"&gt;="&amp;DATE($D$2,$D$3,1),KBS[TANGGAL],"&lt;"&amp;DATE($D$2+1,$D$3,1))</f>
        <v>0</v>
      </c>
      <c r="M52" s="214" t="str">
        <f t="shared" si="3"/>
        <v/>
      </c>
      <c r="N52" s="217">
        <f>SUMIFS(KBS[TPEMBAYARAN],KBS[RELASI],C52,KBS[TANGGAL],"&gt;="&amp;DATE($D$2,$D$3,1),KBS[TANGGAL],"&lt;"&amp;DATE($D$2+1,$D$3,1))</f>
        <v>0</v>
      </c>
      <c r="O52" s="291"/>
      <c r="P52" s="281">
        <f>SUMIFS(KPR[NETTOB],KPR[RELASI],C52,KPR[TANGGAL],"&gt;="&amp;DATE($D$2,$D$3,1),KPR[TANGGAL],"&lt;"&amp;DATE($D$2+1,$D$3,1))</f>
        <v>0</v>
      </c>
      <c r="Q52" s="214" t="str">
        <f t="shared" si="4"/>
        <v/>
      </c>
      <c r="R52" s="217">
        <f>SUMIFS(KPR[TPEMBAYARAN],KPR[RELASI],C52,KPR[TANGGAL],"&gt;="&amp;DATE($D$2,$D$3,1),KPR[TANGGAL],"&lt;"&amp;DATE($D$2+1,$D$3,1))</f>
        <v>0</v>
      </c>
      <c r="S52" s="291"/>
      <c r="T52" s="276">
        <f>SUMIFS(ARG[NETTO3],ARG[RELASI],C52,ARG[TANGGAL],"&gt;="&amp;DATE($D$2,$D$3,1),ARG[TANGGAL],"&lt;"&amp;DATE($D$2+1,$D$3,1))</f>
        <v>0</v>
      </c>
      <c r="U52" s="214" t="str">
        <f t="shared" si="5"/>
        <v/>
      </c>
      <c r="V52" s="217">
        <f>SUMIFS(ARG[TPEMBAYARAN],ARG[RELASI],C52,ARG[TANGGAL],"&gt;="&amp;DATE($D$2,$D$3,1),ARG[TANGGAL],"&lt;"&amp;DATE($D$2+1,$D$3,1))</f>
        <v>0</v>
      </c>
      <c r="W52" s="291"/>
      <c r="X52" s="271">
        <f t="shared" si="6"/>
        <v>1072422266</v>
      </c>
    </row>
    <row r="53" spans="1:24" ht="18" customHeight="1">
      <c r="A53" s="173"/>
      <c r="B53" s="246">
        <f t="shared" si="7"/>
        <v>46</v>
      </c>
      <c r="C53" s="245" t="str">
        <f>RELASI!C48</f>
        <v>YANADI</v>
      </c>
      <c r="D53" s="259">
        <f>SUMIFS(KB[NETTO2],KB[RELASI],C53,KB[TYPE],"A",KB[TANGGAL],"&gt;="&amp;DATE($D$2,$D$3,1),KB[TANGGAL],"&lt;"&amp;DATE($D$2+1,$D$3,1))</f>
        <v>784867.8</v>
      </c>
      <c r="E53" s="214">
        <f t="shared" si="1"/>
        <v>2832.5460720901019</v>
      </c>
      <c r="F53" s="288">
        <f>SUMIFS(KB[TPEMBAYARAN],KB[RELASI],C53,KB[TYPE],"A",KB[TANGGAL],"&gt;="&amp;DATE($D$2,$D$3,1),KB[TANGGAL],"&lt;"&amp;DATE($D$2+1,$D$3,1))</f>
        <v>2223174204</v>
      </c>
      <c r="G53" s="291"/>
      <c r="H53" s="276">
        <f>SUMIFS(KB[NETTO2],KB[RELASI],C53,KB[TYPE],"B",KB[TANGGAL],"&gt;="&amp;DATE($D$2,$D$3,1),KB[TANGGAL],"&lt;"&amp;DATE($D$2+1,$D$3,1))</f>
        <v>0</v>
      </c>
      <c r="I53" s="214" t="str">
        <f t="shared" si="2"/>
        <v/>
      </c>
      <c r="J53" s="217">
        <f>SUMIFS(KB[TPEMBAYARAN],KB[RELASI],C53,KB[TYPE],"B",KB[TANGGAL],"&gt;="&amp;DATE($D$2,$D$3,1),KB[TANGGAL],"&lt;"&amp;DATE($D$2+1,$D$3,1))</f>
        <v>0</v>
      </c>
      <c r="K53" s="291"/>
      <c r="L53" s="276">
        <f>SUMIFS(KBS[NETTO2],KBS[RELASI],C53,KBS[TANGGAL],"&gt;="&amp;DATE($D$2,$D$3,1),KBS[TANGGAL],"&lt;"&amp;DATE($D$2+1,$D$3,1))</f>
        <v>0</v>
      </c>
      <c r="M53" s="214" t="str">
        <f t="shared" si="3"/>
        <v/>
      </c>
      <c r="N53" s="217">
        <f>SUMIFS(KBS[TPEMBAYARAN],KBS[RELASI],C53,KBS[TANGGAL],"&gt;="&amp;DATE($D$2,$D$3,1),KBS[TANGGAL],"&lt;"&amp;DATE($D$2+1,$D$3,1))</f>
        <v>0</v>
      </c>
      <c r="O53" s="291"/>
      <c r="P53" s="281">
        <f>SUMIFS(KPR[NETTOB],KPR[RELASI],C53,KPR[TANGGAL],"&gt;="&amp;DATE($D$2,$D$3,1),KPR[TANGGAL],"&lt;"&amp;DATE($D$2+1,$D$3,1))</f>
        <v>0</v>
      </c>
      <c r="Q53" s="214" t="str">
        <f t="shared" si="4"/>
        <v/>
      </c>
      <c r="R53" s="217">
        <f>SUMIFS(KPR[TPEMBAYARAN],KPR[RELASI],C53,KPR[TANGGAL],"&gt;="&amp;DATE($D$2,$D$3,1),KPR[TANGGAL],"&lt;"&amp;DATE($D$2+1,$D$3,1))</f>
        <v>0</v>
      </c>
      <c r="S53" s="291"/>
      <c r="T53" s="276">
        <f>SUMIFS(ARG[NETTO3],ARG[RELASI],C53,ARG[TANGGAL],"&gt;="&amp;DATE($D$2,$D$3,1),ARG[TANGGAL],"&lt;"&amp;DATE($D$2+1,$D$3,1))</f>
        <v>0</v>
      </c>
      <c r="U53" s="214" t="str">
        <f t="shared" si="5"/>
        <v/>
      </c>
      <c r="V53" s="217">
        <f>SUMIFS(ARG[TPEMBAYARAN],ARG[RELASI],C53,ARG[TANGGAL],"&gt;="&amp;DATE($D$2,$D$3,1),ARG[TANGGAL],"&lt;"&amp;DATE($D$2+1,$D$3,1))</f>
        <v>0</v>
      </c>
      <c r="W53" s="291"/>
      <c r="X53" s="271">
        <f t="shared" si="6"/>
        <v>2223174204</v>
      </c>
    </row>
    <row r="54" spans="1:24" ht="18" customHeight="1">
      <c r="A54" s="173"/>
      <c r="B54" s="246">
        <f t="shared" si="7"/>
        <v>47</v>
      </c>
      <c r="C54" s="245" t="str">
        <f>RELASI!C49</f>
        <v>ZAINAL ABIDIN</v>
      </c>
      <c r="D54" s="259">
        <f>SUMIFS(KB[NETTO2],KB[RELASI],C54,KB[TYPE],"A",KB[TANGGAL],"&gt;="&amp;DATE($D$2,$D$3,1),KB[TANGGAL],"&lt;"&amp;DATE($D$2+1,$D$3,1))</f>
        <v>48917.600000000006</v>
      </c>
      <c r="E54" s="214">
        <f t="shared" si="1"/>
        <v>2620.8509207320062</v>
      </c>
      <c r="F54" s="288">
        <f>SUMIFS(KB[TPEMBAYARAN],KB[RELASI],C54,KB[TYPE],"A",KB[TANGGAL],"&gt;="&amp;DATE($D$2,$D$3,1),KB[TANGGAL],"&lt;"&amp;DATE($D$2+1,$D$3,1))</f>
        <v>128205737</v>
      </c>
      <c r="G54" s="291"/>
      <c r="H54" s="276">
        <f>SUMIFS(KB[NETTO2],KB[RELASI],C54,KB[TYPE],"B",KB[TANGGAL],"&gt;="&amp;DATE($D$2,$D$3,1),KB[TANGGAL],"&lt;"&amp;DATE($D$2+1,$D$3,1))</f>
        <v>0</v>
      </c>
      <c r="I54" s="214" t="str">
        <f t="shared" si="2"/>
        <v/>
      </c>
      <c r="J54" s="217">
        <f>SUMIFS(KB[TPEMBAYARAN],KB[RELASI],C54,KB[TYPE],"B",KB[TANGGAL],"&gt;="&amp;DATE($D$2,$D$3,1),KB[TANGGAL],"&lt;"&amp;DATE($D$2+1,$D$3,1))</f>
        <v>0</v>
      </c>
      <c r="K54" s="291"/>
      <c r="L54" s="276">
        <f>SUMIFS(KBS[NETTO2],KBS[RELASI],C54,KBS[TANGGAL],"&gt;="&amp;DATE($D$2,$D$3,1),KBS[TANGGAL],"&lt;"&amp;DATE($D$2+1,$D$3,1))</f>
        <v>0</v>
      </c>
      <c r="M54" s="214" t="str">
        <f t="shared" si="3"/>
        <v/>
      </c>
      <c r="N54" s="217">
        <f>SUMIFS(KBS[TPEMBAYARAN],KBS[RELASI],C54,KBS[TANGGAL],"&gt;="&amp;DATE($D$2,$D$3,1),KBS[TANGGAL],"&lt;"&amp;DATE($D$2+1,$D$3,1))</f>
        <v>0</v>
      </c>
      <c r="O54" s="291"/>
      <c r="P54" s="281">
        <f>SUMIFS(KPR[NETTOB],KPR[RELASI],C54,KPR[TANGGAL],"&gt;="&amp;DATE($D$2,$D$3,1),KPR[TANGGAL],"&lt;"&amp;DATE($D$2+1,$D$3,1))</f>
        <v>0</v>
      </c>
      <c r="Q54" s="214" t="str">
        <f t="shared" si="4"/>
        <v/>
      </c>
      <c r="R54" s="217">
        <f>SUMIFS(KPR[TPEMBAYARAN],KPR[RELASI],C54,KPR[TANGGAL],"&gt;="&amp;DATE($D$2,$D$3,1),KPR[TANGGAL],"&lt;"&amp;DATE($D$2+1,$D$3,1))</f>
        <v>0</v>
      </c>
      <c r="S54" s="291"/>
      <c r="T54" s="276">
        <f>SUMIFS(ARG[NETTO3],ARG[RELASI],C54,ARG[TANGGAL],"&gt;="&amp;DATE($D$2,$D$3,1),ARG[TANGGAL],"&lt;"&amp;DATE($D$2+1,$D$3,1))</f>
        <v>0</v>
      </c>
      <c r="U54" s="214" t="str">
        <f t="shared" si="5"/>
        <v/>
      </c>
      <c r="V54" s="217">
        <f>SUMIFS(ARG[TPEMBAYARAN],ARG[RELASI],C54,ARG[TANGGAL],"&gt;="&amp;DATE($D$2,$D$3,1),ARG[TANGGAL],"&lt;"&amp;DATE($D$2+1,$D$3,1))</f>
        <v>0</v>
      </c>
      <c r="W54" s="291"/>
      <c r="X54" s="271">
        <f t="shared" si="6"/>
        <v>128205737</v>
      </c>
    </row>
    <row r="55" spans="1:24" ht="18" customHeight="1">
      <c r="A55" s="173"/>
      <c r="B55" s="246" t="str">
        <f t="shared" si="7"/>
        <v/>
      </c>
      <c r="C55" s="245">
        <f>RELASI!C50</f>
        <v>0</v>
      </c>
      <c r="D55" s="259">
        <f>SUMIFS(KB[NETTO2],KB[RELASI],C55,KB[TYPE],"A",KB[TANGGAL],"&gt;="&amp;DATE($D$2,$D$3,1),KB[TANGGAL],"&lt;"&amp;DATE($D$2+1,$D$3,1))</f>
        <v>0</v>
      </c>
      <c r="E55" s="214" t="str">
        <f t="shared" si="1"/>
        <v/>
      </c>
      <c r="F55" s="288">
        <f>SUMIFS(KB[TPEMBAYARAN],KB[RELASI],C55,KB[TYPE],"A",KB[TANGGAL],"&gt;="&amp;DATE($D$2,$D$3,1),KB[TANGGAL],"&lt;"&amp;DATE($D$2+1,$D$3,1))</f>
        <v>0</v>
      </c>
      <c r="G55" s="291"/>
      <c r="H55" s="276">
        <f>SUMIFS(KB[NETTO2],KB[RELASI],C55,KB[TYPE],"B",KB[TANGGAL],"&gt;="&amp;DATE($D$2,$D$3,1),KB[TANGGAL],"&lt;"&amp;DATE($D$2+1,$D$3,1))</f>
        <v>0</v>
      </c>
      <c r="I55" s="214" t="str">
        <f t="shared" si="2"/>
        <v/>
      </c>
      <c r="J55" s="217">
        <f>SUMIFS(KB[TPEMBAYARAN],KB[RELASI],C55,KB[TYPE],"B",KB[TANGGAL],"&gt;="&amp;DATE($D$2,$D$3,1),KB[TANGGAL],"&lt;"&amp;DATE($D$2+1,$D$3,1))</f>
        <v>0</v>
      </c>
      <c r="K55" s="291"/>
      <c r="L55" s="276">
        <f>SUMIFS(KBS[NETTO2],KBS[RELASI],C55,KBS[TANGGAL],"&gt;="&amp;DATE($D$2,$D$3,1),KBS[TANGGAL],"&lt;"&amp;DATE($D$2+1,$D$3,1))</f>
        <v>0</v>
      </c>
      <c r="M55" s="214" t="str">
        <f t="shared" si="3"/>
        <v/>
      </c>
      <c r="N55" s="217">
        <f>SUMIFS(KBS[TPEMBAYARAN],KBS[RELASI],C55,KBS[TANGGAL],"&gt;="&amp;DATE($D$2,$D$3,1),KBS[TANGGAL],"&lt;"&amp;DATE($D$2+1,$D$3,1))</f>
        <v>0</v>
      </c>
      <c r="O55" s="291"/>
      <c r="P55" s="281">
        <f>SUMIFS(KPR[NETTOB],KPR[RELASI],C55,KPR[TANGGAL],"&gt;="&amp;DATE($D$2,$D$3,1),KPR[TANGGAL],"&lt;"&amp;DATE($D$2+1,$D$3,1))</f>
        <v>0</v>
      </c>
      <c r="Q55" s="214" t="str">
        <f t="shared" si="4"/>
        <v/>
      </c>
      <c r="R55" s="217">
        <f>SUMIFS(KPR[TPEMBAYARAN],KPR[RELASI],C55,KPR[TANGGAL],"&gt;="&amp;DATE($D$2,$D$3,1),KPR[TANGGAL],"&lt;"&amp;DATE($D$2+1,$D$3,1))</f>
        <v>0</v>
      </c>
      <c r="S55" s="291"/>
      <c r="T55" s="276">
        <f>SUMIFS(ARG[NETTO3],ARG[RELASI],C55,ARG[TANGGAL],"&gt;="&amp;DATE($D$2,$D$3,1),ARG[TANGGAL],"&lt;"&amp;DATE($D$2+1,$D$3,1))</f>
        <v>0</v>
      </c>
      <c r="U55" s="214" t="str">
        <f t="shared" si="5"/>
        <v/>
      </c>
      <c r="V55" s="217">
        <f>SUMIFS(ARG[TPEMBAYARAN],ARG[RELASI],C55,ARG[TANGGAL],"&gt;="&amp;DATE($D$2,$D$3,1),ARG[TANGGAL],"&lt;"&amp;DATE($D$2+1,$D$3,1))</f>
        <v>0</v>
      </c>
      <c r="W55" s="291"/>
      <c r="X55" s="271">
        <f t="shared" si="6"/>
        <v>0</v>
      </c>
    </row>
    <row r="56" spans="1:24" ht="18" customHeight="1">
      <c r="A56" s="173"/>
      <c r="B56" s="246" t="str">
        <f t="shared" si="7"/>
        <v/>
      </c>
      <c r="C56" s="245">
        <f>RELASI!C51</f>
        <v>0</v>
      </c>
      <c r="D56" s="259">
        <f>SUMIFS(KB[NETTO2],KB[RELASI],C56,KB[TYPE],"A",KB[TANGGAL],"&gt;="&amp;DATE($D$2,$D$3,1),KB[TANGGAL],"&lt;"&amp;DATE($D$2+1,$D$3,1))</f>
        <v>0</v>
      </c>
      <c r="E56" s="214" t="str">
        <f t="shared" si="1"/>
        <v/>
      </c>
      <c r="F56" s="288">
        <f>SUMIFS(KB[TPEMBAYARAN],KB[RELASI],C56,KB[TYPE],"A",KB[TANGGAL],"&gt;="&amp;DATE($D$2,$D$3,1),KB[TANGGAL],"&lt;"&amp;DATE($D$2+1,$D$3,1))</f>
        <v>0</v>
      </c>
      <c r="G56" s="291"/>
      <c r="H56" s="276">
        <f>SUMIFS(KB[NETTO2],KB[RELASI],C56,KB[TYPE],"B",KB[TANGGAL],"&gt;="&amp;DATE($D$2,$D$3,1),KB[TANGGAL],"&lt;"&amp;DATE($D$2+1,$D$3,1))</f>
        <v>0</v>
      </c>
      <c r="I56" s="214" t="str">
        <f t="shared" si="2"/>
        <v/>
      </c>
      <c r="J56" s="217">
        <f>SUMIFS(KB[TPEMBAYARAN],KB[RELASI],C56,KB[TYPE],"B",KB[TANGGAL],"&gt;="&amp;DATE($D$2,$D$3,1),KB[TANGGAL],"&lt;"&amp;DATE($D$2+1,$D$3,1))</f>
        <v>0</v>
      </c>
      <c r="K56" s="291"/>
      <c r="L56" s="276">
        <f>SUMIFS(KBS[NETTO2],KBS[RELASI],C56,KBS[TANGGAL],"&gt;="&amp;DATE($D$2,$D$3,1),KBS[TANGGAL],"&lt;"&amp;DATE($D$2+1,$D$3,1))</f>
        <v>0</v>
      </c>
      <c r="M56" s="214" t="str">
        <f t="shared" si="3"/>
        <v/>
      </c>
      <c r="N56" s="217">
        <f>SUMIFS(KBS[TPEMBAYARAN],KBS[RELASI],C56,KBS[TANGGAL],"&gt;="&amp;DATE($D$2,$D$3,1),KBS[TANGGAL],"&lt;"&amp;DATE($D$2+1,$D$3,1))</f>
        <v>0</v>
      </c>
      <c r="O56" s="291"/>
      <c r="P56" s="281">
        <f>SUMIFS(KPR[NETTOB],KPR[RELASI],C56,KPR[TANGGAL],"&gt;="&amp;DATE($D$2,$D$3,1),KPR[TANGGAL],"&lt;"&amp;DATE($D$2+1,$D$3,1))</f>
        <v>0</v>
      </c>
      <c r="Q56" s="214" t="str">
        <f t="shared" si="4"/>
        <v/>
      </c>
      <c r="R56" s="217">
        <f>SUMIFS(KPR[TPEMBAYARAN],KPR[RELASI],C56,KPR[TANGGAL],"&gt;="&amp;DATE($D$2,$D$3,1),KPR[TANGGAL],"&lt;"&amp;DATE($D$2+1,$D$3,1))</f>
        <v>0</v>
      </c>
      <c r="S56" s="291"/>
      <c r="T56" s="276">
        <f>SUMIFS(ARG[NETTO3],ARG[RELASI],C56,ARG[TANGGAL],"&gt;="&amp;DATE($D$2,$D$3,1),ARG[TANGGAL],"&lt;"&amp;DATE($D$2+1,$D$3,1))</f>
        <v>0</v>
      </c>
      <c r="U56" s="214" t="str">
        <f t="shared" si="5"/>
        <v/>
      </c>
      <c r="V56" s="217">
        <f>SUMIFS(ARG[TPEMBAYARAN],ARG[RELASI],C56,ARG[TANGGAL],"&gt;="&amp;DATE($D$2,$D$3,1),ARG[TANGGAL],"&lt;"&amp;DATE($D$2+1,$D$3,1))</f>
        <v>0</v>
      </c>
      <c r="W56" s="291"/>
      <c r="X56" s="271">
        <f t="shared" si="6"/>
        <v>0</v>
      </c>
    </row>
    <row r="57" spans="1:24" ht="18" customHeight="1" thickBot="1">
      <c r="A57" s="173"/>
      <c r="B57" s="246" t="str">
        <f t="shared" si="7"/>
        <v/>
      </c>
      <c r="C57" s="251">
        <f>RELASI!C52</f>
        <v>0</v>
      </c>
      <c r="D57" s="260">
        <f>SUMIFS(KB[NETTO2],KB[RELASI],C57,KB[TYPE],"A",KB[TANGGAL],"&gt;="&amp;DATE($D$2,$D$3,1),KB[TANGGAL],"&lt;"&amp;DATE($D$2+1,$D$3,1))</f>
        <v>0</v>
      </c>
      <c r="E57" s="253" t="str">
        <f t="shared" si="1"/>
        <v/>
      </c>
      <c r="F57" s="289">
        <f>SUMIFS(KB[TPEMBAYARAN],KB[RELASI],C57,KB[TYPE],"A",KB[TANGGAL],"&gt;="&amp;DATE($D$2,$D$3,1),KB[TANGGAL],"&lt;"&amp;DATE($D$2+1,$D$3,1))</f>
        <v>0</v>
      </c>
      <c r="G57" s="291"/>
      <c r="H57" s="277">
        <f>SUMIFS(KB[NETTO2],KB[RELASI],C57,KB[TYPE],"B",KB[TANGGAL],"&gt;="&amp;DATE($D$2,$D$3,1),KB[TANGGAL],"&lt;"&amp;DATE($D$2+1,$D$3,1))</f>
        <v>0</v>
      </c>
      <c r="I57" s="253" t="str">
        <f t="shared" si="2"/>
        <v/>
      </c>
      <c r="J57" s="255">
        <f>SUMIFS(KB[TPEMBAYARAN],KB[RELASI],C57,KB[TYPE],"B",KB[TANGGAL],"&gt;="&amp;DATE($D$2,$D$3,1),KB[TANGGAL],"&lt;"&amp;DATE($D$2+1,$D$3,1))</f>
        <v>0</v>
      </c>
      <c r="K57" s="291"/>
      <c r="L57" s="277">
        <f>SUMIFS(KBS[NETTO2],KBS[RELASI],C57,KBS[TANGGAL],"&gt;="&amp;DATE($D$2,$D$3,1),KBS[TANGGAL],"&lt;"&amp;DATE($D$2+1,$D$3,1))</f>
        <v>0</v>
      </c>
      <c r="M57" s="253" t="str">
        <f t="shared" si="3"/>
        <v/>
      </c>
      <c r="N57" s="255">
        <f>SUMIFS(KBS[TPEMBAYARAN],KBS[RELASI],C57,KBS[TANGGAL],"&gt;="&amp;DATE($D$2,$D$3,1),KBS[TANGGAL],"&lt;"&amp;DATE($D$2+1,$D$3,1))</f>
        <v>0</v>
      </c>
      <c r="O57" s="291"/>
      <c r="P57" s="282">
        <f>SUMIFS(KPR[NETTOB],KPR[RELASI],C57,KPR[TANGGAL],"&gt;="&amp;DATE($D$2,$D$3,1),KPR[TANGGAL],"&lt;"&amp;DATE($D$2+1,$D$3,1))</f>
        <v>0</v>
      </c>
      <c r="Q57" s="253" t="str">
        <f t="shared" si="4"/>
        <v/>
      </c>
      <c r="R57" s="255">
        <f>SUMIFS(KPR[TPEMBAYARAN],KPR[RELASI],C57,KPR[TANGGAL],"&gt;="&amp;DATE($D$2,$D$3,1),KPR[TANGGAL],"&lt;"&amp;DATE($D$2+1,$D$3,1))</f>
        <v>0</v>
      </c>
      <c r="S57" s="291"/>
      <c r="T57" s="277">
        <f>SUMIFS(ARG[NETTO3],ARG[RELASI],C57,ARG[TANGGAL],"&gt;="&amp;DATE($D$2,$D$3,1),ARG[TANGGAL],"&lt;"&amp;DATE($D$2+1,$D$3,1))</f>
        <v>0</v>
      </c>
      <c r="U57" s="253" t="str">
        <f t="shared" si="5"/>
        <v/>
      </c>
      <c r="V57" s="255">
        <f>SUMIFS(ARG[TPEMBAYARAN],ARG[RELASI],C57,ARG[TANGGAL],"&gt;="&amp;DATE($D$2,$D$3,1),ARG[TANGGAL],"&lt;"&amp;DATE($D$2+1,$D$3,1))</f>
        <v>0</v>
      </c>
      <c r="W57" s="291"/>
      <c r="X57" s="272">
        <f t="shared" si="6"/>
        <v>0</v>
      </c>
    </row>
    <row r="58" spans="1:24" ht="9.75" customHeight="1" thickTop="1" thickBot="1">
      <c r="A58" s="173"/>
      <c r="C58" s="223"/>
      <c r="D58" s="225"/>
      <c r="E58" s="225"/>
      <c r="F58" s="287"/>
      <c r="G58" s="256"/>
      <c r="H58" s="223"/>
      <c r="I58" s="225"/>
      <c r="J58" s="287"/>
      <c r="L58" s="223"/>
      <c r="M58" s="249"/>
      <c r="N58" s="250"/>
      <c r="O58" s="173"/>
      <c r="P58" s="278"/>
      <c r="Q58" s="249"/>
      <c r="R58" s="250"/>
      <c r="S58" s="173"/>
      <c r="T58" s="278"/>
      <c r="U58" s="249"/>
      <c r="V58" s="250"/>
      <c r="X58" s="273"/>
    </row>
    <row r="59" spans="1:24" ht="26.25" customHeight="1" thickTop="1" thickBot="1">
      <c r="A59" s="173"/>
      <c r="C59" s="232" t="s">
        <v>68</v>
      </c>
      <c r="D59" s="234">
        <f>SUM(D8:D57)</f>
        <v>8806827.1999999993</v>
      </c>
      <c r="E59" s="234">
        <f t="shared" ref="E59" si="8">IFERROR(F59/D59,"")</f>
        <v>2854.5217363865163</v>
      </c>
      <c r="F59" s="238">
        <f>SUM(F8:F57)</f>
        <v>25139279671</v>
      </c>
      <c r="H59" s="283">
        <f>SUM(H8:H57)</f>
        <v>0</v>
      </c>
      <c r="I59" s="234" t="str">
        <f t="shared" ref="I59" si="9">IFERROR(J59/H59,"")</f>
        <v/>
      </c>
      <c r="J59" s="238">
        <f>SUM(J8:J57)</f>
        <v>0</v>
      </c>
      <c r="K59" s="173"/>
      <c r="L59" s="283">
        <f>SUM(L8:L57)</f>
        <v>0</v>
      </c>
      <c r="M59" s="234" t="str">
        <f t="shared" ref="M59" si="10">IFERROR(N59/L59,"")</f>
        <v/>
      </c>
      <c r="N59" s="238">
        <f>SUM(N8:N57)</f>
        <v>0</v>
      </c>
      <c r="O59" s="173"/>
      <c r="P59" s="283">
        <f>SUM(P8:P57)</f>
        <v>0</v>
      </c>
      <c r="Q59" s="234" t="str">
        <f t="shared" ref="Q59" si="11">IFERROR(R59/P59,"")</f>
        <v/>
      </c>
      <c r="R59" s="238">
        <f>SUM(R8:R57)</f>
        <v>0</v>
      </c>
      <c r="S59" s="173"/>
      <c r="T59" s="279">
        <f>SUM(T8:T57)</f>
        <v>0</v>
      </c>
      <c r="U59" s="234" t="str">
        <f t="shared" ref="U59" si="12">IFERROR(V59/T59,"")</f>
        <v/>
      </c>
      <c r="V59" s="242">
        <f>SUM(V8:V57)</f>
        <v>0</v>
      </c>
      <c r="X59" s="274">
        <f>SUM(X8:X57)</f>
        <v>25139279671</v>
      </c>
    </row>
    <row r="60" spans="1:24" ht="15.75" thickTop="1">
      <c r="A60" s="173"/>
      <c r="C60" s="172"/>
      <c r="F60" s="172"/>
      <c r="K60" s="173"/>
      <c r="O60" s="173"/>
      <c r="S60" s="173"/>
    </row>
    <row r="61" spans="1:24">
      <c r="A61" s="173"/>
      <c r="C61" s="172"/>
      <c r="F61" s="172"/>
      <c r="K61" s="173"/>
      <c r="O61" s="173"/>
      <c r="S61" s="173"/>
    </row>
    <row r="62" spans="1:24">
      <c r="A62" s="173"/>
      <c r="C62" s="172"/>
      <c r="F62" s="172"/>
      <c r="K62" s="173"/>
      <c r="O62" s="173"/>
      <c r="S62" s="173"/>
    </row>
    <row r="63" spans="1:24">
      <c r="A63" s="173"/>
      <c r="C63" s="172"/>
      <c r="F63" s="172"/>
      <c r="K63" s="173"/>
      <c r="O63" s="173"/>
      <c r="S63" s="173"/>
    </row>
    <row r="64" spans="1:24">
      <c r="A64" s="173"/>
      <c r="C64" s="172"/>
      <c r="F64" s="172"/>
      <c r="K64" s="173"/>
      <c r="O64" s="173"/>
      <c r="S64" s="173"/>
    </row>
    <row r="65" spans="1:19">
      <c r="A65" s="173"/>
      <c r="C65" s="172"/>
      <c r="F65" s="172"/>
      <c r="K65" s="173"/>
      <c r="O65" s="173"/>
      <c r="S65" s="173"/>
    </row>
    <row r="66" spans="1:19">
      <c r="A66" s="173"/>
      <c r="C66" s="172"/>
      <c r="F66" s="172"/>
      <c r="K66" s="173"/>
      <c r="O66" s="173"/>
      <c r="S66" s="173"/>
    </row>
    <row r="67" spans="1:19">
      <c r="A67" s="173"/>
      <c r="C67" s="172"/>
      <c r="F67" s="172"/>
      <c r="K67" s="173"/>
      <c r="O67" s="173"/>
      <c r="S67" s="173"/>
    </row>
    <row r="68" spans="1:19">
      <c r="A68" s="173"/>
      <c r="C68" s="172"/>
      <c r="F68" s="172"/>
      <c r="K68" s="173"/>
      <c r="O68" s="173"/>
      <c r="S68" s="173"/>
    </row>
  </sheetData>
  <autoFilter ref="B6:B57"/>
  <pageMargins left="0.7" right="0.7" top="0.75" bottom="0.75" header="0.3" footer="0.3"/>
  <pageSetup orientation="portrait" horizontalDpi="180" verticalDpi="18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>
    <tabColor theme="9" tint="-0.499984740745262"/>
  </sheetPr>
  <dimension ref="A1:AD67"/>
  <sheetViews>
    <sheetView zoomScale="85" zoomScaleNormal="85" workbookViewId="0">
      <pane xSplit="3" ySplit="5" topLeftCell="D6" activePane="bottomRight" state="frozen"/>
      <selection activeCell="F14" sqref="F14:T34"/>
      <selection pane="topRight" activeCell="F14" sqref="F14:T34"/>
      <selection pane="bottomLeft" activeCell="F14" sqref="F14:T34"/>
      <selection pane="bottomRight" activeCell="C7" sqref="C7"/>
    </sheetView>
  </sheetViews>
  <sheetFormatPr defaultRowHeight="15"/>
  <cols>
    <col min="1" max="1" width="6.5703125" style="172" customWidth="1"/>
    <col min="2" max="2" width="6.140625" style="172" customWidth="1"/>
    <col min="3" max="3" width="32.85546875" style="202" bestFit="1" customWidth="1"/>
    <col min="4" max="4" width="17" style="172" customWidth="1"/>
    <col min="5" max="5" width="12.5703125" style="172" customWidth="1"/>
    <col min="6" max="6" width="27.5703125" style="173" customWidth="1"/>
    <col min="7" max="7" width="3" style="173" customWidth="1"/>
    <col min="8" max="8" width="17" style="173" customWidth="1"/>
    <col min="9" max="9" width="12.5703125" style="173" customWidth="1"/>
    <col min="10" max="10" width="27.5703125" style="173" customWidth="1"/>
    <col min="11" max="11" width="3" style="202" customWidth="1"/>
    <col min="12" max="12" width="17" style="173" customWidth="1"/>
    <col min="13" max="13" width="12.5703125" style="173" customWidth="1"/>
    <col min="14" max="14" width="27.5703125" style="173" customWidth="1"/>
    <col min="15" max="15" width="3" style="202" customWidth="1"/>
    <col min="16" max="16" width="17" style="173" customWidth="1"/>
    <col min="17" max="17" width="12.5703125" style="173" customWidth="1"/>
    <col min="18" max="18" width="27.5703125" style="173" customWidth="1"/>
    <col min="19" max="19" width="3" style="202" customWidth="1"/>
    <col min="20" max="20" width="17" style="173" customWidth="1"/>
    <col min="21" max="21" width="12.5703125" style="173" customWidth="1"/>
    <col min="22" max="22" width="27.5703125" style="173" customWidth="1"/>
    <col min="23" max="23" width="3" style="173" customWidth="1"/>
    <col min="24" max="24" width="21.7109375" style="173" bestFit="1" customWidth="1"/>
    <col min="25" max="25" width="3.28515625" style="173" customWidth="1"/>
    <col min="26" max="26" width="6.7109375" style="173" customWidth="1"/>
    <col min="27" max="27" width="9.140625" style="173"/>
    <col min="28" max="28" width="34.5703125" style="173" bestFit="1" customWidth="1"/>
    <col min="29" max="29" width="20" style="173" bestFit="1" customWidth="1"/>
    <col min="30" max="30" width="146" style="173" bestFit="1" customWidth="1"/>
    <col min="31" max="16384" width="9.140625" style="173"/>
  </cols>
  <sheetData>
    <row r="1" spans="1:30" ht="8.25" customHeight="1">
      <c r="C1" s="172"/>
      <c r="E1" s="173"/>
    </row>
    <row r="2" spans="1:30" ht="34.5" customHeight="1">
      <c r="C2" s="248" t="s">
        <v>281</v>
      </c>
      <c r="D2" s="261">
        <v>2019</v>
      </c>
      <c r="E2" s="173"/>
    </row>
    <row r="3" spans="1:30" s="186" customFormat="1" ht="19.5" customHeight="1">
      <c r="A3" s="182"/>
      <c r="B3" s="183"/>
      <c r="K3" s="182"/>
      <c r="O3" s="182"/>
      <c r="S3" s="182"/>
    </row>
    <row r="4" spans="1:30" s="186" customFormat="1" ht="30" customHeight="1" thickBot="1">
      <c r="B4" s="182"/>
      <c r="C4" s="182"/>
      <c r="D4" s="262" t="s">
        <v>317</v>
      </c>
      <c r="E4" s="263"/>
      <c r="F4" s="263"/>
      <c r="G4" s="188"/>
      <c r="H4" s="262" t="s">
        <v>318</v>
      </c>
      <c r="I4" s="263"/>
      <c r="J4" s="263"/>
      <c r="L4" s="263" t="s">
        <v>261</v>
      </c>
      <c r="M4" s="263"/>
      <c r="N4" s="263"/>
      <c r="P4" s="263" t="s">
        <v>251</v>
      </c>
      <c r="Q4" s="263"/>
      <c r="R4" s="263"/>
      <c r="T4" s="263" t="s">
        <v>262</v>
      </c>
      <c r="U4" s="263"/>
      <c r="V4" s="263"/>
      <c r="X4" s="188"/>
    </row>
    <row r="5" spans="1:30" ht="30.75" customHeight="1" thickTop="1" thickBot="1">
      <c r="A5" s="173"/>
      <c r="B5" s="189" t="s">
        <v>112</v>
      </c>
      <c r="C5" s="189" t="s">
        <v>55</v>
      </c>
      <c r="D5" s="190" t="s">
        <v>89</v>
      </c>
      <c r="E5" s="190" t="s">
        <v>67</v>
      </c>
      <c r="F5" s="191" t="s">
        <v>280</v>
      </c>
      <c r="G5" s="236"/>
      <c r="H5" s="190" t="s">
        <v>89</v>
      </c>
      <c r="I5" s="190" t="s">
        <v>67</v>
      </c>
      <c r="J5" s="194" t="s">
        <v>280</v>
      </c>
      <c r="K5" s="173"/>
      <c r="L5" s="264" t="s">
        <v>89</v>
      </c>
      <c r="M5" s="265" t="s">
        <v>67</v>
      </c>
      <c r="N5" s="266" t="s">
        <v>280</v>
      </c>
      <c r="O5" s="173"/>
      <c r="P5" s="196" t="s">
        <v>89</v>
      </c>
      <c r="Q5" s="196" t="s">
        <v>67</v>
      </c>
      <c r="R5" s="197" t="s">
        <v>280</v>
      </c>
      <c r="S5" s="173"/>
      <c r="T5" s="199" t="s">
        <v>89</v>
      </c>
      <c r="U5" s="199" t="s">
        <v>67</v>
      </c>
      <c r="V5" s="200" t="s">
        <v>280</v>
      </c>
      <c r="X5" s="201" t="s">
        <v>280</v>
      </c>
    </row>
    <row r="6" spans="1:30" ht="5.0999999999999996" customHeight="1" thickTop="1">
      <c r="A6" s="173"/>
      <c r="B6" s="256" t="s">
        <v>287</v>
      </c>
      <c r="C6" s="247"/>
      <c r="D6" s="247"/>
      <c r="E6" s="247"/>
      <c r="F6" s="247"/>
      <c r="H6" s="247"/>
      <c r="I6" s="247"/>
      <c r="J6" s="247"/>
      <c r="K6" s="173"/>
      <c r="L6" s="257"/>
      <c r="M6" s="257"/>
      <c r="N6" s="257"/>
      <c r="O6" s="173"/>
      <c r="P6" s="257"/>
      <c r="Q6" s="257"/>
      <c r="R6" s="257"/>
      <c r="S6" s="173"/>
      <c r="T6" s="257"/>
      <c r="U6" s="257"/>
      <c r="V6" s="257"/>
      <c r="X6" s="258"/>
    </row>
    <row r="7" spans="1:30" ht="18" customHeight="1">
      <c r="A7" s="173"/>
      <c r="B7" s="246">
        <v>1</v>
      </c>
      <c r="C7" s="245" t="str">
        <f>RELASI!C3</f>
        <v>ABU NAWAS</v>
      </c>
      <c r="D7" s="259">
        <f>SUMIFS(KB[NETTO2],KB[RELASI],C7,KB[TYPE],"A",KB[TANGGAL],"&gt;="&amp;DATE($D$2,MONTH(0),1),KB[TANGGAL],"&lt;"&amp;DATE($D$2+1,MONTH(0),1))</f>
        <v>0</v>
      </c>
      <c r="E7" s="214" t="str">
        <f>IFERROR(F7/D7,"")</f>
        <v/>
      </c>
      <c r="F7" s="259">
        <f>SUMIFS(KB[TPEMBAYARAN],KB[RELASI],C7,KB[TYPE],"A",KB[TANGGAL],"&gt;="&amp;DATE($D$2,MONTH(0),1),KB[TANGGAL],"&lt;"&amp;DATE($D$2+1,MONTH(0),1))</f>
        <v>0</v>
      </c>
      <c r="G7" s="252"/>
      <c r="H7" s="214">
        <f>SUMIFS(KB[NETTO2],KB[RELASI],C7,KB[TYPE],"B",KB[TANGGAL],"&gt;="&amp;DATE($D$2,MONTH(0),1),KB[TANGGAL],"&lt;"&amp;DATE($D$2+1,MONTH(0),1))</f>
        <v>0</v>
      </c>
      <c r="I7" s="214" t="str">
        <f t="shared" ref="I7" si="0">IFERROR(J7/H7,"")</f>
        <v/>
      </c>
      <c r="J7" s="214">
        <f>SUMIFS(KB[TPEMBAYARAN],KB[RELASI],C7,KB[TYPE],"B",KB[TANGGAL],"&gt;="&amp;DATE($D$2,MONTH(0),1),KB[TANGGAL],"&lt;"&amp;DATE($D$2+1,MONTH(0),1))</f>
        <v>0</v>
      </c>
      <c r="K7" s="252"/>
      <c r="L7" s="214">
        <f>SUMIFS(KBS[NETTO2],KBS[RELASI],C7,KBS[TANGGAL],"&gt;="&amp;DATE($D$2,MONTH(0),1),KBS[TANGGAL],"&lt;"&amp;DATE($D$2+1,MONTH(0),1))</f>
        <v>0</v>
      </c>
      <c r="M7" s="214" t="str">
        <f>IFERROR(N7/L7,"")</f>
        <v/>
      </c>
      <c r="N7" s="214">
        <f>SUMIFS(KBS[TPEMBAYARAN],KBS[RELASI],C7,KBS[TANGGAL],"&gt;="&amp;DATE($D$2,MONTH(0),1),KBS[TANGGAL],"&lt;"&amp;DATE($D$2+1,MONTH(0),1))</f>
        <v>0</v>
      </c>
      <c r="O7" s="252"/>
      <c r="P7" s="259">
        <f>SUMIFS(KPR[NETTOB],KPR[RELASI],C7,KPR[TANGGAL],"&gt;="&amp;DATE($D$2,MONTH(0),1),KPR[TANGGAL],"&lt;"&amp;DATE($D$2+1,MONTH(0),1))</f>
        <v>0</v>
      </c>
      <c r="Q7" s="214" t="str">
        <f>IFERROR(R7/P7,"")</f>
        <v/>
      </c>
      <c r="R7" s="214">
        <f>SUMIFS(KPR[TPEMBAYARAN],KPR[RELASI],C7,KPR[TANGGAL],"&gt;="&amp;DATE($D$2,MONTH(0),1),KPR[TANGGAL],"&lt;"&amp;DATE($D$2+1,MONTH(0),1))</f>
        <v>0</v>
      </c>
      <c r="S7" s="252"/>
      <c r="T7" s="214">
        <f>SUMIFS(ARG[NETTO3],ARG[RELASI],C7,ARG[TANGGAL],"&gt;="&amp;DATE($D$2,MONTH(0),1),ARG[TANGGAL],"&lt;"&amp;DATE($D$2+1,MONTH(0),1))</f>
        <v>0</v>
      </c>
      <c r="U7" s="214" t="str">
        <f>IFERROR(V7/T7,"")</f>
        <v/>
      </c>
      <c r="V7" s="214">
        <f>SUMIFS(ARG[TPEMBAYARAN],ARG[RELASI],C7,ARG[TANGGAL],"&gt;="&amp;DATE($D$2,MONTH(0),1),ARG[TANGGAL],"&lt;"&amp;DATE($D$2+1,MONTH(0),1))</f>
        <v>0</v>
      </c>
      <c r="W7" s="252"/>
      <c r="X7" s="217">
        <f>SUM(V7,N7,R7,J7,F7)</f>
        <v>0</v>
      </c>
      <c r="Z7" s="292"/>
      <c r="AA7" s="173">
        <v>1</v>
      </c>
      <c r="AB7" s="729" t="str">
        <f>INDEX($C$7:$C$56,MATCH(LARGE($X$7:$X$56,AA7),$X$7:$X$56,0))</f>
        <v>ABU NAWAS</v>
      </c>
      <c r="AC7" s="291">
        <f>LARGE($X$7:$X$56,AA7)</f>
        <v>0</v>
      </c>
      <c r="AD7" s="173" t="e">
        <f ca="1">PROPER([39]!Terbilang(AC7))</f>
        <v>#NAME?</v>
      </c>
    </row>
    <row r="8" spans="1:30" ht="18" customHeight="1">
      <c r="A8" s="173"/>
      <c r="B8" s="246">
        <f>IF(C8=0,"",B7+1)</f>
        <v>2</v>
      </c>
      <c r="C8" s="245" t="str">
        <f>RELASI!C4</f>
        <v>ADEN</v>
      </c>
      <c r="D8" s="259">
        <f>SUMIFS(KB[NETTO2],KB[RELASI],C8,KB[TYPE],"A",KB[TANGGAL],"&gt;="&amp;DATE($D$2,MONTH(0),1),KB[TANGGAL],"&lt;"&amp;DATE($D$2+1,MONTH(0),1))</f>
        <v>0</v>
      </c>
      <c r="E8" s="214" t="str">
        <f t="shared" ref="E8:E58" si="1">IFERROR(F8/D8,"")</f>
        <v/>
      </c>
      <c r="F8" s="259">
        <f>SUMIFS(KB[TPEMBAYARAN],KB[RELASI],C8,KB[TYPE],"A",KB[TANGGAL],"&gt;="&amp;DATE($D$2,MONTH(0),1),KB[TANGGAL],"&lt;"&amp;DATE($D$2+1,MONTH(0),1))</f>
        <v>0</v>
      </c>
      <c r="G8" s="252"/>
      <c r="H8" s="214">
        <f>SUMIFS(KB[NETTO2],KB[RELASI],C8,KB[TYPE],"B",KB[TANGGAL],"&gt;="&amp;DATE($D$2,MONTH(0),1),KB[TANGGAL],"&lt;"&amp;DATE($D$2+1,MONTH(0),1))</f>
        <v>0</v>
      </c>
      <c r="I8" s="214" t="str">
        <f t="shared" ref="I8:I56" si="2">IFERROR(J8/H8,"")</f>
        <v/>
      </c>
      <c r="J8" s="214">
        <f>SUMIFS(KB[TPEMBAYARAN],KB[RELASI],C8,KB[TYPE],"B",KB[TANGGAL],"&gt;="&amp;DATE($D$2,MONTH(0),1),KB[TANGGAL],"&lt;"&amp;DATE($D$2+1,MONTH(0),1))</f>
        <v>0</v>
      </c>
      <c r="K8" s="252"/>
      <c r="L8" s="214">
        <f>SUMIFS(KBS[NETTO2],KBS[RELASI],C8,KBS[TANGGAL],"&gt;="&amp;DATE($D$2,MONTH(0),1),KBS[TANGGAL],"&lt;"&amp;DATE($D$2+1,MONTH(0),1))</f>
        <v>0</v>
      </c>
      <c r="M8" s="214" t="str">
        <f t="shared" ref="M8:M56" si="3">IFERROR(N8/L8,"")</f>
        <v/>
      </c>
      <c r="N8" s="214">
        <f>SUMIFS(KBS[TPEMBAYARAN],KBS[RELASI],C8,KBS[TANGGAL],"&gt;="&amp;DATE($D$2,MONTH(0),1),KBS[TANGGAL],"&lt;"&amp;DATE($D$2+1,MONTH(0),1))</f>
        <v>0</v>
      </c>
      <c r="O8" s="252"/>
      <c r="P8" s="259">
        <f>SUMIFS(KPR[NETTOB],KPR[RELASI],C8,KPR[TANGGAL],"&gt;="&amp;DATE($D$2,MONTH(0),1),KPR[TANGGAL],"&lt;"&amp;DATE($D$2+1,MONTH(0),1))</f>
        <v>0</v>
      </c>
      <c r="Q8" s="214" t="str">
        <f t="shared" ref="Q8:Q56" si="4">IFERROR(R8/P8,"")</f>
        <v/>
      </c>
      <c r="R8" s="214">
        <f>SUMIFS(KPR[TPEMBAYARAN],KPR[RELASI],C8,KPR[TANGGAL],"&gt;="&amp;DATE($D$2,MONTH(0),1),KPR[TANGGAL],"&lt;"&amp;DATE($D$2+1,MONTH(0),1))</f>
        <v>0</v>
      </c>
      <c r="S8" s="252"/>
      <c r="T8" s="214">
        <f>SUMIFS(ARG[NETTO3],ARG[RELASI],C8,ARG[TANGGAL],"&gt;="&amp;DATE($D$2,MONTH(0),1),ARG[TANGGAL],"&lt;"&amp;DATE($D$2+1,MONTH(0),1))</f>
        <v>0</v>
      </c>
      <c r="U8" s="214" t="str">
        <f t="shared" ref="U8:U56" si="5">IFERROR(V8/T8,"")</f>
        <v/>
      </c>
      <c r="V8" s="214">
        <f>SUMIFS(ARG[TPEMBAYARAN],ARG[RELASI],C8,ARG[TANGGAL],"&gt;="&amp;DATE($D$2,MONTH(0),1),ARG[TANGGAL],"&lt;"&amp;DATE($D$2+1,MONTH(0),1))</f>
        <v>0</v>
      </c>
      <c r="W8" s="252"/>
      <c r="X8" s="217">
        <f t="shared" ref="X8:X56" si="6">SUM(V8,N8,R8,J8,F8)</f>
        <v>0</v>
      </c>
      <c r="Z8" s="292"/>
      <c r="AA8" s="173">
        <f>+AA7+1</f>
        <v>2</v>
      </c>
      <c r="AB8" s="729" t="str">
        <f>IF(COUNTIFS($AB$7:AB7,INDEX($C$7:$C$56,MATCH(LARGE($X$7:$X$56,AA8),$X$7:$X$56,0)))&gt;0,"",INDEX($C$7:$C$56,MATCH(LARGE($X$7:$X$56,AA8),$X$7:$X$56,0)))</f>
        <v/>
      </c>
      <c r="AC8" s="291">
        <f t="shared" ref="AC8:AC56" si="7">LARGE($X$7:$X$56,AA8)</f>
        <v>0</v>
      </c>
      <c r="AD8" s="173" t="e">
        <f ca="1">PROPER([39]!Terbilang(AC8))</f>
        <v>#NAME?</v>
      </c>
    </row>
    <row r="9" spans="1:30" ht="18" customHeight="1">
      <c r="A9" s="173"/>
      <c r="B9" s="246">
        <f t="shared" ref="B9:B56" si="8">IF(C9=0,"",B8+1)</f>
        <v>3</v>
      </c>
      <c r="C9" s="245" t="str">
        <f>RELASI!C5</f>
        <v>AHMAD TARMIZI</v>
      </c>
      <c r="D9" s="259">
        <f>SUMIFS(KB[NETTO2],KB[RELASI],C9,KB[TYPE],"A",KB[TANGGAL],"&gt;="&amp;DATE($D$2,MONTH(0),1),KB[TANGGAL],"&lt;"&amp;DATE($D$2+1,MONTH(0),1))</f>
        <v>0</v>
      </c>
      <c r="E9" s="214" t="str">
        <f t="shared" si="1"/>
        <v/>
      </c>
      <c r="F9" s="259">
        <f>SUMIFS(KB[TPEMBAYARAN],KB[RELASI],C9,KB[TYPE],"A",KB[TANGGAL],"&gt;="&amp;DATE($D$2,MONTH(0),1),KB[TANGGAL],"&lt;"&amp;DATE($D$2+1,MONTH(0),1))</f>
        <v>0</v>
      </c>
      <c r="G9" s="252"/>
      <c r="H9" s="214">
        <f>SUMIFS(KB[NETTO2],KB[RELASI],C9,KB[TYPE],"B",KB[TANGGAL],"&gt;="&amp;DATE($D$2,MONTH(0),1),KB[TANGGAL],"&lt;"&amp;DATE($D$2+1,MONTH(0),1))</f>
        <v>0</v>
      </c>
      <c r="I9" s="214" t="str">
        <f t="shared" si="2"/>
        <v/>
      </c>
      <c r="J9" s="214">
        <f>SUMIFS(KB[TPEMBAYARAN],KB[RELASI],C9,KB[TYPE],"B",KB[TANGGAL],"&gt;="&amp;DATE($D$2,MONTH(0),1),KB[TANGGAL],"&lt;"&amp;DATE($D$2+1,MONTH(0),1))</f>
        <v>0</v>
      </c>
      <c r="K9" s="252"/>
      <c r="L9" s="214">
        <f>SUMIFS(KBS[NETTO2],KBS[RELASI],C9,KBS[TANGGAL],"&gt;="&amp;DATE($D$2,MONTH(0),1),KBS[TANGGAL],"&lt;"&amp;DATE($D$2+1,MONTH(0),1))</f>
        <v>0</v>
      </c>
      <c r="M9" s="214" t="str">
        <f t="shared" si="3"/>
        <v/>
      </c>
      <c r="N9" s="214">
        <f>SUMIFS(KBS[TPEMBAYARAN],KBS[RELASI],C9,KBS[TANGGAL],"&gt;="&amp;DATE($D$2,MONTH(0),1),KBS[TANGGAL],"&lt;"&amp;DATE($D$2+1,MONTH(0),1))</f>
        <v>0</v>
      </c>
      <c r="O9" s="252"/>
      <c r="P9" s="259">
        <f>SUMIFS(KPR[NETTOB],KPR[RELASI],C9,KPR[TANGGAL],"&gt;="&amp;DATE($D$2,MONTH(0),1),KPR[TANGGAL],"&lt;"&amp;DATE($D$2+1,MONTH(0),1))</f>
        <v>0</v>
      </c>
      <c r="Q9" s="214" t="str">
        <f t="shared" si="4"/>
        <v/>
      </c>
      <c r="R9" s="214">
        <f>SUMIFS(KPR[TPEMBAYARAN],KPR[RELASI],C9,KPR[TANGGAL],"&gt;="&amp;DATE($D$2,MONTH(0),1),KPR[TANGGAL],"&lt;"&amp;DATE($D$2+1,MONTH(0),1))</f>
        <v>0</v>
      </c>
      <c r="S9" s="252"/>
      <c r="T9" s="214">
        <f>SUMIFS(ARG[NETTO3],ARG[RELASI],C9,ARG[TANGGAL],"&gt;="&amp;DATE($D$2,MONTH(0),1),ARG[TANGGAL],"&lt;"&amp;DATE($D$2+1,MONTH(0),1))</f>
        <v>0</v>
      </c>
      <c r="U9" s="214" t="str">
        <f t="shared" si="5"/>
        <v/>
      </c>
      <c r="V9" s="214">
        <f>SUMIFS(ARG[TPEMBAYARAN],ARG[RELASI],C9,ARG[TANGGAL],"&gt;="&amp;DATE($D$2,MONTH(0),1),ARG[TANGGAL],"&lt;"&amp;DATE($D$2+1,MONTH(0),1))</f>
        <v>0</v>
      </c>
      <c r="W9" s="252"/>
      <c r="X9" s="217">
        <f t="shared" si="6"/>
        <v>0</v>
      </c>
      <c r="Z9" s="292"/>
      <c r="AA9" s="173">
        <f t="shared" ref="AA9:AA21" si="9">+AA8+1</f>
        <v>3</v>
      </c>
      <c r="AB9" s="729" t="str">
        <f>IF(COUNTIFS($AB$7:AB8,INDEX($C$7:$C$56,MATCH(LARGE($X$7:$X$56,AA9),$X$7:$X$56,0)))&gt;0,"",INDEX($C$7:$C$56,MATCH(LARGE($X$7:$X$56,AA9),$X$7:$X$56,0)))</f>
        <v/>
      </c>
      <c r="AC9" s="291">
        <f t="shared" si="7"/>
        <v>0</v>
      </c>
      <c r="AD9" s="173" t="e">
        <f ca="1">PROPER([39]!Terbilang(AC9))</f>
        <v>#NAME?</v>
      </c>
    </row>
    <row r="10" spans="1:30" ht="18" customHeight="1">
      <c r="A10" s="173"/>
      <c r="B10" s="246">
        <f t="shared" si="8"/>
        <v>4</v>
      </c>
      <c r="C10" s="245" t="str">
        <f>RELASI!C6</f>
        <v>AHUAT</v>
      </c>
      <c r="D10" s="259">
        <f>SUMIFS(KB[NETTO2],KB[RELASI],C10,KB[TYPE],"A",KB[TANGGAL],"&gt;="&amp;DATE($D$2,MONTH(0),1),KB[TANGGAL],"&lt;"&amp;DATE($D$2+1,MONTH(0),1))</f>
        <v>0</v>
      </c>
      <c r="E10" s="214" t="str">
        <f t="shared" si="1"/>
        <v/>
      </c>
      <c r="F10" s="259">
        <f>SUMIFS(KB[TPEMBAYARAN],KB[RELASI],C10,KB[TYPE],"A",KB[TANGGAL],"&gt;="&amp;DATE($D$2,MONTH(0),1),KB[TANGGAL],"&lt;"&amp;DATE($D$2+1,MONTH(0),1))</f>
        <v>0</v>
      </c>
      <c r="G10" s="252"/>
      <c r="H10" s="214">
        <f>SUMIFS(KB[NETTO2],KB[RELASI],C10,KB[TYPE],"B",KB[TANGGAL],"&gt;="&amp;DATE($D$2,MONTH(0),1),KB[TANGGAL],"&lt;"&amp;DATE($D$2+1,MONTH(0),1))</f>
        <v>0</v>
      </c>
      <c r="I10" s="214" t="str">
        <f t="shared" si="2"/>
        <v/>
      </c>
      <c r="J10" s="214">
        <f>SUMIFS(KB[TPEMBAYARAN],KB[RELASI],C10,KB[TYPE],"B",KB[TANGGAL],"&gt;="&amp;DATE($D$2,MONTH(0),1),KB[TANGGAL],"&lt;"&amp;DATE($D$2+1,MONTH(0),1))</f>
        <v>0</v>
      </c>
      <c r="K10" s="252"/>
      <c r="L10" s="214">
        <f>SUMIFS(KBS[NETTO2],KBS[RELASI],C10,KBS[TANGGAL],"&gt;="&amp;DATE($D$2,MONTH(0),1),KBS[TANGGAL],"&lt;"&amp;DATE($D$2+1,MONTH(0),1))</f>
        <v>0</v>
      </c>
      <c r="M10" s="214" t="str">
        <f t="shared" si="3"/>
        <v/>
      </c>
      <c r="N10" s="214">
        <f>SUMIFS(KBS[TPEMBAYARAN],KBS[RELASI],C10,KBS[TANGGAL],"&gt;="&amp;DATE($D$2,MONTH(0),1),KBS[TANGGAL],"&lt;"&amp;DATE($D$2+1,MONTH(0),1))</f>
        <v>0</v>
      </c>
      <c r="O10" s="252"/>
      <c r="P10" s="259">
        <f>SUMIFS(KPR[NETTOB],KPR[RELASI],C10,KPR[TANGGAL],"&gt;="&amp;DATE($D$2,MONTH(0),1),KPR[TANGGAL],"&lt;"&amp;DATE($D$2+1,MONTH(0),1))</f>
        <v>0</v>
      </c>
      <c r="Q10" s="214" t="str">
        <f t="shared" si="4"/>
        <v/>
      </c>
      <c r="R10" s="214">
        <f>SUMIFS(KPR[TPEMBAYARAN],KPR[RELASI],C10,KPR[TANGGAL],"&gt;="&amp;DATE($D$2,MONTH(0),1),KPR[TANGGAL],"&lt;"&amp;DATE($D$2+1,MONTH(0),1))</f>
        <v>0</v>
      </c>
      <c r="S10" s="252"/>
      <c r="T10" s="214">
        <f>SUMIFS(ARG[NETTO3],ARG[RELASI],C10,ARG[TANGGAL],"&gt;="&amp;DATE($D$2,MONTH(0),1),ARG[TANGGAL],"&lt;"&amp;DATE($D$2+1,MONTH(0),1))</f>
        <v>0</v>
      </c>
      <c r="U10" s="214" t="str">
        <f t="shared" si="5"/>
        <v/>
      </c>
      <c r="V10" s="214">
        <f>SUMIFS(ARG[TPEMBAYARAN],ARG[RELASI],C10,ARG[TANGGAL],"&gt;="&amp;DATE($D$2,MONTH(0),1),ARG[TANGGAL],"&lt;"&amp;DATE($D$2+1,MONTH(0),1))</f>
        <v>0</v>
      </c>
      <c r="W10" s="252"/>
      <c r="X10" s="217">
        <f t="shared" si="6"/>
        <v>0</v>
      </c>
      <c r="Z10" s="292"/>
      <c r="AA10" s="173">
        <f t="shared" si="9"/>
        <v>4</v>
      </c>
      <c r="AB10" s="729" t="str">
        <f>IF(COUNTIFS($AB$7:AB9,INDEX($C$7:$C$56,MATCH(LARGE($X$7:$X$56,AA10),$X$7:$X$56,0)))&gt;0,"",INDEX($C$7:$C$56,MATCH(LARGE($X$7:$X$56,AA10),$X$7:$X$56,0)))</f>
        <v/>
      </c>
      <c r="AC10" s="291">
        <f t="shared" si="7"/>
        <v>0</v>
      </c>
      <c r="AD10" s="173" t="e">
        <f ca="1">PROPER([39]!Terbilang(AC10))</f>
        <v>#NAME?</v>
      </c>
    </row>
    <row r="11" spans="1:30" ht="18" customHeight="1">
      <c r="A11" s="173"/>
      <c r="B11" s="246">
        <f t="shared" si="8"/>
        <v>5</v>
      </c>
      <c r="C11" s="245" t="str">
        <f>RELASI!C7</f>
        <v>AHWA</v>
      </c>
      <c r="D11" s="259">
        <f>SUMIFS(KB[NETTO2],KB[RELASI],C11,KB[TYPE],"A",KB[TANGGAL],"&gt;="&amp;DATE($D$2,MONTH(0),1),KB[TANGGAL],"&lt;"&amp;DATE($D$2+1,MONTH(0),1))</f>
        <v>0</v>
      </c>
      <c r="E11" s="214" t="str">
        <f t="shared" si="1"/>
        <v/>
      </c>
      <c r="F11" s="259">
        <f>SUMIFS(KB[TPEMBAYARAN],KB[RELASI],C11,KB[TYPE],"A",KB[TANGGAL],"&gt;="&amp;DATE($D$2,MONTH(0),1),KB[TANGGAL],"&lt;"&amp;DATE($D$2+1,MONTH(0),1))</f>
        <v>0</v>
      </c>
      <c r="G11" s="252"/>
      <c r="H11" s="214">
        <f>SUMIFS(KB[NETTO2],KB[RELASI],C11,KB[TYPE],"B",KB[TANGGAL],"&gt;="&amp;DATE($D$2,MONTH(0),1),KB[TANGGAL],"&lt;"&amp;DATE($D$2+1,MONTH(0),1))</f>
        <v>0</v>
      </c>
      <c r="I11" s="214" t="str">
        <f t="shared" si="2"/>
        <v/>
      </c>
      <c r="J11" s="214">
        <f>SUMIFS(KB[TPEMBAYARAN],KB[RELASI],C11,KB[TYPE],"B",KB[TANGGAL],"&gt;="&amp;DATE($D$2,MONTH(0),1),KB[TANGGAL],"&lt;"&amp;DATE($D$2+1,MONTH(0),1))</f>
        <v>0</v>
      </c>
      <c r="K11" s="252"/>
      <c r="L11" s="214">
        <f>SUMIFS(KBS[NETTO2],KBS[RELASI],C11,KBS[TANGGAL],"&gt;="&amp;DATE($D$2,MONTH(0),1),KBS[TANGGAL],"&lt;"&amp;DATE($D$2+1,MONTH(0),1))</f>
        <v>0</v>
      </c>
      <c r="M11" s="214" t="str">
        <f t="shared" si="3"/>
        <v/>
      </c>
      <c r="N11" s="214">
        <f>SUMIFS(KBS[TPEMBAYARAN],KBS[RELASI],C11,KBS[TANGGAL],"&gt;="&amp;DATE($D$2,MONTH(0),1),KBS[TANGGAL],"&lt;"&amp;DATE($D$2+1,MONTH(0),1))</f>
        <v>0</v>
      </c>
      <c r="O11" s="252"/>
      <c r="P11" s="259">
        <f>SUMIFS(KPR[NETTOB],KPR[RELASI],C11,KPR[TANGGAL],"&gt;="&amp;DATE($D$2,MONTH(0),1),KPR[TANGGAL],"&lt;"&amp;DATE($D$2+1,MONTH(0),1))</f>
        <v>0</v>
      </c>
      <c r="Q11" s="214" t="str">
        <f t="shared" si="4"/>
        <v/>
      </c>
      <c r="R11" s="214">
        <f>SUMIFS(KPR[TPEMBAYARAN],KPR[RELASI],C11,KPR[TANGGAL],"&gt;="&amp;DATE($D$2,MONTH(0),1),KPR[TANGGAL],"&lt;"&amp;DATE($D$2+1,MONTH(0),1))</f>
        <v>0</v>
      </c>
      <c r="S11" s="252"/>
      <c r="T11" s="214">
        <f>SUMIFS(ARG[NETTO3],ARG[RELASI],C11,ARG[TANGGAL],"&gt;="&amp;DATE($D$2,MONTH(0),1),ARG[TANGGAL],"&lt;"&amp;DATE($D$2+1,MONTH(0),1))</f>
        <v>0</v>
      </c>
      <c r="U11" s="214" t="str">
        <f t="shared" si="5"/>
        <v/>
      </c>
      <c r="V11" s="214">
        <f>SUMIFS(ARG[TPEMBAYARAN],ARG[RELASI],C11,ARG[TANGGAL],"&gt;="&amp;DATE($D$2,MONTH(0),1),ARG[TANGGAL],"&lt;"&amp;DATE($D$2+1,MONTH(0),1))</f>
        <v>0</v>
      </c>
      <c r="W11" s="252"/>
      <c r="X11" s="217">
        <f t="shared" si="6"/>
        <v>0</v>
      </c>
      <c r="Z11" s="292"/>
      <c r="AA11" s="173">
        <f t="shared" si="9"/>
        <v>5</v>
      </c>
      <c r="AB11" s="729" t="str">
        <f>IF(COUNTIFS($AB$7:AB10,INDEX($C$7:$C$56,MATCH(LARGE($X$7:$X$56,AA11),$X$7:$X$56,0)))&gt;0,"",INDEX($C$7:$C$56,MATCH(LARGE($X$7:$X$56,AA11),$X$7:$X$56,0)))</f>
        <v/>
      </c>
      <c r="AC11" s="291">
        <f t="shared" si="7"/>
        <v>0</v>
      </c>
      <c r="AD11" s="173" t="e">
        <f ca="1">PROPER([39]!Terbilang(AC11))</f>
        <v>#NAME?</v>
      </c>
    </row>
    <row r="12" spans="1:30" ht="18" customHeight="1">
      <c r="A12" s="173"/>
      <c r="B12" s="246">
        <f t="shared" si="8"/>
        <v>6</v>
      </c>
      <c r="C12" s="245" t="str">
        <f>RELASI!C8</f>
        <v>AMIR</v>
      </c>
      <c r="D12" s="259">
        <f>SUMIFS(KB[NETTO2],KB[RELASI],C12,KB[TYPE],"A",KB[TANGGAL],"&gt;="&amp;DATE($D$2,MONTH(0),1),KB[TANGGAL],"&lt;"&amp;DATE($D$2+1,MONTH(0),1))</f>
        <v>0</v>
      </c>
      <c r="E12" s="214" t="str">
        <f t="shared" si="1"/>
        <v/>
      </c>
      <c r="F12" s="259">
        <f>SUMIFS(KB[TPEMBAYARAN],KB[RELASI],C12,KB[TYPE],"A",KB[TANGGAL],"&gt;="&amp;DATE($D$2,MONTH(0),1),KB[TANGGAL],"&lt;"&amp;DATE($D$2+1,MONTH(0),1))</f>
        <v>0</v>
      </c>
      <c r="G12" s="252"/>
      <c r="H12" s="214">
        <f>SUMIFS(KB[NETTO2],KB[RELASI],C12,KB[TYPE],"B",KB[TANGGAL],"&gt;="&amp;DATE($D$2,MONTH(0),1),KB[TANGGAL],"&lt;"&amp;DATE($D$2+1,MONTH(0),1))</f>
        <v>0</v>
      </c>
      <c r="I12" s="214" t="str">
        <f t="shared" si="2"/>
        <v/>
      </c>
      <c r="J12" s="214">
        <f>SUMIFS(KB[TPEMBAYARAN],KB[RELASI],C12,KB[TYPE],"B",KB[TANGGAL],"&gt;="&amp;DATE($D$2,MONTH(0),1),KB[TANGGAL],"&lt;"&amp;DATE($D$2+1,MONTH(0),1))</f>
        <v>0</v>
      </c>
      <c r="K12" s="252"/>
      <c r="L12" s="214">
        <f>SUMIFS(KBS[NETTO2],KBS[RELASI],C12,KBS[TANGGAL],"&gt;="&amp;DATE($D$2,MONTH(0),1),KBS[TANGGAL],"&lt;"&amp;DATE($D$2+1,MONTH(0),1))</f>
        <v>0</v>
      </c>
      <c r="M12" s="214" t="str">
        <f t="shared" si="3"/>
        <v/>
      </c>
      <c r="N12" s="214">
        <f>SUMIFS(KBS[TPEMBAYARAN],KBS[RELASI],C12,KBS[TANGGAL],"&gt;="&amp;DATE($D$2,MONTH(0),1),KBS[TANGGAL],"&lt;"&amp;DATE($D$2+1,MONTH(0),1))</f>
        <v>0</v>
      </c>
      <c r="O12" s="252"/>
      <c r="P12" s="259">
        <f>SUMIFS(KPR[NETTOB],KPR[RELASI],C12,KPR[TANGGAL],"&gt;="&amp;DATE($D$2,MONTH(0),1),KPR[TANGGAL],"&lt;"&amp;DATE($D$2+1,MONTH(0),1))</f>
        <v>0</v>
      </c>
      <c r="Q12" s="214" t="str">
        <f t="shared" si="4"/>
        <v/>
      </c>
      <c r="R12" s="214">
        <f>SUMIFS(KPR[TPEMBAYARAN],KPR[RELASI],C12,KPR[TANGGAL],"&gt;="&amp;DATE($D$2,MONTH(0),1),KPR[TANGGAL],"&lt;"&amp;DATE($D$2+1,MONTH(0),1))</f>
        <v>0</v>
      </c>
      <c r="S12" s="252"/>
      <c r="T12" s="214">
        <f>SUMIFS(ARG[NETTO3],ARG[RELASI],C12,ARG[TANGGAL],"&gt;="&amp;DATE($D$2,MONTH(0),1),ARG[TANGGAL],"&lt;"&amp;DATE($D$2+1,MONTH(0),1))</f>
        <v>0</v>
      </c>
      <c r="U12" s="214" t="str">
        <f t="shared" si="5"/>
        <v/>
      </c>
      <c r="V12" s="214">
        <f>SUMIFS(ARG[TPEMBAYARAN],ARG[RELASI],C12,ARG[TANGGAL],"&gt;="&amp;DATE($D$2,MONTH(0),1),ARG[TANGGAL],"&lt;"&amp;DATE($D$2+1,MONTH(0),1))</f>
        <v>0</v>
      </c>
      <c r="W12" s="252"/>
      <c r="X12" s="217">
        <f t="shared" si="6"/>
        <v>0</v>
      </c>
      <c r="Z12" s="292"/>
      <c r="AA12" s="173">
        <f t="shared" si="9"/>
        <v>6</v>
      </c>
      <c r="AB12" s="729" t="str">
        <f>IF(COUNTIFS($AB$7:AB11,INDEX($C$7:$C$56,MATCH(LARGE($X$7:$X$56,AA12),$X$7:$X$56,0)))&gt;0,"",INDEX($C$7:$C$56,MATCH(LARGE($X$7:$X$56,AA12),$X$7:$X$56,0)))</f>
        <v/>
      </c>
      <c r="AC12" s="291">
        <f t="shared" si="7"/>
        <v>0</v>
      </c>
      <c r="AD12" s="173" t="e">
        <f ca="1">PROPER([39]!Terbilang(AC12))</f>
        <v>#NAME?</v>
      </c>
    </row>
    <row r="13" spans="1:30" ht="18" customHeight="1">
      <c r="A13" s="173"/>
      <c r="B13" s="246">
        <f t="shared" si="8"/>
        <v>7</v>
      </c>
      <c r="C13" s="245" t="str">
        <f>RELASI!C9</f>
        <v>AMIRUDDIN</v>
      </c>
      <c r="D13" s="259">
        <f>SUMIFS(KB[NETTO2],KB[RELASI],C13,KB[TYPE],"A",KB[TANGGAL],"&gt;="&amp;DATE($D$2,MONTH(0),1),KB[TANGGAL],"&lt;"&amp;DATE($D$2+1,MONTH(0),1))</f>
        <v>0</v>
      </c>
      <c r="E13" s="214" t="str">
        <f t="shared" si="1"/>
        <v/>
      </c>
      <c r="F13" s="259">
        <f>SUMIFS(KB[TPEMBAYARAN],KB[RELASI],C13,KB[TYPE],"A",KB[TANGGAL],"&gt;="&amp;DATE($D$2,MONTH(0),1),KB[TANGGAL],"&lt;"&amp;DATE($D$2+1,MONTH(0),1))</f>
        <v>0</v>
      </c>
      <c r="G13" s="252"/>
      <c r="H13" s="214">
        <f>SUMIFS(KB[NETTO2],KB[RELASI],C13,KB[TYPE],"B",KB[TANGGAL],"&gt;="&amp;DATE($D$2,MONTH(0),1),KB[TANGGAL],"&lt;"&amp;DATE($D$2+1,MONTH(0),1))</f>
        <v>0</v>
      </c>
      <c r="I13" s="214" t="str">
        <f t="shared" si="2"/>
        <v/>
      </c>
      <c r="J13" s="214">
        <f>SUMIFS(KB[TPEMBAYARAN],KB[RELASI],C13,KB[TYPE],"B",KB[TANGGAL],"&gt;="&amp;DATE($D$2,MONTH(0),1),KB[TANGGAL],"&lt;"&amp;DATE($D$2+1,MONTH(0),1))</f>
        <v>0</v>
      </c>
      <c r="K13" s="252"/>
      <c r="L13" s="214">
        <f>SUMIFS(KBS[NETTO2],KBS[RELASI],C13,KBS[TANGGAL],"&gt;="&amp;DATE($D$2,MONTH(0),1),KBS[TANGGAL],"&lt;"&amp;DATE($D$2+1,MONTH(0),1))</f>
        <v>0</v>
      </c>
      <c r="M13" s="214" t="str">
        <f t="shared" si="3"/>
        <v/>
      </c>
      <c r="N13" s="214">
        <f>SUMIFS(KBS[TPEMBAYARAN],KBS[RELASI],C13,KBS[TANGGAL],"&gt;="&amp;DATE($D$2,MONTH(0),1),KBS[TANGGAL],"&lt;"&amp;DATE($D$2+1,MONTH(0),1))</f>
        <v>0</v>
      </c>
      <c r="O13" s="252"/>
      <c r="P13" s="259">
        <f>SUMIFS(KPR[NETTOB],KPR[RELASI],C13,KPR[TANGGAL],"&gt;="&amp;DATE($D$2,MONTH(0),1),KPR[TANGGAL],"&lt;"&amp;DATE($D$2+1,MONTH(0),1))</f>
        <v>0</v>
      </c>
      <c r="Q13" s="214" t="str">
        <f t="shared" si="4"/>
        <v/>
      </c>
      <c r="R13" s="214">
        <f>SUMIFS(KPR[TPEMBAYARAN],KPR[RELASI],C13,KPR[TANGGAL],"&gt;="&amp;DATE($D$2,MONTH(0),1),KPR[TANGGAL],"&lt;"&amp;DATE($D$2+1,MONTH(0),1))</f>
        <v>0</v>
      </c>
      <c r="S13" s="252"/>
      <c r="T13" s="214">
        <f>SUMIFS(ARG[NETTO3],ARG[RELASI],C13,ARG[TANGGAL],"&gt;="&amp;DATE($D$2,MONTH(0),1),ARG[TANGGAL],"&lt;"&amp;DATE($D$2+1,MONTH(0),1))</f>
        <v>0</v>
      </c>
      <c r="U13" s="214" t="str">
        <f t="shared" si="5"/>
        <v/>
      </c>
      <c r="V13" s="214">
        <f>SUMIFS(ARG[TPEMBAYARAN],ARG[RELASI],C13,ARG[TANGGAL],"&gt;="&amp;DATE($D$2,MONTH(0),1),ARG[TANGGAL],"&lt;"&amp;DATE($D$2+1,MONTH(0),1))</f>
        <v>0</v>
      </c>
      <c r="W13" s="252"/>
      <c r="X13" s="217">
        <f t="shared" si="6"/>
        <v>0</v>
      </c>
      <c r="Z13" s="292"/>
      <c r="AA13" s="173">
        <f t="shared" si="9"/>
        <v>7</v>
      </c>
      <c r="AB13" s="729" t="str">
        <f>IF(COUNTIFS($AB$7:AB12,INDEX($C$7:$C$56,MATCH(LARGE($X$7:$X$56,AA13),$X$7:$X$56,0)))&gt;0,"",INDEX($C$7:$C$56,MATCH(LARGE($X$7:$X$56,AA13),$X$7:$X$56,0)))</f>
        <v/>
      </c>
      <c r="AC13" s="291">
        <f t="shared" si="7"/>
        <v>0</v>
      </c>
      <c r="AD13" s="173" t="e">
        <f ca="1">PROPER([39]!Terbilang(AC13))</f>
        <v>#NAME?</v>
      </c>
    </row>
    <row r="14" spans="1:30" ht="18" customHeight="1">
      <c r="A14" s="173"/>
      <c r="B14" s="246">
        <f t="shared" si="8"/>
        <v>8</v>
      </c>
      <c r="C14" s="245" t="str">
        <f>RELASI!C10</f>
        <v>BUMDESA AMANAH NEGERI</v>
      </c>
      <c r="D14" s="259">
        <f>SUMIFS(KB[NETTO2],KB[RELASI],C14,KB[TYPE],"A",KB[TANGGAL],"&gt;="&amp;DATE($D$2,MONTH(0),1),KB[TANGGAL],"&lt;"&amp;DATE($D$2+1,MONTH(0),1))</f>
        <v>0</v>
      </c>
      <c r="E14" s="214" t="str">
        <f t="shared" si="1"/>
        <v/>
      </c>
      <c r="F14" s="259">
        <f>SUMIFS(KB[TPEMBAYARAN],KB[RELASI],C14,KB[TYPE],"A",KB[TANGGAL],"&gt;="&amp;DATE($D$2,MONTH(0),1),KB[TANGGAL],"&lt;"&amp;DATE($D$2+1,MONTH(0),1))</f>
        <v>0</v>
      </c>
      <c r="G14" s="252"/>
      <c r="H14" s="214">
        <f>SUMIFS(KB[NETTO2],KB[RELASI],C14,KB[TYPE],"B",KB[TANGGAL],"&gt;="&amp;DATE($D$2,MONTH(0),1),KB[TANGGAL],"&lt;"&amp;DATE($D$2+1,MONTH(0),1))</f>
        <v>0</v>
      </c>
      <c r="I14" s="214" t="str">
        <f t="shared" si="2"/>
        <v/>
      </c>
      <c r="J14" s="214">
        <f>SUMIFS(KB[TPEMBAYARAN],KB[RELASI],C14,KB[TYPE],"B",KB[TANGGAL],"&gt;="&amp;DATE($D$2,MONTH(0),1),KB[TANGGAL],"&lt;"&amp;DATE($D$2+1,MONTH(0),1))</f>
        <v>0</v>
      </c>
      <c r="K14" s="252"/>
      <c r="L14" s="214">
        <f>SUMIFS(KBS[NETTO2],KBS[RELASI],C14,KBS[TANGGAL],"&gt;="&amp;DATE($D$2,MONTH(0),1),KBS[TANGGAL],"&lt;"&amp;DATE($D$2+1,MONTH(0),1))</f>
        <v>0</v>
      </c>
      <c r="M14" s="214" t="str">
        <f t="shared" si="3"/>
        <v/>
      </c>
      <c r="N14" s="214">
        <f>SUMIFS(KBS[TPEMBAYARAN],KBS[RELASI],C14,KBS[TANGGAL],"&gt;="&amp;DATE($D$2,MONTH(0),1),KBS[TANGGAL],"&lt;"&amp;DATE($D$2+1,MONTH(0),1))</f>
        <v>0</v>
      </c>
      <c r="O14" s="252"/>
      <c r="P14" s="259">
        <f>SUMIFS(KPR[NETTOB],KPR[RELASI],C14,KPR[TANGGAL],"&gt;="&amp;DATE($D$2,MONTH(0),1),KPR[TANGGAL],"&lt;"&amp;DATE($D$2+1,MONTH(0),1))</f>
        <v>0</v>
      </c>
      <c r="Q14" s="214" t="str">
        <f t="shared" si="4"/>
        <v/>
      </c>
      <c r="R14" s="214">
        <f>SUMIFS(KPR[TPEMBAYARAN],KPR[RELASI],C14,KPR[TANGGAL],"&gt;="&amp;DATE($D$2,MONTH(0),1),KPR[TANGGAL],"&lt;"&amp;DATE($D$2+1,MONTH(0),1))</f>
        <v>0</v>
      </c>
      <c r="S14" s="252"/>
      <c r="T14" s="214">
        <f>SUMIFS(ARG[NETTO3],ARG[RELASI],C14,ARG[TANGGAL],"&gt;="&amp;DATE($D$2,MONTH(0),1),ARG[TANGGAL],"&lt;"&amp;DATE($D$2+1,MONTH(0),1))</f>
        <v>0</v>
      </c>
      <c r="U14" s="214" t="str">
        <f t="shared" si="5"/>
        <v/>
      </c>
      <c r="V14" s="214">
        <f>SUMIFS(ARG[TPEMBAYARAN],ARG[RELASI],C14,ARG[TANGGAL],"&gt;="&amp;DATE($D$2,MONTH(0),1),ARG[TANGGAL],"&lt;"&amp;DATE($D$2+1,MONTH(0),1))</f>
        <v>0</v>
      </c>
      <c r="W14" s="252"/>
      <c r="X14" s="217">
        <f t="shared" si="6"/>
        <v>0</v>
      </c>
      <c r="Z14" s="292"/>
      <c r="AA14" s="173">
        <f t="shared" si="9"/>
        <v>8</v>
      </c>
      <c r="AB14" s="729" t="str">
        <f>IF(COUNTIFS($AB$7:AB13,INDEX($C$7:$C$56,MATCH(LARGE($X$7:$X$56,AA14),$X$7:$X$56,0)))&gt;0,"",INDEX($C$7:$C$56,MATCH(LARGE($X$7:$X$56,AA14),$X$7:$X$56,0)))</f>
        <v/>
      </c>
      <c r="AC14" s="291">
        <f t="shared" si="7"/>
        <v>0</v>
      </c>
      <c r="AD14" s="173" t="e">
        <f ca="1">PROPER([39]!Terbilang(AC14))</f>
        <v>#NAME?</v>
      </c>
    </row>
    <row r="15" spans="1:30" ht="18" customHeight="1">
      <c r="A15" s="173"/>
      <c r="B15" s="246">
        <f t="shared" si="8"/>
        <v>9</v>
      </c>
      <c r="C15" s="245" t="str">
        <f>RELASI!C11</f>
        <v>DARMI</v>
      </c>
      <c r="D15" s="259">
        <f>SUMIFS(KB[NETTO2],KB[RELASI],C15,KB[TYPE],"A",KB[TANGGAL],"&gt;="&amp;DATE($D$2,MONTH(0),1),KB[TANGGAL],"&lt;"&amp;DATE($D$2+1,MONTH(0),1))</f>
        <v>0</v>
      </c>
      <c r="E15" s="214" t="str">
        <f t="shared" si="1"/>
        <v/>
      </c>
      <c r="F15" s="259">
        <f>SUMIFS(KB[TPEMBAYARAN],KB[RELASI],C15,KB[TYPE],"A",KB[TANGGAL],"&gt;="&amp;DATE($D$2,MONTH(0),1),KB[TANGGAL],"&lt;"&amp;DATE($D$2+1,MONTH(0),1))</f>
        <v>0</v>
      </c>
      <c r="G15" s="252"/>
      <c r="H15" s="214">
        <f>SUMIFS(KB[NETTO2],KB[RELASI],C15,KB[TYPE],"B",KB[TANGGAL],"&gt;="&amp;DATE($D$2,MONTH(0),1),KB[TANGGAL],"&lt;"&amp;DATE($D$2+1,MONTH(0),1))</f>
        <v>0</v>
      </c>
      <c r="I15" s="214" t="str">
        <f t="shared" si="2"/>
        <v/>
      </c>
      <c r="J15" s="214">
        <f>SUMIFS(KB[TPEMBAYARAN],KB[RELASI],C15,KB[TYPE],"B",KB[TANGGAL],"&gt;="&amp;DATE($D$2,MONTH(0),1),KB[TANGGAL],"&lt;"&amp;DATE($D$2+1,MONTH(0),1))</f>
        <v>0</v>
      </c>
      <c r="K15" s="252"/>
      <c r="L15" s="214">
        <f>SUMIFS(KBS[NETTO2],KBS[RELASI],C15,KBS[TANGGAL],"&gt;="&amp;DATE($D$2,MONTH(0),1),KBS[TANGGAL],"&lt;"&amp;DATE($D$2+1,MONTH(0),1))</f>
        <v>0</v>
      </c>
      <c r="M15" s="214" t="str">
        <f t="shared" si="3"/>
        <v/>
      </c>
      <c r="N15" s="214">
        <f>SUMIFS(KBS[TPEMBAYARAN],KBS[RELASI],C15,KBS[TANGGAL],"&gt;="&amp;DATE($D$2,MONTH(0),1),KBS[TANGGAL],"&lt;"&amp;DATE($D$2+1,MONTH(0),1))</f>
        <v>0</v>
      </c>
      <c r="O15" s="252"/>
      <c r="P15" s="259">
        <f>SUMIFS(KPR[NETTOB],KPR[RELASI],C15,KPR[TANGGAL],"&gt;="&amp;DATE($D$2,MONTH(0),1),KPR[TANGGAL],"&lt;"&amp;DATE($D$2+1,MONTH(0),1))</f>
        <v>0</v>
      </c>
      <c r="Q15" s="214" t="str">
        <f t="shared" si="4"/>
        <v/>
      </c>
      <c r="R15" s="214">
        <f>SUMIFS(KPR[TPEMBAYARAN],KPR[RELASI],C15,KPR[TANGGAL],"&gt;="&amp;DATE($D$2,MONTH(0),1),KPR[TANGGAL],"&lt;"&amp;DATE($D$2+1,MONTH(0),1))</f>
        <v>0</v>
      </c>
      <c r="S15" s="252"/>
      <c r="T15" s="214">
        <f>SUMIFS(ARG[NETTO3],ARG[RELASI],C15,ARG[TANGGAL],"&gt;="&amp;DATE($D$2,MONTH(0),1),ARG[TANGGAL],"&lt;"&amp;DATE($D$2+1,MONTH(0),1))</f>
        <v>0</v>
      </c>
      <c r="U15" s="214" t="str">
        <f t="shared" si="5"/>
        <v/>
      </c>
      <c r="V15" s="214">
        <f>SUMIFS(ARG[TPEMBAYARAN],ARG[RELASI],C15,ARG[TANGGAL],"&gt;="&amp;DATE($D$2,MONTH(0),1),ARG[TANGGAL],"&lt;"&amp;DATE($D$2+1,MONTH(0),1))</f>
        <v>0</v>
      </c>
      <c r="W15" s="252"/>
      <c r="X15" s="217">
        <f t="shared" si="6"/>
        <v>0</v>
      </c>
      <c r="Z15" s="292"/>
      <c r="AA15" s="173">
        <f t="shared" si="9"/>
        <v>9</v>
      </c>
      <c r="AB15" s="729" t="str">
        <f>IF(COUNTIFS($AB$7:AB14,INDEX($C$7:$C$56,MATCH(LARGE($X$7:$X$56,AA15),$X$7:$X$56,0)))&gt;0,"",INDEX($C$7:$C$56,MATCH(LARGE($X$7:$X$56,AA15),$X$7:$X$56,0)))</f>
        <v/>
      </c>
      <c r="AC15" s="291">
        <f t="shared" si="7"/>
        <v>0</v>
      </c>
      <c r="AD15" s="173" t="e">
        <f ca="1">PROPER([39]!Terbilang(AC15))</f>
        <v>#NAME?</v>
      </c>
    </row>
    <row r="16" spans="1:30" ht="18" customHeight="1">
      <c r="A16" s="173"/>
      <c r="B16" s="246">
        <f t="shared" si="8"/>
        <v>10</v>
      </c>
      <c r="C16" s="245" t="str">
        <f>RELASI!C12</f>
        <v>DINI CHAIRANI</v>
      </c>
      <c r="D16" s="259">
        <f>SUMIFS(KB[NETTO2],KB[RELASI],C16,KB[TYPE],"A",KB[TANGGAL],"&gt;="&amp;DATE($D$2,MONTH(0),1),KB[TANGGAL],"&lt;"&amp;DATE($D$2+1,MONTH(0),1))</f>
        <v>0</v>
      </c>
      <c r="E16" s="214" t="str">
        <f t="shared" si="1"/>
        <v/>
      </c>
      <c r="F16" s="259">
        <f>SUMIFS(KB[TPEMBAYARAN],KB[RELASI],C16,KB[TYPE],"A",KB[TANGGAL],"&gt;="&amp;DATE($D$2,MONTH(0),1),KB[TANGGAL],"&lt;"&amp;DATE($D$2+1,MONTH(0),1))</f>
        <v>0</v>
      </c>
      <c r="G16" s="252"/>
      <c r="H16" s="214">
        <f>SUMIFS(KB[NETTO2],KB[RELASI],C16,KB[TYPE],"B",KB[TANGGAL],"&gt;="&amp;DATE($D$2,MONTH(0),1),KB[TANGGAL],"&lt;"&amp;DATE($D$2+1,MONTH(0),1))</f>
        <v>0</v>
      </c>
      <c r="I16" s="214" t="str">
        <f t="shared" si="2"/>
        <v/>
      </c>
      <c r="J16" s="214">
        <f>SUMIFS(KB[TPEMBAYARAN],KB[RELASI],C16,KB[TYPE],"B",KB[TANGGAL],"&gt;="&amp;DATE($D$2,MONTH(0),1),KB[TANGGAL],"&lt;"&amp;DATE($D$2+1,MONTH(0),1))</f>
        <v>0</v>
      </c>
      <c r="K16" s="252"/>
      <c r="L16" s="214">
        <f>SUMIFS(KBS[NETTO2],KBS[RELASI],C16,KBS[TANGGAL],"&gt;="&amp;DATE($D$2,MONTH(0),1),KBS[TANGGAL],"&lt;"&amp;DATE($D$2+1,MONTH(0),1))</f>
        <v>0</v>
      </c>
      <c r="M16" s="214" t="str">
        <f t="shared" si="3"/>
        <v/>
      </c>
      <c r="N16" s="214">
        <f>SUMIFS(KBS[TPEMBAYARAN],KBS[RELASI],C16,KBS[TANGGAL],"&gt;="&amp;DATE($D$2,MONTH(0),1),KBS[TANGGAL],"&lt;"&amp;DATE($D$2+1,MONTH(0),1))</f>
        <v>0</v>
      </c>
      <c r="O16" s="252"/>
      <c r="P16" s="259">
        <f>SUMIFS(KPR[NETTOB],KPR[RELASI],C16,KPR[TANGGAL],"&gt;="&amp;DATE($D$2,MONTH(0),1),KPR[TANGGAL],"&lt;"&amp;DATE($D$2+1,MONTH(0),1))</f>
        <v>0</v>
      </c>
      <c r="Q16" s="214" t="str">
        <f t="shared" si="4"/>
        <v/>
      </c>
      <c r="R16" s="214">
        <f>SUMIFS(KPR[TPEMBAYARAN],KPR[RELASI],C16,KPR[TANGGAL],"&gt;="&amp;DATE($D$2,MONTH(0),1),KPR[TANGGAL],"&lt;"&amp;DATE($D$2+1,MONTH(0),1))</f>
        <v>0</v>
      </c>
      <c r="S16" s="252"/>
      <c r="T16" s="214">
        <f>SUMIFS(ARG[NETTO3],ARG[RELASI],C16,ARG[TANGGAL],"&gt;="&amp;DATE($D$2,MONTH(0),1),ARG[TANGGAL],"&lt;"&amp;DATE($D$2+1,MONTH(0),1))</f>
        <v>0</v>
      </c>
      <c r="U16" s="214" t="str">
        <f t="shared" si="5"/>
        <v/>
      </c>
      <c r="V16" s="214">
        <f>SUMIFS(ARG[TPEMBAYARAN],ARG[RELASI],C16,ARG[TANGGAL],"&gt;="&amp;DATE($D$2,MONTH(0),1),ARG[TANGGAL],"&lt;"&amp;DATE($D$2+1,MONTH(0),1))</f>
        <v>0</v>
      </c>
      <c r="W16" s="252"/>
      <c r="X16" s="217">
        <f t="shared" si="6"/>
        <v>0</v>
      </c>
      <c r="Z16" s="292"/>
      <c r="AA16" s="173">
        <f t="shared" si="9"/>
        <v>10</v>
      </c>
      <c r="AB16" s="729" t="str">
        <f>IF(COUNTIFS($AB$7:AB15,INDEX($C$7:$C$56,MATCH(LARGE($X$7:$X$56,AA16),$X$7:$X$56,0)))&gt;0,"",INDEX($C$7:$C$56,MATCH(LARGE($X$7:$X$56,AA16),$X$7:$X$56,0)))</f>
        <v/>
      </c>
      <c r="AC16" s="291">
        <f t="shared" si="7"/>
        <v>0</v>
      </c>
      <c r="AD16" s="173" t="e">
        <f ca="1">PROPER([39]!Terbilang(AC16))</f>
        <v>#NAME?</v>
      </c>
    </row>
    <row r="17" spans="1:30" ht="18" customHeight="1">
      <c r="A17" s="173"/>
      <c r="B17" s="246">
        <f t="shared" si="8"/>
        <v>11</v>
      </c>
      <c r="C17" s="245" t="str">
        <f>RELASI!C13</f>
        <v>EDBERT</v>
      </c>
      <c r="D17" s="259">
        <f>SUMIFS(KB[NETTO2],KB[RELASI],C17,KB[TYPE],"A",KB[TANGGAL],"&gt;="&amp;DATE($D$2,MONTH(0),1),KB[TANGGAL],"&lt;"&amp;DATE($D$2+1,MONTH(0),1))</f>
        <v>0</v>
      </c>
      <c r="E17" s="214" t="str">
        <f t="shared" si="1"/>
        <v/>
      </c>
      <c r="F17" s="259">
        <f>SUMIFS(KB[TPEMBAYARAN],KB[RELASI],C17,KB[TYPE],"A",KB[TANGGAL],"&gt;="&amp;DATE($D$2,MONTH(0),1),KB[TANGGAL],"&lt;"&amp;DATE($D$2+1,MONTH(0),1))</f>
        <v>0</v>
      </c>
      <c r="G17" s="252"/>
      <c r="H17" s="214">
        <f>SUMIFS(KB[NETTO2],KB[RELASI],C17,KB[TYPE],"B",KB[TANGGAL],"&gt;="&amp;DATE($D$2,MONTH(0),1),KB[TANGGAL],"&lt;"&amp;DATE($D$2+1,MONTH(0),1))</f>
        <v>0</v>
      </c>
      <c r="I17" s="214" t="str">
        <f t="shared" si="2"/>
        <v/>
      </c>
      <c r="J17" s="214">
        <f>SUMIFS(KB[TPEMBAYARAN],KB[RELASI],C17,KB[TYPE],"B",KB[TANGGAL],"&gt;="&amp;DATE($D$2,MONTH(0),1),KB[TANGGAL],"&lt;"&amp;DATE($D$2+1,MONTH(0),1))</f>
        <v>0</v>
      </c>
      <c r="K17" s="252"/>
      <c r="L17" s="214">
        <f>SUMIFS(KBS[NETTO2],KBS[RELASI],C17,KBS[TANGGAL],"&gt;="&amp;DATE($D$2,MONTH(0),1),KBS[TANGGAL],"&lt;"&amp;DATE($D$2+1,MONTH(0),1))</f>
        <v>0</v>
      </c>
      <c r="M17" s="214" t="str">
        <f t="shared" si="3"/>
        <v/>
      </c>
      <c r="N17" s="214">
        <f>SUMIFS(KBS[TPEMBAYARAN],KBS[RELASI],C17,KBS[TANGGAL],"&gt;="&amp;DATE($D$2,MONTH(0),1),KBS[TANGGAL],"&lt;"&amp;DATE($D$2+1,MONTH(0),1))</f>
        <v>0</v>
      </c>
      <c r="O17" s="252"/>
      <c r="P17" s="259">
        <f>SUMIFS(KPR[NETTOB],KPR[RELASI],C17,KPR[TANGGAL],"&gt;="&amp;DATE($D$2,MONTH(0),1),KPR[TANGGAL],"&lt;"&amp;DATE($D$2+1,MONTH(0),1))</f>
        <v>0</v>
      </c>
      <c r="Q17" s="214" t="str">
        <f t="shared" si="4"/>
        <v/>
      </c>
      <c r="R17" s="214">
        <f>SUMIFS(KPR[TPEMBAYARAN],KPR[RELASI],C17,KPR[TANGGAL],"&gt;="&amp;DATE($D$2,MONTH(0),1),KPR[TANGGAL],"&lt;"&amp;DATE($D$2+1,MONTH(0),1))</f>
        <v>0</v>
      </c>
      <c r="S17" s="252"/>
      <c r="T17" s="214">
        <f>SUMIFS(ARG[NETTO3],ARG[RELASI],C17,ARG[TANGGAL],"&gt;="&amp;DATE($D$2,MONTH(0),1),ARG[TANGGAL],"&lt;"&amp;DATE($D$2+1,MONTH(0),1))</f>
        <v>0</v>
      </c>
      <c r="U17" s="214" t="str">
        <f t="shared" si="5"/>
        <v/>
      </c>
      <c r="V17" s="214">
        <f>SUMIFS(ARG[TPEMBAYARAN],ARG[RELASI],C17,ARG[TANGGAL],"&gt;="&amp;DATE($D$2,MONTH(0),1),ARG[TANGGAL],"&lt;"&amp;DATE($D$2+1,MONTH(0),1))</f>
        <v>0</v>
      </c>
      <c r="W17" s="252"/>
      <c r="X17" s="217">
        <f t="shared" si="6"/>
        <v>0</v>
      </c>
      <c r="Z17" s="292"/>
      <c r="AA17" s="173">
        <f t="shared" si="9"/>
        <v>11</v>
      </c>
      <c r="AB17" s="729" t="str">
        <f>IF(COUNTIFS($AB$7:AB16,INDEX($C$7:$C$56,MATCH(LARGE($X$7:$X$56,AA17),$X$7:$X$56,0)))&gt;0,"",INDEX($C$7:$C$56,MATCH(LARGE($X$7:$X$56,AA17),$X$7:$X$56,0)))</f>
        <v/>
      </c>
      <c r="AC17" s="291">
        <f t="shared" si="7"/>
        <v>0</v>
      </c>
      <c r="AD17" s="173" t="e">
        <f ca="1">PROPER([39]!Terbilang(AC17))</f>
        <v>#NAME?</v>
      </c>
    </row>
    <row r="18" spans="1:30" ht="18" customHeight="1">
      <c r="A18" s="173"/>
      <c r="B18" s="246">
        <f t="shared" si="8"/>
        <v>12</v>
      </c>
      <c r="C18" s="245" t="str">
        <f>RELASI!C14</f>
        <v>ERAWATI</v>
      </c>
      <c r="D18" s="259">
        <f>SUMIFS(KB[NETTO2],KB[RELASI],C18,KB[TYPE],"A",KB[TANGGAL],"&gt;="&amp;DATE($D$2,MONTH(0),1),KB[TANGGAL],"&lt;"&amp;DATE($D$2+1,MONTH(0),1))</f>
        <v>0</v>
      </c>
      <c r="E18" s="214" t="str">
        <f t="shared" si="1"/>
        <v/>
      </c>
      <c r="F18" s="259">
        <f>SUMIFS(KB[TPEMBAYARAN],KB[RELASI],C18,KB[TYPE],"A",KB[TANGGAL],"&gt;="&amp;DATE($D$2,MONTH(0),1),KB[TANGGAL],"&lt;"&amp;DATE($D$2+1,MONTH(0),1))</f>
        <v>0</v>
      </c>
      <c r="G18" s="252"/>
      <c r="H18" s="214">
        <f>SUMIFS(KB[NETTO2],KB[RELASI],C18,KB[TYPE],"B",KB[TANGGAL],"&gt;="&amp;DATE($D$2,MONTH(0),1),KB[TANGGAL],"&lt;"&amp;DATE($D$2+1,MONTH(0),1))</f>
        <v>0</v>
      </c>
      <c r="I18" s="214" t="str">
        <f t="shared" si="2"/>
        <v/>
      </c>
      <c r="J18" s="214">
        <f>SUMIFS(KB[TPEMBAYARAN],KB[RELASI],C18,KB[TYPE],"B",KB[TANGGAL],"&gt;="&amp;DATE($D$2,MONTH(0),1),KB[TANGGAL],"&lt;"&amp;DATE($D$2+1,MONTH(0),1))</f>
        <v>0</v>
      </c>
      <c r="K18" s="252"/>
      <c r="L18" s="214">
        <f>SUMIFS(KBS[NETTO2],KBS[RELASI],C18,KBS[TANGGAL],"&gt;="&amp;DATE($D$2,MONTH(0),1),KBS[TANGGAL],"&lt;"&amp;DATE($D$2+1,MONTH(0),1))</f>
        <v>0</v>
      </c>
      <c r="M18" s="214" t="str">
        <f t="shared" si="3"/>
        <v/>
      </c>
      <c r="N18" s="214">
        <f>SUMIFS(KBS[TPEMBAYARAN],KBS[RELASI],C18,KBS[TANGGAL],"&gt;="&amp;DATE($D$2,MONTH(0),1),KBS[TANGGAL],"&lt;"&amp;DATE($D$2+1,MONTH(0),1))</f>
        <v>0</v>
      </c>
      <c r="O18" s="252"/>
      <c r="P18" s="259">
        <f>SUMIFS(KPR[NETTOB],KPR[RELASI],C18,KPR[TANGGAL],"&gt;="&amp;DATE($D$2,MONTH(0),1),KPR[TANGGAL],"&lt;"&amp;DATE($D$2+1,MONTH(0),1))</f>
        <v>0</v>
      </c>
      <c r="Q18" s="214" t="str">
        <f t="shared" si="4"/>
        <v/>
      </c>
      <c r="R18" s="214">
        <f>SUMIFS(KPR[TPEMBAYARAN],KPR[RELASI],C18,KPR[TANGGAL],"&gt;="&amp;DATE($D$2,MONTH(0),1),KPR[TANGGAL],"&lt;"&amp;DATE($D$2+1,MONTH(0),1))</f>
        <v>0</v>
      </c>
      <c r="S18" s="252"/>
      <c r="T18" s="214">
        <f>SUMIFS(ARG[NETTO3],ARG[RELASI],C18,ARG[TANGGAL],"&gt;="&amp;DATE($D$2,MONTH(0),1),ARG[TANGGAL],"&lt;"&amp;DATE($D$2+1,MONTH(0),1))</f>
        <v>0</v>
      </c>
      <c r="U18" s="214" t="str">
        <f t="shared" si="5"/>
        <v/>
      </c>
      <c r="V18" s="214">
        <f>SUMIFS(ARG[TPEMBAYARAN],ARG[RELASI],C18,ARG[TANGGAL],"&gt;="&amp;DATE($D$2,MONTH(0),1),ARG[TANGGAL],"&lt;"&amp;DATE($D$2+1,MONTH(0),1))</f>
        <v>0</v>
      </c>
      <c r="W18" s="252"/>
      <c r="X18" s="217">
        <f t="shared" si="6"/>
        <v>0</v>
      </c>
      <c r="Z18" s="292"/>
      <c r="AA18" s="173">
        <f t="shared" si="9"/>
        <v>12</v>
      </c>
      <c r="AB18" s="729" t="str">
        <f>IF(COUNTIFS($AB$7:AB17,INDEX($C$7:$C$56,MATCH(LARGE($X$7:$X$56,AA18),$X$7:$X$56,0)))&gt;0,"",INDEX($C$7:$C$56,MATCH(LARGE($X$7:$X$56,AA18),$X$7:$X$56,0)))</f>
        <v/>
      </c>
      <c r="AC18" s="291">
        <f t="shared" si="7"/>
        <v>0</v>
      </c>
      <c r="AD18" s="173" t="e">
        <f ca="1">PROPER([39]!Terbilang(AC18))</f>
        <v>#NAME?</v>
      </c>
    </row>
    <row r="19" spans="1:30" ht="18" customHeight="1">
      <c r="A19" s="173"/>
      <c r="B19" s="246">
        <f t="shared" si="8"/>
        <v>13</v>
      </c>
      <c r="C19" s="245" t="str">
        <f>RELASI!C15</f>
        <v>H.ARSAD</v>
      </c>
      <c r="D19" s="259">
        <f>SUMIFS(KB[NETTO2],KB[RELASI],C19,KB[TYPE],"A",KB[TANGGAL],"&gt;="&amp;DATE($D$2,MONTH(0),1),KB[TANGGAL],"&lt;"&amp;DATE($D$2+1,MONTH(0),1))</f>
        <v>0</v>
      </c>
      <c r="E19" s="214" t="str">
        <f t="shared" si="1"/>
        <v/>
      </c>
      <c r="F19" s="259">
        <f>SUMIFS(KB[TPEMBAYARAN],KB[RELASI],C19,KB[TYPE],"A",KB[TANGGAL],"&gt;="&amp;DATE($D$2,MONTH(0),1),KB[TANGGAL],"&lt;"&amp;DATE($D$2+1,MONTH(0),1))</f>
        <v>0</v>
      </c>
      <c r="G19" s="252"/>
      <c r="H19" s="214">
        <f>SUMIFS(KB[NETTO2],KB[RELASI],C19,KB[TYPE],"B",KB[TANGGAL],"&gt;="&amp;DATE($D$2,MONTH(0),1),KB[TANGGAL],"&lt;"&amp;DATE($D$2+1,MONTH(0),1))</f>
        <v>0</v>
      </c>
      <c r="I19" s="214" t="str">
        <f t="shared" si="2"/>
        <v/>
      </c>
      <c r="J19" s="214">
        <f>SUMIFS(KB[TPEMBAYARAN],KB[RELASI],C19,KB[TYPE],"B",KB[TANGGAL],"&gt;="&amp;DATE($D$2,MONTH(0),1),KB[TANGGAL],"&lt;"&amp;DATE($D$2+1,MONTH(0),1))</f>
        <v>0</v>
      </c>
      <c r="K19" s="252"/>
      <c r="L19" s="214">
        <f>SUMIFS(KBS[NETTO2],KBS[RELASI],C19,KBS[TANGGAL],"&gt;="&amp;DATE($D$2,MONTH(0),1),KBS[TANGGAL],"&lt;"&amp;DATE($D$2+1,MONTH(0),1))</f>
        <v>0</v>
      </c>
      <c r="M19" s="214" t="str">
        <f t="shared" si="3"/>
        <v/>
      </c>
      <c r="N19" s="214">
        <f>SUMIFS(KBS[TPEMBAYARAN],KBS[RELASI],C19,KBS[TANGGAL],"&gt;="&amp;DATE($D$2,MONTH(0),1),KBS[TANGGAL],"&lt;"&amp;DATE($D$2+1,MONTH(0),1))</f>
        <v>0</v>
      </c>
      <c r="O19" s="252"/>
      <c r="P19" s="259">
        <f>SUMIFS(KPR[NETTOB],KPR[RELASI],C19,KPR[TANGGAL],"&gt;="&amp;DATE($D$2,MONTH(0),1),KPR[TANGGAL],"&lt;"&amp;DATE($D$2+1,MONTH(0),1))</f>
        <v>0</v>
      </c>
      <c r="Q19" s="214" t="str">
        <f t="shared" si="4"/>
        <v/>
      </c>
      <c r="R19" s="214">
        <f>SUMIFS(KPR[TPEMBAYARAN],KPR[RELASI],C19,KPR[TANGGAL],"&gt;="&amp;DATE($D$2,MONTH(0),1),KPR[TANGGAL],"&lt;"&amp;DATE($D$2+1,MONTH(0),1))</f>
        <v>0</v>
      </c>
      <c r="S19" s="252"/>
      <c r="T19" s="214">
        <f>SUMIFS(ARG[NETTO3],ARG[RELASI],C19,ARG[TANGGAL],"&gt;="&amp;DATE($D$2,MONTH(0),1),ARG[TANGGAL],"&lt;"&amp;DATE($D$2+1,MONTH(0),1))</f>
        <v>0</v>
      </c>
      <c r="U19" s="214" t="str">
        <f t="shared" si="5"/>
        <v/>
      </c>
      <c r="V19" s="214">
        <f>SUMIFS(ARG[TPEMBAYARAN],ARG[RELASI],C19,ARG[TANGGAL],"&gt;="&amp;DATE($D$2,MONTH(0),1),ARG[TANGGAL],"&lt;"&amp;DATE($D$2+1,MONTH(0),1))</f>
        <v>0</v>
      </c>
      <c r="W19" s="252"/>
      <c r="X19" s="217">
        <f t="shared" si="6"/>
        <v>0</v>
      </c>
      <c r="Z19" s="292"/>
      <c r="AA19" s="173">
        <f t="shared" si="9"/>
        <v>13</v>
      </c>
      <c r="AB19" s="729" t="str">
        <f>IF(COUNTIFS($AB$7:AB18,INDEX($C$7:$C$56,MATCH(LARGE($X$7:$X$56,AA19),$X$7:$X$56,0)))&gt;0,"",INDEX($C$7:$C$56,MATCH(LARGE($X$7:$X$56,AA19),$X$7:$X$56,0)))</f>
        <v/>
      </c>
      <c r="AC19" s="291">
        <f t="shared" si="7"/>
        <v>0</v>
      </c>
      <c r="AD19" s="173" t="e">
        <f ca="1">PROPER([39]!Terbilang(AC19))</f>
        <v>#NAME?</v>
      </c>
    </row>
    <row r="20" spans="1:30" ht="18" customHeight="1">
      <c r="A20" s="173"/>
      <c r="B20" s="246">
        <f t="shared" si="8"/>
        <v>14</v>
      </c>
      <c r="C20" s="245" t="str">
        <f>RELASI!C16</f>
        <v>H.HAMID</v>
      </c>
      <c r="D20" s="259">
        <f>SUMIFS(KB[NETTO2],KB[RELASI],C20,KB[TYPE],"A",KB[TANGGAL],"&gt;="&amp;DATE($D$2,MONTH(0),1),KB[TANGGAL],"&lt;"&amp;DATE($D$2+1,MONTH(0),1))</f>
        <v>0</v>
      </c>
      <c r="E20" s="214" t="str">
        <f t="shared" si="1"/>
        <v/>
      </c>
      <c r="F20" s="259">
        <f>SUMIFS(KB[TPEMBAYARAN],KB[RELASI],C20,KB[TYPE],"A",KB[TANGGAL],"&gt;="&amp;DATE($D$2,MONTH(0),1),KB[TANGGAL],"&lt;"&amp;DATE($D$2+1,MONTH(0),1))</f>
        <v>0</v>
      </c>
      <c r="G20" s="252"/>
      <c r="H20" s="214">
        <f>SUMIFS(KB[NETTO2],KB[RELASI],C20,KB[TYPE],"B",KB[TANGGAL],"&gt;="&amp;DATE($D$2,MONTH(0),1),KB[TANGGAL],"&lt;"&amp;DATE($D$2+1,MONTH(0),1))</f>
        <v>0</v>
      </c>
      <c r="I20" s="214" t="str">
        <f t="shared" si="2"/>
        <v/>
      </c>
      <c r="J20" s="214">
        <f>SUMIFS(KB[TPEMBAYARAN],KB[RELASI],C20,KB[TYPE],"B",KB[TANGGAL],"&gt;="&amp;DATE($D$2,MONTH(0),1),KB[TANGGAL],"&lt;"&amp;DATE($D$2+1,MONTH(0),1))</f>
        <v>0</v>
      </c>
      <c r="K20" s="252"/>
      <c r="L20" s="214">
        <f>SUMIFS(KBS[NETTO2],KBS[RELASI],C20,KBS[TANGGAL],"&gt;="&amp;DATE($D$2,MONTH(0),1),KBS[TANGGAL],"&lt;"&amp;DATE($D$2+1,MONTH(0),1))</f>
        <v>0</v>
      </c>
      <c r="M20" s="214" t="str">
        <f t="shared" si="3"/>
        <v/>
      </c>
      <c r="N20" s="214">
        <f>SUMIFS(KBS[TPEMBAYARAN],KBS[RELASI],C20,KBS[TANGGAL],"&gt;="&amp;DATE($D$2,MONTH(0),1),KBS[TANGGAL],"&lt;"&amp;DATE($D$2+1,MONTH(0),1))</f>
        <v>0</v>
      </c>
      <c r="O20" s="252"/>
      <c r="P20" s="259">
        <f>SUMIFS(KPR[NETTOB],KPR[RELASI],C20,KPR[TANGGAL],"&gt;="&amp;DATE($D$2,MONTH(0),1),KPR[TANGGAL],"&lt;"&amp;DATE($D$2+1,MONTH(0),1))</f>
        <v>0</v>
      </c>
      <c r="Q20" s="214" t="str">
        <f t="shared" si="4"/>
        <v/>
      </c>
      <c r="R20" s="214">
        <f>SUMIFS(KPR[TPEMBAYARAN],KPR[RELASI],C20,KPR[TANGGAL],"&gt;="&amp;DATE($D$2,MONTH(0),1),KPR[TANGGAL],"&lt;"&amp;DATE($D$2+1,MONTH(0),1))</f>
        <v>0</v>
      </c>
      <c r="S20" s="252"/>
      <c r="T20" s="214">
        <f>SUMIFS(ARG[NETTO3],ARG[RELASI],C20,ARG[TANGGAL],"&gt;="&amp;DATE($D$2,MONTH(0),1),ARG[TANGGAL],"&lt;"&amp;DATE($D$2+1,MONTH(0),1))</f>
        <v>0</v>
      </c>
      <c r="U20" s="214" t="str">
        <f t="shared" si="5"/>
        <v/>
      </c>
      <c r="V20" s="214">
        <f>SUMIFS(ARG[TPEMBAYARAN],ARG[RELASI],C20,ARG[TANGGAL],"&gt;="&amp;DATE($D$2,MONTH(0),1),ARG[TANGGAL],"&lt;"&amp;DATE($D$2+1,MONTH(0),1))</f>
        <v>0</v>
      </c>
      <c r="W20" s="252"/>
      <c r="X20" s="217">
        <f t="shared" si="6"/>
        <v>0</v>
      </c>
      <c r="Z20" s="292"/>
      <c r="AA20" s="173">
        <f t="shared" si="9"/>
        <v>14</v>
      </c>
      <c r="AB20" s="729" t="str">
        <f>IF(COUNTIFS($AB$7:AB19,INDEX($C$7:$C$56,MATCH(LARGE($X$7:$X$56,AA20),$X$7:$X$56,0)))&gt;0,"",INDEX($C$7:$C$56,MATCH(LARGE($X$7:$X$56,AA20),$X$7:$X$56,0)))</f>
        <v/>
      </c>
      <c r="AC20" s="291">
        <f t="shared" si="7"/>
        <v>0</v>
      </c>
      <c r="AD20" s="173" t="e">
        <f ca="1">PROPER([39]!Terbilang(AC20))</f>
        <v>#NAME?</v>
      </c>
    </row>
    <row r="21" spans="1:30" ht="18" customHeight="1">
      <c r="A21" s="173"/>
      <c r="B21" s="246">
        <f t="shared" si="8"/>
        <v>15</v>
      </c>
      <c r="C21" s="245" t="str">
        <f>RELASI!C17</f>
        <v>H.HARIS</v>
      </c>
      <c r="D21" s="259">
        <f>SUMIFS(KB[NETTO2],KB[RELASI],C21,KB[TYPE],"A",KB[TANGGAL],"&gt;="&amp;DATE($D$2,MONTH(0),1),KB[TANGGAL],"&lt;"&amp;DATE($D$2+1,MONTH(0),1))</f>
        <v>0</v>
      </c>
      <c r="E21" s="214" t="str">
        <f t="shared" si="1"/>
        <v/>
      </c>
      <c r="F21" s="259">
        <f>SUMIFS(KB[TPEMBAYARAN],KB[RELASI],C21,KB[TYPE],"A",KB[TANGGAL],"&gt;="&amp;DATE($D$2,MONTH(0),1),KB[TANGGAL],"&lt;"&amp;DATE($D$2+1,MONTH(0),1))</f>
        <v>0</v>
      </c>
      <c r="G21" s="252"/>
      <c r="H21" s="214">
        <f>SUMIFS(KB[NETTO2],KB[RELASI],C21,KB[TYPE],"B",KB[TANGGAL],"&gt;="&amp;DATE($D$2,MONTH(0),1),KB[TANGGAL],"&lt;"&amp;DATE($D$2+1,MONTH(0),1))</f>
        <v>0</v>
      </c>
      <c r="I21" s="214" t="str">
        <f t="shared" si="2"/>
        <v/>
      </c>
      <c r="J21" s="214">
        <f>SUMIFS(KB[TPEMBAYARAN],KB[RELASI],C21,KB[TYPE],"B",KB[TANGGAL],"&gt;="&amp;DATE($D$2,MONTH(0),1),KB[TANGGAL],"&lt;"&amp;DATE($D$2+1,MONTH(0),1))</f>
        <v>0</v>
      </c>
      <c r="K21" s="252"/>
      <c r="L21" s="214">
        <f>SUMIFS(KBS[NETTO2],KBS[RELASI],C21,KBS[TANGGAL],"&gt;="&amp;DATE($D$2,MONTH(0),1),KBS[TANGGAL],"&lt;"&amp;DATE($D$2+1,MONTH(0),1))</f>
        <v>0</v>
      </c>
      <c r="M21" s="214" t="str">
        <f t="shared" si="3"/>
        <v/>
      </c>
      <c r="N21" s="214">
        <f>SUMIFS(KBS[TPEMBAYARAN],KBS[RELASI],C21,KBS[TANGGAL],"&gt;="&amp;DATE($D$2,MONTH(0),1),KBS[TANGGAL],"&lt;"&amp;DATE($D$2+1,MONTH(0),1))</f>
        <v>0</v>
      </c>
      <c r="O21" s="252"/>
      <c r="P21" s="259">
        <f>SUMIFS(KPR[NETTOB],KPR[RELASI],C21,KPR[TANGGAL],"&gt;="&amp;DATE($D$2,MONTH(0),1),KPR[TANGGAL],"&lt;"&amp;DATE($D$2+1,MONTH(0),1))</f>
        <v>0</v>
      </c>
      <c r="Q21" s="214" t="str">
        <f t="shared" si="4"/>
        <v/>
      </c>
      <c r="R21" s="214">
        <f>SUMIFS(KPR[TPEMBAYARAN],KPR[RELASI],C21,KPR[TANGGAL],"&gt;="&amp;DATE($D$2,MONTH(0),1),KPR[TANGGAL],"&lt;"&amp;DATE($D$2+1,MONTH(0),1))</f>
        <v>0</v>
      </c>
      <c r="S21" s="252"/>
      <c r="T21" s="214">
        <f>SUMIFS(ARG[NETTO3],ARG[RELASI],C21,ARG[TANGGAL],"&gt;="&amp;DATE($D$2,MONTH(0),1),ARG[TANGGAL],"&lt;"&amp;DATE($D$2+1,MONTH(0),1))</f>
        <v>0</v>
      </c>
      <c r="U21" s="214" t="str">
        <f t="shared" si="5"/>
        <v/>
      </c>
      <c r="V21" s="214">
        <f>SUMIFS(ARG[TPEMBAYARAN],ARG[RELASI],C21,ARG[TANGGAL],"&gt;="&amp;DATE($D$2,MONTH(0),1),ARG[TANGGAL],"&lt;"&amp;DATE($D$2+1,MONTH(0),1))</f>
        <v>0</v>
      </c>
      <c r="W21" s="252"/>
      <c r="X21" s="217">
        <f t="shared" si="6"/>
        <v>0</v>
      </c>
      <c r="Z21" s="292"/>
      <c r="AA21" s="173">
        <f t="shared" si="9"/>
        <v>15</v>
      </c>
      <c r="AB21" s="729" t="str">
        <f>IF(COUNTIFS($AB$7:AB20,INDEX($C$7:$C$56,MATCH(LARGE($X$7:$X$56,AA21),$X$7:$X$56,0)))&gt;0,"",INDEX($C$7:$C$56,MATCH(LARGE($X$7:$X$56,AA21),$X$7:$X$56,0)))</f>
        <v/>
      </c>
      <c r="AC21" s="291">
        <f t="shared" si="7"/>
        <v>0</v>
      </c>
      <c r="AD21" s="173" t="e">
        <f ca="1">PROPER([39]!Terbilang(AC21))</f>
        <v>#NAME?</v>
      </c>
    </row>
    <row r="22" spans="1:30" ht="18" customHeight="1">
      <c r="A22" s="173"/>
      <c r="B22" s="246">
        <f t="shared" si="8"/>
        <v>16</v>
      </c>
      <c r="C22" s="245" t="str">
        <f>RELASI!C18</f>
        <v>H.SALINDRI</v>
      </c>
      <c r="D22" s="259">
        <f>SUMIFS(KB[NETTO2],KB[RELASI],C22,KB[TYPE],"A",KB[TANGGAL],"&gt;="&amp;DATE($D$2,MONTH(0),1),KB[TANGGAL],"&lt;"&amp;DATE($D$2+1,MONTH(0),1))</f>
        <v>0</v>
      </c>
      <c r="E22" s="214" t="str">
        <f t="shared" si="1"/>
        <v/>
      </c>
      <c r="F22" s="259">
        <f>SUMIFS(KB[TPEMBAYARAN],KB[RELASI],C22,KB[TYPE],"A",KB[TANGGAL],"&gt;="&amp;DATE($D$2,MONTH(0),1),KB[TANGGAL],"&lt;"&amp;DATE($D$2+1,MONTH(0),1))</f>
        <v>0</v>
      </c>
      <c r="G22" s="252"/>
      <c r="H22" s="214">
        <f>SUMIFS(KB[NETTO2],KB[RELASI],C22,KB[TYPE],"B",KB[TANGGAL],"&gt;="&amp;DATE($D$2,MONTH(0),1),KB[TANGGAL],"&lt;"&amp;DATE($D$2+1,MONTH(0),1))</f>
        <v>0</v>
      </c>
      <c r="I22" s="214" t="str">
        <f t="shared" si="2"/>
        <v/>
      </c>
      <c r="J22" s="214">
        <f>SUMIFS(KB[TPEMBAYARAN],KB[RELASI],C22,KB[TYPE],"B",KB[TANGGAL],"&gt;="&amp;DATE($D$2,MONTH(0),1),KB[TANGGAL],"&lt;"&amp;DATE($D$2+1,MONTH(0),1))</f>
        <v>0</v>
      </c>
      <c r="K22" s="252"/>
      <c r="L22" s="214">
        <f>SUMIFS(KBS[NETTO2],KBS[RELASI],C22,KBS[TANGGAL],"&gt;="&amp;DATE($D$2,MONTH(0),1),KBS[TANGGAL],"&lt;"&amp;DATE($D$2+1,MONTH(0),1))</f>
        <v>0</v>
      </c>
      <c r="M22" s="214" t="str">
        <f t="shared" si="3"/>
        <v/>
      </c>
      <c r="N22" s="214">
        <f>SUMIFS(KBS[TPEMBAYARAN],KBS[RELASI],C22,KBS[TANGGAL],"&gt;="&amp;DATE($D$2,MONTH(0),1),KBS[TANGGAL],"&lt;"&amp;DATE($D$2+1,MONTH(0),1))</f>
        <v>0</v>
      </c>
      <c r="O22" s="252"/>
      <c r="P22" s="259">
        <f>SUMIFS(KPR[NETTOB],KPR[RELASI],C22,KPR[TANGGAL],"&gt;="&amp;DATE($D$2,MONTH(0),1),KPR[TANGGAL],"&lt;"&amp;DATE($D$2+1,MONTH(0),1))</f>
        <v>0</v>
      </c>
      <c r="Q22" s="214" t="str">
        <f t="shared" si="4"/>
        <v/>
      </c>
      <c r="R22" s="214">
        <f>SUMIFS(KPR[TPEMBAYARAN],KPR[RELASI],C22,KPR[TANGGAL],"&gt;="&amp;DATE($D$2,MONTH(0),1),KPR[TANGGAL],"&lt;"&amp;DATE($D$2+1,MONTH(0),1))</f>
        <v>0</v>
      </c>
      <c r="S22" s="252"/>
      <c r="T22" s="214">
        <f>SUMIFS(ARG[NETTO3],ARG[RELASI],C22,ARG[TANGGAL],"&gt;="&amp;DATE($D$2,MONTH(0),1),ARG[TANGGAL],"&lt;"&amp;DATE($D$2+1,MONTH(0),1))</f>
        <v>0</v>
      </c>
      <c r="U22" s="214" t="str">
        <f t="shared" si="5"/>
        <v/>
      </c>
      <c r="V22" s="214">
        <f>SUMIFS(ARG[TPEMBAYARAN],ARG[RELASI],C22,ARG[TANGGAL],"&gt;="&amp;DATE($D$2,MONTH(0),1),ARG[TANGGAL],"&lt;"&amp;DATE($D$2+1,MONTH(0),1))</f>
        <v>0</v>
      </c>
      <c r="W22" s="252"/>
      <c r="X22" s="217">
        <f t="shared" si="6"/>
        <v>0</v>
      </c>
      <c r="Z22" s="292"/>
      <c r="AA22" s="173">
        <f t="shared" ref="AA22:AA40" si="10">+AA21+1</f>
        <v>16</v>
      </c>
      <c r="AB22" s="729" t="str">
        <f>IF(COUNTIFS($AB$7:AB21,INDEX($C$7:$C$56,MATCH(LARGE($X$7:$X$56,AA22),$X$7:$X$56,0)))&gt;0,"",INDEX($C$7:$C$56,MATCH(LARGE($X$7:$X$56,AA22),$X$7:$X$56,0)))</f>
        <v/>
      </c>
      <c r="AC22" s="291">
        <f t="shared" si="7"/>
        <v>0</v>
      </c>
      <c r="AD22" s="173" t="e">
        <f ca="1">PROPER([39]!Terbilang(AC22))</f>
        <v>#NAME?</v>
      </c>
    </row>
    <row r="23" spans="1:30" ht="18" customHeight="1">
      <c r="A23" s="173"/>
      <c r="B23" s="246">
        <f t="shared" si="8"/>
        <v>17</v>
      </c>
      <c r="C23" s="245" t="str">
        <f>RELASI!C19</f>
        <v>H.SYAMSUDDIN</v>
      </c>
      <c r="D23" s="259">
        <f>SUMIFS(KB[NETTO2],KB[RELASI],C23,KB[TYPE],"A",KB[TANGGAL],"&gt;="&amp;DATE($D$2,MONTH(0),1),KB[TANGGAL],"&lt;"&amp;DATE($D$2+1,MONTH(0),1))</f>
        <v>0</v>
      </c>
      <c r="E23" s="214" t="str">
        <f t="shared" si="1"/>
        <v/>
      </c>
      <c r="F23" s="259">
        <f>SUMIFS(KB[TPEMBAYARAN],KB[RELASI],C23,KB[TYPE],"A",KB[TANGGAL],"&gt;="&amp;DATE($D$2,MONTH(0),1),KB[TANGGAL],"&lt;"&amp;DATE($D$2+1,MONTH(0),1))</f>
        <v>0</v>
      </c>
      <c r="G23" s="252"/>
      <c r="H23" s="214">
        <f>SUMIFS(KB[NETTO2],KB[RELASI],C23,KB[TYPE],"B",KB[TANGGAL],"&gt;="&amp;DATE($D$2,MONTH(0),1),KB[TANGGAL],"&lt;"&amp;DATE($D$2+1,MONTH(0),1))</f>
        <v>0</v>
      </c>
      <c r="I23" s="214" t="str">
        <f t="shared" si="2"/>
        <v/>
      </c>
      <c r="J23" s="214">
        <f>SUMIFS(KB[TPEMBAYARAN],KB[RELASI],C23,KB[TYPE],"B",KB[TANGGAL],"&gt;="&amp;DATE($D$2,MONTH(0),1),KB[TANGGAL],"&lt;"&amp;DATE($D$2+1,MONTH(0),1))</f>
        <v>0</v>
      </c>
      <c r="K23" s="252"/>
      <c r="L23" s="214">
        <f>SUMIFS(KBS[NETTO2],KBS[RELASI],C23,KBS[TANGGAL],"&gt;="&amp;DATE($D$2,MONTH(0),1),KBS[TANGGAL],"&lt;"&amp;DATE($D$2+1,MONTH(0),1))</f>
        <v>0</v>
      </c>
      <c r="M23" s="214" t="str">
        <f t="shared" si="3"/>
        <v/>
      </c>
      <c r="N23" s="214">
        <f>SUMIFS(KBS[TPEMBAYARAN],KBS[RELASI],C23,KBS[TANGGAL],"&gt;="&amp;DATE($D$2,MONTH(0),1),KBS[TANGGAL],"&lt;"&amp;DATE($D$2+1,MONTH(0),1))</f>
        <v>0</v>
      </c>
      <c r="O23" s="252"/>
      <c r="P23" s="259">
        <f>SUMIFS(KPR[NETTOB],KPR[RELASI],C23,KPR[TANGGAL],"&gt;="&amp;DATE($D$2,MONTH(0),1),KPR[TANGGAL],"&lt;"&amp;DATE($D$2+1,MONTH(0),1))</f>
        <v>0</v>
      </c>
      <c r="Q23" s="214" t="str">
        <f t="shared" si="4"/>
        <v/>
      </c>
      <c r="R23" s="214">
        <f>SUMIFS(KPR[TPEMBAYARAN],KPR[RELASI],C23,KPR[TANGGAL],"&gt;="&amp;DATE($D$2,MONTH(0),1),KPR[TANGGAL],"&lt;"&amp;DATE($D$2+1,MONTH(0),1))</f>
        <v>0</v>
      </c>
      <c r="S23" s="252"/>
      <c r="T23" s="214">
        <f>SUMIFS(ARG[NETTO3],ARG[RELASI],C23,ARG[TANGGAL],"&gt;="&amp;DATE($D$2,MONTH(0),1),ARG[TANGGAL],"&lt;"&amp;DATE($D$2+1,MONTH(0),1))</f>
        <v>0</v>
      </c>
      <c r="U23" s="214" t="str">
        <f t="shared" si="5"/>
        <v/>
      </c>
      <c r="V23" s="214">
        <f>SUMIFS(ARG[TPEMBAYARAN],ARG[RELASI],C23,ARG[TANGGAL],"&gt;="&amp;DATE($D$2,MONTH(0),1),ARG[TANGGAL],"&lt;"&amp;DATE($D$2+1,MONTH(0),1))</f>
        <v>0</v>
      </c>
      <c r="W23" s="252"/>
      <c r="X23" s="217">
        <f t="shared" si="6"/>
        <v>0</v>
      </c>
      <c r="Z23" s="292"/>
      <c r="AA23" s="173">
        <f t="shared" si="10"/>
        <v>17</v>
      </c>
      <c r="AB23" s="729" t="str">
        <f>IF(COUNTIFS($AB$7:AB22,INDEX($C$7:$C$56,MATCH(LARGE($X$7:$X$56,AA23),$X$7:$X$56,0)))&gt;0,"",INDEX($C$7:$C$56,MATCH(LARGE($X$7:$X$56,AA23),$X$7:$X$56,0)))</f>
        <v/>
      </c>
      <c r="AC23" s="291">
        <f t="shared" si="7"/>
        <v>0</v>
      </c>
      <c r="AD23" s="173" t="e">
        <f ca="1">PROPER([39]!Terbilang(AC23))</f>
        <v>#NAME?</v>
      </c>
    </row>
    <row r="24" spans="1:30" ht="18" customHeight="1">
      <c r="A24" s="173"/>
      <c r="B24" s="246">
        <f t="shared" si="8"/>
        <v>18</v>
      </c>
      <c r="C24" s="245" t="str">
        <f>RELASI!C20</f>
        <v>HAMLAN</v>
      </c>
      <c r="D24" s="259">
        <f>SUMIFS(KB[NETTO2],KB[RELASI],C24,KB[TYPE],"A",KB[TANGGAL],"&gt;="&amp;DATE($D$2,MONTH(0),1),KB[TANGGAL],"&lt;"&amp;DATE($D$2+1,MONTH(0),1))</f>
        <v>0</v>
      </c>
      <c r="E24" s="214" t="str">
        <f t="shared" si="1"/>
        <v/>
      </c>
      <c r="F24" s="259">
        <f>SUMIFS(KB[TPEMBAYARAN],KB[RELASI],C24,KB[TYPE],"A",KB[TANGGAL],"&gt;="&amp;DATE($D$2,MONTH(0),1),KB[TANGGAL],"&lt;"&amp;DATE($D$2+1,MONTH(0),1))</f>
        <v>0</v>
      </c>
      <c r="G24" s="252"/>
      <c r="H24" s="214">
        <f>SUMIFS(KB[NETTO2],KB[RELASI],C24,KB[TYPE],"B",KB[TANGGAL],"&gt;="&amp;DATE($D$2,MONTH(0),1),KB[TANGGAL],"&lt;"&amp;DATE($D$2+1,MONTH(0),1))</f>
        <v>0</v>
      </c>
      <c r="I24" s="214" t="str">
        <f t="shared" si="2"/>
        <v/>
      </c>
      <c r="J24" s="214">
        <f>SUMIFS(KB[TPEMBAYARAN],KB[RELASI],C24,KB[TYPE],"B",KB[TANGGAL],"&gt;="&amp;DATE($D$2,MONTH(0),1),KB[TANGGAL],"&lt;"&amp;DATE($D$2+1,MONTH(0),1))</f>
        <v>0</v>
      </c>
      <c r="K24" s="252"/>
      <c r="L24" s="214">
        <f>SUMIFS(KBS[NETTO2],KBS[RELASI],C24,KBS[TANGGAL],"&gt;="&amp;DATE($D$2,MONTH(0),1),KBS[TANGGAL],"&lt;"&amp;DATE($D$2+1,MONTH(0),1))</f>
        <v>0</v>
      </c>
      <c r="M24" s="214" t="str">
        <f t="shared" si="3"/>
        <v/>
      </c>
      <c r="N24" s="214">
        <f>SUMIFS(KBS[TPEMBAYARAN],KBS[RELASI],C24,KBS[TANGGAL],"&gt;="&amp;DATE($D$2,MONTH(0),1),KBS[TANGGAL],"&lt;"&amp;DATE($D$2+1,MONTH(0),1))</f>
        <v>0</v>
      </c>
      <c r="O24" s="252"/>
      <c r="P24" s="259">
        <f>SUMIFS(KPR[NETTOB],KPR[RELASI],C24,KPR[TANGGAL],"&gt;="&amp;DATE($D$2,MONTH(0),1),KPR[TANGGAL],"&lt;"&amp;DATE($D$2+1,MONTH(0),1))</f>
        <v>0</v>
      </c>
      <c r="Q24" s="214" t="str">
        <f t="shared" si="4"/>
        <v/>
      </c>
      <c r="R24" s="214">
        <f>SUMIFS(KPR[TPEMBAYARAN],KPR[RELASI],C24,KPR[TANGGAL],"&gt;="&amp;DATE($D$2,MONTH(0),1),KPR[TANGGAL],"&lt;"&amp;DATE($D$2+1,MONTH(0),1))</f>
        <v>0</v>
      </c>
      <c r="S24" s="252"/>
      <c r="T24" s="214">
        <f>SUMIFS(ARG[NETTO3],ARG[RELASI],C24,ARG[TANGGAL],"&gt;="&amp;DATE($D$2,MONTH(0),1),ARG[TANGGAL],"&lt;"&amp;DATE($D$2+1,MONTH(0),1))</f>
        <v>0</v>
      </c>
      <c r="U24" s="214" t="str">
        <f t="shared" si="5"/>
        <v/>
      </c>
      <c r="V24" s="214">
        <f>SUMIFS(ARG[TPEMBAYARAN],ARG[RELASI],C24,ARG[TANGGAL],"&gt;="&amp;DATE($D$2,MONTH(0),1),ARG[TANGGAL],"&lt;"&amp;DATE($D$2+1,MONTH(0),1))</f>
        <v>0</v>
      </c>
      <c r="W24" s="252"/>
      <c r="X24" s="217">
        <f t="shared" si="6"/>
        <v>0</v>
      </c>
      <c r="Z24" s="292"/>
      <c r="AA24" s="173">
        <f t="shared" si="10"/>
        <v>18</v>
      </c>
      <c r="AB24" s="729" t="str">
        <f>IF(COUNTIFS($AB$7:AB23,INDEX($C$7:$C$56,MATCH(LARGE($X$7:$X$56,AA24),$X$7:$X$56,0)))&gt;0,"",INDEX($C$7:$C$56,MATCH(LARGE($X$7:$X$56,AA24),$X$7:$X$56,0)))</f>
        <v/>
      </c>
      <c r="AC24" s="291">
        <f t="shared" si="7"/>
        <v>0</v>
      </c>
      <c r="AD24" s="173" t="e">
        <f ca="1">PROPER([39]!Terbilang(AC24))</f>
        <v>#NAME?</v>
      </c>
    </row>
    <row r="25" spans="1:30" ht="18" customHeight="1">
      <c r="A25" s="173"/>
      <c r="B25" s="246">
        <f t="shared" si="8"/>
        <v>19</v>
      </c>
      <c r="C25" s="245" t="str">
        <f>RELASI!C21</f>
        <v>HELMANSYAH</v>
      </c>
      <c r="D25" s="259">
        <f>SUMIFS(KB[NETTO2],KB[RELASI],C25,KB[TYPE],"A",KB[TANGGAL],"&gt;="&amp;DATE($D$2,MONTH(0),1),KB[TANGGAL],"&lt;"&amp;DATE($D$2+1,MONTH(0),1))</f>
        <v>0</v>
      </c>
      <c r="E25" s="214" t="str">
        <f t="shared" si="1"/>
        <v/>
      </c>
      <c r="F25" s="259">
        <f>SUMIFS(KB[TPEMBAYARAN],KB[RELASI],C25,KB[TYPE],"A",KB[TANGGAL],"&gt;="&amp;DATE($D$2,MONTH(0),1),KB[TANGGAL],"&lt;"&amp;DATE($D$2+1,MONTH(0),1))</f>
        <v>0</v>
      </c>
      <c r="G25" s="252"/>
      <c r="H25" s="214">
        <f>SUMIFS(KB[NETTO2],KB[RELASI],C25,KB[TYPE],"B",KB[TANGGAL],"&gt;="&amp;DATE($D$2,MONTH(0),1),KB[TANGGAL],"&lt;"&amp;DATE($D$2+1,MONTH(0),1))</f>
        <v>0</v>
      </c>
      <c r="I25" s="214" t="str">
        <f t="shared" si="2"/>
        <v/>
      </c>
      <c r="J25" s="214">
        <f>SUMIFS(KB[TPEMBAYARAN],KB[RELASI],C25,KB[TYPE],"B",KB[TANGGAL],"&gt;="&amp;DATE($D$2,MONTH(0),1),KB[TANGGAL],"&lt;"&amp;DATE($D$2+1,MONTH(0),1))</f>
        <v>0</v>
      </c>
      <c r="K25" s="252"/>
      <c r="L25" s="214">
        <f>SUMIFS(KBS[NETTO2],KBS[RELASI],C25,KBS[TANGGAL],"&gt;="&amp;DATE($D$2,MONTH(0),1),KBS[TANGGAL],"&lt;"&amp;DATE($D$2+1,MONTH(0),1))</f>
        <v>0</v>
      </c>
      <c r="M25" s="214" t="str">
        <f t="shared" si="3"/>
        <v/>
      </c>
      <c r="N25" s="214">
        <f>SUMIFS(KBS[TPEMBAYARAN],KBS[RELASI],C25,KBS[TANGGAL],"&gt;="&amp;DATE($D$2,MONTH(0),1),KBS[TANGGAL],"&lt;"&amp;DATE($D$2+1,MONTH(0),1))</f>
        <v>0</v>
      </c>
      <c r="O25" s="252"/>
      <c r="P25" s="259">
        <f>SUMIFS(KPR[NETTOB],KPR[RELASI],C25,KPR[TANGGAL],"&gt;="&amp;DATE($D$2,MONTH(0),1),KPR[TANGGAL],"&lt;"&amp;DATE($D$2+1,MONTH(0),1))</f>
        <v>0</v>
      </c>
      <c r="Q25" s="214" t="str">
        <f t="shared" si="4"/>
        <v/>
      </c>
      <c r="R25" s="214">
        <f>SUMIFS(KPR[TPEMBAYARAN],KPR[RELASI],C25,KPR[TANGGAL],"&gt;="&amp;DATE($D$2,MONTH(0),1),KPR[TANGGAL],"&lt;"&amp;DATE($D$2+1,MONTH(0),1))</f>
        <v>0</v>
      </c>
      <c r="S25" s="252"/>
      <c r="T25" s="214">
        <f>SUMIFS(ARG[NETTO3],ARG[RELASI],C25,ARG[TANGGAL],"&gt;="&amp;DATE($D$2,MONTH(0),1),ARG[TANGGAL],"&lt;"&amp;DATE($D$2+1,MONTH(0),1))</f>
        <v>0</v>
      </c>
      <c r="U25" s="214" t="str">
        <f t="shared" si="5"/>
        <v/>
      </c>
      <c r="V25" s="214">
        <f>SUMIFS(ARG[TPEMBAYARAN],ARG[RELASI],C25,ARG[TANGGAL],"&gt;="&amp;DATE($D$2,MONTH(0),1),ARG[TANGGAL],"&lt;"&amp;DATE($D$2+1,MONTH(0),1))</f>
        <v>0</v>
      </c>
      <c r="W25" s="252"/>
      <c r="X25" s="217">
        <f t="shared" si="6"/>
        <v>0</v>
      </c>
      <c r="Z25" s="292"/>
      <c r="AA25" s="173">
        <f t="shared" si="10"/>
        <v>19</v>
      </c>
      <c r="AB25" s="729" t="str">
        <f>IF(COUNTIFS($AB$7:AB24,INDEX($C$7:$C$56,MATCH(LARGE($X$7:$X$56,AA25),$X$7:$X$56,0)))&gt;0,"",INDEX($C$7:$C$56,MATCH(LARGE($X$7:$X$56,AA25),$X$7:$X$56,0)))</f>
        <v/>
      </c>
      <c r="AC25" s="291">
        <f t="shared" si="7"/>
        <v>0</v>
      </c>
      <c r="AD25" s="173" t="e">
        <f ca="1">PROPER([39]!Terbilang(AC25))</f>
        <v>#NAME?</v>
      </c>
    </row>
    <row r="26" spans="1:30" ht="18" customHeight="1">
      <c r="A26" s="173"/>
      <c r="B26" s="246">
        <f t="shared" si="8"/>
        <v>20</v>
      </c>
      <c r="C26" s="245" t="str">
        <f>RELASI!C22</f>
        <v>HENDRI</v>
      </c>
      <c r="D26" s="259">
        <f>SUMIFS(KB[NETTO2],KB[RELASI],C26,KB[TYPE],"A",KB[TANGGAL],"&gt;="&amp;DATE($D$2,MONTH(0),1),KB[TANGGAL],"&lt;"&amp;DATE($D$2+1,MONTH(0),1))</f>
        <v>0</v>
      </c>
      <c r="E26" s="214" t="str">
        <f t="shared" si="1"/>
        <v/>
      </c>
      <c r="F26" s="259">
        <f>SUMIFS(KB[TPEMBAYARAN],KB[RELASI],C26,KB[TYPE],"A",KB[TANGGAL],"&gt;="&amp;DATE($D$2,MONTH(0),1),KB[TANGGAL],"&lt;"&amp;DATE($D$2+1,MONTH(0),1))</f>
        <v>0</v>
      </c>
      <c r="G26" s="252"/>
      <c r="H26" s="214">
        <f>SUMIFS(KB[NETTO2],KB[RELASI],C26,KB[TYPE],"B",KB[TANGGAL],"&gt;="&amp;DATE($D$2,MONTH(0),1),KB[TANGGAL],"&lt;"&amp;DATE($D$2+1,MONTH(0),1))</f>
        <v>0</v>
      </c>
      <c r="I26" s="214" t="str">
        <f t="shared" si="2"/>
        <v/>
      </c>
      <c r="J26" s="214">
        <f>SUMIFS(KB[TPEMBAYARAN],KB[RELASI],C26,KB[TYPE],"B",KB[TANGGAL],"&gt;="&amp;DATE($D$2,MONTH(0),1),KB[TANGGAL],"&lt;"&amp;DATE($D$2+1,MONTH(0),1))</f>
        <v>0</v>
      </c>
      <c r="K26" s="252"/>
      <c r="L26" s="214">
        <f>SUMIFS(KBS[NETTO2],KBS[RELASI],C26,KBS[TANGGAL],"&gt;="&amp;DATE($D$2,MONTH(0),1),KBS[TANGGAL],"&lt;"&amp;DATE($D$2+1,MONTH(0),1))</f>
        <v>0</v>
      </c>
      <c r="M26" s="214" t="str">
        <f t="shared" si="3"/>
        <v/>
      </c>
      <c r="N26" s="214">
        <f>SUMIFS(KBS[TPEMBAYARAN],KBS[RELASI],C26,KBS[TANGGAL],"&gt;="&amp;DATE($D$2,MONTH(0),1),KBS[TANGGAL],"&lt;"&amp;DATE($D$2+1,MONTH(0),1))</f>
        <v>0</v>
      </c>
      <c r="O26" s="252"/>
      <c r="P26" s="259">
        <f>SUMIFS(KPR[NETTOB],KPR[RELASI],C26,KPR[TANGGAL],"&gt;="&amp;DATE($D$2,MONTH(0),1),KPR[TANGGAL],"&lt;"&amp;DATE($D$2+1,MONTH(0),1))</f>
        <v>0</v>
      </c>
      <c r="Q26" s="214" t="str">
        <f t="shared" si="4"/>
        <v/>
      </c>
      <c r="R26" s="214">
        <f>SUMIFS(KPR[TPEMBAYARAN],KPR[RELASI],C26,KPR[TANGGAL],"&gt;="&amp;DATE($D$2,MONTH(0),1),KPR[TANGGAL],"&lt;"&amp;DATE($D$2+1,MONTH(0),1))</f>
        <v>0</v>
      </c>
      <c r="S26" s="252"/>
      <c r="T26" s="214">
        <f>SUMIFS(ARG[NETTO3],ARG[RELASI],C26,ARG[TANGGAL],"&gt;="&amp;DATE($D$2,MONTH(0),1),ARG[TANGGAL],"&lt;"&amp;DATE($D$2+1,MONTH(0),1))</f>
        <v>0</v>
      </c>
      <c r="U26" s="214" t="str">
        <f t="shared" si="5"/>
        <v/>
      </c>
      <c r="V26" s="214">
        <f>SUMIFS(ARG[TPEMBAYARAN],ARG[RELASI],C26,ARG[TANGGAL],"&gt;="&amp;DATE($D$2,MONTH(0),1),ARG[TANGGAL],"&lt;"&amp;DATE($D$2+1,MONTH(0),1))</f>
        <v>0</v>
      </c>
      <c r="W26" s="252"/>
      <c r="X26" s="217">
        <f t="shared" si="6"/>
        <v>0</v>
      </c>
      <c r="Z26" s="292"/>
      <c r="AA26" s="173">
        <f t="shared" si="10"/>
        <v>20</v>
      </c>
      <c r="AB26" s="729" t="str">
        <f>IF(COUNTIFS($AB$7:AB25,INDEX($C$7:$C$56,MATCH(LARGE($X$7:$X$56,AA26),$X$7:$X$56,0)))&gt;0,"",INDEX($C$7:$C$56,MATCH(LARGE($X$7:$X$56,AA26),$X$7:$X$56,0)))</f>
        <v/>
      </c>
      <c r="AC26" s="291">
        <f t="shared" si="7"/>
        <v>0</v>
      </c>
      <c r="AD26" s="173" t="e">
        <f ca="1">PROPER([39]!Terbilang(AC26))</f>
        <v>#NAME?</v>
      </c>
    </row>
    <row r="27" spans="1:30" ht="18" customHeight="1">
      <c r="A27" s="173"/>
      <c r="B27" s="246">
        <f t="shared" si="8"/>
        <v>21</v>
      </c>
      <c r="C27" s="245" t="str">
        <f>RELASI!C23</f>
        <v>HENDRY JOHANES</v>
      </c>
      <c r="D27" s="259">
        <f>SUMIFS(KB[NETTO2],KB[RELASI],C27,KB[TYPE],"A",KB[TANGGAL],"&gt;="&amp;DATE($D$2,MONTH(0),1),KB[TANGGAL],"&lt;"&amp;DATE($D$2+1,MONTH(0),1))</f>
        <v>0</v>
      </c>
      <c r="E27" s="214" t="str">
        <f t="shared" si="1"/>
        <v/>
      </c>
      <c r="F27" s="259">
        <f>SUMIFS(KB[TPEMBAYARAN],KB[RELASI],C27,KB[TYPE],"A",KB[TANGGAL],"&gt;="&amp;DATE($D$2,MONTH(0),1),KB[TANGGAL],"&lt;"&amp;DATE($D$2+1,MONTH(0),1))</f>
        <v>0</v>
      </c>
      <c r="G27" s="252"/>
      <c r="H27" s="214">
        <f>SUMIFS(KB[NETTO2],KB[RELASI],C27,KB[TYPE],"B",KB[TANGGAL],"&gt;="&amp;DATE($D$2,MONTH(0),1),KB[TANGGAL],"&lt;"&amp;DATE($D$2+1,MONTH(0),1))</f>
        <v>0</v>
      </c>
      <c r="I27" s="214" t="str">
        <f t="shared" si="2"/>
        <v/>
      </c>
      <c r="J27" s="214">
        <f>SUMIFS(KB[TPEMBAYARAN],KB[RELASI],C27,KB[TYPE],"B",KB[TANGGAL],"&gt;="&amp;DATE($D$2,MONTH(0),1),KB[TANGGAL],"&lt;"&amp;DATE($D$2+1,MONTH(0),1))</f>
        <v>0</v>
      </c>
      <c r="K27" s="252"/>
      <c r="L27" s="214">
        <f>SUMIFS(KBS[NETTO2],KBS[RELASI],C27,KBS[TANGGAL],"&gt;="&amp;DATE($D$2,MONTH(0),1),KBS[TANGGAL],"&lt;"&amp;DATE($D$2+1,MONTH(0),1))</f>
        <v>0</v>
      </c>
      <c r="M27" s="214" t="str">
        <f t="shared" si="3"/>
        <v/>
      </c>
      <c r="N27" s="214">
        <f>SUMIFS(KBS[TPEMBAYARAN],KBS[RELASI],C27,KBS[TANGGAL],"&gt;="&amp;DATE($D$2,MONTH(0),1),KBS[TANGGAL],"&lt;"&amp;DATE($D$2+1,MONTH(0),1))</f>
        <v>0</v>
      </c>
      <c r="O27" s="252"/>
      <c r="P27" s="259">
        <f>SUMIFS(KPR[NETTOB],KPR[RELASI],C27,KPR[TANGGAL],"&gt;="&amp;DATE($D$2,MONTH(0),1),KPR[TANGGAL],"&lt;"&amp;DATE($D$2+1,MONTH(0),1))</f>
        <v>0</v>
      </c>
      <c r="Q27" s="214" t="str">
        <f t="shared" si="4"/>
        <v/>
      </c>
      <c r="R27" s="214">
        <f>SUMIFS(KPR[TPEMBAYARAN],KPR[RELASI],C27,KPR[TANGGAL],"&gt;="&amp;DATE($D$2,MONTH(0),1),KPR[TANGGAL],"&lt;"&amp;DATE($D$2+1,MONTH(0),1))</f>
        <v>0</v>
      </c>
      <c r="S27" s="252"/>
      <c r="T27" s="214">
        <f>SUMIFS(ARG[NETTO3],ARG[RELASI],C27,ARG[TANGGAL],"&gt;="&amp;DATE($D$2,MONTH(0),1),ARG[TANGGAL],"&lt;"&amp;DATE($D$2+1,MONTH(0),1))</f>
        <v>0</v>
      </c>
      <c r="U27" s="214" t="str">
        <f t="shared" si="5"/>
        <v/>
      </c>
      <c r="V27" s="214">
        <f>SUMIFS(ARG[TPEMBAYARAN],ARG[RELASI],C27,ARG[TANGGAL],"&gt;="&amp;DATE($D$2,MONTH(0),1),ARG[TANGGAL],"&lt;"&amp;DATE($D$2+1,MONTH(0),1))</f>
        <v>0</v>
      </c>
      <c r="W27" s="252"/>
      <c r="X27" s="217">
        <f t="shared" si="6"/>
        <v>0</v>
      </c>
      <c r="Z27" s="292"/>
      <c r="AA27" s="173">
        <f t="shared" si="10"/>
        <v>21</v>
      </c>
      <c r="AB27" s="729" t="str">
        <f>IF(COUNTIFS($AB$7:AB26,INDEX($C$7:$C$56,MATCH(LARGE($X$7:$X$56,AA27),$X$7:$X$56,0)))&gt;0,"",INDEX($C$7:$C$56,MATCH(LARGE($X$7:$X$56,AA27),$X$7:$X$56,0)))</f>
        <v/>
      </c>
      <c r="AC27" s="291">
        <f t="shared" si="7"/>
        <v>0</v>
      </c>
      <c r="AD27" s="173" t="e">
        <f ca="1">PROPER([39]!Terbilang(AC27))</f>
        <v>#NAME?</v>
      </c>
    </row>
    <row r="28" spans="1:30" ht="18" customHeight="1">
      <c r="A28" s="173"/>
      <c r="B28" s="246">
        <f t="shared" si="8"/>
        <v>22</v>
      </c>
      <c r="C28" s="245" t="str">
        <f>RELASI!C24</f>
        <v>INDRAYANI</v>
      </c>
      <c r="D28" s="259">
        <f>SUMIFS(KB[NETTO2],KB[RELASI],C28,KB[TYPE],"A",KB[TANGGAL],"&gt;="&amp;DATE($D$2,MONTH(0),1),KB[TANGGAL],"&lt;"&amp;DATE($D$2+1,MONTH(0),1))</f>
        <v>0</v>
      </c>
      <c r="E28" s="214" t="str">
        <f t="shared" si="1"/>
        <v/>
      </c>
      <c r="F28" s="259">
        <f>SUMIFS(KB[TPEMBAYARAN],KB[RELASI],C28,KB[TYPE],"A",KB[TANGGAL],"&gt;="&amp;DATE($D$2,MONTH(0),1),KB[TANGGAL],"&lt;"&amp;DATE($D$2+1,MONTH(0),1))</f>
        <v>0</v>
      </c>
      <c r="G28" s="252"/>
      <c r="H28" s="214">
        <f>SUMIFS(KB[NETTO2],KB[RELASI],C28,KB[TYPE],"B",KB[TANGGAL],"&gt;="&amp;DATE($D$2,MONTH(0),1),KB[TANGGAL],"&lt;"&amp;DATE($D$2+1,MONTH(0),1))</f>
        <v>0</v>
      </c>
      <c r="I28" s="214" t="str">
        <f t="shared" si="2"/>
        <v/>
      </c>
      <c r="J28" s="214">
        <f>SUMIFS(KB[TPEMBAYARAN],KB[RELASI],C28,KB[TYPE],"B",KB[TANGGAL],"&gt;="&amp;DATE($D$2,MONTH(0),1),KB[TANGGAL],"&lt;"&amp;DATE($D$2+1,MONTH(0),1))</f>
        <v>0</v>
      </c>
      <c r="K28" s="252"/>
      <c r="L28" s="214">
        <f>SUMIFS(KBS[NETTO2],KBS[RELASI],C28,KBS[TANGGAL],"&gt;="&amp;DATE($D$2,MONTH(0),1),KBS[TANGGAL],"&lt;"&amp;DATE($D$2+1,MONTH(0),1))</f>
        <v>0</v>
      </c>
      <c r="M28" s="214" t="str">
        <f t="shared" si="3"/>
        <v/>
      </c>
      <c r="N28" s="214">
        <f>SUMIFS(KBS[TPEMBAYARAN],KBS[RELASI],C28,KBS[TANGGAL],"&gt;="&amp;DATE($D$2,MONTH(0),1),KBS[TANGGAL],"&lt;"&amp;DATE($D$2+1,MONTH(0),1))</f>
        <v>0</v>
      </c>
      <c r="O28" s="252"/>
      <c r="P28" s="259">
        <f>SUMIFS(KPR[NETTOB],KPR[RELASI],C28,KPR[TANGGAL],"&gt;="&amp;DATE($D$2,MONTH(0),1),KPR[TANGGAL],"&lt;"&amp;DATE($D$2+1,MONTH(0),1))</f>
        <v>0</v>
      </c>
      <c r="Q28" s="214" t="str">
        <f t="shared" si="4"/>
        <v/>
      </c>
      <c r="R28" s="214">
        <f>SUMIFS(KPR[TPEMBAYARAN],KPR[RELASI],C28,KPR[TANGGAL],"&gt;="&amp;DATE($D$2,MONTH(0),1),KPR[TANGGAL],"&lt;"&amp;DATE($D$2+1,MONTH(0),1))</f>
        <v>0</v>
      </c>
      <c r="S28" s="252"/>
      <c r="T28" s="214">
        <f>SUMIFS(ARG[NETTO3],ARG[RELASI],C28,ARG[TANGGAL],"&gt;="&amp;DATE($D$2,MONTH(0),1),ARG[TANGGAL],"&lt;"&amp;DATE($D$2+1,MONTH(0),1))</f>
        <v>0</v>
      </c>
      <c r="U28" s="214" t="str">
        <f t="shared" si="5"/>
        <v/>
      </c>
      <c r="V28" s="214">
        <f>SUMIFS(ARG[TPEMBAYARAN],ARG[RELASI],C28,ARG[TANGGAL],"&gt;="&amp;DATE($D$2,MONTH(0),1),ARG[TANGGAL],"&lt;"&amp;DATE($D$2+1,MONTH(0),1))</f>
        <v>0</v>
      </c>
      <c r="W28" s="252"/>
      <c r="X28" s="217">
        <f t="shared" si="6"/>
        <v>0</v>
      </c>
      <c r="Z28" s="292"/>
      <c r="AA28" s="173">
        <f t="shared" si="10"/>
        <v>22</v>
      </c>
      <c r="AB28" s="729" t="str">
        <f>IF(COUNTIFS($AB$7:AB27,INDEX($C$7:$C$56,MATCH(LARGE($X$7:$X$56,AA28),$X$7:$X$56,0)))&gt;0,"",INDEX($C$7:$C$56,MATCH(LARGE($X$7:$X$56,AA28),$X$7:$X$56,0)))</f>
        <v/>
      </c>
      <c r="AC28" s="291">
        <f t="shared" si="7"/>
        <v>0</v>
      </c>
      <c r="AD28" s="173" t="e">
        <f ca="1">PROPER([39]!Terbilang(AC28))</f>
        <v>#NAME?</v>
      </c>
    </row>
    <row r="29" spans="1:30" ht="18" customHeight="1">
      <c r="A29" s="173"/>
      <c r="B29" s="246">
        <f t="shared" si="8"/>
        <v>23</v>
      </c>
      <c r="C29" s="245" t="str">
        <f>RELASI!C25</f>
        <v>ISANG</v>
      </c>
      <c r="D29" s="259">
        <f>SUMIFS(KB[NETTO2],KB[RELASI],C29,KB[TYPE],"A",KB[TANGGAL],"&gt;="&amp;DATE($D$2,MONTH(0),1),KB[TANGGAL],"&lt;"&amp;DATE($D$2+1,MONTH(0),1))</f>
        <v>0</v>
      </c>
      <c r="E29" s="214" t="str">
        <f t="shared" si="1"/>
        <v/>
      </c>
      <c r="F29" s="259">
        <f>SUMIFS(KB[TPEMBAYARAN],KB[RELASI],C29,KB[TYPE],"A",KB[TANGGAL],"&gt;="&amp;DATE($D$2,MONTH(0),1),KB[TANGGAL],"&lt;"&amp;DATE($D$2+1,MONTH(0),1))</f>
        <v>0</v>
      </c>
      <c r="G29" s="252"/>
      <c r="H29" s="214">
        <f>SUMIFS(KB[NETTO2],KB[RELASI],C29,KB[TYPE],"B",KB[TANGGAL],"&gt;="&amp;DATE($D$2,MONTH(0),1),KB[TANGGAL],"&lt;"&amp;DATE($D$2+1,MONTH(0),1))</f>
        <v>0</v>
      </c>
      <c r="I29" s="214" t="str">
        <f t="shared" si="2"/>
        <v/>
      </c>
      <c r="J29" s="214">
        <f>SUMIFS(KB[TPEMBAYARAN],KB[RELASI],C29,KB[TYPE],"B",KB[TANGGAL],"&gt;="&amp;DATE($D$2,MONTH(0),1),KB[TANGGAL],"&lt;"&amp;DATE($D$2+1,MONTH(0),1))</f>
        <v>0</v>
      </c>
      <c r="K29" s="252"/>
      <c r="L29" s="214">
        <f>SUMIFS(KBS[NETTO2],KBS[RELASI],C29,KBS[TANGGAL],"&gt;="&amp;DATE($D$2,MONTH(0),1),KBS[TANGGAL],"&lt;"&amp;DATE($D$2+1,MONTH(0),1))</f>
        <v>0</v>
      </c>
      <c r="M29" s="214" t="str">
        <f t="shared" si="3"/>
        <v/>
      </c>
      <c r="N29" s="214">
        <f>SUMIFS(KBS[TPEMBAYARAN],KBS[RELASI],C29,KBS[TANGGAL],"&gt;="&amp;DATE($D$2,MONTH(0),1),KBS[TANGGAL],"&lt;"&amp;DATE($D$2+1,MONTH(0),1))</f>
        <v>0</v>
      </c>
      <c r="O29" s="252"/>
      <c r="P29" s="259">
        <f>SUMIFS(KPR[NETTOB],KPR[RELASI],C29,KPR[TANGGAL],"&gt;="&amp;DATE($D$2,MONTH(0),1),KPR[TANGGAL],"&lt;"&amp;DATE($D$2+1,MONTH(0),1))</f>
        <v>0</v>
      </c>
      <c r="Q29" s="214" t="str">
        <f t="shared" si="4"/>
        <v/>
      </c>
      <c r="R29" s="214">
        <f>SUMIFS(KPR[TPEMBAYARAN],KPR[RELASI],C29,KPR[TANGGAL],"&gt;="&amp;DATE($D$2,MONTH(0),1),KPR[TANGGAL],"&lt;"&amp;DATE($D$2+1,MONTH(0),1))</f>
        <v>0</v>
      </c>
      <c r="S29" s="252"/>
      <c r="T29" s="214">
        <f>SUMIFS(ARG[NETTO3],ARG[RELASI],C29,ARG[TANGGAL],"&gt;="&amp;DATE($D$2,MONTH(0),1),ARG[TANGGAL],"&lt;"&amp;DATE($D$2+1,MONTH(0),1))</f>
        <v>0</v>
      </c>
      <c r="U29" s="214" t="str">
        <f t="shared" si="5"/>
        <v/>
      </c>
      <c r="V29" s="214">
        <f>SUMIFS(ARG[TPEMBAYARAN],ARG[RELASI],C29,ARG[TANGGAL],"&gt;="&amp;DATE($D$2,MONTH(0),1),ARG[TANGGAL],"&lt;"&amp;DATE($D$2+1,MONTH(0),1))</f>
        <v>0</v>
      </c>
      <c r="W29" s="252"/>
      <c r="X29" s="217">
        <f t="shared" si="6"/>
        <v>0</v>
      </c>
      <c r="Z29" s="292"/>
      <c r="AA29" s="173">
        <f t="shared" si="10"/>
        <v>23</v>
      </c>
      <c r="AB29" s="729" t="str">
        <f>IF(COUNTIFS($AB$7:AB28,INDEX($C$7:$C$56,MATCH(LARGE($X$7:$X$56,AA29),$X$7:$X$56,0)))&gt;0,"",INDEX($C$7:$C$56,MATCH(LARGE($X$7:$X$56,AA29),$X$7:$X$56,0)))</f>
        <v/>
      </c>
      <c r="AC29" s="291">
        <f t="shared" si="7"/>
        <v>0</v>
      </c>
      <c r="AD29" s="173" t="e">
        <f ca="1">PROPER([39]!Terbilang(AC29))</f>
        <v>#NAME?</v>
      </c>
    </row>
    <row r="30" spans="1:30" ht="18" customHeight="1">
      <c r="A30" s="173"/>
      <c r="B30" s="246">
        <f t="shared" si="8"/>
        <v>24</v>
      </c>
      <c r="C30" s="245" t="str">
        <f>RELASI!C26</f>
        <v>IWAN</v>
      </c>
      <c r="D30" s="259">
        <f>SUMIFS(KB[NETTO2],KB[RELASI],C30,KB[TYPE],"A",KB[TANGGAL],"&gt;="&amp;DATE($D$2,MONTH(0),1),KB[TANGGAL],"&lt;"&amp;DATE($D$2+1,MONTH(0),1))</f>
        <v>0</v>
      </c>
      <c r="E30" s="214" t="str">
        <f t="shared" si="1"/>
        <v/>
      </c>
      <c r="F30" s="259">
        <f>SUMIFS(KB[TPEMBAYARAN],KB[RELASI],C30,KB[TYPE],"A",KB[TANGGAL],"&gt;="&amp;DATE($D$2,MONTH(0),1),KB[TANGGAL],"&lt;"&amp;DATE($D$2+1,MONTH(0),1))</f>
        <v>0</v>
      </c>
      <c r="G30" s="252"/>
      <c r="H30" s="214">
        <f>SUMIFS(KB[NETTO2],KB[RELASI],C30,KB[TYPE],"B",KB[TANGGAL],"&gt;="&amp;DATE($D$2,MONTH(0),1),KB[TANGGAL],"&lt;"&amp;DATE($D$2+1,MONTH(0),1))</f>
        <v>0</v>
      </c>
      <c r="I30" s="214" t="str">
        <f t="shared" si="2"/>
        <v/>
      </c>
      <c r="J30" s="214">
        <f>SUMIFS(KB[TPEMBAYARAN],KB[RELASI],C30,KB[TYPE],"B",KB[TANGGAL],"&gt;="&amp;DATE($D$2,MONTH(0),1),KB[TANGGAL],"&lt;"&amp;DATE($D$2+1,MONTH(0),1))</f>
        <v>0</v>
      </c>
      <c r="K30" s="252"/>
      <c r="L30" s="214">
        <f>SUMIFS(KBS[NETTO2],KBS[RELASI],C30,KBS[TANGGAL],"&gt;="&amp;DATE($D$2,MONTH(0),1),KBS[TANGGAL],"&lt;"&amp;DATE($D$2+1,MONTH(0),1))</f>
        <v>0</v>
      </c>
      <c r="M30" s="214" t="str">
        <f t="shared" si="3"/>
        <v/>
      </c>
      <c r="N30" s="214">
        <f>SUMIFS(KBS[TPEMBAYARAN],KBS[RELASI],C30,KBS[TANGGAL],"&gt;="&amp;DATE($D$2,MONTH(0),1),KBS[TANGGAL],"&lt;"&amp;DATE($D$2+1,MONTH(0),1))</f>
        <v>0</v>
      </c>
      <c r="O30" s="252"/>
      <c r="P30" s="259">
        <f>SUMIFS(KPR[NETTOB],KPR[RELASI],C30,KPR[TANGGAL],"&gt;="&amp;DATE($D$2,MONTH(0),1),KPR[TANGGAL],"&lt;"&amp;DATE($D$2+1,MONTH(0),1))</f>
        <v>0</v>
      </c>
      <c r="Q30" s="214" t="str">
        <f t="shared" si="4"/>
        <v/>
      </c>
      <c r="R30" s="214">
        <f>SUMIFS(KPR[TPEMBAYARAN],KPR[RELASI],C30,KPR[TANGGAL],"&gt;="&amp;DATE($D$2,MONTH(0),1),KPR[TANGGAL],"&lt;"&amp;DATE($D$2+1,MONTH(0),1))</f>
        <v>0</v>
      </c>
      <c r="S30" s="252"/>
      <c r="T30" s="214">
        <f>SUMIFS(ARG[NETTO3],ARG[RELASI],C30,ARG[TANGGAL],"&gt;="&amp;DATE($D$2,MONTH(0),1),ARG[TANGGAL],"&lt;"&amp;DATE($D$2+1,MONTH(0),1))</f>
        <v>0</v>
      </c>
      <c r="U30" s="214" t="str">
        <f t="shared" si="5"/>
        <v/>
      </c>
      <c r="V30" s="214">
        <f>SUMIFS(ARG[TPEMBAYARAN],ARG[RELASI],C30,ARG[TANGGAL],"&gt;="&amp;DATE($D$2,MONTH(0),1),ARG[TANGGAL],"&lt;"&amp;DATE($D$2+1,MONTH(0),1))</f>
        <v>0</v>
      </c>
      <c r="W30" s="252"/>
      <c r="X30" s="217">
        <f t="shared" si="6"/>
        <v>0</v>
      </c>
      <c r="Z30" s="292"/>
      <c r="AA30" s="173">
        <f t="shared" si="10"/>
        <v>24</v>
      </c>
      <c r="AB30" s="729" t="str">
        <f>IF(COUNTIFS($AB$7:AB29,INDEX($C$7:$C$56,MATCH(LARGE($X$7:$X$56,AA30),$X$7:$X$56,0)))&gt;0,"",INDEX($C$7:$C$56,MATCH(LARGE($X$7:$X$56,AA30),$X$7:$X$56,0)))</f>
        <v/>
      </c>
      <c r="AC30" s="291">
        <f t="shared" si="7"/>
        <v>0</v>
      </c>
      <c r="AD30" s="173" t="e">
        <f ca="1">PROPER([39]!Terbilang(AC30))</f>
        <v>#NAME?</v>
      </c>
    </row>
    <row r="31" spans="1:30" ht="18" customHeight="1">
      <c r="A31" s="173"/>
      <c r="B31" s="246">
        <f t="shared" si="8"/>
        <v>25</v>
      </c>
      <c r="C31" s="245" t="str">
        <f>RELASI!C27</f>
        <v>JOHAN</v>
      </c>
      <c r="D31" s="259">
        <f>SUMIFS(KB[NETTO2],KB[RELASI],C31,KB[TYPE],"A",KB[TANGGAL],"&gt;="&amp;DATE($D$2,MONTH(0),1),KB[TANGGAL],"&lt;"&amp;DATE($D$2+1,MONTH(0),1))</f>
        <v>0</v>
      </c>
      <c r="E31" s="214" t="str">
        <f t="shared" si="1"/>
        <v/>
      </c>
      <c r="F31" s="259">
        <f>SUMIFS(KB[TPEMBAYARAN],KB[RELASI],C31,KB[TYPE],"A",KB[TANGGAL],"&gt;="&amp;DATE($D$2,MONTH(0),1),KB[TANGGAL],"&lt;"&amp;DATE($D$2+1,MONTH(0),1))</f>
        <v>0</v>
      </c>
      <c r="G31" s="252"/>
      <c r="H31" s="214">
        <f>SUMIFS(KB[NETTO2],KB[RELASI],C31,KB[TYPE],"B",KB[TANGGAL],"&gt;="&amp;DATE($D$2,MONTH(0),1),KB[TANGGAL],"&lt;"&amp;DATE($D$2+1,MONTH(0),1))</f>
        <v>0</v>
      </c>
      <c r="I31" s="214" t="str">
        <f t="shared" si="2"/>
        <v/>
      </c>
      <c r="J31" s="214">
        <f>SUMIFS(KB[TPEMBAYARAN],KB[RELASI],C31,KB[TYPE],"B",KB[TANGGAL],"&gt;="&amp;DATE($D$2,MONTH(0),1),KB[TANGGAL],"&lt;"&amp;DATE($D$2+1,MONTH(0),1))</f>
        <v>0</v>
      </c>
      <c r="K31" s="252"/>
      <c r="L31" s="214">
        <f>SUMIFS(KBS[NETTO2],KBS[RELASI],C31,KBS[TANGGAL],"&gt;="&amp;DATE($D$2,MONTH(0),1),KBS[TANGGAL],"&lt;"&amp;DATE($D$2+1,MONTH(0),1))</f>
        <v>0</v>
      </c>
      <c r="M31" s="214" t="str">
        <f t="shared" si="3"/>
        <v/>
      </c>
      <c r="N31" s="214">
        <f>SUMIFS(KBS[TPEMBAYARAN],KBS[RELASI],C31,KBS[TANGGAL],"&gt;="&amp;DATE($D$2,MONTH(0),1),KBS[TANGGAL],"&lt;"&amp;DATE($D$2+1,MONTH(0),1))</f>
        <v>0</v>
      </c>
      <c r="O31" s="252"/>
      <c r="P31" s="259">
        <f>SUMIFS(KPR[NETTOB],KPR[RELASI],C31,KPR[TANGGAL],"&gt;="&amp;DATE($D$2,MONTH(0),1),KPR[TANGGAL],"&lt;"&amp;DATE($D$2+1,MONTH(0),1))</f>
        <v>0</v>
      </c>
      <c r="Q31" s="214" t="str">
        <f t="shared" si="4"/>
        <v/>
      </c>
      <c r="R31" s="214">
        <f>SUMIFS(KPR[TPEMBAYARAN],KPR[RELASI],C31,KPR[TANGGAL],"&gt;="&amp;DATE($D$2,MONTH(0),1),KPR[TANGGAL],"&lt;"&amp;DATE($D$2+1,MONTH(0),1))</f>
        <v>0</v>
      </c>
      <c r="S31" s="252"/>
      <c r="T31" s="214">
        <f>SUMIFS(ARG[NETTO3],ARG[RELASI],C31,ARG[TANGGAL],"&gt;="&amp;DATE($D$2,MONTH(0),1),ARG[TANGGAL],"&lt;"&amp;DATE($D$2+1,MONTH(0),1))</f>
        <v>0</v>
      </c>
      <c r="U31" s="214" t="str">
        <f t="shared" si="5"/>
        <v/>
      </c>
      <c r="V31" s="214">
        <f>SUMIFS(ARG[TPEMBAYARAN],ARG[RELASI],C31,ARG[TANGGAL],"&gt;="&amp;DATE($D$2,MONTH(0),1),ARG[TANGGAL],"&lt;"&amp;DATE($D$2+1,MONTH(0),1))</f>
        <v>0</v>
      </c>
      <c r="W31" s="252"/>
      <c r="X31" s="217">
        <f t="shared" si="6"/>
        <v>0</v>
      </c>
      <c r="Z31" s="292"/>
      <c r="AA31" s="173">
        <f t="shared" si="10"/>
        <v>25</v>
      </c>
      <c r="AB31" s="729" t="str">
        <f>IF(COUNTIFS($AB$7:AB30,INDEX($C$7:$C$56,MATCH(LARGE($X$7:$X$56,AA31),$X$7:$X$56,0)))&gt;0,"",INDEX($C$7:$C$56,MATCH(LARGE($X$7:$X$56,AA31),$X$7:$X$56,0)))</f>
        <v/>
      </c>
      <c r="AC31" s="291">
        <f t="shared" si="7"/>
        <v>0</v>
      </c>
      <c r="AD31" s="173" t="e">
        <f ca="1">PROPER([39]!Terbilang(AC31))</f>
        <v>#NAME?</v>
      </c>
    </row>
    <row r="32" spans="1:30" ht="18" customHeight="1">
      <c r="A32" s="173"/>
      <c r="B32" s="246">
        <f t="shared" si="8"/>
        <v>26</v>
      </c>
      <c r="C32" s="245" t="str">
        <f>RELASI!C28</f>
        <v>JULYASNO</v>
      </c>
      <c r="D32" s="259">
        <f>SUMIFS(KB[NETTO2],KB[RELASI],C32,KB[TYPE],"A",KB[TANGGAL],"&gt;="&amp;DATE($D$2,MONTH(0),1),KB[TANGGAL],"&lt;"&amp;DATE($D$2+1,MONTH(0),1))</f>
        <v>0</v>
      </c>
      <c r="E32" s="214" t="str">
        <f t="shared" si="1"/>
        <v/>
      </c>
      <c r="F32" s="259">
        <f>SUMIFS(KB[TPEMBAYARAN],KB[RELASI],C32,KB[TYPE],"A",KB[TANGGAL],"&gt;="&amp;DATE($D$2,MONTH(0),1),KB[TANGGAL],"&lt;"&amp;DATE($D$2+1,MONTH(0),1))</f>
        <v>0</v>
      </c>
      <c r="G32" s="252"/>
      <c r="H32" s="214">
        <f>SUMIFS(KB[NETTO2],KB[RELASI],C32,KB[TYPE],"B",KB[TANGGAL],"&gt;="&amp;DATE($D$2,MONTH(0),1),KB[TANGGAL],"&lt;"&amp;DATE($D$2+1,MONTH(0),1))</f>
        <v>0</v>
      </c>
      <c r="I32" s="214" t="str">
        <f t="shared" si="2"/>
        <v/>
      </c>
      <c r="J32" s="214">
        <f>SUMIFS(KB[TPEMBAYARAN],KB[RELASI],C32,KB[TYPE],"B",KB[TANGGAL],"&gt;="&amp;DATE($D$2,MONTH(0),1),KB[TANGGAL],"&lt;"&amp;DATE($D$2+1,MONTH(0),1))</f>
        <v>0</v>
      </c>
      <c r="K32" s="252"/>
      <c r="L32" s="214">
        <f>SUMIFS(KBS[NETTO2],KBS[RELASI],C32,KBS[TANGGAL],"&gt;="&amp;DATE($D$2,MONTH(0),1),KBS[TANGGAL],"&lt;"&amp;DATE($D$2+1,MONTH(0),1))</f>
        <v>0</v>
      </c>
      <c r="M32" s="214" t="str">
        <f t="shared" si="3"/>
        <v/>
      </c>
      <c r="N32" s="214">
        <f>SUMIFS(KBS[TPEMBAYARAN],KBS[RELASI],C32,KBS[TANGGAL],"&gt;="&amp;DATE($D$2,MONTH(0),1),KBS[TANGGAL],"&lt;"&amp;DATE($D$2+1,MONTH(0),1))</f>
        <v>0</v>
      </c>
      <c r="O32" s="252"/>
      <c r="P32" s="259">
        <f>SUMIFS(KPR[NETTOB],KPR[RELASI],C32,KPR[TANGGAL],"&gt;="&amp;DATE($D$2,MONTH(0),1),KPR[TANGGAL],"&lt;"&amp;DATE($D$2+1,MONTH(0),1))</f>
        <v>0</v>
      </c>
      <c r="Q32" s="214" t="str">
        <f t="shared" si="4"/>
        <v/>
      </c>
      <c r="R32" s="214">
        <f>SUMIFS(KPR[TPEMBAYARAN],KPR[RELASI],C32,KPR[TANGGAL],"&gt;="&amp;DATE($D$2,MONTH(0),1),KPR[TANGGAL],"&lt;"&amp;DATE($D$2+1,MONTH(0),1))</f>
        <v>0</v>
      </c>
      <c r="S32" s="252"/>
      <c r="T32" s="214">
        <f>SUMIFS(ARG[NETTO3],ARG[RELASI],C32,ARG[TANGGAL],"&gt;="&amp;DATE($D$2,MONTH(0),1),ARG[TANGGAL],"&lt;"&amp;DATE($D$2+1,MONTH(0),1))</f>
        <v>0</v>
      </c>
      <c r="U32" s="214" t="str">
        <f t="shared" si="5"/>
        <v/>
      </c>
      <c r="V32" s="214">
        <f>SUMIFS(ARG[TPEMBAYARAN],ARG[RELASI],C32,ARG[TANGGAL],"&gt;="&amp;DATE($D$2,MONTH(0),1),ARG[TANGGAL],"&lt;"&amp;DATE($D$2+1,MONTH(0),1))</f>
        <v>0</v>
      </c>
      <c r="W32" s="252"/>
      <c r="X32" s="217">
        <f t="shared" si="6"/>
        <v>0</v>
      </c>
      <c r="Z32" s="292"/>
      <c r="AA32" s="173">
        <f t="shared" si="10"/>
        <v>26</v>
      </c>
      <c r="AB32" s="729" t="str">
        <f>IF(COUNTIFS($AB$7:AB31,INDEX($C$7:$C$56,MATCH(LARGE($X$7:$X$56,AA32),$X$7:$X$56,0)))&gt;0,"",INDEX($C$7:$C$56,MATCH(LARGE($X$7:$X$56,AA32),$X$7:$X$56,0)))</f>
        <v/>
      </c>
      <c r="AC32" s="291">
        <f t="shared" si="7"/>
        <v>0</v>
      </c>
      <c r="AD32" s="173" t="e">
        <f ca="1">PROPER([39]!Terbilang(AC32))</f>
        <v>#NAME?</v>
      </c>
    </row>
    <row r="33" spans="1:30" ht="18" customHeight="1">
      <c r="A33" s="173"/>
      <c r="B33" s="246">
        <f t="shared" si="8"/>
        <v>27</v>
      </c>
      <c r="C33" s="245" t="str">
        <f>RELASI!C29</f>
        <v>M.ALI-KTM</v>
      </c>
      <c r="D33" s="259">
        <f>SUMIFS(KB[NETTO2],KB[RELASI],C33,KB[TYPE],"A",KB[TANGGAL],"&gt;="&amp;DATE($D$2,MONTH(0),1),KB[TANGGAL],"&lt;"&amp;DATE($D$2+1,MONTH(0),1))</f>
        <v>0</v>
      </c>
      <c r="E33" s="214" t="str">
        <f t="shared" si="1"/>
        <v/>
      </c>
      <c r="F33" s="259">
        <f>SUMIFS(KB[TPEMBAYARAN],KB[RELASI],C33,KB[TYPE],"A",KB[TANGGAL],"&gt;="&amp;DATE($D$2,MONTH(0),1),KB[TANGGAL],"&lt;"&amp;DATE($D$2+1,MONTH(0),1))</f>
        <v>0</v>
      </c>
      <c r="G33" s="252"/>
      <c r="H33" s="214">
        <f>SUMIFS(KB[NETTO2],KB[RELASI],C33,KB[TYPE],"B",KB[TANGGAL],"&gt;="&amp;DATE($D$2,MONTH(0),1),KB[TANGGAL],"&lt;"&amp;DATE($D$2+1,MONTH(0),1))</f>
        <v>0</v>
      </c>
      <c r="I33" s="214" t="str">
        <f t="shared" si="2"/>
        <v/>
      </c>
      <c r="J33" s="214">
        <f>SUMIFS(KB[TPEMBAYARAN],KB[RELASI],C33,KB[TYPE],"B",KB[TANGGAL],"&gt;="&amp;DATE($D$2,MONTH(0),1),KB[TANGGAL],"&lt;"&amp;DATE($D$2+1,MONTH(0),1))</f>
        <v>0</v>
      </c>
      <c r="K33" s="252"/>
      <c r="L33" s="214">
        <f>SUMIFS(KBS[NETTO2],KBS[RELASI],C33,KBS[TANGGAL],"&gt;="&amp;DATE($D$2,MONTH(0),1),KBS[TANGGAL],"&lt;"&amp;DATE($D$2+1,MONTH(0),1))</f>
        <v>0</v>
      </c>
      <c r="M33" s="214" t="str">
        <f t="shared" si="3"/>
        <v/>
      </c>
      <c r="N33" s="214">
        <f>SUMIFS(KBS[TPEMBAYARAN],KBS[RELASI],C33,KBS[TANGGAL],"&gt;="&amp;DATE($D$2,MONTH(0),1),KBS[TANGGAL],"&lt;"&amp;DATE($D$2+1,MONTH(0),1))</f>
        <v>0</v>
      </c>
      <c r="O33" s="252"/>
      <c r="P33" s="259">
        <f>SUMIFS(KPR[NETTOB],KPR[RELASI],C33,KPR[TANGGAL],"&gt;="&amp;DATE($D$2,MONTH(0),1),KPR[TANGGAL],"&lt;"&amp;DATE($D$2+1,MONTH(0),1))</f>
        <v>0</v>
      </c>
      <c r="Q33" s="214" t="str">
        <f t="shared" si="4"/>
        <v/>
      </c>
      <c r="R33" s="214">
        <f>SUMIFS(KPR[TPEMBAYARAN],KPR[RELASI],C33,KPR[TANGGAL],"&gt;="&amp;DATE($D$2,MONTH(0),1),KPR[TANGGAL],"&lt;"&amp;DATE($D$2+1,MONTH(0),1))</f>
        <v>0</v>
      </c>
      <c r="S33" s="252"/>
      <c r="T33" s="214">
        <f>SUMIFS(ARG[NETTO3],ARG[RELASI],C33,ARG[TANGGAL],"&gt;="&amp;DATE($D$2,MONTH(0),1),ARG[TANGGAL],"&lt;"&amp;DATE($D$2+1,MONTH(0),1))</f>
        <v>0</v>
      </c>
      <c r="U33" s="214" t="str">
        <f t="shared" si="5"/>
        <v/>
      </c>
      <c r="V33" s="214">
        <f>SUMIFS(ARG[TPEMBAYARAN],ARG[RELASI],C33,ARG[TANGGAL],"&gt;="&amp;DATE($D$2,MONTH(0),1),ARG[TANGGAL],"&lt;"&amp;DATE($D$2+1,MONTH(0),1))</f>
        <v>0</v>
      </c>
      <c r="W33" s="252"/>
      <c r="X33" s="217">
        <f t="shared" si="6"/>
        <v>0</v>
      </c>
      <c r="Z33" s="292"/>
      <c r="AA33" s="173">
        <f t="shared" si="10"/>
        <v>27</v>
      </c>
      <c r="AB33" s="729" t="str">
        <f>IF(COUNTIFS($AB$7:AB32,INDEX($C$7:$C$56,MATCH(LARGE($X$7:$X$56,AA33),$X$7:$X$56,0)))&gt;0,"",INDEX($C$7:$C$56,MATCH(LARGE($X$7:$X$56,AA33),$X$7:$X$56,0)))</f>
        <v/>
      </c>
      <c r="AC33" s="291">
        <f t="shared" si="7"/>
        <v>0</v>
      </c>
      <c r="AD33" s="173" t="e">
        <f ca="1">PROPER([39]!Terbilang(AC33))</f>
        <v>#NAME?</v>
      </c>
    </row>
    <row r="34" spans="1:30" ht="18" customHeight="1">
      <c r="A34" s="173"/>
      <c r="B34" s="246">
        <f t="shared" si="8"/>
        <v>28</v>
      </c>
      <c r="C34" s="245" t="str">
        <f>RELASI!C30</f>
        <v>M.AMIN</v>
      </c>
      <c r="D34" s="259">
        <f>SUMIFS(KB[NETTO2],KB[RELASI],C34,KB[TYPE],"A",KB[TANGGAL],"&gt;="&amp;DATE($D$2,MONTH(0),1),KB[TANGGAL],"&lt;"&amp;DATE($D$2+1,MONTH(0),1))</f>
        <v>0</v>
      </c>
      <c r="E34" s="214" t="str">
        <f t="shared" si="1"/>
        <v/>
      </c>
      <c r="F34" s="259">
        <f>SUMIFS(KB[TPEMBAYARAN],KB[RELASI],C34,KB[TYPE],"A",KB[TANGGAL],"&gt;="&amp;DATE($D$2,MONTH(0),1),KB[TANGGAL],"&lt;"&amp;DATE($D$2+1,MONTH(0),1))</f>
        <v>0</v>
      </c>
      <c r="G34" s="252"/>
      <c r="H34" s="214">
        <f>SUMIFS(KB[NETTO2],KB[RELASI],C34,KB[TYPE],"B",KB[TANGGAL],"&gt;="&amp;DATE($D$2,MONTH(0),1),KB[TANGGAL],"&lt;"&amp;DATE($D$2+1,MONTH(0),1))</f>
        <v>0</v>
      </c>
      <c r="I34" s="214" t="str">
        <f t="shared" si="2"/>
        <v/>
      </c>
      <c r="J34" s="214">
        <f>SUMIFS(KB[TPEMBAYARAN],KB[RELASI],C34,KB[TYPE],"B",KB[TANGGAL],"&gt;="&amp;DATE($D$2,MONTH(0),1),KB[TANGGAL],"&lt;"&amp;DATE($D$2+1,MONTH(0),1))</f>
        <v>0</v>
      </c>
      <c r="K34" s="252"/>
      <c r="L34" s="214">
        <f>SUMIFS(KBS[NETTO2],KBS[RELASI],C34,KBS[TANGGAL],"&gt;="&amp;DATE($D$2,MONTH(0),1),KBS[TANGGAL],"&lt;"&amp;DATE($D$2+1,MONTH(0),1))</f>
        <v>0</v>
      </c>
      <c r="M34" s="214" t="str">
        <f t="shared" si="3"/>
        <v/>
      </c>
      <c r="N34" s="214">
        <f>SUMIFS(KBS[TPEMBAYARAN],KBS[RELASI],C34,KBS[TANGGAL],"&gt;="&amp;DATE($D$2,MONTH(0),1),KBS[TANGGAL],"&lt;"&amp;DATE($D$2+1,MONTH(0),1))</f>
        <v>0</v>
      </c>
      <c r="O34" s="252"/>
      <c r="P34" s="259">
        <f>SUMIFS(KPR[NETTOB],KPR[RELASI],C34,KPR[TANGGAL],"&gt;="&amp;DATE($D$2,MONTH(0),1),KPR[TANGGAL],"&lt;"&amp;DATE($D$2+1,MONTH(0),1))</f>
        <v>0</v>
      </c>
      <c r="Q34" s="214" t="str">
        <f t="shared" si="4"/>
        <v/>
      </c>
      <c r="R34" s="214">
        <f>SUMIFS(KPR[TPEMBAYARAN],KPR[RELASI],C34,KPR[TANGGAL],"&gt;="&amp;DATE($D$2,MONTH(0),1),KPR[TANGGAL],"&lt;"&amp;DATE($D$2+1,MONTH(0),1))</f>
        <v>0</v>
      </c>
      <c r="S34" s="252"/>
      <c r="T34" s="214">
        <f>SUMIFS(ARG[NETTO3],ARG[RELASI],C34,ARG[TANGGAL],"&gt;="&amp;DATE($D$2,MONTH(0),1),ARG[TANGGAL],"&lt;"&amp;DATE($D$2+1,MONTH(0),1))</f>
        <v>0</v>
      </c>
      <c r="U34" s="214" t="str">
        <f t="shared" si="5"/>
        <v/>
      </c>
      <c r="V34" s="214">
        <f>SUMIFS(ARG[TPEMBAYARAN],ARG[RELASI],C34,ARG[TANGGAL],"&gt;="&amp;DATE($D$2,MONTH(0),1),ARG[TANGGAL],"&lt;"&amp;DATE($D$2+1,MONTH(0),1))</f>
        <v>0</v>
      </c>
      <c r="W34" s="252"/>
      <c r="X34" s="217">
        <f t="shared" si="6"/>
        <v>0</v>
      </c>
      <c r="Z34" s="292"/>
      <c r="AA34" s="173">
        <f t="shared" si="10"/>
        <v>28</v>
      </c>
      <c r="AB34" s="729" t="str">
        <f>IF(COUNTIFS($AB$7:AB33,INDEX($C$7:$C$56,MATCH(LARGE($X$7:$X$56,AA34),$X$7:$X$56,0)))&gt;0,"",INDEX($C$7:$C$56,MATCH(LARGE($X$7:$X$56,AA34),$X$7:$X$56,0)))</f>
        <v/>
      </c>
      <c r="AC34" s="291">
        <f t="shared" si="7"/>
        <v>0</v>
      </c>
      <c r="AD34" s="173" t="e">
        <f ca="1">PROPER([39]!Terbilang(AC34))</f>
        <v>#NAME?</v>
      </c>
    </row>
    <row r="35" spans="1:30" ht="18" customHeight="1">
      <c r="A35" s="173"/>
      <c r="B35" s="246">
        <f t="shared" si="8"/>
        <v>29</v>
      </c>
      <c r="C35" s="245" t="str">
        <f>RELASI!C31</f>
        <v>M.ASNAWI</v>
      </c>
      <c r="D35" s="259">
        <f>SUMIFS(KB[NETTO2],KB[RELASI],C35,KB[TYPE],"A",KB[TANGGAL],"&gt;="&amp;DATE($D$2,MONTH(0),1),KB[TANGGAL],"&lt;"&amp;DATE($D$2+1,MONTH(0),1))</f>
        <v>0</v>
      </c>
      <c r="E35" s="214" t="str">
        <f t="shared" si="1"/>
        <v/>
      </c>
      <c r="F35" s="259">
        <f>SUMIFS(KB[TPEMBAYARAN],KB[RELASI],C35,KB[TYPE],"A",KB[TANGGAL],"&gt;="&amp;DATE($D$2,MONTH(0),1),KB[TANGGAL],"&lt;"&amp;DATE($D$2+1,MONTH(0),1))</f>
        <v>0</v>
      </c>
      <c r="G35" s="252"/>
      <c r="H35" s="214">
        <f>SUMIFS(KB[NETTO2],KB[RELASI],C35,KB[TYPE],"B",KB[TANGGAL],"&gt;="&amp;DATE($D$2,MONTH(0),1),KB[TANGGAL],"&lt;"&amp;DATE($D$2+1,MONTH(0),1))</f>
        <v>0</v>
      </c>
      <c r="I35" s="214" t="str">
        <f t="shared" si="2"/>
        <v/>
      </c>
      <c r="J35" s="214">
        <f>SUMIFS(KB[TPEMBAYARAN],KB[RELASI],C35,KB[TYPE],"B",KB[TANGGAL],"&gt;="&amp;DATE($D$2,MONTH(0),1),KB[TANGGAL],"&lt;"&amp;DATE($D$2+1,MONTH(0),1))</f>
        <v>0</v>
      </c>
      <c r="K35" s="252"/>
      <c r="L35" s="214">
        <f>SUMIFS(KBS[NETTO2],KBS[RELASI],C35,KBS[TANGGAL],"&gt;="&amp;DATE($D$2,MONTH(0),1),KBS[TANGGAL],"&lt;"&amp;DATE($D$2+1,MONTH(0),1))</f>
        <v>0</v>
      </c>
      <c r="M35" s="214" t="str">
        <f t="shared" si="3"/>
        <v/>
      </c>
      <c r="N35" s="214">
        <f>SUMIFS(KBS[TPEMBAYARAN],KBS[RELASI],C35,KBS[TANGGAL],"&gt;="&amp;DATE($D$2,MONTH(0),1),KBS[TANGGAL],"&lt;"&amp;DATE($D$2+1,MONTH(0),1))</f>
        <v>0</v>
      </c>
      <c r="O35" s="252"/>
      <c r="P35" s="259">
        <f>SUMIFS(KPR[NETTOB],KPR[RELASI],C35,KPR[TANGGAL],"&gt;="&amp;DATE($D$2,MONTH(0),1),KPR[TANGGAL],"&lt;"&amp;DATE($D$2+1,MONTH(0),1))</f>
        <v>0</v>
      </c>
      <c r="Q35" s="214" t="str">
        <f t="shared" si="4"/>
        <v/>
      </c>
      <c r="R35" s="214">
        <f>SUMIFS(KPR[TPEMBAYARAN],KPR[RELASI],C35,KPR[TANGGAL],"&gt;="&amp;DATE($D$2,MONTH(0),1),KPR[TANGGAL],"&lt;"&amp;DATE($D$2+1,MONTH(0),1))</f>
        <v>0</v>
      </c>
      <c r="S35" s="252"/>
      <c r="T35" s="214">
        <f>SUMIFS(ARG[NETTO3],ARG[RELASI],C35,ARG[TANGGAL],"&gt;="&amp;DATE($D$2,MONTH(0),1),ARG[TANGGAL],"&lt;"&amp;DATE($D$2+1,MONTH(0),1))</f>
        <v>0</v>
      </c>
      <c r="U35" s="214" t="str">
        <f t="shared" si="5"/>
        <v/>
      </c>
      <c r="V35" s="214">
        <f>SUMIFS(ARG[TPEMBAYARAN],ARG[RELASI],C35,ARG[TANGGAL],"&gt;="&amp;DATE($D$2,MONTH(0),1),ARG[TANGGAL],"&lt;"&amp;DATE($D$2+1,MONTH(0),1))</f>
        <v>0</v>
      </c>
      <c r="W35" s="252"/>
      <c r="X35" s="217">
        <f t="shared" si="6"/>
        <v>0</v>
      </c>
      <c r="Z35" s="292"/>
      <c r="AA35" s="173">
        <f t="shared" si="10"/>
        <v>29</v>
      </c>
      <c r="AB35" s="729" t="str">
        <f>IF(COUNTIFS($AB$7:AB34,INDEX($C$7:$C$56,MATCH(LARGE($X$7:$X$56,AA35),$X$7:$X$56,0)))&gt;0,"",INDEX($C$7:$C$56,MATCH(LARGE($X$7:$X$56,AA35),$X$7:$X$56,0)))</f>
        <v/>
      </c>
      <c r="AC35" s="291">
        <f t="shared" si="7"/>
        <v>0</v>
      </c>
      <c r="AD35" s="173" t="e">
        <f ca="1">PROPER([39]!Terbilang(AC35))</f>
        <v>#NAME?</v>
      </c>
    </row>
    <row r="36" spans="1:30" ht="18" customHeight="1">
      <c r="A36" s="173"/>
      <c r="B36" s="246">
        <f t="shared" si="8"/>
        <v>30</v>
      </c>
      <c r="C36" s="245" t="str">
        <f>RELASI!C32</f>
        <v>M.FUADI R.</v>
      </c>
      <c r="D36" s="259">
        <f>SUMIFS(KB[NETTO2],KB[RELASI],C36,KB[TYPE],"A",KB[TANGGAL],"&gt;="&amp;DATE($D$2,MONTH(0),1),KB[TANGGAL],"&lt;"&amp;DATE($D$2+1,MONTH(0),1))</f>
        <v>0</v>
      </c>
      <c r="E36" s="214" t="str">
        <f t="shared" si="1"/>
        <v/>
      </c>
      <c r="F36" s="259">
        <f>SUMIFS(KB[TPEMBAYARAN],KB[RELASI],C36,KB[TYPE],"A",KB[TANGGAL],"&gt;="&amp;DATE($D$2,MONTH(0),1),KB[TANGGAL],"&lt;"&amp;DATE($D$2+1,MONTH(0),1))</f>
        <v>0</v>
      </c>
      <c r="G36" s="252"/>
      <c r="H36" s="214">
        <f>SUMIFS(KB[NETTO2],KB[RELASI],C36,KB[TYPE],"B",KB[TANGGAL],"&gt;="&amp;DATE($D$2,MONTH(0),1),KB[TANGGAL],"&lt;"&amp;DATE($D$2+1,MONTH(0),1))</f>
        <v>0</v>
      </c>
      <c r="I36" s="214" t="str">
        <f t="shared" si="2"/>
        <v/>
      </c>
      <c r="J36" s="214">
        <f>SUMIFS(KB[TPEMBAYARAN],KB[RELASI],C36,KB[TYPE],"B",KB[TANGGAL],"&gt;="&amp;DATE($D$2,MONTH(0),1),KB[TANGGAL],"&lt;"&amp;DATE($D$2+1,MONTH(0),1))</f>
        <v>0</v>
      </c>
      <c r="K36" s="252"/>
      <c r="L36" s="214">
        <f>SUMIFS(KBS[NETTO2],KBS[RELASI],C36,KBS[TANGGAL],"&gt;="&amp;DATE($D$2,MONTH(0),1),KBS[TANGGAL],"&lt;"&amp;DATE($D$2+1,MONTH(0),1))</f>
        <v>0</v>
      </c>
      <c r="M36" s="214" t="str">
        <f t="shared" si="3"/>
        <v/>
      </c>
      <c r="N36" s="214">
        <f>SUMIFS(KBS[TPEMBAYARAN],KBS[RELASI],C36,KBS[TANGGAL],"&gt;="&amp;DATE($D$2,MONTH(0),1),KBS[TANGGAL],"&lt;"&amp;DATE($D$2+1,MONTH(0),1))</f>
        <v>0</v>
      </c>
      <c r="O36" s="252"/>
      <c r="P36" s="259">
        <f>SUMIFS(KPR[NETTOB],KPR[RELASI],C36,KPR[TANGGAL],"&gt;="&amp;DATE($D$2,MONTH(0),1),KPR[TANGGAL],"&lt;"&amp;DATE($D$2+1,MONTH(0),1))</f>
        <v>0</v>
      </c>
      <c r="Q36" s="214" t="str">
        <f t="shared" si="4"/>
        <v/>
      </c>
      <c r="R36" s="214">
        <f>SUMIFS(KPR[TPEMBAYARAN],KPR[RELASI],C36,KPR[TANGGAL],"&gt;="&amp;DATE($D$2,MONTH(0),1),KPR[TANGGAL],"&lt;"&amp;DATE($D$2+1,MONTH(0),1))</f>
        <v>0</v>
      </c>
      <c r="S36" s="252"/>
      <c r="T36" s="214">
        <f>SUMIFS(ARG[NETTO3],ARG[RELASI],C36,ARG[TANGGAL],"&gt;="&amp;DATE($D$2,MONTH(0),1),ARG[TANGGAL],"&lt;"&amp;DATE($D$2+1,MONTH(0),1))</f>
        <v>0</v>
      </c>
      <c r="U36" s="214" t="str">
        <f t="shared" si="5"/>
        <v/>
      </c>
      <c r="V36" s="214">
        <f>SUMIFS(ARG[TPEMBAYARAN],ARG[RELASI],C36,ARG[TANGGAL],"&gt;="&amp;DATE($D$2,MONTH(0),1),ARG[TANGGAL],"&lt;"&amp;DATE($D$2+1,MONTH(0),1))</f>
        <v>0</v>
      </c>
      <c r="W36" s="252"/>
      <c r="X36" s="217">
        <f t="shared" si="6"/>
        <v>0</v>
      </c>
      <c r="Z36" s="292"/>
      <c r="AA36" s="173">
        <f t="shared" si="10"/>
        <v>30</v>
      </c>
      <c r="AB36" s="729" t="str">
        <f>IF(COUNTIFS($AB$7:AB35,INDEX($C$7:$C$56,MATCH(LARGE($X$7:$X$56,AA36),$X$7:$X$56,0)))&gt;0,"",INDEX($C$7:$C$56,MATCH(LARGE($X$7:$X$56,AA36),$X$7:$X$56,0)))</f>
        <v/>
      </c>
      <c r="AC36" s="291">
        <f t="shared" si="7"/>
        <v>0</v>
      </c>
      <c r="AD36" s="173" t="e">
        <f ca="1">PROPER([39]!Terbilang(AC36))</f>
        <v>#NAME?</v>
      </c>
    </row>
    <row r="37" spans="1:30" ht="18" customHeight="1">
      <c r="A37" s="173"/>
      <c r="B37" s="246">
        <f t="shared" si="8"/>
        <v>31</v>
      </c>
      <c r="C37" s="245" t="str">
        <f>RELASI!C33</f>
        <v>M.RIDWAN ARSYAD</v>
      </c>
      <c r="D37" s="259">
        <f>SUMIFS(KB[NETTO2],KB[RELASI],C37,KB[TYPE],"A",KB[TANGGAL],"&gt;="&amp;DATE($D$2,MONTH(0),1),KB[TANGGAL],"&lt;"&amp;DATE($D$2+1,MONTH(0),1))</f>
        <v>0</v>
      </c>
      <c r="E37" s="214" t="str">
        <f t="shared" si="1"/>
        <v/>
      </c>
      <c r="F37" s="259">
        <f>SUMIFS(KB[TPEMBAYARAN],KB[RELASI],C37,KB[TYPE],"A",KB[TANGGAL],"&gt;="&amp;DATE($D$2,MONTH(0),1),KB[TANGGAL],"&lt;"&amp;DATE($D$2+1,MONTH(0),1))</f>
        <v>0</v>
      </c>
      <c r="G37" s="252"/>
      <c r="H37" s="214">
        <f>SUMIFS(KB[NETTO2],KB[RELASI],C37,KB[TYPE],"B",KB[TANGGAL],"&gt;="&amp;DATE($D$2,MONTH(0),1),KB[TANGGAL],"&lt;"&amp;DATE($D$2+1,MONTH(0),1))</f>
        <v>0</v>
      </c>
      <c r="I37" s="214" t="str">
        <f t="shared" si="2"/>
        <v/>
      </c>
      <c r="J37" s="214">
        <f>SUMIFS(KB[TPEMBAYARAN],KB[RELASI],C37,KB[TYPE],"B",KB[TANGGAL],"&gt;="&amp;DATE($D$2,MONTH(0),1),KB[TANGGAL],"&lt;"&amp;DATE($D$2+1,MONTH(0),1))</f>
        <v>0</v>
      </c>
      <c r="K37" s="252"/>
      <c r="L37" s="214">
        <f>SUMIFS(KBS[NETTO2],KBS[RELASI],C37,KBS[TANGGAL],"&gt;="&amp;DATE($D$2,MONTH(0),1),KBS[TANGGAL],"&lt;"&amp;DATE($D$2+1,MONTH(0),1))</f>
        <v>0</v>
      </c>
      <c r="M37" s="214" t="str">
        <f t="shared" si="3"/>
        <v/>
      </c>
      <c r="N37" s="214">
        <f>SUMIFS(KBS[TPEMBAYARAN],KBS[RELASI],C37,KBS[TANGGAL],"&gt;="&amp;DATE($D$2,MONTH(0),1),KBS[TANGGAL],"&lt;"&amp;DATE($D$2+1,MONTH(0),1))</f>
        <v>0</v>
      </c>
      <c r="O37" s="252"/>
      <c r="P37" s="259">
        <f>SUMIFS(KPR[NETTOB],KPR[RELASI],C37,KPR[TANGGAL],"&gt;="&amp;DATE($D$2,MONTH(0),1),KPR[TANGGAL],"&lt;"&amp;DATE($D$2+1,MONTH(0),1))</f>
        <v>0</v>
      </c>
      <c r="Q37" s="214" t="str">
        <f t="shared" si="4"/>
        <v/>
      </c>
      <c r="R37" s="214">
        <f>SUMIFS(KPR[TPEMBAYARAN],KPR[RELASI],C37,KPR[TANGGAL],"&gt;="&amp;DATE($D$2,MONTH(0),1),KPR[TANGGAL],"&lt;"&amp;DATE($D$2+1,MONTH(0),1))</f>
        <v>0</v>
      </c>
      <c r="S37" s="252"/>
      <c r="T37" s="214">
        <f>SUMIFS(ARG[NETTO3],ARG[RELASI],C37,ARG[TANGGAL],"&gt;="&amp;DATE($D$2,MONTH(0),1),ARG[TANGGAL],"&lt;"&amp;DATE($D$2+1,MONTH(0),1))</f>
        <v>0</v>
      </c>
      <c r="U37" s="214" t="str">
        <f t="shared" si="5"/>
        <v/>
      </c>
      <c r="V37" s="214">
        <f>SUMIFS(ARG[TPEMBAYARAN],ARG[RELASI],C37,ARG[TANGGAL],"&gt;="&amp;DATE($D$2,MONTH(0),1),ARG[TANGGAL],"&lt;"&amp;DATE($D$2+1,MONTH(0),1))</f>
        <v>0</v>
      </c>
      <c r="W37" s="252"/>
      <c r="X37" s="217">
        <f t="shared" si="6"/>
        <v>0</v>
      </c>
      <c r="Z37" s="292"/>
      <c r="AA37" s="173">
        <f t="shared" si="10"/>
        <v>31</v>
      </c>
      <c r="AB37" s="729" t="str">
        <f>IF(COUNTIFS($AB$7:AB36,INDEX($C$7:$C$56,MATCH(LARGE($X$7:$X$56,AA37),$X$7:$X$56,0)))&gt;0,"",INDEX($C$7:$C$56,MATCH(LARGE($X$7:$X$56,AA37),$X$7:$X$56,0)))</f>
        <v/>
      </c>
      <c r="AC37" s="291">
        <f t="shared" si="7"/>
        <v>0</v>
      </c>
      <c r="AD37" s="173" t="e">
        <f ca="1">PROPER([39]!Terbilang(AC37))</f>
        <v>#NAME?</v>
      </c>
    </row>
    <row r="38" spans="1:30" ht="18" customHeight="1">
      <c r="A38" s="173"/>
      <c r="B38" s="246">
        <f t="shared" si="8"/>
        <v>32</v>
      </c>
      <c r="C38" s="245" t="str">
        <f>RELASI!C34</f>
        <v>MARTONO</v>
      </c>
      <c r="D38" s="259">
        <f>SUMIFS(KB[NETTO2],KB[RELASI],C38,KB[TYPE],"A",KB[TANGGAL],"&gt;="&amp;DATE($D$2,MONTH(0),1),KB[TANGGAL],"&lt;"&amp;DATE($D$2+1,MONTH(0),1))</f>
        <v>0</v>
      </c>
      <c r="E38" s="214" t="str">
        <f t="shared" si="1"/>
        <v/>
      </c>
      <c r="F38" s="259">
        <f>SUMIFS(KB[TPEMBAYARAN],KB[RELASI],C38,KB[TYPE],"A",KB[TANGGAL],"&gt;="&amp;DATE($D$2,MONTH(0),1),KB[TANGGAL],"&lt;"&amp;DATE($D$2+1,MONTH(0),1))</f>
        <v>0</v>
      </c>
      <c r="G38" s="252"/>
      <c r="H38" s="214">
        <f>SUMIFS(KB[NETTO2],KB[RELASI],C38,KB[TYPE],"B",KB[TANGGAL],"&gt;="&amp;DATE($D$2,MONTH(0),1),KB[TANGGAL],"&lt;"&amp;DATE($D$2+1,MONTH(0),1))</f>
        <v>0</v>
      </c>
      <c r="I38" s="214" t="str">
        <f t="shared" si="2"/>
        <v/>
      </c>
      <c r="J38" s="214">
        <f>SUMIFS(KB[TPEMBAYARAN],KB[RELASI],C38,KB[TYPE],"B",KB[TANGGAL],"&gt;="&amp;DATE($D$2,MONTH(0),1),KB[TANGGAL],"&lt;"&amp;DATE($D$2+1,MONTH(0),1))</f>
        <v>0</v>
      </c>
      <c r="K38" s="252"/>
      <c r="L38" s="214">
        <f>SUMIFS(KBS[NETTO2],KBS[RELASI],C38,KBS[TANGGAL],"&gt;="&amp;DATE($D$2,MONTH(0),1),KBS[TANGGAL],"&lt;"&amp;DATE($D$2+1,MONTH(0),1))</f>
        <v>0</v>
      </c>
      <c r="M38" s="214" t="str">
        <f t="shared" si="3"/>
        <v/>
      </c>
      <c r="N38" s="214">
        <f>SUMIFS(KBS[TPEMBAYARAN],KBS[RELASI],C38,KBS[TANGGAL],"&gt;="&amp;DATE($D$2,MONTH(0),1),KBS[TANGGAL],"&lt;"&amp;DATE($D$2+1,MONTH(0),1))</f>
        <v>0</v>
      </c>
      <c r="O38" s="252"/>
      <c r="P38" s="259">
        <f>SUMIFS(KPR[NETTOB],KPR[RELASI],C38,KPR[TANGGAL],"&gt;="&amp;DATE($D$2,MONTH(0),1),KPR[TANGGAL],"&lt;"&amp;DATE($D$2+1,MONTH(0),1))</f>
        <v>0</v>
      </c>
      <c r="Q38" s="214" t="str">
        <f t="shared" si="4"/>
        <v/>
      </c>
      <c r="R38" s="214">
        <f>SUMIFS(KPR[TPEMBAYARAN],KPR[RELASI],C38,KPR[TANGGAL],"&gt;="&amp;DATE($D$2,MONTH(0),1),KPR[TANGGAL],"&lt;"&amp;DATE($D$2+1,MONTH(0),1))</f>
        <v>0</v>
      </c>
      <c r="S38" s="252"/>
      <c r="T38" s="214">
        <f>SUMIFS(ARG[NETTO3],ARG[RELASI],C38,ARG[TANGGAL],"&gt;="&amp;DATE($D$2,MONTH(0),1),ARG[TANGGAL],"&lt;"&amp;DATE($D$2+1,MONTH(0),1))</f>
        <v>0</v>
      </c>
      <c r="U38" s="214" t="str">
        <f t="shared" si="5"/>
        <v/>
      </c>
      <c r="V38" s="214">
        <f>SUMIFS(ARG[TPEMBAYARAN],ARG[RELASI],C38,ARG[TANGGAL],"&gt;="&amp;DATE($D$2,MONTH(0),1),ARG[TANGGAL],"&lt;"&amp;DATE($D$2+1,MONTH(0),1))</f>
        <v>0</v>
      </c>
      <c r="W38" s="252"/>
      <c r="X38" s="217">
        <f t="shared" si="6"/>
        <v>0</v>
      </c>
      <c r="Z38" s="292"/>
      <c r="AA38" s="173">
        <f t="shared" si="10"/>
        <v>32</v>
      </c>
      <c r="AB38" s="729" t="str">
        <f>IF(COUNTIFS($AB$7:AB37,INDEX($C$7:$C$56,MATCH(LARGE($X$7:$X$56,AA38),$X$7:$X$56,0)))&gt;0,"",INDEX($C$7:$C$56,MATCH(LARGE($X$7:$X$56,AA38),$X$7:$X$56,0)))</f>
        <v/>
      </c>
      <c r="AC38" s="291">
        <f t="shared" si="7"/>
        <v>0</v>
      </c>
      <c r="AD38" s="173" t="e">
        <f ca="1">PROPER([39]!Terbilang(AC38))</f>
        <v>#NAME?</v>
      </c>
    </row>
    <row r="39" spans="1:30" ht="18" customHeight="1">
      <c r="A39" s="173"/>
      <c r="B39" s="246">
        <f t="shared" si="8"/>
        <v>33</v>
      </c>
      <c r="C39" s="245" t="str">
        <f>RELASI!C35</f>
        <v>MASRI</v>
      </c>
      <c r="D39" s="259">
        <f>SUMIFS(KB[NETTO2],KB[RELASI],C39,KB[TYPE],"A",KB[TANGGAL],"&gt;="&amp;DATE($D$2,MONTH(0),1),KB[TANGGAL],"&lt;"&amp;DATE($D$2+1,MONTH(0),1))</f>
        <v>0</v>
      </c>
      <c r="E39" s="214" t="str">
        <f t="shared" si="1"/>
        <v/>
      </c>
      <c r="F39" s="259">
        <f>SUMIFS(KB[TPEMBAYARAN],KB[RELASI],C39,KB[TYPE],"A",KB[TANGGAL],"&gt;="&amp;DATE($D$2,MONTH(0),1),KB[TANGGAL],"&lt;"&amp;DATE($D$2+1,MONTH(0),1))</f>
        <v>0</v>
      </c>
      <c r="G39" s="252"/>
      <c r="H39" s="214">
        <f>SUMIFS(KB[NETTO2],KB[RELASI],C39,KB[TYPE],"B",KB[TANGGAL],"&gt;="&amp;DATE($D$2,MONTH(0),1),KB[TANGGAL],"&lt;"&amp;DATE($D$2+1,MONTH(0),1))</f>
        <v>0</v>
      </c>
      <c r="I39" s="214" t="str">
        <f t="shared" si="2"/>
        <v/>
      </c>
      <c r="J39" s="214">
        <f>SUMIFS(KB[TPEMBAYARAN],KB[RELASI],C39,KB[TYPE],"B",KB[TANGGAL],"&gt;="&amp;DATE($D$2,MONTH(0),1),KB[TANGGAL],"&lt;"&amp;DATE($D$2+1,MONTH(0),1))</f>
        <v>0</v>
      </c>
      <c r="K39" s="252"/>
      <c r="L39" s="214">
        <f>SUMIFS(KBS[NETTO2],KBS[RELASI],C39,KBS[TANGGAL],"&gt;="&amp;DATE($D$2,MONTH(0),1),KBS[TANGGAL],"&lt;"&amp;DATE($D$2+1,MONTH(0),1))</f>
        <v>0</v>
      </c>
      <c r="M39" s="214" t="str">
        <f t="shared" si="3"/>
        <v/>
      </c>
      <c r="N39" s="214">
        <f>SUMIFS(KBS[TPEMBAYARAN],KBS[RELASI],C39,KBS[TANGGAL],"&gt;="&amp;DATE($D$2,MONTH(0),1),KBS[TANGGAL],"&lt;"&amp;DATE($D$2+1,MONTH(0),1))</f>
        <v>0</v>
      </c>
      <c r="O39" s="252"/>
      <c r="P39" s="259">
        <f>SUMIFS(KPR[NETTOB],KPR[RELASI],C39,KPR[TANGGAL],"&gt;="&amp;DATE($D$2,MONTH(0),1),KPR[TANGGAL],"&lt;"&amp;DATE($D$2+1,MONTH(0),1))</f>
        <v>0</v>
      </c>
      <c r="Q39" s="214" t="str">
        <f t="shared" si="4"/>
        <v/>
      </c>
      <c r="R39" s="214">
        <f>SUMIFS(KPR[TPEMBAYARAN],KPR[RELASI],C39,KPR[TANGGAL],"&gt;="&amp;DATE($D$2,MONTH(0),1),KPR[TANGGAL],"&lt;"&amp;DATE($D$2+1,MONTH(0),1))</f>
        <v>0</v>
      </c>
      <c r="S39" s="252"/>
      <c r="T39" s="214">
        <f>SUMIFS(ARG[NETTO3],ARG[RELASI],C39,ARG[TANGGAL],"&gt;="&amp;DATE($D$2,MONTH(0),1),ARG[TANGGAL],"&lt;"&amp;DATE($D$2+1,MONTH(0),1))</f>
        <v>0</v>
      </c>
      <c r="U39" s="214" t="str">
        <f t="shared" si="5"/>
        <v/>
      </c>
      <c r="V39" s="214">
        <f>SUMIFS(ARG[TPEMBAYARAN],ARG[RELASI],C39,ARG[TANGGAL],"&gt;="&amp;DATE($D$2,MONTH(0),1),ARG[TANGGAL],"&lt;"&amp;DATE($D$2+1,MONTH(0),1))</f>
        <v>0</v>
      </c>
      <c r="W39" s="252"/>
      <c r="X39" s="217">
        <f t="shared" si="6"/>
        <v>0</v>
      </c>
      <c r="Z39" s="292"/>
      <c r="AA39" s="173">
        <f t="shared" si="10"/>
        <v>33</v>
      </c>
      <c r="AB39" s="729" t="str">
        <f>IF(COUNTIFS($AB$7:AB38,INDEX($C$7:$C$56,MATCH(LARGE($X$7:$X$56,AA39),$X$7:$X$56,0)))&gt;0,"",INDEX($C$7:$C$56,MATCH(LARGE($X$7:$X$56,AA39),$X$7:$X$56,0)))</f>
        <v/>
      </c>
      <c r="AC39" s="291">
        <f t="shared" si="7"/>
        <v>0</v>
      </c>
      <c r="AD39" s="173" t="e">
        <f ca="1">PROPER([39]!Terbilang(AC39))</f>
        <v>#NAME?</v>
      </c>
    </row>
    <row r="40" spans="1:30" ht="18" customHeight="1">
      <c r="A40" s="173"/>
      <c r="B40" s="246">
        <f t="shared" si="8"/>
        <v>34</v>
      </c>
      <c r="C40" s="245" t="str">
        <f>RELASI!C36</f>
        <v>MINSAR</v>
      </c>
      <c r="D40" s="259">
        <f>SUMIFS(KB[NETTO2],KB[RELASI],C40,KB[TYPE],"A",KB[TANGGAL],"&gt;="&amp;DATE($D$2,MONTH(0),1),KB[TANGGAL],"&lt;"&amp;DATE($D$2+1,MONTH(0),1))</f>
        <v>0</v>
      </c>
      <c r="E40" s="214" t="str">
        <f t="shared" si="1"/>
        <v/>
      </c>
      <c r="F40" s="259">
        <f>SUMIFS(KB[TPEMBAYARAN],KB[RELASI],C40,KB[TYPE],"A",KB[TANGGAL],"&gt;="&amp;DATE($D$2,MONTH(0),1),KB[TANGGAL],"&lt;"&amp;DATE($D$2+1,MONTH(0),1))</f>
        <v>0</v>
      </c>
      <c r="G40" s="252"/>
      <c r="H40" s="214">
        <f>SUMIFS(KB[NETTO2],KB[RELASI],C40,KB[TYPE],"B",KB[TANGGAL],"&gt;="&amp;DATE($D$2,MONTH(0),1),KB[TANGGAL],"&lt;"&amp;DATE($D$2+1,MONTH(0),1))</f>
        <v>0</v>
      </c>
      <c r="I40" s="214" t="str">
        <f t="shared" si="2"/>
        <v/>
      </c>
      <c r="J40" s="214">
        <f>SUMIFS(KB[TPEMBAYARAN],KB[RELASI],C40,KB[TYPE],"B",KB[TANGGAL],"&gt;="&amp;DATE($D$2,MONTH(0),1),KB[TANGGAL],"&lt;"&amp;DATE($D$2+1,MONTH(0),1))</f>
        <v>0</v>
      </c>
      <c r="K40" s="252"/>
      <c r="L40" s="214">
        <f>SUMIFS(KBS[NETTO2],KBS[RELASI],C40,KBS[TANGGAL],"&gt;="&amp;DATE($D$2,MONTH(0),1),KBS[TANGGAL],"&lt;"&amp;DATE($D$2+1,MONTH(0),1))</f>
        <v>0</v>
      </c>
      <c r="M40" s="214" t="str">
        <f t="shared" si="3"/>
        <v/>
      </c>
      <c r="N40" s="214">
        <f>SUMIFS(KBS[TPEMBAYARAN],KBS[RELASI],C40,KBS[TANGGAL],"&gt;="&amp;DATE($D$2,MONTH(0),1),KBS[TANGGAL],"&lt;"&amp;DATE($D$2+1,MONTH(0),1))</f>
        <v>0</v>
      </c>
      <c r="O40" s="252"/>
      <c r="P40" s="259">
        <f>SUMIFS(KPR[NETTOB],KPR[RELASI],C40,KPR[TANGGAL],"&gt;="&amp;DATE($D$2,MONTH(0),1),KPR[TANGGAL],"&lt;"&amp;DATE($D$2+1,MONTH(0),1))</f>
        <v>0</v>
      </c>
      <c r="Q40" s="214" t="str">
        <f t="shared" si="4"/>
        <v/>
      </c>
      <c r="R40" s="214">
        <f>SUMIFS(KPR[TPEMBAYARAN],KPR[RELASI],C40,KPR[TANGGAL],"&gt;="&amp;DATE($D$2,MONTH(0),1),KPR[TANGGAL],"&lt;"&amp;DATE($D$2+1,MONTH(0),1))</f>
        <v>0</v>
      </c>
      <c r="S40" s="252"/>
      <c r="T40" s="214">
        <f>SUMIFS(ARG[NETTO3],ARG[RELASI],C40,ARG[TANGGAL],"&gt;="&amp;DATE($D$2,MONTH(0),1),ARG[TANGGAL],"&lt;"&amp;DATE($D$2+1,MONTH(0),1))</f>
        <v>0</v>
      </c>
      <c r="U40" s="214" t="str">
        <f t="shared" si="5"/>
        <v/>
      </c>
      <c r="V40" s="214">
        <f>SUMIFS(ARG[TPEMBAYARAN],ARG[RELASI],C40,ARG[TANGGAL],"&gt;="&amp;DATE($D$2,MONTH(0),1),ARG[TANGGAL],"&lt;"&amp;DATE($D$2+1,MONTH(0),1))</f>
        <v>0</v>
      </c>
      <c r="W40" s="252"/>
      <c r="X40" s="217">
        <f t="shared" si="6"/>
        <v>0</v>
      </c>
      <c r="Z40" s="292"/>
      <c r="AA40" s="173">
        <f t="shared" si="10"/>
        <v>34</v>
      </c>
      <c r="AB40" s="729" t="str">
        <f>IF(COUNTIFS($AB$7:AB39,INDEX($C$7:$C$56,MATCH(LARGE($X$7:$X$56,AA40),$X$7:$X$56,0)))&gt;0,"",INDEX($C$7:$C$56,MATCH(LARGE($X$7:$X$56,AA40),$X$7:$X$56,0)))</f>
        <v/>
      </c>
      <c r="AC40" s="291">
        <f t="shared" si="7"/>
        <v>0</v>
      </c>
      <c r="AD40" s="173" t="e">
        <f ca="1">PROPER([39]!Terbilang(AC40))</f>
        <v>#NAME?</v>
      </c>
    </row>
    <row r="41" spans="1:30" ht="18" customHeight="1">
      <c r="A41" s="173"/>
      <c r="B41" s="246">
        <f t="shared" si="8"/>
        <v>35</v>
      </c>
      <c r="C41" s="245" t="str">
        <f>RELASI!C37</f>
        <v>MUHAMMAD ARAB</v>
      </c>
      <c r="D41" s="259">
        <f>SUMIFS(KB[NETTO2],KB[RELASI],C41,KB[TYPE],"A",KB[TANGGAL],"&gt;="&amp;DATE($D$2,MONTH(0),1),KB[TANGGAL],"&lt;"&amp;DATE($D$2+1,MONTH(0),1))</f>
        <v>0</v>
      </c>
      <c r="E41" s="214" t="str">
        <f t="shared" si="1"/>
        <v/>
      </c>
      <c r="F41" s="259">
        <f>SUMIFS(KB[TPEMBAYARAN],KB[RELASI],C41,KB[TYPE],"A",KB[TANGGAL],"&gt;="&amp;DATE($D$2,MONTH(0),1),KB[TANGGAL],"&lt;"&amp;DATE($D$2+1,MONTH(0),1))</f>
        <v>0</v>
      </c>
      <c r="G41" s="252"/>
      <c r="H41" s="214">
        <f>SUMIFS(KB[NETTO2],KB[RELASI],C41,KB[TYPE],"B",KB[TANGGAL],"&gt;="&amp;DATE($D$2,MONTH(0),1),KB[TANGGAL],"&lt;"&amp;DATE($D$2+1,MONTH(0),1))</f>
        <v>0</v>
      </c>
      <c r="I41" s="214" t="str">
        <f t="shared" si="2"/>
        <v/>
      </c>
      <c r="J41" s="214">
        <f>SUMIFS(KB[TPEMBAYARAN],KB[RELASI],C41,KB[TYPE],"B",KB[TANGGAL],"&gt;="&amp;DATE($D$2,MONTH(0),1),KB[TANGGAL],"&lt;"&amp;DATE($D$2+1,MONTH(0),1))</f>
        <v>0</v>
      </c>
      <c r="K41" s="252"/>
      <c r="L41" s="214">
        <f>SUMIFS(KBS[NETTO2],KBS[RELASI],C41,KBS[TANGGAL],"&gt;="&amp;DATE($D$2,MONTH(0),1),KBS[TANGGAL],"&lt;"&amp;DATE($D$2+1,MONTH(0),1))</f>
        <v>0</v>
      </c>
      <c r="M41" s="214" t="str">
        <f t="shared" si="3"/>
        <v/>
      </c>
      <c r="N41" s="214">
        <f>SUMIFS(KBS[TPEMBAYARAN],KBS[RELASI],C41,KBS[TANGGAL],"&gt;="&amp;DATE($D$2,MONTH(0),1),KBS[TANGGAL],"&lt;"&amp;DATE($D$2+1,MONTH(0),1))</f>
        <v>0</v>
      </c>
      <c r="O41" s="252"/>
      <c r="P41" s="259">
        <f>SUMIFS(KPR[NETTOB],KPR[RELASI],C41,KPR[TANGGAL],"&gt;="&amp;DATE($D$2,MONTH(0),1),KPR[TANGGAL],"&lt;"&amp;DATE($D$2+1,MONTH(0),1))</f>
        <v>0</v>
      </c>
      <c r="Q41" s="214" t="str">
        <f t="shared" si="4"/>
        <v/>
      </c>
      <c r="R41" s="214">
        <f>SUMIFS(KPR[TPEMBAYARAN],KPR[RELASI],C41,KPR[TANGGAL],"&gt;="&amp;DATE($D$2,MONTH(0),1),KPR[TANGGAL],"&lt;"&amp;DATE($D$2+1,MONTH(0),1))</f>
        <v>0</v>
      </c>
      <c r="S41" s="252"/>
      <c r="T41" s="214">
        <f>SUMIFS(ARG[NETTO3],ARG[RELASI],C41,ARG[TANGGAL],"&gt;="&amp;DATE($D$2,MONTH(0),1),ARG[TANGGAL],"&lt;"&amp;DATE($D$2+1,MONTH(0),1))</f>
        <v>0</v>
      </c>
      <c r="U41" s="214" t="str">
        <f t="shared" si="5"/>
        <v/>
      </c>
      <c r="V41" s="214">
        <f>SUMIFS(ARG[TPEMBAYARAN],ARG[RELASI],C41,ARG[TANGGAL],"&gt;="&amp;DATE($D$2,MONTH(0),1),ARG[TANGGAL],"&lt;"&amp;DATE($D$2+1,MONTH(0),1))</f>
        <v>0</v>
      </c>
      <c r="W41" s="252"/>
      <c r="X41" s="217">
        <f t="shared" si="6"/>
        <v>0</v>
      </c>
      <c r="Z41" s="292"/>
      <c r="AA41" s="173">
        <f t="shared" ref="AA41:AA56" si="11">+AA40+1</f>
        <v>35</v>
      </c>
      <c r="AB41" s="729" t="str">
        <f>IF(COUNTIFS($AB$7:AB40,INDEX($C$7:$C$56,MATCH(LARGE($X$7:$X$56,AA41),$X$7:$X$56,0)))&gt;0,"",INDEX($C$7:$C$56,MATCH(LARGE($X$7:$X$56,AA41),$X$7:$X$56,0)))</f>
        <v/>
      </c>
      <c r="AC41" s="291">
        <f t="shared" si="7"/>
        <v>0</v>
      </c>
      <c r="AD41" s="173" t="e">
        <f ca="1">PROPER([39]!Terbilang(AC41))</f>
        <v>#NAME?</v>
      </c>
    </row>
    <row r="42" spans="1:30" ht="18" customHeight="1">
      <c r="A42" s="173"/>
      <c r="B42" s="246">
        <f t="shared" si="8"/>
        <v>36</v>
      </c>
      <c r="C42" s="245" t="str">
        <f>RELASI!C38</f>
        <v>MURYADI</v>
      </c>
      <c r="D42" s="259">
        <f>SUMIFS(KB[NETTO2],KB[RELASI],C42,KB[TYPE],"A",KB[TANGGAL],"&gt;="&amp;DATE($D$2,MONTH(0),1),KB[TANGGAL],"&lt;"&amp;DATE($D$2+1,MONTH(0),1))</f>
        <v>0</v>
      </c>
      <c r="E42" s="214" t="str">
        <f t="shared" si="1"/>
        <v/>
      </c>
      <c r="F42" s="259">
        <f>SUMIFS(KB[TPEMBAYARAN],KB[RELASI],C42,KB[TYPE],"A",KB[TANGGAL],"&gt;="&amp;DATE($D$2,MONTH(0),1),KB[TANGGAL],"&lt;"&amp;DATE($D$2+1,MONTH(0),1))</f>
        <v>0</v>
      </c>
      <c r="G42" s="252"/>
      <c r="H42" s="214">
        <f>SUMIFS(KB[NETTO2],KB[RELASI],C42,KB[TYPE],"B",KB[TANGGAL],"&gt;="&amp;DATE($D$2,MONTH(0),1),KB[TANGGAL],"&lt;"&amp;DATE($D$2+1,MONTH(0),1))</f>
        <v>0</v>
      </c>
      <c r="I42" s="214" t="str">
        <f t="shared" si="2"/>
        <v/>
      </c>
      <c r="J42" s="214">
        <f>SUMIFS(KB[TPEMBAYARAN],KB[RELASI],C42,KB[TYPE],"B",KB[TANGGAL],"&gt;="&amp;DATE($D$2,MONTH(0),1),KB[TANGGAL],"&lt;"&amp;DATE($D$2+1,MONTH(0),1))</f>
        <v>0</v>
      </c>
      <c r="K42" s="252"/>
      <c r="L42" s="214">
        <f>SUMIFS(KBS[NETTO2],KBS[RELASI],C42,KBS[TANGGAL],"&gt;="&amp;DATE($D$2,MONTH(0),1),KBS[TANGGAL],"&lt;"&amp;DATE($D$2+1,MONTH(0),1))</f>
        <v>0</v>
      </c>
      <c r="M42" s="214" t="str">
        <f t="shared" si="3"/>
        <v/>
      </c>
      <c r="N42" s="214">
        <f>SUMIFS(KBS[TPEMBAYARAN],KBS[RELASI],C42,KBS[TANGGAL],"&gt;="&amp;DATE($D$2,MONTH(0),1),KBS[TANGGAL],"&lt;"&amp;DATE($D$2+1,MONTH(0),1))</f>
        <v>0</v>
      </c>
      <c r="O42" s="252"/>
      <c r="P42" s="259">
        <f>SUMIFS(KPR[NETTOB],KPR[RELASI],C42,KPR[TANGGAL],"&gt;="&amp;DATE($D$2,MONTH(0),1),KPR[TANGGAL],"&lt;"&amp;DATE($D$2+1,MONTH(0),1))</f>
        <v>0</v>
      </c>
      <c r="Q42" s="214" t="str">
        <f t="shared" si="4"/>
        <v/>
      </c>
      <c r="R42" s="214">
        <f>SUMIFS(KPR[TPEMBAYARAN],KPR[RELASI],C42,KPR[TANGGAL],"&gt;="&amp;DATE($D$2,MONTH(0),1),KPR[TANGGAL],"&lt;"&amp;DATE($D$2+1,MONTH(0),1))</f>
        <v>0</v>
      </c>
      <c r="S42" s="252"/>
      <c r="T42" s="214">
        <f>SUMIFS(ARG[NETTO3],ARG[RELASI],C42,ARG[TANGGAL],"&gt;="&amp;DATE($D$2,MONTH(0),1),ARG[TANGGAL],"&lt;"&amp;DATE($D$2+1,MONTH(0),1))</f>
        <v>0</v>
      </c>
      <c r="U42" s="214" t="str">
        <f t="shared" si="5"/>
        <v/>
      </c>
      <c r="V42" s="214">
        <f>SUMIFS(ARG[TPEMBAYARAN],ARG[RELASI],C42,ARG[TANGGAL],"&gt;="&amp;DATE($D$2,MONTH(0),1),ARG[TANGGAL],"&lt;"&amp;DATE($D$2+1,MONTH(0),1))</f>
        <v>0</v>
      </c>
      <c r="W42" s="252"/>
      <c r="X42" s="217">
        <f t="shared" si="6"/>
        <v>0</v>
      </c>
      <c r="Z42" s="292"/>
      <c r="AA42" s="173">
        <f t="shared" si="11"/>
        <v>36</v>
      </c>
      <c r="AB42" s="729" t="str">
        <f>IF(COUNTIFS($AB$7:AB41,INDEX($C$7:$C$56,MATCH(LARGE($X$7:$X$56,AA42),$X$7:$X$56,0)))&gt;0,"",INDEX($C$7:$C$56,MATCH(LARGE($X$7:$X$56,AA42),$X$7:$X$56,0)))</f>
        <v/>
      </c>
      <c r="AC42" s="291">
        <f t="shared" si="7"/>
        <v>0</v>
      </c>
      <c r="AD42" s="173" t="e">
        <f ca="1">PROPER([39]!Terbilang(AC42))</f>
        <v>#NAME?</v>
      </c>
    </row>
    <row r="43" spans="1:30" ht="18" customHeight="1">
      <c r="A43" s="173"/>
      <c r="B43" s="246">
        <f t="shared" si="8"/>
        <v>37</v>
      </c>
      <c r="C43" s="245" t="str">
        <f>RELASI!C39</f>
        <v>PT.SINAR KELAPA TEMBILAHAN</v>
      </c>
      <c r="D43" s="259">
        <f>SUMIFS(KB[NETTO2],KB[RELASI],C43,KB[TYPE],"A",KB[TANGGAL],"&gt;="&amp;DATE($D$2,MONTH(0),1),KB[TANGGAL],"&lt;"&amp;DATE($D$2+1,MONTH(0),1))</f>
        <v>0</v>
      </c>
      <c r="E43" s="214" t="str">
        <f t="shared" si="1"/>
        <v/>
      </c>
      <c r="F43" s="259">
        <f>SUMIFS(KB[TPEMBAYARAN],KB[RELASI],C43,KB[TYPE],"A",KB[TANGGAL],"&gt;="&amp;DATE($D$2,MONTH(0),1),KB[TANGGAL],"&lt;"&amp;DATE($D$2+1,MONTH(0),1))</f>
        <v>0</v>
      </c>
      <c r="G43" s="252"/>
      <c r="H43" s="214">
        <f>SUMIFS(KB[NETTO2],KB[RELASI],C43,KB[TYPE],"B",KB[TANGGAL],"&gt;="&amp;DATE($D$2,MONTH(0),1),KB[TANGGAL],"&lt;"&amp;DATE($D$2+1,MONTH(0),1))</f>
        <v>0</v>
      </c>
      <c r="I43" s="214" t="str">
        <f t="shared" si="2"/>
        <v/>
      </c>
      <c r="J43" s="214">
        <f>SUMIFS(KB[TPEMBAYARAN],KB[RELASI],C43,KB[TYPE],"B",KB[TANGGAL],"&gt;="&amp;DATE($D$2,MONTH(0),1),KB[TANGGAL],"&lt;"&amp;DATE($D$2+1,MONTH(0),1))</f>
        <v>0</v>
      </c>
      <c r="K43" s="252"/>
      <c r="L43" s="214">
        <f>SUMIFS(KBS[NETTO2],KBS[RELASI],C43,KBS[TANGGAL],"&gt;="&amp;DATE($D$2,MONTH(0),1),KBS[TANGGAL],"&lt;"&amp;DATE($D$2+1,MONTH(0),1))</f>
        <v>0</v>
      </c>
      <c r="M43" s="214" t="str">
        <f t="shared" si="3"/>
        <v/>
      </c>
      <c r="N43" s="214">
        <f>SUMIFS(KBS[TPEMBAYARAN],KBS[RELASI],C43,KBS[TANGGAL],"&gt;="&amp;DATE($D$2,MONTH(0),1),KBS[TANGGAL],"&lt;"&amp;DATE($D$2+1,MONTH(0),1))</f>
        <v>0</v>
      </c>
      <c r="O43" s="252"/>
      <c r="P43" s="259">
        <f>SUMIFS(KPR[NETTOB],KPR[RELASI],C43,KPR[TANGGAL],"&gt;="&amp;DATE($D$2,MONTH(0),1),KPR[TANGGAL],"&lt;"&amp;DATE($D$2+1,MONTH(0),1))</f>
        <v>0</v>
      </c>
      <c r="Q43" s="214" t="str">
        <f t="shared" si="4"/>
        <v/>
      </c>
      <c r="R43" s="214">
        <f>SUMIFS(KPR[TPEMBAYARAN],KPR[RELASI],C43,KPR[TANGGAL],"&gt;="&amp;DATE($D$2,MONTH(0),1),KPR[TANGGAL],"&lt;"&amp;DATE($D$2+1,MONTH(0),1))</f>
        <v>0</v>
      </c>
      <c r="S43" s="252"/>
      <c r="T43" s="214">
        <f>SUMIFS(ARG[NETTO3],ARG[RELASI],C43,ARG[TANGGAL],"&gt;="&amp;DATE($D$2,MONTH(0),1),ARG[TANGGAL],"&lt;"&amp;DATE($D$2+1,MONTH(0),1))</f>
        <v>0</v>
      </c>
      <c r="U43" s="214" t="str">
        <f t="shared" si="5"/>
        <v/>
      </c>
      <c r="V43" s="214">
        <f>SUMIFS(ARG[TPEMBAYARAN],ARG[RELASI],C43,ARG[TANGGAL],"&gt;="&amp;DATE($D$2,MONTH(0),1),ARG[TANGGAL],"&lt;"&amp;DATE($D$2+1,MONTH(0),1))</f>
        <v>0</v>
      </c>
      <c r="W43" s="252"/>
      <c r="X43" s="217">
        <f t="shared" si="6"/>
        <v>0</v>
      </c>
      <c r="Z43" s="292"/>
      <c r="AA43" s="173">
        <f t="shared" si="11"/>
        <v>37</v>
      </c>
      <c r="AB43" s="729" t="str">
        <f>IF(COUNTIFS($AB$7:AB42,INDEX($C$7:$C$56,MATCH(LARGE($X$7:$X$56,AA43),$X$7:$X$56,0)))&gt;0,"",INDEX($C$7:$C$56,MATCH(LARGE($X$7:$X$56,AA43),$X$7:$X$56,0)))</f>
        <v/>
      </c>
      <c r="AC43" s="291">
        <f t="shared" si="7"/>
        <v>0</v>
      </c>
      <c r="AD43" s="173" t="e">
        <f ca="1">PROPER([39]!Terbilang(AC43))</f>
        <v>#NAME?</v>
      </c>
    </row>
    <row r="44" spans="1:30" ht="18" customHeight="1">
      <c r="A44" s="173"/>
      <c r="B44" s="246">
        <f t="shared" si="8"/>
        <v>38</v>
      </c>
      <c r="C44" s="245" t="str">
        <f>RELASI!C40</f>
        <v>RITA ERNITA</v>
      </c>
      <c r="D44" s="259">
        <f>SUMIFS(KB[NETTO2],KB[RELASI],C44,KB[TYPE],"A",KB[TANGGAL],"&gt;="&amp;DATE($D$2,MONTH(0),1),KB[TANGGAL],"&lt;"&amp;DATE($D$2+1,MONTH(0),1))</f>
        <v>0</v>
      </c>
      <c r="E44" s="214" t="str">
        <f t="shared" si="1"/>
        <v/>
      </c>
      <c r="F44" s="259">
        <f>SUMIFS(KB[TPEMBAYARAN],KB[RELASI],C44,KB[TYPE],"A",KB[TANGGAL],"&gt;="&amp;DATE($D$2,MONTH(0),1),KB[TANGGAL],"&lt;"&amp;DATE($D$2+1,MONTH(0),1))</f>
        <v>0</v>
      </c>
      <c r="G44" s="252"/>
      <c r="H44" s="214">
        <f>SUMIFS(KB[NETTO2],KB[RELASI],C44,KB[TYPE],"B",KB[TANGGAL],"&gt;="&amp;DATE($D$2,MONTH(0),1),KB[TANGGAL],"&lt;"&amp;DATE($D$2+1,MONTH(0),1))</f>
        <v>0</v>
      </c>
      <c r="I44" s="214" t="str">
        <f t="shared" si="2"/>
        <v/>
      </c>
      <c r="J44" s="214">
        <f>SUMIFS(KB[TPEMBAYARAN],KB[RELASI],C44,KB[TYPE],"B",KB[TANGGAL],"&gt;="&amp;DATE($D$2,MONTH(0),1),KB[TANGGAL],"&lt;"&amp;DATE($D$2+1,MONTH(0),1))</f>
        <v>0</v>
      </c>
      <c r="K44" s="252"/>
      <c r="L44" s="214">
        <f>SUMIFS(KBS[NETTO2],KBS[RELASI],C44,KBS[TANGGAL],"&gt;="&amp;DATE($D$2,MONTH(0),1),KBS[TANGGAL],"&lt;"&amp;DATE($D$2+1,MONTH(0),1))</f>
        <v>0</v>
      </c>
      <c r="M44" s="214" t="str">
        <f t="shared" si="3"/>
        <v/>
      </c>
      <c r="N44" s="214">
        <f>SUMIFS(KBS[TPEMBAYARAN],KBS[RELASI],C44,KBS[TANGGAL],"&gt;="&amp;DATE($D$2,MONTH(0),1),KBS[TANGGAL],"&lt;"&amp;DATE($D$2+1,MONTH(0),1))</f>
        <v>0</v>
      </c>
      <c r="O44" s="252"/>
      <c r="P44" s="259">
        <f>SUMIFS(KPR[NETTOB],KPR[RELASI],C44,KPR[TANGGAL],"&gt;="&amp;DATE($D$2,MONTH(0),1),KPR[TANGGAL],"&lt;"&amp;DATE($D$2+1,MONTH(0),1))</f>
        <v>0</v>
      </c>
      <c r="Q44" s="214" t="str">
        <f t="shared" si="4"/>
        <v/>
      </c>
      <c r="R44" s="214">
        <f>SUMIFS(KPR[TPEMBAYARAN],KPR[RELASI],C44,KPR[TANGGAL],"&gt;="&amp;DATE($D$2,MONTH(0),1),KPR[TANGGAL],"&lt;"&amp;DATE($D$2+1,MONTH(0),1))</f>
        <v>0</v>
      </c>
      <c r="S44" s="252"/>
      <c r="T44" s="214">
        <f>SUMIFS(ARG[NETTO3],ARG[RELASI],C44,ARG[TANGGAL],"&gt;="&amp;DATE($D$2,MONTH(0),1),ARG[TANGGAL],"&lt;"&amp;DATE($D$2+1,MONTH(0),1))</f>
        <v>0</v>
      </c>
      <c r="U44" s="214" t="str">
        <f t="shared" si="5"/>
        <v/>
      </c>
      <c r="V44" s="214">
        <f>SUMIFS(ARG[TPEMBAYARAN],ARG[RELASI],C44,ARG[TANGGAL],"&gt;="&amp;DATE($D$2,MONTH(0),1),ARG[TANGGAL],"&lt;"&amp;DATE($D$2+1,MONTH(0),1))</f>
        <v>0</v>
      </c>
      <c r="W44" s="252"/>
      <c r="X44" s="217">
        <f t="shared" si="6"/>
        <v>0</v>
      </c>
      <c r="Z44" s="292"/>
      <c r="AA44" s="173">
        <f t="shared" si="11"/>
        <v>38</v>
      </c>
      <c r="AB44" s="729" t="str">
        <f>IF(COUNTIFS($AB$7:AB43,INDEX($C$7:$C$56,MATCH(LARGE($X$7:$X$56,AA44),$X$7:$X$56,0)))&gt;0,"",INDEX($C$7:$C$56,MATCH(LARGE($X$7:$X$56,AA44),$X$7:$X$56,0)))</f>
        <v/>
      </c>
      <c r="AC44" s="291">
        <f t="shared" si="7"/>
        <v>0</v>
      </c>
      <c r="AD44" s="173" t="e">
        <f ca="1">PROPER([39]!Terbilang(AC44))</f>
        <v>#NAME?</v>
      </c>
    </row>
    <row r="45" spans="1:30" ht="18" customHeight="1">
      <c r="A45" s="173"/>
      <c r="B45" s="246">
        <f t="shared" si="8"/>
        <v>39</v>
      </c>
      <c r="C45" s="245" t="str">
        <f>RELASI!C41</f>
        <v>ROSDIANTO</v>
      </c>
      <c r="D45" s="259">
        <f>SUMIFS(KB[NETTO2],KB[RELASI],C45,KB[TYPE],"A",KB[TANGGAL],"&gt;="&amp;DATE($D$2,MONTH(0),1),KB[TANGGAL],"&lt;"&amp;DATE($D$2+1,MONTH(0),1))</f>
        <v>0</v>
      </c>
      <c r="E45" s="214" t="str">
        <f t="shared" si="1"/>
        <v/>
      </c>
      <c r="F45" s="259">
        <f>SUMIFS(KB[TPEMBAYARAN],KB[RELASI],C45,KB[TYPE],"A",KB[TANGGAL],"&gt;="&amp;DATE($D$2,MONTH(0),1),KB[TANGGAL],"&lt;"&amp;DATE($D$2+1,MONTH(0),1))</f>
        <v>0</v>
      </c>
      <c r="G45" s="252"/>
      <c r="H45" s="214">
        <f>SUMIFS(KB[NETTO2],KB[RELASI],C45,KB[TYPE],"B",KB[TANGGAL],"&gt;="&amp;DATE($D$2,MONTH(0),1),KB[TANGGAL],"&lt;"&amp;DATE($D$2+1,MONTH(0),1))</f>
        <v>0</v>
      </c>
      <c r="I45" s="214" t="str">
        <f t="shared" si="2"/>
        <v/>
      </c>
      <c r="J45" s="214">
        <f>SUMIFS(KB[TPEMBAYARAN],KB[RELASI],C45,KB[TYPE],"B",KB[TANGGAL],"&gt;="&amp;DATE($D$2,MONTH(0),1),KB[TANGGAL],"&lt;"&amp;DATE($D$2+1,MONTH(0),1))</f>
        <v>0</v>
      </c>
      <c r="K45" s="252"/>
      <c r="L45" s="214">
        <f>SUMIFS(KBS[NETTO2],KBS[RELASI],C45,KBS[TANGGAL],"&gt;="&amp;DATE($D$2,MONTH(0),1),KBS[TANGGAL],"&lt;"&amp;DATE($D$2+1,MONTH(0),1))</f>
        <v>0</v>
      </c>
      <c r="M45" s="214" t="str">
        <f t="shared" si="3"/>
        <v/>
      </c>
      <c r="N45" s="214">
        <f>SUMIFS(KBS[TPEMBAYARAN],KBS[RELASI],C45,KBS[TANGGAL],"&gt;="&amp;DATE($D$2,MONTH(0),1),KBS[TANGGAL],"&lt;"&amp;DATE($D$2+1,MONTH(0),1))</f>
        <v>0</v>
      </c>
      <c r="O45" s="252"/>
      <c r="P45" s="259">
        <f>SUMIFS(KPR[NETTOB],KPR[RELASI],C45,KPR[TANGGAL],"&gt;="&amp;DATE($D$2,MONTH(0),1),KPR[TANGGAL],"&lt;"&amp;DATE($D$2+1,MONTH(0),1))</f>
        <v>0</v>
      </c>
      <c r="Q45" s="214" t="str">
        <f t="shared" si="4"/>
        <v/>
      </c>
      <c r="R45" s="214">
        <f>SUMIFS(KPR[TPEMBAYARAN],KPR[RELASI],C45,KPR[TANGGAL],"&gt;="&amp;DATE($D$2,MONTH(0),1),KPR[TANGGAL],"&lt;"&amp;DATE($D$2+1,MONTH(0),1))</f>
        <v>0</v>
      </c>
      <c r="S45" s="252"/>
      <c r="T45" s="214">
        <f>SUMIFS(ARG[NETTO3],ARG[RELASI],C45,ARG[TANGGAL],"&gt;="&amp;DATE($D$2,MONTH(0),1),ARG[TANGGAL],"&lt;"&amp;DATE($D$2+1,MONTH(0),1))</f>
        <v>0</v>
      </c>
      <c r="U45" s="214" t="str">
        <f t="shared" si="5"/>
        <v/>
      </c>
      <c r="V45" s="214">
        <f>SUMIFS(ARG[TPEMBAYARAN],ARG[RELASI],C45,ARG[TANGGAL],"&gt;="&amp;DATE($D$2,MONTH(0),1),ARG[TANGGAL],"&lt;"&amp;DATE($D$2+1,MONTH(0),1))</f>
        <v>0</v>
      </c>
      <c r="W45" s="252"/>
      <c r="X45" s="217">
        <f t="shared" si="6"/>
        <v>0</v>
      </c>
      <c r="Z45" s="292"/>
      <c r="AA45" s="173">
        <f t="shared" si="11"/>
        <v>39</v>
      </c>
      <c r="AB45" s="729" t="str">
        <f>IF(COUNTIFS($AB$7:AB44,INDEX($C$7:$C$56,MATCH(LARGE($X$7:$X$56,AA45),$X$7:$X$56,0)))&gt;0,"",INDEX($C$7:$C$56,MATCH(LARGE($X$7:$X$56,AA45),$X$7:$X$56,0)))</f>
        <v/>
      </c>
      <c r="AC45" s="291">
        <f t="shared" si="7"/>
        <v>0</v>
      </c>
      <c r="AD45" s="173" t="e">
        <f ca="1">PROPER([39]!Terbilang(AC45))</f>
        <v>#NAME?</v>
      </c>
    </row>
    <row r="46" spans="1:30" ht="18" customHeight="1">
      <c r="A46" s="173"/>
      <c r="B46" s="246">
        <f t="shared" si="8"/>
        <v>40</v>
      </c>
      <c r="C46" s="245" t="str">
        <f>RELASI!C42</f>
        <v>RUSLAN JAYA, SH</v>
      </c>
      <c r="D46" s="259">
        <f>SUMIFS(KB[NETTO2],KB[RELASI],C46,KB[TYPE],"A",KB[TANGGAL],"&gt;="&amp;DATE($D$2,MONTH(0),1),KB[TANGGAL],"&lt;"&amp;DATE($D$2+1,MONTH(0),1))</f>
        <v>0</v>
      </c>
      <c r="E46" s="214" t="str">
        <f t="shared" si="1"/>
        <v/>
      </c>
      <c r="F46" s="259">
        <f>SUMIFS(KB[TPEMBAYARAN],KB[RELASI],C46,KB[TYPE],"A",KB[TANGGAL],"&gt;="&amp;DATE($D$2,MONTH(0),1),KB[TANGGAL],"&lt;"&amp;DATE($D$2+1,MONTH(0),1))</f>
        <v>0</v>
      </c>
      <c r="G46" s="252"/>
      <c r="H46" s="214">
        <f>SUMIFS(KB[NETTO2],KB[RELASI],C46,KB[TYPE],"B",KB[TANGGAL],"&gt;="&amp;DATE($D$2,MONTH(0),1),KB[TANGGAL],"&lt;"&amp;DATE($D$2+1,MONTH(0),1))</f>
        <v>0</v>
      </c>
      <c r="I46" s="214" t="str">
        <f t="shared" si="2"/>
        <v/>
      </c>
      <c r="J46" s="214">
        <f>SUMIFS(KB[TPEMBAYARAN],KB[RELASI],C46,KB[TYPE],"B",KB[TANGGAL],"&gt;="&amp;DATE($D$2,MONTH(0),1),KB[TANGGAL],"&lt;"&amp;DATE($D$2+1,MONTH(0),1))</f>
        <v>0</v>
      </c>
      <c r="K46" s="252"/>
      <c r="L46" s="214">
        <f>SUMIFS(KBS[NETTO2],KBS[RELASI],C46,KBS[TANGGAL],"&gt;="&amp;DATE($D$2,MONTH(0),1),KBS[TANGGAL],"&lt;"&amp;DATE($D$2+1,MONTH(0),1))</f>
        <v>0</v>
      </c>
      <c r="M46" s="214" t="str">
        <f t="shared" si="3"/>
        <v/>
      </c>
      <c r="N46" s="214">
        <f>SUMIFS(KBS[TPEMBAYARAN],KBS[RELASI],C46,KBS[TANGGAL],"&gt;="&amp;DATE($D$2,MONTH(0),1),KBS[TANGGAL],"&lt;"&amp;DATE($D$2+1,MONTH(0),1))</f>
        <v>0</v>
      </c>
      <c r="O46" s="252"/>
      <c r="P46" s="259">
        <f>SUMIFS(KPR[NETTOB],KPR[RELASI],C46,KPR[TANGGAL],"&gt;="&amp;DATE($D$2,MONTH(0),1),KPR[TANGGAL],"&lt;"&amp;DATE($D$2+1,MONTH(0),1))</f>
        <v>0</v>
      </c>
      <c r="Q46" s="214" t="str">
        <f t="shared" si="4"/>
        <v/>
      </c>
      <c r="R46" s="214">
        <f>SUMIFS(KPR[TPEMBAYARAN],KPR[RELASI],C46,KPR[TANGGAL],"&gt;="&amp;DATE($D$2,MONTH(0),1),KPR[TANGGAL],"&lt;"&amp;DATE($D$2+1,MONTH(0),1))</f>
        <v>0</v>
      </c>
      <c r="S46" s="252"/>
      <c r="T46" s="214">
        <f>SUMIFS(ARG[NETTO3],ARG[RELASI],C46,ARG[TANGGAL],"&gt;="&amp;DATE($D$2,MONTH(0),1),ARG[TANGGAL],"&lt;"&amp;DATE($D$2+1,MONTH(0),1))</f>
        <v>0</v>
      </c>
      <c r="U46" s="214" t="str">
        <f t="shared" si="5"/>
        <v/>
      </c>
      <c r="V46" s="214">
        <f>SUMIFS(ARG[TPEMBAYARAN],ARG[RELASI],C46,ARG[TANGGAL],"&gt;="&amp;DATE($D$2,MONTH(0),1),ARG[TANGGAL],"&lt;"&amp;DATE($D$2+1,MONTH(0),1))</f>
        <v>0</v>
      </c>
      <c r="W46" s="252"/>
      <c r="X46" s="217">
        <f t="shared" si="6"/>
        <v>0</v>
      </c>
      <c r="Z46" s="292"/>
      <c r="AA46" s="173">
        <f t="shared" si="11"/>
        <v>40</v>
      </c>
      <c r="AB46" s="729" t="str">
        <f>IF(COUNTIFS($AB$7:AB45,INDEX($C$7:$C$56,MATCH(LARGE($X$7:$X$56,AA46),$X$7:$X$56,0)))&gt;0,"",INDEX($C$7:$C$56,MATCH(LARGE($X$7:$X$56,AA46),$X$7:$X$56,0)))</f>
        <v/>
      </c>
      <c r="AC46" s="291">
        <f t="shared" si="7"/>
        <v>0</v>
      </c>
      <c r="AD46" s="173" t="e">
        <f ca="1">PROPER([39]!Terbilang(AC46))</f>
        <v>#NAME?</v>
      </c>
    </row>
    <row r="47" spans="1:30" ht="18" customHeight="1">
      <c r="A47" s="173"/>
      <c r="B47" s="246">
        <f t="shared" si="8"/>
        <v>41</v>
      </c>
      <c r="C47" s="245" t="str">
        <f>RELASI!C43</f>
        <v>SAIRI</v>
      </c>
      <c r="D47" s="259">
        <f>SUMIFS(KB[NETTO2],KB[RELASI],C47,KB[TYPE],"A",KB[TANGGAL],"&gt;="&amp;DATE($D$2,MONTH(0),1),KB[TANGGAL],"&lt;"&amp;DATE($D$2+1,MONTH(0),1))</f>
        <v>0</v>
      </c>
      <c r="E47" s="214" t="str">
        <f t="shared" si="1"/>
        <v/>
      </c>
      <c r="F47" s="259">
        <f>SUMIFS(KB[TPEMBAYARAN],KB[RELASI],C47,KB[TYPE],"A",KB[TANGGAL],"&gt;="&amp;DATE($D$2,MONTH(0),1),KB[TANGGAL],"&lt;"&amp;DATE($D$2+1,MONTH(0),1))</f>
        <v>0</v>
      </c>
      <c r="G47" s="252"/>
      <c r="H47" s="214">
        <f>SUMIFS(KB[NETTO2],KB[RELASI],C47,KB[TYPE],"B",KB[TANGGAL],"&gt;="&amp;DATE($D$2,MONTH(0),1),KB[TANGGAL],"&lt;"&amp;DATE($D$2+1,MONTH(0),1))</f>
        <v>0</v>
      </c>
      <c r="I47" s="214" t="str">
        <f t="shared" si="2"/>
        <v/>
      </c>
      <c r="J47" s="214">
        <f>SUMIFS(KB[TPEMBAYARAN],KB[RELASI],C47,KB[TYPE],"B",KB[TANGGAL],"&gt;="&amp;DATE($D$2,MONTH(0),1),KB[TANGGAL],"&lt;"&amp;DATE($D$2+1,MONTH(0),1))</f>
        <v>0</v>
      </c>
      <c r="K47" s="252"/>
      <c r="L47" s="214">
        <f>SUMIFS(KBS[NETTO2],KBS[RELASI],C47,KBS[TANGGAL],"&gt;="&amp;DATE($D$2,MONTH(0),1),KBS[TANGGAL],"&lt;"&amp;DATE($D$2+1,MONTH(0),1))</f>
        <v>0</v>
      </c>
      <c r="M47" s="214" t="str">
        <f t="shared" si="3"/>
        <v/>
      </c>
      <c r="N47" s="214">
        <f>SUMIFS(KBS[TPEMBAYARAN],KBS[RELASI],C47,KBS[TANGGAL],"&gt;="&amp;DATE($D$2,MONTH(0),1),KBS[TANGGAL],"&lt;"&amp;DATE($D$2+1,MONTH(0),1))</f>
        <v>0</v>
      </c>
      <c r="O47" s="252"/>
      <c r="P47" s="259">
        <f>SUMIFS(KPR[NETTOB],KPR[RELASI],C47,KPR[TANGGAL],"&gt;="&amp;DATE($D$2,MONTH(0),1),KPR[TANGGAL],"&lt;"&amp;DATE($D$2+1,MONTH(0),1))</f>
        <v>0</v>
      </c>
      <c r="Q47" s="214" t="str">
        <f t="shared" si="4"/>
        <v/>
      </c>
      <c r="R47" s="214">
        <f>SUMIFS(KPR[TPEMBAYARAN],KPR[RELASI],C47,KPR[TANGGAL],"&gt;="&amp;DATE($D$2,MONTH(0),1),KPR[TANGGAL],"&lt;"&amp;DATE($D$2+1,MONTH(0),1))</f>
        <v>0</v>
      </c>
      <c r="S47" s="252"/>
      <c r="T47" s="214">
        <f>SUMIFS(ARG[NETTO3],ARG[RELASI],C47,ARG[TANGGAL],"&gt;="&amp;DATE($D$2,MONTH(0),1),ARG[TANGGAL],"&lt;"&amp;DATE($D$2+1,MONTH(0),1))</f>
        <v>0</v>
      </c>
      <c r="U47" s="214" t="str">
        <f t="shared" si="5"/>
        <v/>
      </c>
      <c r="V47" s="214">
        <f>SUMIFS(ARG[TPEMBAYARAN],ARG[RELASI],C47,ARG[TANGGAL],"&gt;="&amp;DATE($D$2,MONTH(0),1),ARG[TANGGAL],"&lt;"&amp;DATE($D$2+1,MONTH(0),1))</f>
        <v>0</v>
      </c>
      <c r="W47" s="252"/>
      <c r="X47" s="217">
        <f t="shared" si="6"/>
        <v>0</v>
      </c>
      <c r="Z47" s="292"/>
      <c r="AA47" s="173">
        <f t="shared" si="11"/>
        <v>41</v>
      </c>
      <c r="AB47" s="729" t="str">
        <f>IF(COUNTIFS($AB$7:AB46,INDEX($C$7:$C$56,MATCH(LARGE($X$7:$X$56,AA47),$X$7:$X$56,0)))&gt;0,"",INDEX($C$7:$C$56,MATCH(LARGE($X$7:$X$56,AA47),$X$7:$X$56,0)))</f>
        <v/>
      </c>
      <c r="AC47" s="291">
        <f t="shared" si="7"/>
        <v>0</v>
      </c>
      <c r="AD47" s="173" t="e">
        <f ca="1">PROPER([39]!Terbilang(AC47))</f>
        <v>#NAME?</v>
      </c>
    </row>
    <row r="48" spans="1:30" ht="18" customHeight="1">
      <c r="A48" s="173"/>
      <c r="B48" s="246">
        <f t="shared" si="8"/>
        <v>42</v>
      </c>
      <c r="C48" s="245" t="str">
        <f>RELASI!C44</f>
        <v>SIHOMBING</v>
      </c>
      <c r="D48" s="259">
        <f>SUMIFS(KB[NETTO2],KB[RELASI],C48,KB[TYPE],"A",KB[TANGGAL],"&gt;="&amp;DATE($D$2,MONTH(0),1),KB[TANGGAL],"&lt;"&amp;DATE($D$2+1,MONTH(0),1))</f>
        <v>0</v>
      </c>
      <c r="E48" s="214" t="str">
        <f t="shared" si="1"/>
        <v/>
      </c>
      <c r="F48" s="259">
        <f>SUMIFS(KB[TPEMBAYARAN],KB[RELASI],C48,KB[TYPE],"A",KB[TANGGAL],"&gt;="&amp;DATE($D$2,MONTH(0),1),KB[TANGGAL],"&lt;"&amp;DATE($D$2+1,MONTH(0),1))</f>
        <v>0</v>
      </c>
      <c r="G48" s="252"/>
      <c r="H48" s="214">
        <f>SUMIFS(KB[NETTO2],KB[RELASI],C48,KB[TYPE],"B",KB[TANGGAL],"&gt;="&amp;DATE($D$2,MONTH(0),1),KB[TANGGAL],"&lt;"&amp;DATE($D$2+1,MONTH(0),1))</f>
        <v>0</v>
      </c>
      <c r="I48" s="214" t="str">
        <f t="shared" si="2"/>
        <v/>
      </c>
      <c r="J48" s="214">
        <f>SUMIFS(KB[TPEMBAYARAN],KB[RELASI],C48,KB[TYPE],"B",KB[TANGGAL],"&gt;="&amp;DATE($D$2,MONTH(0),1),KB[TANGGAL],"&lt;"&amp;DATE($D$2+1,MONTH(0),1))</f>
        <v>0</v>
      </c>
      <c r="K48" s="252"/>
      <c r="L48" s="214">
        <f>SUMIFS(KBS[NETTO2],KBS[RELASI],C48,KBS[TANGGAL],"&gt;="&amp;DATE($D$2,MONTH(0),1),KBS[TANGGAL],"&lt;"&amp;DATE($D$2+1,MONTH(0),1))</f>
        <v>0</v>
      </c>
      <c r="M48" s="214" t="str">
        <f t="shared" si="3"/>
        <v/>
      </c>
      <c r="N48" s="214">
        <f>SUMIFS(KBS[TPEMBAYARAN],KBS[RELASI],C48,KBS[TANGGAL],"&gt;="&amp;DATE($D$2,MONTH(0),1),KBS[TANGGAL],"&lt;"&amp;DATE($D$2+1,MONTH(0),1))</f>
        <v>0</v>
      </c>
      <c r="O48" s="252"/>
      <c r="P48" s="259">
        <f>SUMIFS(KPR[NETTOB],KPR[RELASI],C48,KPR[TANGGAL],"&gt;="&amp;DATE($D$2,MONTH(0),1),KPR[TANGGAL],"&lt;"&amp;DATE($D$2+1,MONTH(0),1))</f>
        <v>0</v>
      </c>
      <c r="Q48" s="214" t="str">
        <f t="shared" si="4"/>
        <v/>
      </c>
      <c r="R48" s="214">
        <f>SUMIFS(KPR[TPEMBAYARAN],KPR[RELASI],C48,KPR[TANGGAL],"&gt;="&amp;DATE($D$2,MONTH(0),1),KPR[TANGGAL],"&lt;"&amp;DATE($D$2+1,MONTH(0),1))</f>
        <v>0</v>
      </c>
      <c r="S48" s="252"/>
      <c r="T48" s="214">
        <f>SUMIFS(ARG[NETTO3],ARG[RELASI],C48,ARG[TANGGAL],"&gt;="&amp;DATE($D$2,MONTH(0),1),ARG[TANGGAL],"&lt;"&amp;DATE($D$2+1,MONTH(0),1))</f>
        <v>0</v>
      </c>
      <c r="U48" s="214" t="str">
        <f t="shared" si="5"/>
        <v/>
      </c>
      <c r="V48" s="214">
        <f>SUMIFS(ARG[TPEMBAYARAN],ARG[RELASI],C48,ARG[TANGGAL],"&gt;="&amp;DATE($D$2,MONTH(0),1),ARG[TANGGAL],"&lt;"&amp;DATE($D$2+1,MONTH(0),1))</f>
        <v>0</v>
      </c>
      <c r="W48" s="252"/>
      <c r="X48" s="217">
        <f t="shared" si="6"/>
        <v>0</v>
      </c>
      <c r="Z48" s="292"/>
      <c r="AA48" s="173">
        <f t="shared" si="11"/>
        <v>42</v>
      </c>
      <c r="AB48" s="729" t="str">
        <f>IF(COUNTIFS($AB$7:AB47,INDEX($C$7:$C$56,MATCH(LARGE($X$7:$X$56,AA48),$X$7:$X$56,0)))&gt;0,"",INDEX($C$7:$C$56,MATCH(LARGE($X$7:$X$56,AA48),$X$7:$X$56,0)))</f>
        <v/>
      </c>
      <c r="AC48" s="291">
        <f t="shared" si="7"/>
        <v>0</v>
      </c>
      <c r="AD48" s="173" t="e">
        <f ca="1">PROPER([39]!Terbilang(AC48))</f>
        <v>#NAME?</v>
      </c>
    </row>
    <row r="49" spans="1:30" ht="18" customHeight="1">
      <c r="A49" s="173"/>
      <c r="B49" s="246">
        <f t="shared" si="8"/>
        <v>43</v>
      </c>
      <c r="C49" s="245" t="str">
        <f>RELASI!C45</f>
        <v>SITI FATIMAH</v>
      </c>
      <c r="D49" s="259">
        <f>SUMIFS(KB[NETTO2],KB[RELASI],C49,KB[TYPE],"A",KB[TANGGAL],"&gt;="&amp;DATE($D$2,MONTH(0),1),KB[TANGGAL],"&lt;"&amp;DATE($D$2+1,MONTH(0),1))</f>
        <v>0</v>
      </c>
      <c r="E49" s="214" t="str">
        <f t="shared" si="1"/>
        <v/>
      </c>
      <c r="F49" s="259">
        <f>SUMIFS(KB[TPEMBAYARAN],KB[RELASI],C49,KB[TYPE],"A",KB[TANGGAL],"&gt;="&amp;DATE($D$2,MONTH(0),1),KB[TANGGAL],"&lt;"&amp;DATE($D$2+1,MONTH(0),1))</f>
        <v>0</v>
      </c>
      <c r="G49" s="252"/>
      <c r="H49" s="214">
        <f>SUMIFS(KB[NETTO2],KB[RELASI],C49,KB[TYPE],"B",KB[TANGGAL],"&gt;="&amp;DATE($D$2,MONTH(0),1),KB[TANGGAL],"&lt;"&amp;DATE($D$2+1,MONTH(0),1))</f>
        <v>0</v>
      </c>
      <c r="I49" s="214" t="str">
        <f t="shared" si="2"/>
        <v/>
      </c>
      <c r="J49" s="214">
        <f>SUMIFS(KB[TPEMBAYARAN],KB[RELASI],C49,KB[TYPE],"B",KB[TANGGAL],"&gt;="&amp;DATE($D$2,MONTH(0),1),KB[TANGGAL],"&lt;"&amp;DATE($D$2+1,MONTH(0),1))</f>
        <v>0</v>
      </c>
      <c r="K49" s="252"/>
      <c r="L49" s="214">
        <f>SUMIFS(KBS[NETTO2],KBS[RELASI],C49,KBS[TANGGAL],"&gt;="&amp;DATE($D$2,MONTH(0),1),KBS[TANGGAL],"&lt;"&amp;DATE($D$2+1,MONTH(0),1))</f>
        <v>0</v>
      </c>
      <c r="M49" s="214" t="str">
        <f t="shared" si="3"/>
        <v/>
      </c>
      <c r="N49" s="214">
        <f>SUMIFS(KBS[TPEMBAYARAN],KBS[RELASI],C49,KBS[TANGGAL],"&gt;="&amp;DATE($D$2,MONTH(0),1),KBS[TANGGAL],"&lt;"&amp;DATE($D$2+1,MONTH(0),1))</f>
        <v>0</v>
      </c>
      <c r="O49" s="252"/>
      <c r="P49" s="259">
        <f>SUMIFS(KPR[NETTOB],KPR[RELASI],C49,KPR[TANGGAL],"&gt;="&amp;DATE($D$2,MONTH(0),1),KPR[TANGGAL],"&lt;"&amp;DATE($D$2+1,MONTH(0),1))</f>
        <v>0</v>
      </c>
      <c r="Q49" s="214" t="str">
        <f t="shared" si="4"/>
        <v/>
      </c>
      <c r="R49" s="214">
        <f>SUMIFS(KPR[TPEMBAYARAN],KPR[RELASI],C49,KPR[TANGGAL],"&gt;="&amp;DATE($D$2,MONTH(0),1),KPR[TANGGAL],"&lt;"&amp;DATE($D$2+1,MONTH(0),1))</f>
        <v>0</v>
      </c>
      <c r="S49" s="252"/>
      <c r="T49" s="214">
        <f>SUMIFS(ARG[NETTO3],ARG[RELASI],C49,ARG[TANGGAL],"&gt;="&amp;DATE($D$2,MONTH(0),1),ARG[TANGGAL],"&lt;"&amp;DATE($D$2+1,MONTH(0),1))</f>
        <v>0</v>
      </c>
      <c r="U49" s="214" t="str">
        <f t="shared" si="5"/>
        <v/>
      </c>
      <c r="V49" s="214">
        <f>SUMIFS(ARG[TPEMBAYARAN],ARG[RELASI],C49,ARG[TANGGAL],"&gt;="&amp;DATE($D$2,MONTH(0),1),ARG[TANGGAL],"&lt;"&amp;DATE($D$2+1,MONTH(0),1))</f>
        <v>0</v>
      </c>
      <c r="W49" s="252"/>
      <c r="X49" s="217">
        <f t="shared" si="6"/>
        <v>0</v>
      </c>
      <c r="Z49" s="292"/>
      <c r="AA49" s="173">
        <f t="shared" si="11"/>
        <v>43</v>
      </c>
      <c r="AB49" s="729" t="str">
        <f>IF(COUNTIFS($AB$7:AB48,INDEX($C$7:$C$56,MATCH(LARGE($X$7:$X$56,AA49),$X$7:$X$56,0)))&gt;0,"",INDEX($C$7:$C$56,MATCH(LARGE($X$7:$X$56,AA49),$X$7:$X$56,0)))</f>
        <v/>
      </c>
      <c r="AC49" s="291">
        <f t="shared" si="7"/>
        <v>0</v>
      </c>
      <c r="AD49" s="173" t="e">
        <f ca="1">PROPER([39]!Terbilang(AC49))</f>
        <v>#NAME?</v>
      </c>
    </row>
    <row r="50" spans="1:30" ht="18" customHeight="1">
      <c r="A50" s="173"/>
      <c r="B50" s="246">
        <f t="shared" si="8"/>
        <v>44</v>
      </c>
      <c r="C50" s="245" t="str">
        <f>RELASI!C46</f>
        <v>SUKAMTO</v>
      </c>
      <c r="D50" s="259">
        <f>SUMIFS(KB[NETTO2],KB[RELASI],C50,KB[TYPE],"A",KB[TANGGAL],"&gt;="&amp;DATE($D$2,MONTH(0),1),KB[TANGGAL],"&lt;"&amp;DATE($D$2+1,MONTH(0),1))</f>
        <v>0</v>
      </c>
      <c r="E50" s="214" t="str">
        <f t="shared" si="1"/>
        <v/>
      </c>
      <c r="F50" s="259">
        <f>SUMIFS(KB[TPEMBAYARAN],KB[RELASI],C50,KB[TYPE],"A",KB[TANGGAL],"&gt;="&amp;DATE($D$2,MONTH(0),1),KB[TANGGAL],"&lt;"&amp;DATE($D$2+1,MONTH(0),1))</f>
        <v>0</v>
      </c>
      <c r="G50" s="252"/>
      <c r="H50" s="214">
        <f>SUMIFS(KB[NETTO2],KB[RELASI],C50,KB[TYPE],"B",KB[TANGGAL],"&gt;="&amp;DATE($D$2,MONTH(0),1),KB[TANGGAL],"&lt;"&amp;DATE($D$2+1,MONTH(0),1))</f>
        <v>0</v>
      </c>
      <c r="I50" s="214" t="str">
        <f t="shared" si="2"/>
        <v/>
      </c>
      <c r="J50" s="214">
        <f>SUMIFS(KB[TPEMBAYARAN],KB[RELASI],C50,KB[TYPE],"B",KB[TANGGAL],"&gt;="&amp;DATE($D$2,MONTH(0),1),KB[TANGGAL],"&lt;"&amp;DATE($D$2+1,MONTH(0),1))</f>
        <v>0</v>
      </c>
      <c r="K50" s="252"/>
      <c r="L50" s="214">
        <f>SUMIFS(KBS[NETTO2],KBS[RELASI],C50,KBS[TANGGAL],"&gt;="&amp;DATE($D$2,MONTH(0),1),KBS[TANGGAL],"&lt;"&amp;DATE($D$2+1,MONTH(0),1))</f>
        <v>0</v>
      </c>
      <c r="M50" s="214" t="str">
        <f t="shared" si="3"/>
        <v/>
      </c>
      <c r="N50" s="214">
        <f>SUMIFS(KBS[TPEMBAYARAN],KBS[RELASI],C50,KBS[TANGGAL],"&gt;="&amp;DATE($D$2,MONTH(0),1),KBS[TANGGAL],"&lt;"&amp;DATE($D$2+1,MONTH(0),1))</f>
        <v>0</v>
      </c>
      <c r="O50" s="252"/>
      <c r="P50" s="259">
        <f>SUMIFS(KPR[NETTOB],KPR[RELASI],C50,KPR[TANGGAL],"&gt;="&amp;DATE($D$2,MONTH(0),1),KPR[TANGGAL],"&lt;"&amp;DATE($D$2+1,MONTH(0),1))</f>
        <v>0</v>
      </c>
      <c r="Q50" s="214" t="str">
        <f t="shared" si="4"/>
        <v/>
      </c>
      <c r="R50" s="214">
        <f>SUMIFS(KPR[TPEMBAYARAN],KPR[RELASI],C50,KPR[TANGGAL],"&gt;="&amp;DATE($D$2,MONTH(0),1),KPR[TANGGAL],"&lt;"&amp;DATE($D$2+1,MONTH(0),1))</f>
        <v>0</v>
      </c>
      <c r="S50" s="252"/>
      <c r="T50" s="214">
        <f>SUMIFS(ARG[NETTO3],ARG[RELASI],C50,ARG[TANGGAL],"&gt;="&amp;DATE($D$2,MONTH(0),1),ARG[TANGGAL],"&lt;"&amp;DATE($D$2+1,MONTH(0),1))</f>
        <v>0</v>
      </c>
      <c r="U50" s="214" t="str">
        <f t="shared" si="5"/>
        <v/>
      </c>
      <c r="V50" s="214">
        <f>SUMIFS(ARG[TPEMBAYARAN],ARG[RELASI],C50,ARG[TANGGAL],"&gt;="&amp;DATE($D$2,MONTH(0),1),ARG[TANGGAL],"&lt;"&amp;DATE($D$2+1,MONTH(0),1))</f>
        <v>0</v>
      </c>
      <c r="W50" s="252"/>
      <c r="X50" s="217">
        <f t="shared" si="6"/>
        <v>0</v>
      </c>
      <c r="Z50" s="292"/>
      <c r="AA50" s="173">
        <f t="shared" si="11"/>
        <v>44</v>
      </c>
      <c r="AB50" s="729" t="str">
        <f>IF(COUNTIFS($AB$7:AB49,INDEX($C$7:$C$56,MATCH(LARGE($X$7:$X$56,AA50),$X$7:$X$56,0)))&gt;0,"",INDEX($C$7:$C$56,MATCH(LARGE($X$7:$X$56,AA50),$X$7:$X$56,0)))</f>
        <v/>
      </c>
      <c r="AC50" s="291">
        <f t="shared" si="7"/>
        <v>0</v>
      </c>
      <c r="AD50" s="173" t="e">
        <f ca="1">PROPER([39]!Terbilang(AC50))</f>
        <v>#NAME?</v>
      </c>
    </row>
    <row r="51" spans="1:30" ht="18" customHeight="1">
      <c r="A51" s="173"/>
      <c r="B51" s="246">
        <f t="shared" si="8"/>
        <v>45</v>
      </c>
      <c r="C51" s="245" t="str">
        <f>RELASI!C47</f>
        <v>WARTINI</v>
      </c>
      <c r="D51" s="259">
        <f>SUMIFS(KB[NETTO2],KB[RELASI],C51,KB[TYPE],"A",KB[TANGGAL],"&gt;="&amp;DATE($D$2,MONTH(0),1),KB[TANGGAL],"&lt;"&amp;DATE($D$2+1,MONTH(0),1))</f>
        <v>0</v>
      </c>
      <c r="E51" s="214" t="str">
        <f t="shared" si="1"/>
        <v/>
      </c>
      <c r="F51" s="259">
        <f>SUMIFS(KB[TPEMBAYARAN],KB[RELASI],C51,KB[TYPE],"A",KB[TANGGAL],"&gt;="&amp;DATE($D$2,MONTH(0),1),KB[TANGGAL],"&lt;"&amp;DATE($D$2+1,MONTH(0),1))</f>
        <v>0</v>
      </c>
      <c r="G51" s="252"/>
      <c r="H51" s="214">
        <f>SUMIFS(KB[NETTO2],KB[RELASI],C51,KB[TYPE],"B",KB[TANGGAL],"&gt;="&amp;DATE($D$2,MONTH(0),1),KB[TANGGAL],"&lt;"&amp;DATE($D$2+1,MONTH(0),1))</f>
        <v>0</v>
      </c>
      <c r="I51" s="214" t="str">
        <f t="shared" si="2"/>
        <v/>
      </c>
      <c r="J51" s="214">
        <f>SUMIFS(KB[TPEMBAYARAN],KB[RELASI],C51,KB[TYPE],"B",KB[TANGGAL],"&gt;="&amp;DATE($D$2,MONTH(0),1),KB[TANGGAL],"&lt;"&amp;DATE($D$2+1,MONTH(0),1))</f>
        <v>0</v>
      </c>
      <c r="K51" s="252"/>
      <c r="L51" s="214">
        <f>SUMIFS(KBS[NETTO2],KBS[RELASI],C51,KBS[TANGGAL],"&gt;="&amp;DATE($D$2,MONTH(0),1),KBS[TANGGAL],"&lt;"&amp;DATE($D$2+1,MONTH(0),1))</f>
        <v>0</v>
      </c>
      <c r="M51" s="214" t="str">
        <f t="shared" si="3"/>
        <v/>
      </c>
      <c r="N51" s="214">
        <f>SUMIFS(KBS[TPEMBAYARAN],KBS[RELASI],C51,KBS[TANGGAL],"&gt;="&amp;DATE($D$2,MONTH(0),1),KBS[TANGGAL],"&lt;"&amp;DATE($D$2+1,MONTH(0),1))</f>
        <v>0</v>
      </c>
      <c r="O51" s="252"/>
      <c r="P51" s="259">
        <f>SUMIFS(KPR[NETTOB],KPR[RELASI],C51,KPR[TANGGAL],"&gt;="&amp;DATE($D$2,MONTH(0),1),KPR[TANGGAL],"&lt;"&amp;DATE($D$2+1,MONTH(0),1))</f>
        <v>0</v>
      </c>
      <c r="Q51" s="214" t="str">
        <f t="shared" si="4"/>
        <v/>
      </c>
      <c r="R51" s="214">
        <f>SUMIFS(KPR[TPEMBAYARAN],KPR[RELASI],C51,KPR[TANGGAL],"&gt;="&amp;DATE($D$2,MONTH(0),1),KPR[TANGGAL],"&lt;"&amp;DATE($D$2+1,MONTH(0),1))</f>
        <v>0</v>
      </c>
      <c r="S51" s="252"/>
      <c r="T51" s="214">
        <f>SUMIFS(ARG[NETTO3],ARG[RELASI],C51,ARG[TANGGAL],"&gt;="&amp;DATE($D$2,MONTH(0),1),ARG[TANGGAL],"&lt;"&amp;DATE($D$2+1,MONTH(0),1))</f>
        <v>0</v>
      </c>
      <c r="U51" s="214" t="str">
        <f t="shared" si="5"/>
        <v/>
      </c>
      <c r="V51" s="214">
        <f>SUMIFS(ARG[TPEMBAYARAN],ARG[RELASI],C51,ARG[TANGGAL],"&gt;="&amp;DATE($D$2,MONTH(0),1),ARG[TANGGAL],"&lt;"&amp;DATE($D$2+1,MONTH(0),1))</f>
        <v>0</v>
      </c>
      <c r="W51" s="252"/>
      <c r="X51" s="217">
        <f t="shared" si="6"/>
        <v>0</v>
      </c>
      <c r="Z51" s="292"/>
      <c r="AA51" s="173">
        <f t="shared" si="11"/>
        <v>45</v>
      </c>
      <c r="AB51" s="729" t="str">
        <f>IF(COUNTIFS($AB$7:AB50,INDEX($C$7:$C$56,MATCH(LARGE($X$7:$X$56,AA51),$X$7:$X$56,0)))&gt;0,"",INDEX($C$7:$C$56,MATCH(LARGE($X$7:$X$56,AA51),$X$7:$X$56,0)))</f>
        <v/>
      </c>
      <c r="AC51" s="291">
        <f t="shared" si="7"/>
        <v>0</v>
      </c>
      <c r="AD51" s="173" t="e">
        <f ca="1">PROPER([39]!Terbilang(AC51))</f>
        <v>#NAME?</v>
      </c>
    </row>
    <row r="52" spans="1:30" ht="18" customHeight="1">
      <c r="A52" s="173"/>
      <c r="B52" s="246">
        <f t="shared" si="8"/>
        <v>46</v>
      </c>
      <c r="C52" s="245" t="str">
        <f>RELASI!C48</f>
        <v>YANADI</v>
      </c>
      <c r="D52" s="259">
        <f>SUMIFS(KB[NETTO2],KB[RELASI],C52,KB[TYPE],"A",KB[TANGGAL],"&gt;="&amp;DATE($D$2,MONTH(0),1),KB[TANGGAL],"&lt;"&amp;DATE($D$2+1,MONTH(0),1))</f>
        <v>0</v>
      </c>
      <c r="E52" s="214" t="str">
        <f t="shared" si="1"/>
        <v/>
      </c>
      <c r="F52" s="259">
        <f>SUMIFS(KB[TPEMBAYARAN],KB[RELASI],C52,KB[TYPE],"A",KB[TANGGAL],"&gt;="&amp;DATE($D$2,MONTH(0),1),KB[TANGGAL],"&lt;"&amp;DATE($D$2+1,MONTH(0),1))</f>
        <v>0</v>
      </c>
      <c r="G52" s="252"/>
      <c r="H52" s="214">
        <f>SUMIFS(KB[NETTO2],KB[RELASI],C52,KB[TYPE],"B",KB[TANGGAL],"&gt;="&amp;DATE($D$2,MONTH(0),1),KB[TANGGAL],"&lt;"&amp;DATE($D$2+1,MONTH(0),1))</f>
        <v>0</v>
      </c>
      <c r="I52" s="214" t="str">
        <f t="shared" si="2"/>
        <v/>
      </c>
      <c r="J52" s="214">
        <f>SUMIFS(KB[TPEMBAYARAN],KB[RELASI],C52,KB[TYPE],"B",KB[TANGGAL],"&gt;="&amp;DATE($D$2,MONTH(0),1),KB[TANGGAL],"&lt;"&amp;DATE($D$2+1,MONTH(0),1))</f>
        <v>0</v>
      </c>
      <c r="K52" s="252"/>
      <c r="L52" s="214">
        <f>SUMIFS(KBS[NETTO2],KBS[RELASI],C52,KBS[TANGGAL],"&gt;="&amp;DATE($D$2,MONTH(0),1),KBS[TANGGAL],"&lt;"&amp;DATE($D$2+1,MONTH(0),1))</f>
        <v>0</v>
      </c>
      <c r="M52" s="214" t="str">
        <f t="shared" si="3"/>
        <v/>
      </c>
      <c r="N52" s="214">
        <f>SUMIFS(KBS[TPEMBAYARAN],KBS[RELASI],C52,KBS[TANGGAL],"&gt;="&amp;DATE($D$2,MONTH(0),1),KBS[TANGGAL],"&lt;"&amp;DATE($D$2+1,MONTH(0),1))</f>
        <v>0</v>
      </c>
      <c r="O52" s="252"/>
      <c r="P52" s="259">
        <f>SUMIFS(KPR[NETTOB],KPR[RELASI],C52,KPR[TANGGAL],"&gt;="&amp;DATE($D$2,MONTH(0),1),KPR[TANGGAL],"&lt;"&amp;DATE($D$2+1,MONTH(0),1))</f>
        <v>0</v>
      </c>
      <c r="Q52" s="214" t="str">
        <f t="shared" si="4"/>
        <v/>
      </c>
      <c r="R52" s="214">
        <f>SUMIFS(KPR[TPEMBAYARAN],KPR[RELASI],C52,KPR[TANGGAL],"&gt;="&amp;DATE($D$2,MONTH(0),1),KPR[TANGGAL],"&lt;"&amp;DATE($D$2+1,MONTH(0),1))</f>
        <v>0</v>
      </c>
      <c r="S52" s="252"/>
      <c r="T52" s="214">
        <f>SUMIFS(ARG[NETTO3],ARG[RELASI],C52,ARG[TANGGAL],"&gt;="&amp;DATE($D$2,MONTH(0),1),ARG[TANGGAL],"&lt;"&amp;DATE($D$2+1,MONTH(0),1))</f>
        <v>0</v>
      </c>
      <c r="U52" s="214" t="str">
        <f t="shared" si="5"/>
        <v/>
      </c>
      <c r="V52" s="214">
        <f>SUMIFS(ARG[TPEMBAYARAN],ARG[RELASI],C52,ARG[TANGGAL],"&gt;="&amp;DATE($D$2,MONTH(0),1),ARG[TANGGAL],"&lt;"&amp;DATE($D$2+1,MONTH(0),1))</f>
        <v>0</v>
      </c>
      <c r="W52" s="252"/>
      <c r="X52" s="217">
        <f t="shared" si="6"/>
        <v>0</v>
      </c>
      <c r="Z52" s="292"/>
      <c r="AA52" s="173">
        <f t="shared" si="11"/>
        <v>46</v>
      </c>
      <c r="AB52" s="729" t="str">
        <f>IF(COUNTIFS($AB$7:AB51,INDEX($C$7:$C$56,MATCH(LARGE($X$7:$X$56,AA52),$X$7:$X$56,0)))&gt;0,"",INDEX($C$7:$C$56,MATCH(LARGE($X$7:$X$56,AA52),$X$7:$X$56,0)))</f>
        <v/>
      </c>
      <c r="AC52" s="291">
        <f t="shared" si="7"/>
        <v>0</v>
      </c>
      <c r="AD52" s="173" t="e">
        <f ca="1">PROPER([39]!Terbilang(AC52))</f>
        <v>#NAME?</v>
      </c>
    </row>
    <row r="53" spans="1:30" ht="18" customHeight="1">
      <c r="A53" s="173"/>
      <c r="B53" s="246">
        <f t="shared" si="8"/>
        <v>47</v>
      </c>
      <c r="C53" s="245" t="str">
        <f>RELASI!C49</f>
        <v>ZAINAL ABIDIN</v>
      </c>
      <c r="D53" s="259">
        <f>SUMIFS(KB[NETTO2],KB[RELASI],C53,KB[TYPE],"A",KB[TANGGAL],"&gt;="&amp;DATE($D$2,MONTH(0),1),KB[TANGGAL],"&lt;"&amp;DATE($D$2+1,MONTH(0),1))</f>
        <v>0</v>
      </c>
      <c r="E53" s="214" t="str">
        <f t="shared" si="1"/>
        <v/>
      </c>
      <c r="F53" s="259">
        <f>SUMIFS(KB[TPEMBAYARAN],KB[RELASI],C53,KB[TYPE],"A",KB[TANGGAL],"&gt;="&amp;DATE($D$2,MONTH(0),1),KB[TANGGAL],"&lt;"&amp;DATE($D$2+1,MONTH(0),1))</f>
        <v>0</v>
      </c>
      <c r="G53" s="252"/>
      <c r="H53" s="214">
        <f>SUMIFS(KB[NETTO2],KB[RELASI],C53,KB[TYPE],"B",KB[TANGGAL],"&gt;="&amp;DATE($D$2,MONTH(0),1),KB[TANGGAL],"&lt;"&amp;DATE($D$2+1,MONTH(0),1))</f>
        <v>0</v>
      </c>
      <c r="I53" s="214" t="str">
        <f t="shared" si="2"/>
        <v/>
      </c>
      <c r="J53" s="214">
        <f>SUMIFS(KB[TPEMBAYARAN],KB[RELASI],C53,KB[TYPE],"B",KB[TANGGAL],"&gt;="&amp;DATE($D$2,MONTH(0),1),KB[TANGGAL],"&lt;"&amp;DATE($D$2+1,MONTH(0),1))</f>
        <v>0</v>
      </c>
      <c r="K53" s="252"/>
      <c r="L53" s="214">
        <f>SUMIFS(KBS[NETTO2],KBS[RELASI],C53,KBS[TANGGAL],"&gt;="&amp;DATE($D$2,MONTH(0),1),KBS[TANGGAL],"&lt;"&amp;DATE($D$2+1,MONTH(0),1))</f>
        <v>0</v>
      </c>
      <c r="M53" s="214" t="str">
        <f t="shared" si="3"/>
        <v/>
      </c>
      <c r="N53" s="214">
        <f>SUMIFS(KBS[TPEMBAYARAN],KBS[RELASI],C53,KBS[TANGGAL],"&gt;="&amp;DATE($D$2,MONTH(0),1),KBS[TANGGAL],"&lt;"&amp;DATE($D$2+1,MONTH(0),1))</f>
        <v>0</v>
      </c>
      <c r="O53" s="252"/>
      <c r="P53" s="259">
        <f>SUMIFS(KPR[NETTOB],KPR[RELASI],C53,KPR[TANGGAL],"&gt;="&amp;DATE($D$2,MONTH(0),1),KPR[TANGGAL],"&lt;"&amp;DATE($D$2+1,MONTH(0),1))</f>
        <v>0</v>
      </c>
      <c r="Q53" s="214" t="str">
        <f t="shared" si="4"/>
        <v/>
      </c>
      <c r="R53" s="214">
        <f>SUMIFS(KPR[TPEMBAYARAN],KPR[RELASI],C53,KPR[TANGGAL],"&gt;="&amp;DATE($D$2,MONTH(0),1),KPR[TANGGAL],"&lt;"&amp;DATE($D$2+1,MONTH(0),1))</f>
        <v>0</v>
      </c>
      <c r="S53" s="252"/>
      <c r="T53" s="214">
        <f>SUMIFS(ARG[NETTO3],ARG[RELASI],C53,ARG[TANGGAL],"&gt;="&amp;DATE($D$2,MONTH(0),1),ARG[TANGGAL],"&lt;"&amp;DATE($D$2+1,MONTH(0),1))</f>
        <v>0</v>
      </c>
      <c r="U53" s="214" t="str">
        <f t="shared" si="5"/>
        <v/>
      </c>
      <c r="V53" s="214">
        <f>SUMIFS(ARG[TPEMBAYARAN],ARG[RELASI],C53,ARG[TANGGAL],"&gt;="&amp;DATE($D$2,MONTH(0),1),ARG[TANGGAL],"&lt;"&amp;DATE($D$2+1,MONTH(0),1))</f>
        <v>0</v>
      </c>
      <c r="W53" s="252"/>
      <c r="X53" s="217">
        <f t="shared" si="6"/>
        <v>0</v>
      </c>
      <c r="Z53" s="292"/>
      <c r="AA53" s="173">
        <f t="shared" si="11"/>
        <v>47</v>
      </c>
      <c r="AB53" s="729" t="str">
        <f>IF(COUNTIFS($AB$7:AB52,INDEX($C$7:$C$56,MATCH(LARGE($X$7:$X$56,AA53),$X$7:$X$56,0)))&gt;0,"",INDEX($C$7:$C$56,MATCH(LARGE($X$7:$X$56,AA53),$X$7:$X$56,0)))</f>
        <v/>
      </c>
      <c r="AC53" s="291">
        <f t="shared" si="7"/>
        <v>0</v>
      </c>
      <c r="AD53" s="173" t="e">
        <f ca="1">PROPER([39]!Terbilang(AC53))</f>
        <v>#NAME?</v>
      </c>
    </row>
    <row r="54" spans="1:30" ht="18" customHeight="1">
      <c r="A54" s="173"/>
      <c r="B54" s="246" t="str">
        <f t="shared" si="8"/>
        <v/>
      </c>
      <c r="C54" s="245">
        <f>RELASI!C50</f>
        <v>0</v>
      </c>
      <c r="D54" s="259">
        <f>SUMIFS(KB[NETTO2],KB[RELASI],C54,KB[TYPE],"A",KB[TANGGAL],"&gt;="&amp;DATE($D$2,MONTH(0),1),KB[TANGGAL],"&lt;"&amp;DATE($D$2+1,MONTH(0),1))</f>
        <v>0</v>
      </c>
      <c r="E54" s="214" t="str">
        <f t="shared" si="1"/>
        <v/>
      </c>
      <c r="F54" s="259">
        <f>SUMIFS(KB[TPEMBAYARAN],KB[RELASI],C54,KB[TYPE],"A",KB[TANGGAL],"&gt;="&amp;DATE($D$2,MONTH(0),1),KB[TANGGAL],"&lt;"&amp;DATE($D$2+1,MONTH(0),1))</f>
        <v>0</v>
      </c>
      <c r="G54" s="252"/>
      <c r="H54" s="214">
        <f>SUMIFS(KB[NETTO2],KB[RELASI],C54,KB[TYPE],"B",KB[TANGGAL],"&gt;="&amp;DATE($D$2,MONTH(0),1),KB[TANGGAL],"&lt;"&amp;DATE($D$2+1,MONTH(0),1))</f>
        <v>0</v>
      </c>
      <c r="I54" s="214" t="str">
        <f t="shared" si="2"/>
        <v/>
      </c>
      <c r="J54" s="214">
        <f>SUMIFS(KB[TPEMBAYARAN],KB[RELASI],C54,KB[TYPE],"B",KB[TANGGAL],"&gt;="&amp;DATE($D$2,MONTH(0),1),KB[TANGGAL],"&lt;"&amp;DATE($D$2+1,MONTH(0),1))</f>
        <v>0</v>
      </c>
      <c r="K54" s="252"/>
      <c r="L54" s="214">
        <f>SUMIFS(KBS[NETTO2],KBS[RELASI],C54,KBS[TANGGAL],"&gt;="&amp;DATE($D$2,MONTH(0),1),KBS[TANGGAL],"&lt;"&amp;DATE($D$2+1,MONTH(0),1))</f>
        <v>0</v>
      </c>
      <c r="M54" s="214" t="str">
        <f t="shared" si="3"/>
        <v/>
      </c>
      <c r="N54" s="214">
        <f>SUMIFS(KBS[TPEMBAYARAN],KBS[RELASI],C54,KBS[TANGGAL],"&gt;="&amp;DATE($D$2,MONTH(0),1),KBS[TANGGAL],"&lt;"&amp;DATE($D$2+1,MONTH(0),1))</f>
        <v>0</v>
      </c>
      <c r="O54" s="252"/>
      <c r="P54" s="259">
        <f>SUMIFS(KPR[NETTOB],KPR[RELASI],C54,KPR[TANGGAL],"&gt;="&amp;DATE($D$2,MONTH(0),1),KPR[TANGGAL],"&lt;"&amp;DATE($D$2+1,MONTH(0),1))</f>
        <v>0</v>
      </c>
      <c r="Q54" s="214" t="str">
        <f t="shared" si="4"/>
        <v/>
      </c>
      <c r="R54" s="214">
        <f>SUMIFS(KPR[TPEMBAYARAN],KPR[RELASI],C54,KPR[TANGGAL],"&gt;="&amp;DATE($D$2,MONTH(0),1),KPR[TANGGAL],"&lt;"&amp;DATE($D$2+1,MONTH(0),1))</f>
        <v>0</v>
      </c>
      <c r="S54" s="252"/>
      <c r="T54" s="214">
        <f>SUMIFS(ARG[NETTO3],ARG[RELASI],C54,ARG[TANGGAL],"&gt;="&amp;DATE($D$2,MONTH(0),1),ARG[TANGGAL],"&lt;"&amp;DATE($D$2+1,MONTH(0),1))</f>
        <v>0</v>
      </c>
      <c r="U54" s="214" t="str">
        <f t="shared" si="5"/>
        <v/>
      </c>
      <c r="V54" s="214">
        <f>SUMIFS(ARG[TPEMBAYARAN],ARG[RELASI],C54,ARG[TANGGAL],"&gt;="&amp;DATE($D$2,MONTH(0),1),ARG[TANGGAL],"&lt;"&amp;DATE($D$2+1,MONTH(0),1))</f>
        <v>0</v>
      </c>
      <c r="W54" s="252"/>
      <c r="X54" s="217">
        <f t="shared" si="6"/>
        <v>0</v>
      </c>
      <c r="Z54" s="292"/>
      <c r="AA54" s="173">
        <f t="shared" si="11"/>
        <v>48</v>
      </c>
      <c r="AB54" s="729" t="str">
        <f>IF(COUNTIFS($AB$7:AB53,INDEX($C$7:$C$56,MATCH(LARGE($X$7:$X$56,AA54),$X$7:$X$56,0)))&gt;0,"",INDEX($C$7:$C$56,MATCH(LARGE($X$7:$X$56,AA54),$X$7:$X$56,0)))</f>
        <v/>
      </c>
      <c r="AC54" s="291">
        <f t="shared" si="7"/>
        <v>0</v>
      </c>
      <c r="AD54" s="173" t="e">
        <f ca="1">PROPER([39]!Terbilang(AC54))</f>
        <v>#NAME?</v>
      </c>
    </row>
    <row r="55" spans="1:30" ht="18" customHeight="1">
      <c r="A55" s="173"/>
      <c r="B55" s="246" t="str">
        <f t="shared" si="8"/>
        <v/>
      </c>
      <c r="C55" s="245">
        <f>RELASI!C51</f>
        <v>0</v>
      </c>
      <c r="D55" s="259">
        <f>SUMIFS(KB[NETTO2],KB[RELASI],C55,KB[TYPE],"A",KB[TANGGAL],"&gt;="&amp;DATE($D$2,MONTH(0),1),KB[TANGGAL],"&lt;"&amp;DATE($D$2+1,MONTH(0),1))</f>
        <v>0</v>
      </c>
      <c r="E55" s="214" t="str">
        <f t="shared" si="1"/>
        <v/>
      </c>
      <c r="F55" s="259">
        <f>SUMIFS(KB[TPEMBAYARAN],KB[RELASI],C55,KB[TYPE],"A",KB[TANGGAL],"&gt;="&amp;DATE($D$2,MONTH(0),1),KB[TANGGAL],"&lt;"&amp;DATE($D$2+1,MONTH(0),1))</f>
        <v>0</v>
      </c>
      <c r="G55" s="252"/>
      <c r="H55" s="214">
        <f>SUMIFS(KB[NETTO2],KB[RELASI],C55,KB[TYPE],"B",KB[TANGGAL],"&gt;="&amp;DATE($D$2,MONTH(0),1),KB[TANGGAL],"&lt;"&amp;DATE($D$2+1,MONTH(0),1))</f>
        <v>0</v>
      </c>
      <c r="I55" s="214" t="str">
        <f t="shared" si="2"/>
        <v/>
      </c>
      <c r="J55" s="214">
        <f>SUMIFS(KB[TPEMBAYARAN],KB[RELASI],C55,KB[TYPE],"B",KB[TANGGAL],"&gt;="&amp;DATE($D$2,MONTH(0),1),KB[TANGGAL],"&lt;"&amp;DATE($D$2+1,MONTH(0),1))</f>
        <v>0</v>
      </c>
      <c r="K55" s="252"/>
      <c r="L55" s="214">
        <f>SUMIFS(KBS[NETTO2],KBS[RELASI],C55,KBS[TANGGAL],"&gt;="&amp;DATE($D$2,MONTH(0),1),KBS[TANGGAL],"&lt;"&amp;DATE($D$2+1,MONTH(0),1))</f>
        <v>0</v>
      </c>
      <c r="M55" s="214" t="str">
        <f t="shared" si="3"/>
        <v/>
      </c>
      <c r="N55" s="214">
        <f>SUMIFS(KBS[TPEMBAYARAN],KBS[RELASI],C55,KBS[TANGGAL],"&gt;="&amp;DATE($D$2,MONTH(0),1),KBS[TANGGAL],"&lt;"&amp;DATE($D$2+1,MONTH(0),1))</f>
        <v>0</v>
      </c>
      <c r="O55" s="252"/>
      <c r="P55" s="259">
        <f>SUMIFS(KPR[NETTOB],KPR[RELASI],C55,KPR[TANGGAL],"&gt;="&amp;DATE($D$2,MONTH(0),1),KPR[TANGGAL],"&lt;"&amp;DATE($D$2+1,MONTH(0),1))</f>
        <v>0</v>
      </c>
      <c r="Q55" s="214" t="str">
        <f t="shared" si="4"/>
        <v/>
      </c>
      <c r="R55" s="214">
        <f>SUMIFS(KPR[TPEMBAYARAN],KPR[RELASI],C55,KPR[TANGGAL],"&gt;="&amp;DATE($D$2,MONTH(0),1),KPR[TANGGAL],"&lt;"&amp;DATE($D$2+1,MONTH(0),1))</f>
        <v>0</v>
      </c>
      <c r="S55" s="252"/>
      <c r="T55" s="214">
        <f>SUMIFS(ARG[NETTO3],ARG[RELASI],C55,ARG[TANGGAL],"&gt;="&amp;DATE($D$2,MONTH(0),1),ARG[TANGGAL],"&lt;"&amp;DATE($D$2+1,MONTH(0),1))</f>
        <v>0</v>
      </c>
      <c r="U55" s="214" t="str">
        <f t="shared" si="5"/>
        <v/>
      </c>
      <c r="V55" s="214">
        <f>SUMIFS(ARG[TPEMBAYARAN],ARG[RELASI],C55,ARG[TANGGAL],"&gt;="&amp;DATE($D$2,MONTH(0),1),ARG[TANGGAL],"&lt;"&amp;DATE($D$2+1,MONTH(0),1))</f>
        <v>0</v>
      </c>
      <c r="W55" s="252"/>
      <c r="X55" s="217">
        <f t="shared" si="6"/>
        <v>0</v>
      </c>
      <c r="Z55" s="292"/>
      <c r="AA55" s="173">
        <f t="shared" si="11"/>
        <v>49</v>
      </c>
      <c r="AB55" s="729" t="str">
        <f>IF(COUNTIFS($AB$7:AB54,INDEX($C$7:$C$56,MATCH(LARGE($X$7:$X$56,AA55),$X$7:$X$56,0)))&gt;0,"",INDEX($C$7:$C$56,MATCH(LARGE($X$7:$X$56,AA55),$X$7:$X$56,0)))</f>
        <v/>
      </c>
      <c r="AC55" s="291">
        <f t="shared" si="7"/>
        <v>0</v>
      </c>
      <c r="AD55" s="173" t="e">
        <f ca="1">PROPER([39]!Terbilang(AC55))</f>
        <v>#NAME?</v>
      </c>
    </row>
    <row r="56" spans="1:30" ht="18" customHeight="1" thickBot="1">
      <c r="A56" s="173"/>
      <c r="B56" s="246" t="str">
        <f t="shared" si="8"/>
        <v/>
      </c>
      <c r="C56" s="251">
        <f>RELASI!C52</f>
        <v>0</v>
      </c>
      <c r="D56" s="260">
        <f>SUMIFS(KB[NETTO2],KB[RELASI],C56,KB[TYPE],"A",KB[TANGGAL],"&gt;="&amp;DATE($D$2,MONTH(0),1),KB[TANGGAL],"&lt;"&amp;DATE($D$2+1,MONTH(0),1))</f>
        <v>0</v>
      </c>
      <c r="E56" s="253" t="str">
        <f t="shared" si="1"/>
        <v/>
      </c>
      <c r="F56" s="260">
        <f>SUMIFS(KB[TPEMBAYARAN],KB[RELASI],C56,KB[TYPE],"A",KB[TANGGAL],"&gt;="&amp;DATE($D$2,MONTH(0),1),KB[TANGGAL],"&lt;"&amp;DATE($D$2+1,MONTH(0),1))</f>
        <v>0</v>
      </c>
      <c r="G56" s="254"/>
      <c r="H56" s="253">
        <f>SUMIFS(KB[NETTO2],KB[RELASI],C56,KB[TYPE],"B",KB[TANGGAL],"&gt;="&amp;DATE($D$2,MONTH(0),1),KB[TANGGAL],"&lt;"&amp;DATE($D$2+1,MONTH(0),1))</f>
        <v>0</v>
      </c>
      <c r="I56" s="253" t="str">
        <f t="shared" si="2"/>
        <v/>
      </c>
      <c r="J56" s="253">
        <f>SUMIFS(KB[TPEMBAYARAN],KB[RELASI],C56,KB[TYPE],"B",KB[TANGGAL],"&gt;="&amp;DATE($D$2,MONTH(0),1),KB[TANGGAL],"&lt;"&amp;DATE($D$2+1,MONTH(0),1))</f>
        <v>0</v>
      </c>
      <c r="K56" s="254"/>
      <c r="L56" s="253">
        <f>SUMIFS(KBS[NETTO2],KBS[RELASI],C56,KBS[TANGGAL],"&gt;="&amp;DATE($D$2,MONTH(0),1),KBS[TANGGAL],"&lt;"&amp;DATE($D$2+1,MONTH(0),1))</f>
        <v>0</v>
      </c>
      <c r="M56" s="253" t="str">
        <f t="shared" si="3"/>
        <v/>
      </c>
      <c r="N56" s="253">
        <f>SUMIFS(KBS[TPEMBAYARAN],KBS[RELASI],C56,KBS[TANGGAL],"&gt;="&amp;DATE($D$2,MONTH(0),1),KBS[TANGGAL],"&lt;"&amp;DATE($D$2+1,MONTH(0),1))</f>
        <v>0</v>
      </c>
      <c r="O56" s="254"/>
      <c r="P56" s="260">
        <f>SUMIFS(KPR[NETTOB],KPR[RELASI],C56,KPR[TANGGAL],"&gt;="&amp;DATE($D$2,MONTH(0),1),KPR[TANGGAL],"&lt;"&amp;DATE($D$2+1,MONTH(0),1))</f>
        <v>0</v>
      </c>
      <c r="Q56" s="253" t="str">
        <f t="shared" si="4"/>
        <v/>
      </c>
      <c r="R56" s="253">
        <f>SUMIFS(KPR[TPEMBAYARAN],KPR[RELASI],C56,KPR[TANGGAL],"&gt;="&amp;DATE($D$2,MONTH(0),1),KPR[TANGGAL],"&lt;"&amp;DATE($D$2+1,MONTH(0),1))</f>
        <v>0</v>
      </c>
      <c r="S56" s="254"/>
      <c r="T56" s="253">
        <f>SUMIFS(ARG[NETTO3],ARG[RELASI],C56,ARG[TANGGAL],"&gt;="&amp;DATE($D$2,MONTH(0),1),ARG[TANGGAL],"&lt;"&amp;DATE($D$2+1,MONTH(0),1))</f>
        <v>0</v>
      </c>
      <c r="U56" s="253" t="str">
        <f t="shared" si="5"/>
        <v/>
      </c>
      <c r="V56" s="253">
        <f>SUMIFS(ARG[TPEMBAYARAN],ARG[RELASI],C56,ARG[TANGGAL],"&gt;="&amp;DATE($D$2,MONTH(0),1),ARG[TANGGAL],"&lt;"&amp;DATE($D$2+1,MONTH(0),1))</f>
        <v>0</v>
      </c>
      <c r="W56" s="254"/>
      <c r="X56" s="255">
        <f t="shared" si="6"/>
        <v>0</v>
      </c>
      <c r="Z56" s="292"/>
      <c r="AA56" s="173">
        <f t="shared" si="11"/>
        <v>50</v>
      </c>
      <c r="AB56" s="729" t="str">
        <f>IF(COUNTIFS($AB$7:AB55,INDEX($C$7:$C$56,MATCH(LARGE($X$7:$X$56,AA56),$X$7:$X$56,0)))&gt;0,"",INDEX($C$7:$C$56,MATCH(LARGE($X$7:$X$56,AA56),$X$7:$X$56,0)))</f>
        <v/>
      </c>
      <c r="AC56" s="291">
        <f t="shared" si="7"/>
        <v>0</v>
      </c>
      <c r="AD56" s="173" t="e">
        <f ca="1">PROPER([39]!Terbilang(AC56))</f>
        <v>#NAME?</v>
      </c>
    </row>
    <row r="57" spans="1:30" ht="9.75" customHeight="1" thickTop="1" thickBot="1">
      <c r="A57" s="173"/>
      <c r="C57" s="223"/>
      <c r="D57" s="225"/>
      <c r="E57" s="225"/>
      <c r="F57" s="225"/>
      <c r="G57" s="224"/>
      <c r="H57" s="225"/>
      <c r="I57" s="225"/>
      <c r="J57" s="225"/>
      <c r="K57" s="224"/>
      <c r="L57" s="225"/>
      <c r="M57" s="249"/>
      <c r="N57" s="249"/>
      <c r="O57" s="249"/>
      <c r="P57" s="249"/>
      <c r="Q57" s="249"/>
      <c r="R57" s="249"/>
      <c r="S57" s="249"/>
      <c r="T57" s="249"/>
      <c r="U57" s="249"/>
      <c r="V57" s="249"/>
      <c r="W57" s="249"/>
      <c r="X57" s="250"/>
    </row>
    <row r="58" spans="1:30" ht="26.25" customHeight="1" thickTop="1" thickBot="1">
      <c r="A58" s="173"/>
      <c r="C58" s="232" t="s">
        <v>68</v>
      </c>
      <c r="D58" s="234">
        <f>SUM(D7:D56)</f>
        <v>0</v>
      </c>
      <c r="E58" s="234" t="str">
        <f t="shared" si="1"/>
        <v/>
      </c>
      <c r="F58" s="235">
        <f>SUM(F7:F56)</f>
        <v>0</v>
      </c>
      <c r="G58" s="236"/>
      <c r="H58" s="234">
        <f>SUM(H7:H56)</f>
        <v>0</v>
      </c>
      <c r="I58" s="234" t="str">
        <f t="shared" ref="I58" si="12">IFERROR(J58/H58,"")</f>
        <v/>
      </c>
      <c r="J58" s="238">
        <f>SUM(J7:J56)</f>
        <v>0</v>
      </c>
      <c r="K58" s="173"/>
      <c r="L58" s="234">
        <f>SUM(L7:L56)</f>
        <v>0</v>
      </c>
      <c r="M58" s="234" t="str">
        <f t="shared" ref="M58" si="13">IFERROR(N58/L58,"")</f>
        <v/>
      </c>
      <c r="N58" s="238">
        <f>SUM(N7:N56)</f>
        <v>0</v>
      </c>
      <c r="O58" s="173"/>
      <c r="P58" s="234">
        <f>SUM(P7:P56)</f>
        <v>0</v>
      </c>
      <c r="Q58" s="234" t="str">
        <f t="shared" ref="Q58" si="14">IFERROR(R58/P58,"")</f>
        <v/>
      </c>
      <c r="R58" s="238">
        <f>SUM(R7:R56)</f>
        <v>0</v>
      </c>
      <c r="S58" s="173"/>
      <c r="T58" s="241">
        <f>SUM(T7:T56)</f>
        <v>0</v>
      </c>
      <c r="U58" s="234" t="str">
        <f t="shared" ref="U58" si="15">IFERROR(V58/T58,"")</f>
        <v/>
      </c>
      <c r="V58" s="242">
        <f>SUM(V7:V56)</f>
        <v>0</v>
      </c>
      <c r="X58" s="242">
        <f>SUM(X7:X56)</f>
        <v>0</v>
      </c>
    </row>
    <row r="59" spans="1:30" ht="15.75" thickTop="1">
      <c r="A59" s="173"/>
      <c r="C59" s="172"/>
      <c r="F59" s="172"/>
      <c r="K59" s="173"/>
      <c r="O59" s="173"/>
      <c r="S59" s="173"/>
    </row>
    <row r="60" spans="1:30">
      <c r="A60" s="173"/>
      <c r="C60" s="172"/>
      <c r="F60" s="172"/>
      <c r="K60" s="173"/>
      <c r="O60" s="173"/>
      <c r="S60" s="173"/>
    </row>
    <row r="61" spans="1:30">
      <c r="A61" s="173"/>
      <c r="C61" s="172"/>
      <c r="F61" s="172"/>
      <c r="K61" s="173"/>
      <c r="O61" s="173"/>
      <c r="S61" s="173"/>
    </row>
    <row r="62" spans="1:30">
      <c r="A62" s="173"/>
      <c r="C62" s="172"/>
      <c r="F62" s="172"/>
      <c r="K62" s="173"/>
      <c r="O62" s="173"/>
      <c r="S62" s="173"/>
    </row>
    <row r="63" spans="1:30">
      <c r="A63" s="173"/>
      <c r="C63" s="172"/>
      <c r="F63" s="172"/>
      <c r="K63" s="173"/>
      <c r="O63" s="173"/>
      <c r="S63" s="173"/>
    </row>
    <row r="64" spans="1:30">
      <c r="A64" s="173"/>
      <c r="C64" s="172"/>
      <c r="F64" s="172"/>
      <c r="K64" s="173"/>
      <c r="O64" s="173"/>
      <c r="S64" s="173"/>
    </row>
    <row r="65" spans="1:19">
      <c r="A65" s="173"/>
      <c r="C65" s="172"/>
      <c r="F65" s="172"/>
      <c r="K65" s="173"/>
      <c r="O65" s="173"/>
      <c r="S65" s="173"/>
    </row>
    <row r="66" spans="1:19">
      <c r="A66" s="173"/>
      <c r="C66" s="172"/>
      <c r="F66" s="172"/>
      <c r="K66" s="173"/>
      <c r="O66" s="173"/>
      <c r="S66" s="173"/>
    </row>
    <row r="67" spans="1:19">
      <c r="A67" s="173"/>
      <c r="C67" s="172"/>
      <c r="F67" s="172"/>
      <c r="K67" s="173"/>
      <c r="O67" s="173"/>
      <c r="S67" s="173"/>
    </row>
  </sheetData>
  <sheetProtection password="C46B" sheet="1" objects="1" scenarios="1"/>
  <autoFilter ref="B5:B56"/>
  <conditionalFormatting sqref="X7:X56">
    <cfRule type="dataBar" priority="1">
      <dataBar>
        <cfvo type="num" val="0"/>
        <cfvo type="max" val="0"/>
        <color theme="4" tint="-0.249977111117893"/>
      </dataBar>
    </cfRule>
  </conditionalFormatting>
  <pageMargins left="0.7" right="0.7" top="0.75" bottom="0.75" header="0.3" footer="0.3"/>
  <pageSetup orientation="portrait" horizontalDpi="180" verticalDpi="18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>
    <tabColor rgb="FF002060"/>
  </sheetPr>
  <dimension ref="A1:GL71"/>
  <sheetViews>
    <sheetView zoomScale="115" zoomScaleNormal="115" workbookViewId="0">
      <pane xSplit="3" ySplit="7" topLeftCell="D8" activePane="bottomRight" state="frozen"/>
      <selection activeCell="BE20" sqref="BE20"/>
      <selection pane="topRight" activeCell="BE20" sqref="BE20"/>
      <selection pane="bottomLeft" activeCell="BE20" sqref="BE20"/>
      <selection pane="bottomRight" activeCell="K13" sqref="K13"/>
    </sheetView>
  </sheetViews>
  <sheetFormatPr defaultRowHeight="15"/>
  <cols>
    <col min="1" max="1" width="3.42578125" customWidth="1"/>
    <col min="2" max="2" width="4.5703125" customWidth="1"/>
    <col min="3" max="3" width="14" customWidth="1"/>
    <col min="4" max="4" width="21.42578125" customWidth="1"/>
    <col min="5" max="5" width="14.5703125" customWidth="1"/>
    <col min="6" max="7" width="12.7109375" customWidth="1"/>
    <col min="8" max="8" width="7.7109375" customWidth="1"/>
    <col min="9" max="9" width="12.7109375" customWidth="1"/>
    <col min="10" max="10" width="12.7109375" style="33" customWidth="1"/>
    <col min="11" max="11" width="12.7109375" customWidth="1"/>
    <col min="12" max="12" width="18.28515625" customWidth="1"/>
    <col min="13" max="13" width="7.7109375" customWidth="1"/>
    <col min="14" max="14" width="11.7109375" customWidth="1"/>
    <col min="15" max="15" width="18.42578125" customWidth="1"/>
    <col min="16" max="16" width="16.140625" customWidth="1"/>
    <col min="17" max="17" width="19.42578125" customWidth="1"/>
    <col min="18" max="18" width="3.7109375" style="33" customWidth="1"/>
    <col min="19" max="19" width="13.85546875" customWidth="1"/>
    <col min="20" max="21" width="12.7109375" customWidth="1"/>
    <col min="22" max="22" width="7.7109375" customWidth="1"/>
    <col min="23" max="23" width="11.28515625" customWidth="1"/>
    <col min="24" max="24" width="12.7109375" customWidth="1"/>
    <col min="25" max="25" width="10.28515625" customWidth="1"/>
    <col min="26" max="26" width="15.42578125" customWidth="1"/>
    <col min="27" max="27" width="6.85546875" customWidth="1"/>
    <col min="28" max="28" width="10.5703125" customWidth="1"/>
    <col min="29" max="29" width="16.140625" customWidth="1"/>
    <col min="30" max="30" width="12.5703125" customWidth="1"/>
    <col min="31" max="31" width="16.140625" customWidth="1"/>
    <col min="32" max="32" width="3.7109375" customWidth="1"/>
    <col min="33" max="39" width="12.7109375" customWidth="1"/>
    <col min="40" max="40" width="14.5703125" customWidth="1"/>
    <col min="41" max="42" width="12.7109375" customWidth="1"/>
    <col min="43" max="43" width="14.28515625" customWidth="1"/>
    <col min="44" max="44" width="12.7109375" customWidth="1"/>
    <col min="45" max="45" width="16.28515625" customWidth="1"/>
    <col min="46" max="46" width="3.7109375" style="33" customWidth="1"/>
    <col min="47" max="47" width="10.5703125" customWidth="1"/>
    <col min="48" max="48" width="10.140625" customWidth="1"/>
    <col min="49" max="49" width="12.140625" customWidth="1"/>
    <col min="50" max="50" width="8.85546875" customWidth="1"/>
    <col min="51" max="51" width="9.5703125" customWidth="1"/>
    <col min="52" max="52" width="8.7109375" customWidth="1"/>
    <col min="53" max="53" width="10.28515625" customWidth="1"/>
    <col min="54" max="54" width="11" customWidth="1"/>
    <col min="55" max="55" width="9.5703125" customWidth="1"/>
    <col min="56" max="56" width="10.7109375" customWidth="1"/>
    <col min="57" max="57" width="15" customWidth="1"/>
    <col min="58" max="58" width="9.85546875" customWidth="1"/>
    <col min="59" max="59" width="11.42578125" customWidth="1"/>
    <col min="60" max="60" width="14.42578125" customWidth="1"/>
    <col min="61" max="61" width="12.7109375" customWidth="1"/>
    <col min="62" max="62" width="14.42578125" customWidth="1"/>
    <col min="63" max="63" width="3.7109375" style="33" customWidth="1"/>
    <col min="64" max="74" width="12.7109375" customWidth="1"/>
    <col min="75" max="80" width="14.42578125" customWidth="1"/>
    <col min="81" max="81" width="3.7109375" style="31" customWidth="1"/>
    <col min="82" max="82" width="12.7109375" customWidth="1"/>
    <col min="83" max="83" width="13.7109375" customWidth="1"/>
    <col min="84" max="84" width="12.7109375" customWidth="1"/>
    <col min="85" max="85" width="10.28515625" customWidth="1"/>
    <col min="86" max="86" width="10.140625" customWidth="1"/>
    <col min="87" max="87" width="12.7109375" customWidth="1"/>
    <col min="88" max="88" width="9.5703125" customWidth="1"/>
    <col min="89" max="89" width="13.5703125" customWidth="1"/>
    <col min="90" max="91" width="12.7109375" customWidth="1"/>
    <col min="92" max="92" width="14.140625" customWidth="1"/>
    <col min="93" max="93" width="14" customWidth="1"/>
    <col min="94" max="94" width="14.42578125" customWidth="1"/>
    <col min="95" max="95" width="14.42578125" style="33" customWidth="1"/>
    <col min="96" max="96" width="13.85546875" customWidth="1"/>
    <col min="97" max="98" width="12.7109375" customWidth="1"/>
    <col min="99" max="99" width="7.7109375" customWidth="1"/>
    <col min="100" max="100" width="12.7109375" customWidth="1"/>
    <col min="101" max="101" width="12.7109375" style="33" customWidth="1"/>
    <col min="102" max="102" width="12.7109375" customWidth="1"/>
    <col min="103" max="103" width="17.28515625" customWidth="1"/>
    <col min="104" max="104" width="13.7109375" customWidth="1"/>
    <col min="105" max="105" width="11.7109375" customWidth="1"/>
    <col min="106" max="108" width="16.140625" customWidth="1"/>
    <col min="109" max="109" width="3.7109375" customWidth="1"/>
    <col min="110" max="110" width="14.42578125" style="33" customWidth="1"/>
    <col min="111" max="111" width="13.7109375" customWidth="1"/>
    <col min="112" max="112" width="12.7109375" customWidth="1"/>
    <col min="113" max="113" width="14.28515625" customWidth="1"/>
    <col min="114" max="114" width="10" customWidth="1"/>
    <col min="115" max="116" width="12.7109375" customWidth="1"/>
    <col min="117" max="117" width="8.7109375" customWidth="1"/>
    <col min="118" max="118" width="16.42578125" customWidth="1"/>
    <col min="119" max="119" width="12.7109375" customWidth="1"/>
    <col min="120" max="120" width="9.28515625" customWidth="1"/>
    <col min="121" max="121" width="17.85546875" style="33" customWidth="1"/>
    <col min="122" max="122" width="3.7109375" customWidth="1"/>
    <col min="123" max="128" width="12.7109375" customWidth="1"/>
    <col min="129" max="129" width="12.7109375" style="33" customWidth="1"/>
    <col min="130" max="136" width="12.7109375" customWidth="1"/>
    <col min="137" max="137" width="12.7109375" style="33" customWidth="1"/>
    <col min="138" max="162" width="12.7109375" customWidth="1"/>
    <col min="163" max="163" width="13.28515625" customWidth="1"/>
    <col min="164" max="164" width="12.7109375" customWidth="1"/>
    <col min="165" max="165" width="16.85546875" customWidth="1"/>
    <col min="166" max="166" width="12" customWidth="1"/>
    <col min="167" max="167" width="12.7109375" customWidth="1"/>
    <col min="168" max="168" width="17.5703125" customWidth="1"/>
    <col min="169" max="169" width="8.7109375" customWidth="1"/>
    <col min="170" max="170" width="22" customWidth="1"/>
    <col min="171" max="171" width="12.7109375" customWidth="1"/>
    <col min="172" max="172" width="9.28515625" customWidth="1"/>
    <col min="173" max="173" width="17.5703125" customWidth="1"/>
    <col min="174" max="174" width="21.85546875" customWidth="1"/>
    <col min="175" max="175" width="19" customWidth="1"/>
    <col min="176" max="194" width="13.28515625" customWidth="1"/>
    <col min="300" max="300" width="11.42578125" customWidth="1"/>
    <col min="301" max="354" width="9.140625" customWidth="1"/>
    <col min="355" max="357" width="12.7109375" customWidth="1"/>
    <col min="358" max="358" width="10" customWidth="1"/>
    <col min="359" max="360" width="12.7109375" customWidth="1"/>
    <col min="361" max="361" width="8.7109375" customWidth="1"/>
    <col min="362" max="362" width="15.140625" customWidth="1"/>
    <col min="363" max="363" width="12.7109375" customWidth="1"/>
    <col min="364" max="364" width="9.28515625" customWidth="1"/>
    <col min="365" max="365" width="14.140625" customWidth="1"/>
    <col min="366" max="430" width="9.140625" customWidth="1"/>
    <col min="431" max="431" width="13.28515625" customWidth="1"/>
    <col min="432" max="435" width="9.140625" customWidth="1"/>
    <col min="436" max="437" width="13.28515625" customWidth="1"/>
    <col min="438" max="439" width="9.140625" customWidth="1"/>
    <col min="440" max="448" width="13.28515625" customWidth="1"/>
    <col min="449" max="449" width="10.5703125" bestFit="1" customWidth="1"/>
    <col min="556" max="556" width="11.42578125" customWidth="1"/>
    <col min="557" max="610" width="9.140625" customWidth="1"/>
    <col min="611" max="613" width="12.7109375" customWidth="1"/>
    <col min="614" max="614" width="10" customWidth="1"/>
    <col min="615" max="616" width="12.7109375" customWidth="1"/>
    <col min="617" max="617" width="8.7109375" customWidth="1"/>
    <col min="618" max="618" width="15.140625" customWidth="1"/>
    <col min="619" max="619" width="12.7109375" customWidth="1"/>
    <col min="620" max="620" width="9.28515625" customWidth="1"/>
    <col min="621" max="621" width="14.140625" customWidth="1"/>
    <col min="622" max="686" width="9.140625" customWidth="1"/>
    <col min="687" max="687" width="13.28515625" customWidth="1"/>
    <col min="688" max="691" width="9.140625" customWidth="1"/>
    <col min="692" max="693" width="13.28515625" customWidth="1"/>
    <col min="694" max="695" width="9.140625" customWidth="1"/>
    <col min="696" max="704" width="13.28515625" customWidth="1"/>
    <col min="705" max="705" width="10.5703125" bestFit="1" customWidth="1"/>
    <col min="812" max="812" width="11.42578125" customWidth="1"/>
    <col min="813" max="866" width="9.140625" customWidth="1"/>
    <col min="867" max="869" width="12.7109375" customWidth="1"/>
    <col min="870" max="870" width="10" customWidth="1"/>
    <col min="871" max="872" width="12.7109375" customWidth="1"/>
    <col min="873" max="873" width="8.7109375" customWidth="1"/>
    <col min="874" max="874" width="15.140625" customWidth="1"/>
    <col min="875" max="875" width="12.7109375" customWidth="1"/>
    <col min="876" max="876" width="9.28515625" customWidth="1"/>
    <col min="877" max="877" width="14.140625" customWidth="1"/>
    <col min="878" max="942" width="9.140625" customWidth="1"/>
    <col min="943" max="943" width="13.28515625" customWidth="1"/>
    <col min="944" max="947" width="9.140625" customWidth="1"/>
    <col min="948" max="949" width="13.28515625" customWidth="1"/>
    <col min="950" max="951" width="9.140625" customWidth="1"/>
    <col min="952" max="960" width="13.28515625" customWidth="1"/>
    <col min="961" max="961" width="10.5703125" bestFit="1" customWidth="1"/>
    <col min="1068" max="1068" width="11.42578125" customWidth="1"/>
    <col min="1069" max="1122" width="9.140625" customWidth="1"/>
    <col min="1123" max="1125" width="12.7109375" customWidth="1"/>
    <col min="1126" max="1126" width="10" customWidth="1"/>
    <col min="1127" max="1128" width="12.7109375" customWidth="1"/>
    <col min="1129" max="1129" width="8.7109375" customWidth="1"/>
    <col min="1130" max="1130" width="15.140625" customWidth="1"/>
    <col min="1131" max="1131" width="12.7109375" customWidth="1"/>
    <col min="1132" max="1132" width="9.28515625" customWidth="1"/>
    <col min="1133" max="1133" width="14.140625" customWidth="1"/>
    <col min="1134" max="1198" width="9.140625" customWidth="1"/>
    <col min="1199" max="1199" width="13.28515625" customWidth="1"/>
    <col min="1200" max="1203" width="9.140625" customWidth="1"/>
    <col min="1204" max="1205" width="13.28515625" customWidth="1"/>
    <col min="1206" max="1207" width="9.140625" customWidth="1"/>
    <col min="1208" max="1216" width="13.28515625" customWidth="1"/>
    <col min="1217" max="1217" width="10.5703125" bestFit="1" customWidth="1"/>
    <col min="1324" max="1324" width="11.42578125" customWidth="1"/>
    <col min="1325" max="1378" width="9.140625" customWidth="1"/>
    <col min="1379" max="1381" width="12.7109375" customWidth="1"/>
    <col min="1382" max="1382" width="10" customWidth="1"/>
    <col min="1383" max="1384" width="12.7109375" customWidth="1"/>
    <col min="1385" max="1385" width="8.7109375" customWidth="1"/>
    <col min="1386" max="1386" width="15.140625" customWidth="1"/>
    <col min="1387" max="1387" width="12.7109375" customWidth="1"/>
    <col min="1388" max="1388" width="9.28515625" customWidth="1"/>
    <col min="1389" max="1389" width="14.140625" customWidth="1"/>
    <col min="1390" max="1454" width="9.140625" customWidth="1"/>
    <col min="1455" max="1455" width="13.28515625" customWidth="1"/>
    <col min="1456" max="1459" width="9.140625" customWidth="1"/>
    <col min="1460" max="1461" width="13.28515625" customWidth="1"/>
    <col min="1462" max="1463" width="9.140625" customWidth="1"/>
    <col min="1464" max="1472" width="13.28515625" customWidth="1"/>
    <col min="1473" max="1473" width="10.5703125" bestFit="1" customWidth="1"/>
    <col min="1580" max="1580" width="11.42578125" customWidth="1"/>
    <col min="1581" max="1634" width="9.140625" customWidth="1"/>
    <col min="1635" max="1637" width="12.7109375" customWidth="1"/>
    <col min="1638" max="1638" width="10" customWidth="1"/>
    <col min="1639" max="1640" width="12.7109375" customWidth="1"/>
    <col min="1641" max="1641" width="8.7109375" customWidth="1"/>
    <col min="1642" max="1642" width="15.140625" customWidth="1"/>
    <col min="1643" max="1643" width="12.7109375" customWidth="1"/>
    <col min="1644" max="1644" width="9.28515625" customWidth="1"/>
    <col min="1645" max="1645" width="14.140625" customWidth="1"/>
    <col min="1646" max="1710" width="9.140625" customWidth="1"/>
    <col min="1711" max="1711" width="13.28515625" customWidth="1"/>
    <col min="1712" max="1715" width="9.140625" customWidth="1"/>
    <col min="1716" max="1717" width="13.28515625" customWidth="1"/>
    <col min="1718" max="1719" width="9.140625" customWidth="1"/>
    <col min="1720" max="1728" width="13.28515625" customWidth="1"/>
    <col min="1729" max="1729" width="10.5703125" bestFit="1" customWidth="1"/>
    <col min="1836" max="1836" width="11.42578125" customWidth="1"/>
    <col min="1837" max="1890" width="9.140625" customWidth="1"/>
    <col min="1891" max="1893" width="12.7109375" customWidth="1"/>
    <col min="1894" max="1894" width="10" customWidth="1"/>
    <col min="1895" max="1896" width="12.7109375" customWidth="1"/>
    <col min="1897" max="1897" width="8.7109375" customWidth="1"/>
    <col min="1898" max="1898" width="15.140625" customWidth="1"/>
    <col min="1899" max="1899" width="12.7109375" customWidth="1"/>
    <col min="1900" max="1900" width="9.28515625" customWidth="1"/>
    <col min="1901" max="1901" width="14.140625" customWidth="1"/>
    <col min="1902" max="1966" width="9.140625" customWidth="1"/>
    <col min="1967" max="1967" width="13.28515625" customWidth="1"/>
    <col min="1968" max="1971" width="9.140625" customWidth="1"/>
    <col min="1972" max="1973" width="13.28515625" customWidth="1"/>
    <col min="1974" max="1975" width="9.140625" customWidth="1"/>
    <col min="1976" max="1984" width="13.28515625" customWidth="1"/>
    <col min="1985" max="1985" width="10.5703125" bestFit="1" customWidth="1"/>
    <col min="2092" max="2092" width="11.42578125" customWidth="1"/>
    <col min="2093" max="2146" width="9.140625" customWidth="1"/>
    <col min="2147" max="2149" width="12.7109375" customWidth="1"/>
    <col min="2150" max="2150" width="10" customWidth="1"/>
    <col min="2151" max="2152" width="12.7109375" customWidth="1"/>
    <col min="2153" max="2153" width="8.7109375" customWidth="1"/>
    <col min="2154" max="2154" width="15.140625" customWidth="1"/>
    <col min="2155" max="2155" width="12.7109375" customWidth="1"/>
    <col min="2156" max="2156" width="9.28515625" customWidth="1"/>
    <col min="2157" max="2157" width="14.140625" customWidth="1"/>
    <col min="2158" max="2222" width="9.140625" customWidth="1"/>
    <col min="2223" max="2223" width="13.28515625" customWidth="1"/>
    <col min="2224" max="2227" width="9.140625" customWidth="1"/>
    <col min="2228" max="2229" width="13.28515625" customWidth="1"/>
    <col min="2230" max="2231" width="9.140625" customWidth="1"/>
    <col min="2232" max="2240" width="13.28515625" customWidth="1"/>
    <col min="2241" max="2241" width="10.5703125" bestFit="1" customWidth="1"/>
    <col min="2348" max="2348" width="11.42578125" customWidth="1"/>
    <col min="2349" max="2402" width="9.140625" customWidth="1"/>
    <col min="2403" max="2405" width="12.7109375" customWidth="1"/>
    <col min="2406" max="2406" width="10" customWidth="1"/>
    <col min="2407" max="2408" width="12.7109375" customWidth="1"/>
    <col min="2409" max="2409" width="8.7109375" customWidth="1"/>
    <col min="2410" max="2410" width="15.140625" customWidth="1"/>
    <col min="2411" max="2411" width="12.7109375" customWidth="1"/>
    <col min="2412" max="2412" width="9.28515625" customWidth="1"/>
    <col min="2413" max="2413" width="14.140625" customWidth="1"/>
    <col min="2414" max="2478" width="9.140625" customWidth="1"/>
    <col min="2479" max="2479" width="13.28515625" customWidth="1"/>
    <col min="2480" max="2483" width="9.140625" customWidth="1"/>
    <col min="2484" max="2485" width="13.28515625" customWidth="1"/>
    <col min="2486" max="2487" width="9.140625" customWidth="1"/>
    <col min="2488" max="2496" width="13.28515625" customWidth="1"/>
    <col min="2497" max="2497" width="10.5703125" bestFit="1" customWidth="1"/>
    <col min="2604" max="2604" width="11.42578125" customWidth="1"/>
    <col min="2605" max="2658" width="9.140625" customWidth="1"/>
    <col min="2659" max="2661" width="12.7109375" customWidth="1"/>
    <col min="2662" max="2662" width="10" customWidth="1"/>
    <col min="2663" max="2664" width="12.7109375" customWidth="1"/>
    <col min="2665" max="2665" width="8.7109375" customWidth="1"/>
    <col min="2666" max="2666" width="15.140625" customWidth="1"/>
    <col min="2667" max="2667" width="12.7109375" customWidth="1"/>
    <col min="2668" max="2668" width="9.28515625" customWidth="1"/>
    <col min="2669" max="2669" width="14.140625" customWidth="1"/>
    <col min="2670" max="2734" width="9.140625" customWidth="1"/>
    <col min="2735" max="2735" width="13.28515625" customWidth="1"/>
    <col min="2736" max="2739" width="9.140625" customWidth="1"/>
    <col min="2740" max="2741" width="13.28515625" customWidth="1"/>
    <col min="2742" max="2743" width="9.140625" customWidth="1"/>
    <col min="2744" max="2752" width="13.28515625" customWidth="1"/>
    <col min="2753" max="2753" width="10.5703125" bestFit="1" customWidth="1"/>
    <col min="2860" max="2860" width="11.42578125" customWidth="1"/>
    <col min="2861" max="2914" width="9.140625" customWidth="1"/>
    <col min="2915" max="2917" width="12.7109375" customWidth="1"/>
    <col min="2918" max="2918" width="10" customWidth="1"/>
    <col min="2919" max="2920" width="12.7109375" customWidth="1"/>
    <col min="2921" max="2921" width="8.7109375" customWidth="1"/>
    <col min="2922" max="2922" width="15.140625" customWidth="1"/>
    <col min="2923" max="2923" width="12.7109375" customWidth="1"/>
    <col min="2924" max="2924" width="9.28515625" customWidth="1"/>
    <col min="2925" max="2925" width="14.140625" customWidth="1"/>
    <col min="2926" max="2990" width="9.140625" customWidth="1"/>
    <col min="2991" max="2991" width="13.28515625" customWidth="1"/>
    <col min="2992" max="2995" width="9.140625" customWidth="1"/>
    <col min="2996" max="2997" width="13.28515625" customWidth="1"/>
    <col min="2998" max="2999" width="9.140625" customWidth="1"/>
    <col min="3000" max="3008" width="13.28515625" customWidth="1"/>
    <col min="3009" max="3009" width="10.5703125" bestFit="1" customWidth="1"/>
    <col min="3116" max="3116" width="11.42578125" customWidth="1"/>
    <col min="3117" max="3170" width="9.140625" customWidth="1"/>
    <col min="3171" max="3173" width="12.7109375" customWidth="1"/>
    <col min="3174" max="3174" width="10" customWidth="1"/>
    <col min="3175" max="3176" width="12.7109375" customWidth="1"/>
    <col min="3177" max="3177" width="8.7109375" customWidth="1"/>
    <col min="3178" max="3178" width="15.140625" customWidth="1"/>
    <col min="3179" max="3179" width="12.7109375" customWidth="1"/>
    <col min="3180" max="3180" width="9.28515625" customWidth="1"/>
    <col min="3181" max="3181" width="14.140625" customWidth="1"/>
    <col min="3182" max="3246" width="9.140625" customWidth="1"/>
    <col min="3247" max="3247" width="13.28515625" customWidth="1"/>
    <col min="3248" max="3251" width="9.140625" customWidth="1"/>
    <col min="3252" max="3253" width="13.28515625" customWidth="1"/>
    <col min="3254" max="3255" width="9.140625" customWidth="1"/>
    <col min="3256" max="3264" width="13.28515625" customWidth="1"/>
    <col min="3265" max="3265" width="10.5703125" bestFit="1" customWidth="1"/>
    <col min="3372" max="3372" width="11.42578125" customWidth="1"/>
    <col min="3373" max="3426" width="9.140625" customWidth="1"/>
    <col min="3427" max="3429" width="12.7109375" customWidth="1"/>
    <col min="3430" max="3430" width="10" customWidth="1"/>
    <col min="3431" max="3432" width="12.7109375" customWidth="1"/>
    <col min="3433" max="3433" width="8.7109375" customWidth="1"/>
    <col min="3434" max="3434" width="15.140625" customWidth="1"/>
    <col min="3435" max="3435" width="12.7109375" customWidth="1"/>
    <col min="3436" max="3436" width="9.28515625" customWidth="1"/>
    <col min="3437" max="3437" width="14.140625" customWidth="1"/>
    <col min="3438" max="3502" width="9.140625" customWidth="1"/>
    <col min="3503" max="3503" width="13.28515625" customWidth="1"/>
    <col min="3504" max="3507" width="9.140625" customWidth="1"/>
    <col min="3508" max="3509" width="13.28515625" customWidth="1"/>
    <col min="3510" max="3511" width="9.140625" customWidth="1"/>
    <col min="3512" max="3520" width="13.28515625" customWidth="1"/>
    <col min="3521" max="3521" width="10.5703125" bestFit="1" customWidth="1"/>
    <col min="3628" max="3628" width="11.42578125" customWidth="1"/>
    <col min="3629" max="3682" width="9.140625" customWidth="1"/>
    <col min="3683" max="3685" width="12.7109375" customWidth="1"/>
    <col min="3686" max="3686" width="10" customWidth="1"/>
    <col min="3687" max="3688" width="12.7109375" customWidth="1"/>
    <col min="3689" max="3689" width="8.7109375" customWidth="1"/>
    <col min="3690" max="3690" width="15.140625" customWidth="1"/>
    <col min="3691" max="3691" width="12.7109375" customWidth="1"/>
    <col min="3692" max="3692" width="9.28515625" customWidth="1"/>
    <col min="3693" max="3693" width="14.140625" customWidth="1"/>
    <col min="3694" max="3758" width="9.140625" customWidth="1"/>
    <col min="3759" max="3759" width="13.28515625" customWidth="1"/>
    <col min="3760" max="3763" width="9.140625" customWidth="1"/>
    <col min="3764" max="3765" width="13.28515625" customWidth="1"/>
    <col min="3766" max="3767" width="9.140625" customWidth="1"/>
    <col min="3768" max="3776" width="13.28515625" customWidth="1"/>
    <col min="3777" max="3777" width="10.5703125" bestFit="1" customWidth="1"/>
    <col min="3884" max="3884" width="11.42578125" customWidth="1"/>
    <col min="3885" max="3938" width="9.140625" customWidth="1"/>
    <col min="3939" max="3941" width="12.7109375" customWidth="1"/>
    <col min="3942" max="3942" width="10" customWidth="1"/>
    <col min="3943" max="3944" width="12.7109375" customWidth="1"/>
    <col min="3945" max="3945" width="8.7109375" customWidth="1"/>
    <col min="3946" max="3946" width="15.140625" customWidth="1"/>
    <col min="3947" max="3947" width="12.7109375" customWidth="1"/>
    <col min="3948" max="3948" width="9.28515625" customWidth="1"/>
    <col min="3949" max="3949" width="14.140625" customWidth="1"/>
    <col min="3950" max="4014" width="9.140625" customWidth="1"/>
    <col min="4015" max="4015" width="13.28515625" customWidth="1"/>
    <col min="4016" max="4019" width="9.140625" customWidth="1"/>
    <col min="4020" max="4021" width="13.28515625" customWidth="1"/>
    <col min="4022" max="4023" width="9.140625" customWidth="1"/>
    <col min="4024" max="4032" width="13.28515625" customWidth="1"/>
    <col min="4033" max="4033" width="10.5703125" bestFit="1" customWidth="1"/>
    <col min="4140" max="4140" width="11.42578125" customWidth="1"/>
    <col min="4141" max="4194" width="9.140625" customWidth="1"/>
    <col min="4195" max="4197" width="12.7109375" customWidth="1"/>
    <col min="4198" max="4198" width="10" customWidth="1"/>
    <col min="4199" max="4200" width="12.7109375" customWidth="1"/>
    <col min="4201" max="4201" width="8.7109375" customWidth="1"/>
    <col min="4202" max="4202" width="15.140625" customWidth="1"/>
    <col min="4203" max="4203" width="12.7109375" customWidth="1"/>
    <col min="4204" max="4204" width="9.28515625" customWidth="1"/>
    <col min="4205" max="4205" width="14.140625" customWidth="1"/>
    <col min="4206" max="4270" width="9.140625" customWidth="1"/>
    <col min="4271" max="4271" width="13.28515625" customWidth="1"/>
    <col min="4272" max="4275" width="9.140625" customWidth="1"/>
    <col min="4276" max="4277" width="13.28515625" customWidth="1"/>
    <col min="4278" max="4279" width="9.140625" customWidth="1"/>
    <col min="4280" max="4288" width="13.28515625" customWidth="1"/>
    <col min="4289" max="4289" width="10.5703125" bestFit="1" customWidth="1"/>
    <col min="4396" max="4396" width="11.42578125" customWidth="1"/>
    <col min="4397" max="4450" width="9.140625" customWidth="1"/>
    <col min="4451" max="4453" width="12.7109375" customWidth="1"/>
    <col min="4454" max="4454" width="10" customWidth="1"/>
    <col min="4455" max="4456" width="12.7109375" customWidth="1"/>
    <col min="4457" max="4457" width="8.7109375" customWidth="1"/>
    <col min="4458" max="4458" width="15.140625" customWidth="1"/>
    <col min="4459" max="4459" width="12.7109375" customWidth="1"/>
    <col min="4460" max="4460" width="9.28515625" customWidth="1"/>
    <col min="4461" max="4461" width="14.140625" customWidth="1"/>
    <col min="4462" max="4526" width="9.140625" customWidth="1"/>
    <col min="4527" max="4527" width="13.28515625" customWidth="1"/>
    <col min="4528" max="4531" width="9.140625" customWidth="1"/>
    <col min="4532" max="4533" width="13.28515625" customWidth="1"/>
    <col min="4534" max="4535" width="9.140625" customWidth="1"/>
    <col min="4536" max="4544" width="13.28515625" customWidth="1"/>
    <col min="4545" max="4545" width="10.5703125" bestFit="1" customWidth="1"/>
    <col min="4652" max="4652" width="11.42578125" customWidth="1"/>
    <col min="4653" max="4706" width="9.140625" customWidth="1"/>
    <col min="4707" max="4709" width="12.7109375" customWidth="1"/>
    <col min="4710" max="4710" width="10" customWidth="1"/>
    <col min="4711" max="4712" width="12.7109375" customWidth="1"/>
    <col min="4713" max="4713" width="8.7109375" customWidth="1"/>
    <col min="4714" max="4714" width="15.140625" customWidth="1"/>
    <col min="4715" max="4715" width="12.7109375" customWidth="1"/>
    <col min="4716" max="4716" width="9.28515625" customWidth="1"/>
    <col min="4717" max="4717" width="14.140625" customWidth="1"/>
    <col min="4718" max="4782" width="9.140625" customWidth="1"/>
    <col min="4783" max="4783" width="13.28515625" customWidth="1"/>
    <col min="4784" max="4787" width="9.140625" customWidth="1"/>
    <col min="4788" max="4789" width="13.28515625" customWidth="1"/>
    <col min="4790" max="4791" width="9.140625" customWidth="1"/>
    <col min="4792" max="4800" width="13.28515625" customWidth="1"/>
    <col min="4801" max="4801" width="10.5703125" bestFit="1" customWidth="1"/>
    <col min="4908" max="4908" width="11.42578125" customWidth="1"/>
    <col min="4909" max="4962" width="9.140625" customWidth="1"/>
    <col min="4963" max="4965" width="12.7109375" customWidth="1"/>
    <col min="4966" max="4966" width="10" customWidth="1"/>
    <col min="4967" max="4968" width="12.7109375" customWidth="1"/>
    <col min="4969" max="4969" width="8.7109375" customWidth="1"/>
    <col min="4970" max="4970" width="15.140625" customWidth="1"/>
    <col min="4971" max="4971" width="12.7109375" customWidth="1"/>
    <col min="4972" max="4972" width="9.28515625" customWidth="1"/>
    <col min="4973" max="4973" width="14.140625" customWidth="1"/>
    <col min="4974" max="5038" width="9.140625" customWidth="1"/>
    <col min="5039" max="5039" width="13.28515625" customWidth="1"/>
    <col min="5040" max="5043" width="9.140625" customWidth="1"/>
    <col min="5044" max="5045" width="13.28515625" customWidth="1"/>
    <col min="5046" max="5047" width="9.140625" customWidth="1"/>
    <col min="5048" max="5056" width="13.28515625" customWidth="1"/>
    <col min="5057" max="5057" width="10.5703125" bestFit="1" customWidth="1"/>
    <col min="5164" max="5164" width="11.42578125" customWidth="1"/>
    <col min="5165" max="5218" width="9.140625" customWidth="1"/>
    <col min="5219" max="5221" width="12.7109375" customWidth="1"/>
    <col min="5222" max="5222" width="10" customWidth="1"/>
    <col min="5223" max="5224" width="12.7109375" customWidth="1"/>
    <col min="5225" max="5225" width="8.7109375" customWidth="1"/>
    <col min="5226" max="5226" width="15.140625" customWidth="1"/>
    <col min="5227" max="5227" width="12.7109375" customWidth="1"/>
    <col min="5228" max="5228" width="9.28515625" customWidth="1"/>
    <col min="5229" max="5229" width="14.140625" customWidth="1"/>
    <col min="5230" max="5294" width="9.140625" customWidth="1"/>
    <col min="5295" max="5295" width="13.28515625" customWidth="1"/>
    <col min="5296" max="5299" width="9.140625" customWidth="1"/>
    <col min="5300" max="5301" width="13.28515625" customWidth="1"/>
    <col min="5302" max="5303" width="9.140625" customWidth="1"/>
    <col min="5304" max="5312" width="13.28515625" customWidth="1"/>
    <col min="5313" max="5313" width="10.5703125" bestFit="1" customWidth="1"/>
    <col min="5420" max="5420" width="11.42578125" customWidth="1"/>
    <col min="5421" max="5474" width="9.140625" customWidth="1"/>
    <col min="5475" max="5477" width="12.7109375" customWidth="1"/>
    <col min="5478" max="5478" width="10" customWidth="1"/>
    <col min="5479" max="5480" width="12.7109375" customWidth="1"/>
    <col min="5481" max="5481" width="8.7109375" customWidth="1"/>
    <col min="5482" max="5482" width="15.140625" customWidth="1"/>
    <col min="5483" max="5483" width="12.7109375" customWidth="1"/>
    <col min="5484" max="5484" width="9.28515625" customWidth="1"/>
    <col min="5485" max="5485" width="14.140625" customWidth="1"/>
    <col min="5486" max="5550" width="9.140625" customWidth="1"/>
    <col min="5551" max="5551" width="13.28515625" customWidth="1"/>
    <col min="5552" max="5555" width="9.140625" customWidth="1"/>
    <col min="5556" max="5557" width="13.28515625" customWidth="1"/>
    <col min="5558" max="5559" width="9.140625" customWidth="1"/>
    <col min="5560" max="5568" width="13.28515625" customWidth="1"/>
    <col min="5569" max="5569" width="10.5703125" bestFit="1" customWidth="1"/>
    <col min="5676" max="5676" width="11.42578125" customWidth="1"/>
    <col min="5677" max="5730" width="9.140625" customWidth="1"/>
    <col min="5731" max="5733" width="12.7109375" customWidth="1"/>
    <col min="5734" max="5734" width="10" customWidth="1"/>
    <col min="5735" max="5736" width="12.7109375" customWidth="1"/>
    <col min="5737" max="5737" width="8.7109375" customWidth="1"/>
    <col min="5738" max="5738" width="15.140625" customWidth="1"/>
    <col min="5739" max="5739" width="12.7109375" customWidth="1"/>
    <col min="5740" max="5740" width="9.28515625" customWidth="1"/>
    <col min="5741" max="5741" width="14.140625" customWidth="1"/>
    <col min="5742" max="5806" width="9.140625" customWidth="1"/>
    <col min="5807" max="5807" width="13.28515625" customWidth="1"/>
    <col min="5808" max="5811" width="9.140625" customWidth="1"/>
    <col min="5812" max="5813" width="13.28515625" customWidth="1"/>
    <col min="5814" max="5815" width="9.140625" customWidth="1"/>
    <col min="5816" max="5824" width="13.28515625" customWidth="1"/>
    <col min="5825" max="5825" width="10.5703125" bestFit="1" customWidth="1"/>
    <col min="5932" max="5932" width="11.42578125" customWidth="1"/>
    <col min="5933" max="5986" width="9.140625" customWidth="1"/>
    <col min="5987" max="5989" width="12.7109375" customWidth="1"/>
    <col min="5990" max="5990" width="10" customWidth="1"/>
    <col min="5991" max="5992" width="12.7109375" customWidth="1"/>
    <col min="5993" max="5993" width="8.7109375" customWidth="1"/>
    <col min="5994" max="5994" width="15.140625" customWidth="1"/>
    <col min="5995" max="5995" width="12.7109375" customWidth="1"/>
    <col min="5996" max="5996" width="9.28515625" customWidth="1"/>
    <col min="5997" max="5997" width="14.140625" customWidth="1"/>
    <col min="5998" max="6062" width="9.140625" customWidth="1"/>
    <col min="6063" max="6063" width="13.28515625" customWidth="1"/>
    <col min="6064" max="6067" width="9.140625" customWidth="1"/>
    <col min="6068" max="6069" width="13.28515625" customWidth="1"/>
    <col min="6070" max="6071" width="9.140625" customWidth="1"/>
    <col min="6072" max="6080" width="13.28515625" customWidth="1"/>
    <col min="6081" max="6081" width="10.5703125" bestFit="1" customWidth="1"/>
    <col min="6188" max="6188" width="11.42578125" customWidth="1"/>
    <col min="6189" max="6242" width="9.140625" customWidth="1"/>
    <col min="6243" max="6245" width="12.7109375" customWidth="1"/>
    <col min="6246" max="6246" width="10" customWidth="1"/>
    <col min="6247" max="6248" width="12.7109375" customWidth="1"/>
    <col min="6249" max="6249" width="8.7109375" customWidth="1"/>
    <col min="6250" max="6250" width="15.140625" customWidth="1"/>
    <col min="6251" max="6251" width="12.7109375" customWidth="1"/>
    <col min="6252" max="6252" width="9.28515625" customWidth="1"/>
    <col min="6253" max="6253" width="14.140625" customWidth="1"/>
    <col min="6254" max="6318" width="9.140625" customWidth="1"/>
    <col min="6319" max="6319" width="13.28515625" customWidth="1"/>
    <col min="6320" max="6323" width="9.140625" customWidth="1"/>
    <col min="6324" max="6325" width="13.28515625" customWidth="1"/>
    <col min="6326" max="6327" width="9.140625" customWidth="1"/>
    <col min="6328" max="6336" width="13.28515625" customWidth="1"/>
    <col min="6337" max="6337" width="10.5703125" bestFit="1" customWidth="1"/>
    <col min="6444" max="6444" width="11.42578125" customWidth="1"/>
    <col min="6445" max="6498" width="9.140625" customWidth="1"/>
    <col min="6499" max="6501" width="12.7109375" customWidth="1"/>
    <col min="6502" max="6502" width="10" customWidth="1"/>
    <col min="6503" max="6504" width="12.7109375" customWidth="1"/>
    <col min="6505" max="6505" width="8.7109375" customWidth="1"/>
    <col min="6506" max="6506" width="15.140625" customWidth="1"/>
    <col min="6507" max="6507" width="12.7109375" customWidth="1"/>
    <col min="6508" max="6508" width="9.28515625" customWidth="1"/>
    <col min="6509" max="6509" width="14.140625" customWidth="1"/>
    <col min="6510" max="6574" width="9.140625" customWidth="1"/>
    <col min="6575" max="6575" width="13.28515625" customWidth="1"/>
    <col min="6576" max="6579" width="9.140625" customWidth="1"/>
    <col min="6580" max="6581" width="13.28515625" customWidth="1"/>
    <col min="6582" max="6583" width="9.140625" customWidth="1"/>
    <col min="6584" max="6592" width="13.28515625" customWidth="1"/>
    <col min="6593" max="6593" width="10.5703125" bestFit="1" customWidth="1"/>
    <col min="6700" max="6700" width="11.42578125" customWidth="1"/>
    <col min="6701" max="6754" width="9.140625" customWidth="1"/>
    <col min="6755" max="6757" width="12.7109375" customWidth="1"/>
    <col min="6758" max="6758" width="10" customWidth="1"/>
    <col min="6759" max="6760" width="12.7109375" customWidth="1"/>
    <col min="6761" max="6761" width="8.7109375" customWidth="1"/>
    <col min="6762" max="6762" width="15.140625" customWidth="1"/>
    <col min="6763" max="6763" width="12.7109375" customWidth="1"/>
    <col min="6764" max="6764" width="9.28515625" customWidth="1"/>
    <col min="6765" max="6765" width="14.140625" customWidth="1"/>
    <col min="6766" max="6830" width="9.140625" customWidth="1"/>
    <col min="6831" max="6831" width="13.28515625" customWidth="1"/>
    <col min="6832" max="6835" width="9.140625" customWidth="1"/>
    <col min="6836" max="6837" width="13.28515625" customWidth="1"/>
    <col min="6838" max="6839" width="9.140625" customWidth="1"/>
    <col min="6840" max="6848" width="13.28515625" customWidth="1"/>
    <col min="6849" max="6849" width="10.5703125" bestFit="1" customWidth="1"/>
    <col min="6956" max="6956" width="11.42578125" customWidth="1"/>
    <col min="6957" max="7010" width="9.140625" customWidth="1"/>
    <col min="7011" max="7013" width="12.7109375" customWidth="1"/>
    <col min="7014" max="7014" width="10" customWidth="1"/>
    <col min="7015" max="7016" width="12.7109375" customWidth="1"/>
    <col min="7017" max="7017" width="8.7109375" customWidth="1"/>
    <col min="7018" max="7018" width="15.140625" customWidth="1"/>
    <col min="7019" max="7019" width="12.7109375" customWidth="1"/>
    <col min="7020" max="7020" width="9.28515625" customWidth="1"/>
    <col min="7021" max="7021" width="14.140625" customWidth="1"/>
    <col min="7022" max="7086" width="9.140625" customWidth="1"/>
    <col min="7087" max="7087" width="13.28515625" customWidth="1"/>
    <col min="7088" max="7091" width="9.140625" customWidth="1"/>
    <col min="7092" max="7093" width="13.28515625" customWidth="1"/>
    <col min="7094" max="7095" width="9.140625" customWidth="1"/>
    <col min="7096" max="7104" width="13.28515625" customWidth="1"/>
    <col min="7105" max="7105" width="10.5703125" bestFit="1" customWidth="1"/>
    <col min="7212" max="7212" width="11.42578125" customWidth="1"/>
    <col min="7213" max="7266" width="9.140625" customWidth="1"/>
    <col min="7267" max="7269" width="12.7109375" customWidth="1"/>
    <col min="7270" max="7270" width="10" customWidth="1"/>
    <col min="7271" max="7272" width="12.7109375" customWidth="1"/>
    <col min="7273" max="7273" width="8.7109375" customWidth="1"/>
    <col min="7274" max="7274" width="15.140625" customWidth="1"/>
    <col min="7275" max="7275" width="12.7109375" customWidth="1"/>
    <col min="7276" max="7276" width="9.28515625" customWidth="1"/>
    <col min="7277" max="7277" width="14.140625" customWidth="1"/>
    <col min="7278" max="7342" width="9.140625" customWidth="1"/>
    <col min="7343" max="7343" width="13.28515625" customWidth="1"/>
    <col min="7344" max="7347" width="9.140625" customWidth="1"/>
    <col min="7348" max="7349" width="13.28515625" customWidth="1"/>
    <col min="7350" max="7351" width="9.140625" customWidth="1"/>
    <col min="7352" max="7360" width="13.28515625" customWidth="1"/>
    <col min="7361" max="7361" width="10.5703125" bestFit="1" customWidth="1"/>
    <col min="7468" max="7468" width="11.42578125" customWidth="1"/>
    <col min="7469" max="7522" width="9.140625" customWidth="1"/>
    <col min="7523" max="7525" width="12.7109375" customWidth="1"/>
    <col min="7526" max="7526" width="10" customWidth="1"/>
    <col min="7527" max="7528" width="12.7109375" customWidth="1"/>
    <col min="7529" max="7529" width="8.7109375" customWidth="1"/>
    <col min="7530" max="7530" width="15.140625" customWidth="1"/>
    <col min="7531" max="7531" width="12.7109375" customWidth="1"/>
    <col min="7532" max="7532" width="9.28515625" customWidth="1"/>
    <col min="7533" max="7533" width="14.140625" customWidth="1"/>
    <col min="7534" max="7598" width="9.140625" customWidth="1"/>
    <col min="7599" max="7599" width="13.28515625" customWidth="1"/>
    <col min="7600" max="7603" width="9.140625" customWidth="1"/>
    <col min="7604" max="7605" width="13.28515625" customWidth="1"/>
    <col min="7606" max="7607" width="9.140625" customWidth="1"/>
    <col min="7608" max="7616" width="13.28515625" customWidth="1"/>
    <col min="7617" max="7617" width="10.5703125" bestFit="1" customWidth="1"/>
    <col min="7724" max="7724" width="11.42578125" customWidth="1"/>
    <col min="7725" max="7778" width="9.140625" customWidth="1"/>
    <col min="7779" max="7781" width="12.7109375" customWidth="1"/>
    <col min="7782" max="7782" width="10" customWidth="1"/>
    <col min="7783" max="7784" width="12.7109375" customWidth="1"/>
    <col min="7785" max="7785" width="8.7109375" customWidth="1"/>
    <col min="7786" max="7786" width="15.140625" customWidth="1"/>
    <col min="7787" max="7787" width="12.7109375" customWidth="1"/>
    <col min="7788" max="7788" width="9.28515625" customWidth="1"/>
    <col min="7789" max="7789" width="14.140625" customWidth="1"/>
    <col min="7790" max="7854" width="9.140625" customWidth="1"/>
    <col min="7855" max="7855" width="13.28515625" customWidth="1"/>
    <col min="7856" max="7859" width="9.140625" customWidth="1"/>
    <col min="7860" max="7861" width="13.28515625" customWidth="1"/>
    <col min="7862" max="7863" width="9.140625" customWidth="1"/>
    <col min="7864" max="7872" width="13.28515625" customWidth="1"/>
    <col min="7873" max="7873" width="10.5703125" bestFit="1" customWidth="1"/>
    <col min="7980" max="7980" width="11.42578125" customWidth="1"/>
    <col min="7981" max="8034" width="9.140625" customWidth="1"/>
    <col min="8035" max="8037" width="12.7109375" customWidth="1"/>
    <col min="8038" max="8038" width="10" customWidth="1"/>
    <col min="8039" max="8040" width="12.7109375" customWidth="1"/>
    <col min="8041" max="8041" width="8.7109375" customWidth="1"/>
    <col min="8042" max="8042" width="15.140625" customWidth="1"/>
    <col min="8043" max="8043" width="12.7109375" customWidth="1"/>
    <col min="8044" max="8044" width="9.28515625" customWidth="1"/>
    <col min="8045" max="8045" width="14.140625" customWidth="1"/>
    <col min="8046" max="8110" width="9.140625" customWidth="1"/>
    <col min="8111" max="8111" width="13.28515625" customWidth="1"/>
    <col min="8112" max="8115" width="9.140625" customWidth="1"/>
    <col min="8116" max="8117" width="13.28515625" customWidth="1"/>
    <col min="8118" max="8119" width="9.140625" customWidth="1"/>
    <col min="8120" max="8128" width="13.28515625" customWidth="1"/>
    <col min="8129" max="8129" width="10.5703125" bestFit="1" customWidth="1"/>
    <col min="8236" max="8236" width="11.42578125" customWidth="1"/>
    <col min="8237" max="8290" width="9.140625" customWidth="1"/>
    <col min="8291" max="8293" width="12.7109375" customWidth="1"/>
    <col min="8294" max="8294" width="10" customWidth="1"/>
    <col min="8295" max="8296" width="12.7109375" customWidth="1"/>
    <col min="8297" max="8297" width="8.7109375" customWidth="1"/>
    <col min="8298" max="8298" width="15.140625" customWidth="1"/>
    <col min="8299" max="8299" width="12.7109375" customWidth="1"/>
    <col min="8300" max="8300" width="9.28515625" customWidth="1"/>
    <col min="8301" max="8301" width="14.140625" customWidth="1"/>
    <col min="8302" max="8366" width="9.140625" customWidth="1"/>
    <col min="8367" max="8367" width="13.28515625" customWidth="1"/>
    <col min="8368" max="8371" width="9.140625" customWidth="1"/>
    <col min="8372" max="8373" width="13.28515625" customWidth="1"/>
    <col min="8374" max="8375" width="9.140625" customWidth="1"/>
    <col min="8376" max="8384" width="13.28515625" customWidth="1"/>
    <col min="8385" max="8385" width="10.5703125" bestFit="1" customWidth="1"/>
    <col min="8492" max="8492" width="11.42578125" customWidth="1"/>
    <col min="8493" max="8546" width="9.140625" customWidth="1"/>
    <col min="8547" max="8549" width="12.7109375" customWidth="1"/>
    <col min="8550" max="8550" width="10" customWidth="1"/>
    <col min="8551" max="8552" width="12.7109375" customWidth="1"/>
    <col min="8553" max="8553" width="8.7109375" customWidth="1"/>
    <col min="8554" max="8554" width="15.140625" customWidth="1"/>
    <col min="8555" max="8555" width="12.7109375" customWidth="1"/>
    <col min="8556" max="8556" width="9.28515625" customWidth="1"/>
    <col min="8557" max="8557" width="14.140625" customWidth="1"/>
    <col min="8558" max="8622" width="9.140625" customWidth="1"/>
    <col min="8623" max="8623" width="13.28515625" customWidth="1"/>
    <col min="8624" max="8627" width="9.140625" customWidth="1"/>
    <col min="8628" max="8629" width="13.28515625" customWidth="1"/>
    <col min="8630" max="8631" width="9.140625" customWidth="1"/>
    <col min="8632" max="8640" width="13.28515625" customWidth="1"/>
    <col min="8641" max="8641" width="10.5703125" bestFit="1" customWidth="1"/>
    <col min="8748" max="8748" width="11.42578125" customWidth="1"/>
    <col min="8749" max="8802" width="9.140625" customWidth="1"/>
    <col min="8803" max="8805" width="12.7109375" customWidth="1"/>
    <col min="8806" max="8806" width="10" customWidth="1"/>
    <col min="8807" max="8808" width="12.7109375" customWidth="1"/>
    <col min="8809" max="8809" width="8.7109375" customWidth="1"/>
    <col min="8810" max="8810" width="15.140625" customWidth="1"/>
    <col min="8811" max="8811" width="12.7109375" customWidth="1"/>
    <col min="8812" max="8812" width="9.28515625" customWidth="1"/>
    <col min="8813" max="8813" width="14.140625" customWidth="1"/>
    <col min="8814" max="8878" width="9.140625" customWidth="1"/>
    <col min="8879" max="8879" width="13.28515625" customWidth="1"/>
    <col min="8880" max="8883" width="9.140625" customWidth="1"/>
    <col min="8884" max="8885" width="13.28515625" customWidth="1"/>
    <col min="8886" max="8887" width="9.140625" customWidth="1"/>
    <col min="8888" max="8896" width="13.28515625" customWidth="1"/>
    <col min="8897" max="8897" width="10.5703125" bestFit="1" customWidth="1"/>
    <col min="9004" max="9004" width="11.42578125" customWidth="1"/>
    <col min="9005" max="9058" width="9.140625" customWidth="1"/>
    <col min="9059" max="9061" width="12.7109375" customWidth="1"/>
    <col min="9062" max="9062" width="10" customWidth="1"/>
    <col min="9063" max="9064" width="12.7109375" customWidth="1"/>
    <col min="9065" max="9065" width="8.7109375" customWidth="1"/>
    <col min="9066" max="9066" width="15.140625" customWidth="1"/>
    <col min="9067" max="9067" width="12.7109375" customWidth="1"/>
    <col min="9068" max="9068" width="9.28515625" customWidth="1"/>
    <col min="9069" max="9069" width="14.140625" customWidth="1"/>
    <col min="9070" max="9134" width="9.140625" customWidth="1"/>
    <col min="9135" max="9135" width="13.28515625" customWidth="1"/>
    <col min="9136" max="9139" width="9.140625" customWidth="1"/>
    <col min="9140" max="9141" width="13.28515625" customWidth="1"/>
    <col min="9142" max="9143" width="9.140625" customWidth="1"/>
    <col min="9144" max="9152" width="13.28515625" customWidth="1"/>
    <col min="9153" max="9153" width="10.5703125" bestFit="1" customWidth="1"/>
    <col min="9260" max="9260" width="11.42578125" customWidth="1"/>
    <col min="9261" max="9314" width="9.140625" customWidth="1"/>
    <col min="9315" max="9317" width="12.7109375" customWidth="1"/>
    <col min="9318" max="9318" width="10" customWidth="1"/>
    <col min="9319" max="9320" width="12.7109375" customWidth="1"/>
    <col min="9321" max="9321" width="8.7109375" customWidth="1"/>
    <col min="9322" max="9322" width="15.140625" customWidth="1"/>
    <col min="9323" max="9323" width="12.7109375" customWidth="1"/>
    <col min="9324" max="9324" width="9.28515625" customWidth="1"/>
    <col min="9325" max="9325" width="14.140625" customWidth="1"/>
    <col min="9326" max="9390" width="9.140625" customWidth="1"/>
    <col min="9391" max="9391" width="13.28515625" customWidth="1"/>
    <col min="9392" max="9395" width="9.140625" customWidth="1"/>
    <col min="9396" max="9397" width="13.28515625" customWidth="1"/>
    <col min="9398" max="9399" width="9.140625" customWidth="1"/>
    <col min="9400" max="9408" width="13.28515625" customWidth="1"/>
    <col min="9409" max="9409" width="10.5703125" bestFit="1" customWidth="1"/>
    <col min="9516" max="9516" width="11.42578125" customWidth="1"/>
    <col min="9517" max="9570" width="9.140625" customWidth="1"/>
    <col min="9571" max="9573" width="12.7109375" customWidth="1"/>
    <col min="9574" max="9574" width="10" customWidth="1"/>
    <col min="9575" max="9576" width="12.7109375" customWidth="1"/>
    <col min="9577" max="9577" width="8.7109375" customWidth="1"/>
    <col min="9578" max="9578" width="15.140625" customWidth="1"/>
    <col min="9579" max="9579" width="12.7109375" customWidth="1"/>
    <col min="9580" max="9580" width="9.28515625" customWidth="1"/>
    <col min="9581" max="9581" width="14.140625" customWidth="1"/>
    <col min="9582" max="9646" width="9.140625" customWidth="1"/>
    <col min="9647" max="9647" width="13.28515625" customWidth="1"/>
    <col min="9648" max="9651" width="9.140625" customWidth="1"/>
    <col min="9652" max="9653" width="13.28515625" customWidth="1"/>
    <col min="9654" max="9655" width="9.140625" customWidth="1"/>
    <col min="9656" max="9664" width="13.28515625" customWidth="1"/>
    <col min="9665" max="9665" width="10.5703125" bestFit="1" customWidth="1"/>
    <col min="9772" max="9772" width="11.42578125" customWidth="1"/>
    <col min="9773" max="9826" width="9.140625" customWidth="1"/>
    <col min="9827" max="9829" width="12.7109375" customWidth="1"/>
    <col min="9830" max="9830" width="10" customWidth="1"/>
    <col min="9831" max="9832" width="12.7109375" customWidth="1"/>
    <col min="9833" max="9833" width="8.7109375" customWidth="1"/>
    <col min="9834" max="9834" width="15.140625" customWidth="1"/>
    <col min="9835" max="9835" width="12.7109375" customWidth="1"/>
    <col min="9836" max="9836" width="9.28515625" customWidth="1"/>
    <col min="9837" max="9837" width="14.140625" customWidth="1"/>
    <col min="9838" max="9902" width="9.140625" customWidth="1"/>
    <col min="9903" max="9903" width="13.28515625" customWidth="1"/>
    <col min="9904" max="9907" width="9.140625" customWidth="1"/>
    <col min="9908" max="9909" width="13.28515625" customWidth="1"/>
    <col min="9910" max="9911" width="9.140625" customWidth="1"/>
    <col min="9912" max="9920" width="13.28515625" customWidth="1"/>
    <col min="9921" max="9921" width="10.5703125" bestFit="1" customWidth="1"/>
    <col min="10028" max="10028" width="11.42578125" customWidth="1"/>
    <col min="10029" max="10082" width="9.140625" customWidth="1"/>
    <col min="10083" max="10085" width="12.7109375" customWidth="1"/>
    <col min="10086" max="10086" width="10" customWidth="1"/>
    <col min="10087" max="10088" width="12.7109375" customWidth="1"/>
    <col min="10089" max="10089" width="8.7109375" customWidth="1"/>
    <col min="10090" max="10090" width="15.140625" customWidth="1"/>
    <col min="10091" max="10091" width="12.7109375" customWidth="1"/>
    <col min="10092" max="10092" width="9.28515625" customWidth="1"/>
    <col min="10093" max="10093" width="14.140625" customWidth="1"/>
    <col min="10094" max="10158" width="9.140625" customWidth="1"/>
    <col min="10159" max="10159" width="13.28515625" customWidth="1"/>
    <col min="10160" max="10163" width="9.140625" customWidth="1"/>
    <col min="10164" max="10165" width="13.28515625" customWidth="1"/>
    <col min="10166" max="10167" width="9.140625" customWidth="1"/>
    <col min="10168" max="10176" width="13.28515625" customWidth="1"/>
    <col min="10177" max="10177" width="10.5703125" bestFit="1" customWidth="1"/>
    <col min="10284" max="10284" width="11.42578125" customWidth="1"/>
    <col min="10285" max="10338" width="9.140625" customWidth="1"/>
    <col min="10339" max="10341" width="12.7109375" customWidth="1"/>
    <col min="10342" max="10342" width="10" customWidth="1"/>
    <col min="10343" max="10344" width="12.7109375" customWidth="1"/>
    <col min="10345" max="10345" width="8.7109375" customWidth="1"/>
    <col min="10346" max="10346" width="15.140625" customWidth="1"/>
    <col min="10347" max="10347" width="12.7109375" customWidth="1"/>
    <col min="10348" max="10348" width="9.28515625" customWidth="1"/>
    <col min="10349" max="10349" width="14.140625" customWidth="1"/>
    <col min="10350" max="10414" width="9.140625" customWidth="1"/>
    <col min="10415" max="10415" width="13.28515625" customWidth="1"/>
    <col min="10416" max="10419" width="9.140625" customWidth="1"/>
    <col min="10420" max="10421" width="13.28515625" customWidth="1"/>
    <col min="10422" max="10423" width="9.140625" customWidth="1"/>
    <col min="10424" max="10432" width="13.28515625" customWidth="1"/>
    <col min="10433" max="10433" width="10.5703125" bestFit="1" customWidth="1"/>
    <col min="10540" max="10540" width="11.42578125" customWidth="1"/>
    <col min="10541" max="10594" width="9.140625" customWidth="1"/>
    <col min="10595" max="10597" width="12.7109375" customWidth="1"/>
    <col min="10598" max="10598" width="10" customWidth="1"/>
    <col min="10599" max="10600" width="12.7109375" customWidth="1"/>
    <col min="10601" max="10601" width="8.7109375" customWidth="1"/>
    <col min="10602" max="10602" width="15.140625" customWidth="1"/>
    <col min="10603" max="10603" width="12.7109375" customWidth="1"/>
    <col min="10604" max="10604" width="9.28515625" customWidth="1"/>
    <col min="10605" max="10605" width="14.140625" customWidth="1"/>
    <col min="10606" max="10670" width="9.140625" customWidth="1"/>
    <col min="10671" max="10671" width="13.28515625" customWidth="1"/>
    <col min="10672" max="10675" width="9.140625" customWidth="1"/>
    <col min="10676" max="10677" width="13.28515625" customWidth="1"/>
    <col min="10678" max="10679" width="9.140625" customWidth="1"/>
    <col min="10680" max="10688" width="13.28515625" customWidth="1"/>
    <col min="10689" max="10689" width="10.5703125" bestFit="1" customWidth="1"/>
    <col min="10796" max="10796" width="11.42578125" customWidth="1"/>
    <col min="10797" max="10850" width="9.140625" customWidth="1"/>
    <col min="10851" max="10853" width="12.7109375" customWidth="1"/>
    <col min="10854" max="10854" width="10" customWidth="1"/>
    <col min="10855" max="10856" width="12.7109375" customWidth="1"/>
    <col min="10857" max="10857" width="8.7109375" customWidth="1"/>
    <col min="10858" max="10858" width="15.140625" customWidth="1"/>
    <col min="10859" max="10859" width="12.7109375" customWidth="1"/>
    <col min="10860" max="10860" width="9.28515625" customWidth="1"/>
    <col min="10861" max="10861" width="14.140625" customWidth="1"/>
    <col min="10862" max="10926" width="9.140625" customWidth="1"/>
    <col min="10927" max="10927" width="13.28515625" customWidth="1"/>
    <col min="10928" max="10931" width="9.140625" customWidth="1"/>
    <col min="10932" max="10933" width="13.28515625" customWidth="1"/>
    <col min="10934" max="10935" width="9.140625" customWidth="1"/>
    <col min="10936" max="10944" width="13.28515625" customWidth="1"/>
    <col min="10945" max="10945" width="10.5703125" bestFit="1" customWidth="1"/>
    <col min="11052" max="11052" width="11.42578125" customWidth="1"/>
    <col min="11053" max="11106" width="9.140625" customWidth="1"/>
    <col min="11107" max="11109" width="12.7109375" customWidth="1"/>
    <col min="11110" max="11110" width="10" customWidth="1"/>
    <col min="11111" max="11112" width="12.7109375" customWidth="1"/>
    <col min="11113" max="11113" width="8.7109375" customWidth="1"/>
    <col min="11114" max="11114" width="15.140625" customWidth="1"/>
    <col min="11115" max="11115" width="12.7109375" customWidth="1"/>
    <col min="11116" max="11116" width="9.28515625" customWidth="1"/>
    <col min="11117" max="11117" width="14.140625" customWidth="1"/>
    <col min="11118" max="11182" width="9.140625" customWidth="1"/>
    <col min="11183" max="11183" width="13.28515625" customWidth="1"/>
    <col min="11184" max="11187" width="9.140625" customWidth="1"/>
    <col min="11188" max="11189" width="13.28515625" customWidth="1"/>
    <col min="11190" max="11191" width="9.140625" customWidth="1"/>
    <col min="11192" max="11200" width="13.28515625" customWidth="1"/>
    <col min="11201" max="11201" width="10.5703125" bestFit="1" customWidth="1"/>
    <col min="11308" max="11308" width="11.42578125" customWidth="1"/>
    <col min="11309" max="11362" width="9.140625" customWidth="1"/>
    <col min="11363" max="11365" width="12.7109375" customWidth="1"/>
    <col min="11366" max="11366" width="10" customWidth="1"/>
    <col min="11367" max="11368" width="12.7109375" customWidth="1"/>
    <col min="11369" max="11369" width="8.7109375" customWidth="1"/>
    <col min="11370" max="11370" width="15.140625" customWidth="1"/>
    <col min="11371" max="11371" width="12.7109375" customWidth="1"/>
    <col min="11372" max="11372" width="9.28515625" customWidth="1"/>
    <col min="11373" max="11373" width="14.140625" customWidth="1"/>
    <col min="11374" max="11438" width="9.140625" customWidth="1"/>
    <col min="11439" max="11439" width="13.28515625" customWidth="1"/>
    <col min="11440" max="11443" width="9.140625" customWidth="1"/>
    <col min="11444" max="11445" width="13.28515625" customWidth="1"/>
    <col min="11446" max="11447" width="9.140625" customWidth="1"/>
    <col min="11448" max="11456" width="13.28515625" customWidth="1"/>
    <col min="11457" max="11457" width="10.5703125" bestFit="1" customWidth="1"/>
    <col min="11564" max="11564" width="11.42578125" customWidth="1"/>
    <col min="11565" max="11618" width="9.140625" customWidth="1"/>
    <col min="11619" max="11621" width="12.7109375" customWidth="1"/>
    <col min="11622" max="11622" width="10" customWidth="1"/>
    <col min="11623" max="11624" width="12.7109375" customWidth="1"/>
    <col min="11625" max="11625" width="8.7109375" customWidth="1"/>
    <col min="11626" max="11626" width="15.140625" customWidth="1"/>
    <col min="11627" max="11627" width="12.7109375" customWidth="1"/>
    <col min="11628" max="11628" width="9.28515625" customWidth="1"/>
    <col min="11629" max="11629" width="14.140625" customWidth="1"/>
    <col min="11630" max="11694" width="9.140625" customWidth="1"/>
    <col min="11695" max="11695" width="13.28515625" customWidth="1"/>
    <col min="11696" max="11699" width="9.140625" customWidth="1"/>
    <col min="11700" max="11701" width="13.28515625" customWidth="1"/>
    <col min="11702" max="11703" width="9.140625" customWidth="1"/>
    <col min="11704" max="11712" width="13.28515625" customWidth="1"/>
    <col min="11713" max="11713" width="10.5703125" bestFit="1" customWidth="1"/>
    <col min="11820" max="11820" width="11.42578125" customWidth="1"/>
    <col min="11821" max="11874" width="9.140625" customWidth="1"/>
    <col min="11875" max="11877" width="12.7109375" customWidth="1"/>
    <col min="11878" max="11878" width="10" customWidth="1"/>
    <col min="11879" max="11880" width="12.7109375" customWidth="1"/>
    <col min="11881" max="11881" width="8.7109375" customWidth="1"/>
    <col min="11882" max="11882" width="15.140625" customWidth="1"/>
    <col min="11883" max="11883" width="12.7109375" customWidth="1"/>
    <col min="11884" max="11884" width="9.28515625" customWidth="1"/>
    <col min="11885" max="11885" width="14.140625" customWidth="1"/>
    <col min="11886" max="11950" width="9.140625" customWidth="1"/>
    <col min="11951" max="11951" width="13.28515625" customWidth="1"/>
    <col min="11952" max="11955" width="9.140625" customWidth="1"/>
    <col min="11956" max="11957" width="13.28515625" customWidth="1"/>
    <col min="11958" max="11959" width="9.140625" customWidth="1"/>
    <col min="11960" max="11968" width="13.28515625" customWidth="1"/>
    <col min="11969" max="11969" width="10.5703125" bestFit="1" customWidth="1"/>
    <col min="12076" max="12076" width="11.42578125" customWidth="1"/>
    <col min="12077" max="12130" width="9.140625" customWidth="1"/>
    <col min="12131" max="12133" width="12.7109375" customWidth="1"/>
    <col min="12134" max="12134" width="10" customWidth="1"/>
    <col min="12135" max="12136" width="12.7109375" customWidth="1"/>
    <col min="12137" max="12137" width="8.7109375" customWidth="1"/>
    <col min="12138" max="12138" width="15.140625" customWidth="1"/>
    <col min="12139" max="12139" width="12.7109375" customWidth="1"/>
    <col min="12140" max="12140" width="9.28515625" customWidth="1"/>
    <col min="12141" max="12141" width="14.140625" customWidth="1"/>
    <col min="12142" max="12206" width="9.140625" customWidth="1"/>
    <col min="12207" max="12207" width="13.28515625" customWidth="1"/>
    <col min="12208" max="12211" width="9.140625" customWidth="1"/>
    <col min="12212" max="12213" width="13.28515625" customWidth="1"/>
    <col min="12214" max="12215" width="9.140625" customWidth="1"/>
    <col min="12216" max="12224" width="13.28515625" customWidth="1"/>
    <col min="12225" max="12225" width="10.5703125" bestFit="1" customWidth="1"/>
    <col min="12332" max="12332" width="11.42578125" customWidth="1"/>
    <col min="12333" max="12386" width="9.140625" customWidth="1"/>
    <col min="12387" max="12389" width="12.7109375" customWidth="1"/>
    <col min="12390" max="12390" width="10" customWidth="1"/>
    <col min="12391" max="12392" width="12.7109375" customWidth="1"/>
    <col min="12393" max="12393" width="8.7109375" customWidth="1"/>
    <col min="12394" max="12394" width="15.140625" customWidth="1"/>
    <col min="12395" max="12395" width="12.7109375" customWidth="1"/>
    <col min="12396" max="12396" width="9.28515625" customWidth="1"/>
    <col min="12397" max="12397" width="14.140625" customWidth="1"/>
    <col min="12398" max="12462" width="9.140625" customWidth="1"/>
    <col min="12463" max="12463" width="13.28515625" customWidth="1"/>
    <col min="12464" max="12467" width="9.140625" customWidth="1"/>
    <col min="12468" max="12469" width="13.28515625" customWidth="1"/>
    <col min="12470" max="12471" width="9.140625" customWidth="1"/>
    <col min="12472" max="12480" width="13.28515625" customWidth="1"/>
    <col min="12481" max="12481" width="10.5703125" bestFit="1" customWidth="1"/>
    <col min="12588" max="12588" width="11.42578125" customWidth="1"/>
    <col min="12589" max="12642" width="9.140625" customWidth="1"/>
    <col min="12643" max="12645" width="12.7109375" customWidth="1"/>
    <col min="12646" max="12646" width="10" customWidth="1"/>
    <col min="12647" max="12648" width="12.7109375" customWidth="1"/>
    <col min="12649" max="12649" width="8.7109375" customWidth="1"/>
    <col min="12650" max="12650" width="15.140625" customWidth="1"/>
    <col min="12651" max="12651" width="12.7109375" customWidth="1"/>
    <col min="12652" max="12652" width="9.28515625" customWidth="1"/>
    <col min="12653" max="12653" width="14.140625" customWidth="1"/>
    <col min="12654" max="12718" width="9.140625" customWidth="1"/>
    <col min="12719" max="12719" width="13.28515625" customWidth="1"/>
    <col min="12720" max="12723" width="9.140625" customWidth="1"/>
    <col min="12724" max="12725" width="13.28515625" customWidth="1"/>
    <col min="12726" max="12727" width="9.140625" customWidth="1"/>
    <col min="12728" max="12736" width="13.28515625" customWidth="1"/>
    <col min="12737" max="12737" width="10.5703125" bestFit="1" customWidth="1"/>
    <col min="12844" max="12844" width="11.42578125" customWidth="1"/>
    <col min="12845" max="12898" width="9.140625" customWidth="1"/>
    <col min="12899" max="12901" width="12.7109375" customWidth="1"/>
    <col min="12902" max="12902" width="10" customWidth="1"/>
    <col min="12903" max="12904" width="12.7109375" customWidth="1"/>
    <col min="12905" max="12905" width="8.7109375" customWidth="1"/>
    <col min="12906" max="12906" width="15.140625" customWidth="1"/>
    <col min="12907" max="12907" width="12.7109375" customWidth="1"/>
    <col min="12908" max="12908" width="9.28515625" customWidth="1"/>
    <col min="12909" max="12909" width="14.140625" customWidth="1"/>
    <col min="12910" max="12974" width="9.140625" customWidth="1"/>
    <col min="12975" max="12975" width="13.28515625" customWidth="1"/>
    <col min="12976" max="12979" width="9.140625" customWidth="1"/>
    <col min="12980" max="12981" width="13.28515625" customWidth="1"/>
    <col min="12982" max="12983" width="9.140625" customWidth="1"/>
    <col min="12984" max="12992" width="13.28515625" customWidth="1"/>
    <col min="12993" max="12993" width="10.5703125" bestFit="1" customWidth="1"/>
    <col min="13100" max="13100" width="11.42578125" customWidth="1"/>
    <col min="13101" max="13154" width="9.140625" customWidth="1"/>
    <col min="13155" max="13157" width="12.7109375" customWidth="1"/>
    <col min="13158" max="13158" width="10" customWidth="1"/>
    <col min="13159" max="13160" width="12.7109375" customWidth="1"/>
    <col min="13161" max="13161" width="8.7109375" customWidth="1"/>
    <col min="13162" max="13162" width="15.140625" customWidth="1"/>
    <col min="13163" max="13163" width="12.7109375" customWidth="1"/>
    <col min="13164" max="13164" width="9.28515625" customWidth="1"/>
    <col min="13165" max="13165" width="14.140625" customWidth="1"/>
    <col min="13166" max="13230" width="9.140625" customWidth="1"/>
    <col min="13231" max="13231" width="13.28515625" customWidth="1"/>
    <col min="13232" max="13235" width="9.140625" customWidth="1"/>
    <col min="13236" max="13237" width="13.28515625" customWidth="1"/>
    <col min="13238" max="13239" width="9.140625" customWidth="1"/>
    <col min="13240" max="13248" width="13.28515625" customWidth="1"/>
    <col min="13249" max="13249" width="10.5703125" bestFit="1" customWidth="1"/>
    <col min="13356" max="13356" width="11.42578125" customWidth="1"/>
    <col min="13357" max="13410" width="9.140625" customWidth="1"/>
    <col min="13411" max="13413" width="12.7109375" customWidth="1"/>
    <col min="13414" max="13414" width="10" customWidth="1"/>
    <col min="13415" max="13416" width="12.7109375" customWidth="1"/>
    <col min="13417" max="13417" width="8.7109375" customWidth="1"/>
    <col min="13418" max="13418" width="15.140625" customWidth="1"/>
    <col min="13419" max="13419" width="12.7109375" customWidth="1"/>
    <col min="13420" max="13420" width="9.28515625" customWidth="1"/>
    <col min="13421" max="13421" width="14.140625" customWidth="1"/>
    <col min="13422" max="13486" width="9.140625" customWidth="1"/>
    <col min="13487" max="13487" width="13.28515625" customWidth="1"/>
    <col min="13488" max="13491" width="9.140625" customWidth="1"/>
    <col min="13492" max="13493" width="13.28515625" customWidth="1"/>
    <col min="13494" max="13495" width="9.140625" customWidth="1"/>
    <col min="13496" max="13504" width="13.28515625" customWidth="1"/>
    <col min="13505" max="13505" width="10.5703125" bestFit="1" customWidth="1"/>
    <col min="13612" max="13612" width="11.42578125" customWidth="1"/>
    <col min="13613" max="13666" width="9.140625" customWidth="1"/>
    <col min="13667" max="13669" width="12.7109375" customWidth="1"/>
    <col min="13670" max="13670" width="10" customWidth="1"/>
    <col min="13671" max="13672" width="12.7109375" customWidth="1"/>
    <col min="13673" max="13673" width="8.7109375" customWidth="1"/>
    <col min="13674" max="13674" width="15.140625" customWidth="1"/>
    <col min="13675" max="13675" width="12.7109375" customWidth="1"/>
    <col min="13676" max="13676" width="9.28515625" customWidth="1"/>
    <col min="13677" max="13677" width="14.140625" customWidth="1"/>
    <col min="13678" max="13742" width="9.140625" customWidth="1"/>
    <col min="13743" max="13743" width="13.28515625" customWidth="1"/>
    <col min="13744" max="13747" width="9.140625" customWidth="1"/>
    <col min="13748" max="13749" width="13.28515625" customWidth="1"/>
    <col min="13750" max="13751" width="9.140625" customWidth="1"/>
    <col min="13752" max="13760" width="13.28515625" customWidth="1"/>
    <col min="13761" max="13761" width="10.5703125" bestFit="1" customWidth="1"/>
    <col min="13868" max="13868" width="11.42578125" customWidth="1"/>
    <col min="13869" max="13922" width="9.140625" customWidth="1"/>
    <col min="13923" max="13925" width="12.7109375" customWidth="1"/>
    <col min="13926" max="13926" width="10" customWidth="1"/>
    <col min="13927" max="13928" width="12.7109375" customWidth="1"/>
    <col min="13929" max="13929" width="8.7109375" customWidth="1"/>
    <col min="13930" max="13930" width="15.140625" customWidth="1"/>
    <col min="13931" max="13931" width="12.7109375" customWidth="1"/>
    <col min="13932" max="13932" width="9.28515625" customWidth="1"/>
    <col min="13933" max="13933" width="14.140625" customWidth="1"/>
    <col min="13934" max="13998" width="9.140625" customWidth="1"/>
    <col min="13999" max="13999" width="13.28515625" customWidth="1"/>
    <col min="14000" max="14003" width="9.140625" customWidth="1"/>
    <col min="14004" max="14005" width="13.28515625" customWidth="1"/>
    <col min="14006" max="14007" width="9.140625" customWidth="1"/>
    <col min="14008" max="14016" width="13.28515625" customWidth="1"/>
    <col min="14017" max="14017" width="10.5703125" bestFit="1" customWidth="1"/>
    <col min="14124" max="14124" width="11.42578125" customWidth="1"/>
    <col min="14125" max="14178" width="9.140625" customWidth="1"/>
    <col min="14179" max="14181" width="12.7109375" customWidth="1"/>
    <col min="14182" max="14182" width="10" customWidth="1"/>
    <col min="14183" max="14184" width="12.7109375" customWidth="1"/>
    <col min="14185" max="14185" width="8.7109375" customWidth="1"/>
    <col min="14186" max="14186" width="15.140625" customWidth="1"/>
    <col min="14187" max="14187" width="12.7109375" customWidth="1"/>
    <col min="14188" max="14188" width="9.28515625" customWidth="1"/>
    <col min="14189" max="14189" width="14.140625" customWidth="1"/>
    <col min="14190" max="14254" width="9.140625" customWidth="1"/>
    <col min="14255" max="14255" width="13.28515625" customWidth="1"/>
    <col min="14256" max="14259" width="9.140625" customWidth="1"/>
    <col min="14260" max="14261" width="13.28515625" customWidth="1"/>
    <col min="14262" max="14263" width="9.140625" customWidth="1"/>
    <col min="14264" max="14272" width="13.28515625" customWidth="1"/>
    <col min="14273" max="14273" width="10.5703125" bestFit="1" customWidth="1"/>
    <col min="14380" max="14380" width="11.42578125" customWidth="1"/>
    <col min="14381" max="14434" width="9.140625" customWidth="1"/>
    <col min="14435" max="14437" width="12.7109375" customWidth="1"/>
    <col min="14438" max="14438" width="10" customWidth="1"/>
    <col min="14439" max="14440" width="12.7109375" customWidth="1"/>
    <col min="14441" max="14441" width="8.7109375" customWidth="1"/>
    <col min="14442" max="14442" width="15.140625" customWidth="1"/>
    <col min="14443" max="14443" width="12.7109375" customWidth="1"/>
    <col min="14444" max="14444" width="9.28515625" customWidth="1"/>
    <col min="14445" max="14445" width="14.140625" customWidth="1"/>
    <col min="14446" max="14510" width="9.140625" customWidth="1"/>
    <col min="14511" max="14511" width="13.28515625" customWidth="1"/>
    <col min="14512" max="14515" width="9.140625" customWidth="1"/>
    <col min="14516" max="14517" width="13.28515625" customWidth="1"/>
    <col min="14518" max="14519" width="9.140625" customWidth="1"/>
    <col min="14520" max="14528" width="13.28515625" customWidth="1"/>
    <col min="14529" max="14529" width="10.5703125" bestFit="1" customWidth="1"/>
    <col min="14636" max="14636" width="11.42578125" customWidth="1"/>
    <col min="14637" max="14690" width="9.140625" customWidth="1"/>
    <col min="14691" max="14693" width="12.7109375" customWidth="1"/>
    <col min="14694" max="14694" width="10" customWidth="1"/>
    <col min="14695" max="14696" width="12.7109375" customWidth="1"/>
    <col min="14697" max="14697" width="8.7109375" customWidth="1"/>
    <col min="14698" max="14698" width="15.140625" customWidth="1"/>
    <col min="14699" max="14699" width="12.7109375" customWidth="1"/>
    <col min="14700" max="14700" width="9.28515625" customWidth="1"/>
    <col min="14701" max="14701" width="14.140625" customWidth="1"/>
    <col min="14702" max="14766" width="9.140625" customWidth="1"/>
    <col min="14767" max="14767" width="13.28515625" customWidth="1"/>
    <col min="14768" max="14771" width="9.140625" customWidth="1"/>
    <col min="14772" max="14773" width="13.28515625" customWidth="1"/>
    <col min="14774" max="14775" width="9.140625" customWidth="1"/>
    <col min="14776" max="14784" width="13.28515625" customWidth="1"/>
    <col min="14785" max="14785" width="10.5703125" bestFit="1" customWidth="1"/>
    <col min="14892" max="14892" width="11.42578125" customWidth="1"/>
    <col min="14893" max="14946" width="9.140625" customWidth="1"/>
    <col min="14947" max="14949" width="12.7109375" customWidth="1"/>
    <col min="14950" max="14950" width="10" customWidth="1"/>
    <col min="14951" max="14952" width="12.7109375" customWidth="1"/>
    <col min="14953" max="14953" width="8.7109375" customWidth="1"/>
    <col min="14954" max="14954" width="15.140625" customWidth="1"/>
    <col min="14955" max="14955" width="12.7109375" customWidth="1"/>
    <col min="14956" max="14956" width="9.28515625" customWidth="1"/>
    <col min="14957" max="14957" width="14.140625" customWidth="1"/>
    <col min="14958" max="15022" width="9.140625" customWidth="1"/>
    <col min="15023" max="15023" width="13.28515625" customWidth="1"/>
    <col min="15024" max="15027" width="9.140625" customWidth="1"/>
    <col min="15028" max="15029" width="13.28515625" customWidth="1"/>
    <col min="15030" max="15031" width="9.140625" customWidth="1"/>
    <col min="15032" max="15040" width="13.28515625" customWidth="1"/>
    <col min="15041" max="15041" width="10.5703125" bestFit="1" customWidth="1"/>
    <col min="15148" max="15148" width="11.42578125" customWidth="1"/>
    <col min="15149" max="15202" width="9.140625" customWidth="1"/>
    <col min="15203" max="15205" width="12.7109375" customWidth="1"/>
    <col min="15206" max="15206" width="10" customWidth="1"/>
    <col min="15207" max="15208" width="12.7109375" customWidth="1"/>
    <col min="15209" max="15209" width="8.7109375" customWidth="1"/>
    <col min="15210" max="15210" width="15.140625" customWidth="1"/>
    <col min="15211" max="15211" width="12.7109375" customWidth="1"/>
    <col min="15212" max="15212" width="9.28515625" customWidth="1"/>
    <col min="15213" max="15213" width="14.140625" customWidth="1"/>
    <col min="15214" max="15278" width="9.140625" customWidth="1"/>
    <col min="15279" max="15279" width="13.28515625" customWidth="1"/>
    <col min="15280" max="15283" width="9.140625" customWidth="1"/>
    <col min="15284" max="15285" width="13.28515625" customWidth="1"/>
    <col min="15286" max="15287" width="9.140625" customWidth="1"/>
    <col min="15288" max="15296" width="13.28515625" customWidth="1"/>
    <col min="15297" max="15297" width="10.5703125" bestFit="1" customWidth="1"/>
    <col min="15404" max="15404" width="11.42578125" customWidth="1"/>
    <col min="15405" max="15458" width="9.140625" customWidth="1"/>
    <col min="15459" max="15461" width="12.7109375" customWidth="1"/>
    <col min="15462" max="15462" width="10" customWidth="1"/>
    <col min="15463" max="15464" width="12.7109375" customWidth="1"/>
    <col min="15465" max="15465" width="8.7109375" customWidth="1"/>
    <col min="15466" max="15466" width="15.140625" customWidth="1"/>
    <col min="15467" max="15467" width="12.7109375" customWidth="1"/>
    <col min="15468" max="15468" width="9.28515625" customWidth="1"/>
    <col min="15469" max="15469" width="14.140625" customWidth="1"/>
    <col min="15470" max="15534" width="9.140625" customWidth="1"/>
    <col min="15535" max="15535" width="13.28515625" customWidth="1"/>
    <col min="15536" max="15539" width="9.140625" customWidth="1"/>
    <col min="15540" max="15541" width="13.28515625" customWidth="1"/>
    <col min="15542" max="15543" width="9.140625" customWidth="1"/>
    <col min="15544" max="15552" width="13.28515625" customWidth="1"/>
    <col min="15553" max="15553" width="10.5703125" bestFit="1" customWidth="1"/>
    <col min="15660" max="15660" width="11.42578125" customWidth="1"/>
    <col min="15661" max="15714" width="9.140625" customWidth="1"/>
    <col min="15715" max="15717" width="12.7109375" customWidth="1"/>
    <col min="15718" max="15718" width="10" customWidth="1"/>
    <col min="15719" max="15720" width="12.7109375" customWidth="1"/>
    <col min="15721" max="15721" width="8.7109375" customWidth="1"/>
    <col min="15722" max="15722" width="15.140625" customWidth="1"/>
    <col min="15723" max="15723" width="12.7109375" customWidth="1"/>
    <col min="15724" max="15724" width="9.28515625" customWidth="1"/>
    <col min="15725" max="15725" width="14.140625" customWidth="1"/>
    <col min="15726" max="15790" width="9.140625" customWidth="1"/>
    <col min="15791" max="15791" width="13.28515625" customWidth="1"/>
    <col min="15792" max="15795" width="9.140625" customWidth="1"/>
    <col min="15796" max="15797" width="13.28515625" customWidth="1"/>
    <col min="15798" max="15799" width="9.140625" customWidth="1"/>
    <col min="15800" max="15808" width="13.28515625" customWidth="1"/>
    <col min="15809" max="15809" width="10.5703125" bestFit="1" customWidth="1"/>
    <col min="15916" max="15916" width="11.42578125" customWidth="1"/>
    <col min="15917" max="15970" width="9.140625" customWidth="1"/>
    <col min="15971" max="15973" width="12.7109375" customWidth="1"/>
    <col min="15974" max="15974" width="10" customWidth="1"/>
    <col min="15975" max="15976" width="12.7109375" customWidth="1"/>
    <col min="15977" max="15977" width="8.7109375" customWidth="1"/>
    <col min="15978" max="15978" width="15.140625" customWidth="1"/>
    <col min="15979" max="15979" width="12.7109375" customWidth="1"/>
    <col min="15980" max="15980" width="9.28515625" customWidth="1"/>
    <col min="15981" max="15981" width="14.140625" customWidth="1"/>
    <col min="15982" max="16046" width="9.140625" customWidth="1"/>
    <col min="16047" max="16047" width="13.28515625" customWidth="1"/>
    <col min="16048" max="16051" width="9.140625" customWidth="1"/>
    <col min="16052" max="16053" width="13.28515625" customWidth="1"/>
    <col min="16054" max="16055" width="9.140625" customWidth="1"/>
    <col min="16056" max="16064" width="13.28515625" customWidth="1"/>
    <col min="16065" max="16065" width="10.5703125" bestFit="1" customWidth="1"/>
    <col min="16172" max="16172" width="11.42578125" customWidth="1"/>
    <col min="16173" max="16226" width="9.140625" customWidth="1"/>
    <col min="16227" max="16229" width="12.7109375" customWidth="1"/>
    <col min="16230" max="16230" width="10" customWidth="1"/>
    <col min="16231" max="16232" width="12.7109375" customWidth="1"/>
    <col min="16233" max="16233" width="8.7109375" customWidth="1"/>
    <col min="16234" max="16234" width="15.140625" customWidth="1"/>
    <col min="16235" max="16235" width="12.7109375" customWidth="1"/>
    <col min="16236" max="16236" width="9.28515625" customWidth="1"/>
    <col min="16237" max="16237" width="14.140625" customWidth="1"/>
    <col min="16238" max="16302" width="9.140625" customWidth="1"/>
    <col min="16303" max="16303" width="13.28515625" customWidth="1"/>
    <col min="16304" max="16307" width="9.140625" customWidth="1"/>
    <col min="16308" max="16309" width="13.28515625" customWidth="1"/>
    <col min="16310" max="16311" width="9.140625" customWidth="1"/>
    <col min="16312" max="16320" width="13.28515625" customWidth="1"/>
    <col min="16321" max="16321" width="10.5703125" bestFit="1" customWidth="1"/>
  </cols>
  <sheetData>
    <row r="1" spans="1:194" s="29" customFormat="1" ht="8.25" customHeight="1">
      <c r="A1"/>
      <c r="B1"/>
      <c r="C1"/>
      <c r="D1"/>
      <c r="E1"/>
      <c r="F1"/>
      <c r="G1"/>
      <c r="H1"/>
      <c r="I1"/>
      <c r="J1" s="33"/>
      <c r="K1" s="31"/>
      <c r="L1" s="31"/>
      <c r="M1" s="31"/>
      <c r="N1" s="31"/>
      <c r="O1" s="31"/>
      <c r="R1" s="31"/>
      <c r="AT1" s="31"/>
      <c r="BK1" s="31"/>
      <c r="CC1" s="31"/>
      <c r="CQ1" s="31"/>
      <c r="CW1" s="31"/>
      <c r="DF1" s="31"/>
      <c r="DQ1" s="31"/>
      <c r="DY1" s="31"/>
      <c r="EG1" s="31"/>
    </row>
    <row r="2" spans="1:194" s="29" customFormat="1" ht="22.5">
      <c r="A2"/>
      <c r="B2"/>
      <c r="C2" s="294" t="s">
        <v>336</v>
      </c>
      <c r="D2" s="294"/>
      <c r="E2" s="295"/>
      <c r="F2" s="718"/>
      <c r="G2" s="717" t="s">
        <v>460</v>
      </c>
      <c r="H2" s="1096">
        <v>2020</v>
      </c>
      <c r="I2" s="1096"/>
      <c r="J2" s="296"/>
      <c r="K2" s="296"/>
      <c r="L2" s="296"/>
      <c r="M2" s="296"/>
      <c r="N2" s="296"/>
      <c r="O2" s="296"/>
      <c r="P2" s="295"/>
      <c r="Q2" s="295"/>
      <c r="R2" s="295"/>
      <c r="S2" s="295"/>
      <c r="T2" s="295"/>
      <c r="U2" s="295"/>
      <c r="V2" s="295"/>
      <c r="W2" s="295"/>
      <c r="X2" s="296"/>
      <c r="Y2" s="295"/>
      <c r="Z2" s="295"/>
      <c r="AA2" s="531"/>
      <c r="AB2" s="531"/>
      <c r="AC2" s="295"/>
      <c r="AD2" s="295"/>
      <c r="AE2" s="295"/>
      <c r="AF2" s="295"/>
      <c r="AG2" s="295"/>
      <c r="AH2" s="295"/>
      <c r="AI2" s="295"/>
      <c r="AJ2" s="295"/>
      <c r="AK2" s="295"/>
      <c r="AL2" s="295"/>
      <c r="AM2" s="295"/>
      <c r="AN2" s="295"/>
      <c r="AO2" s="295"/>
      <c r="AP2" s="295"/>
      <c r="AQ2" s="295"/>
      <c r="AR2" s="295"/>
      <c r="AS2" s="295"/>
      <c r="AT2" s="295"/>
      <c r="AU2" s="295"/>
      <c r="AV2" s="295"/>
      <c r="AW2" s="295"/>
      <c r="AX2" s="295"/>
      <c r="AY2" s="295"/>
      <c r="AZ2" s="295"/>
      <c r="BA2" s="295"/>
      <c r="BB2" s="295"/>
      <c r="BC2" s="295"/>
      <c r="BD2" s="295"/>
      <c r="BE2" s="295"/>
      <c r="BF2" s="295"/>
      <c r="BG2" s="295"/>
      <c r="BH2" s="295"/>
      <c r="BI2" s="295"/>
      <c r="BJ2" s="295"/>
      <c r="BK2" s="295"/>
      <c r="BL2" s="602"/>
      <c r="BM2" s="602"/>
      <c r="BN2" s="602"/>
      <c r="BO2" s="602"/>
      <c r="BP2" s="602"/>
      <c r="BQ2" s="602"/>
      <c r="BR2" s="602"/>
      <c r="BS2" s="602"/>
      <c r="BT2" s="602"/>
      <c r="BU2" s="602"/>
      <c r="BV2" s="602"/>
      <c r="BW2" s="602"/>
      <c r="BX2" s="602"/>
      <c r="BY2" s="602"/>
      <c r="BZ2" s="602"/>
      <c r="CA2" s="602"/>
      <c r="CB2" s="602"/>
      <c r="CC2" s="602"/>
      <c r="CD2" s="295"/>
      <c r="CE2" s="295"/>
      <c r="CF2" s="295"/>
      <c r="CG2" s="295"/>
      <c r="CH2" s="295"/>
      <c r="CI2" s="295"/>
      <c r="CJ2" s="295"/>
      <c r="CK2" s="295"/>
      <c r="CL2" s="295"/>
      <c r="CM2" s="295"/>
      <c r="CN2" s="295"/>
      <c r="CO2" s="295"/>
      <c r="CP2" s="295"/>
      <c r="CQ2" s="295"/>
      <c r="CR2" s="295"/>
      <c r="CS2" s="295"/>
      <c r="CT2" s="295"/>
      <c r="CU2" s="295"/>
      <c r="CV2" s="295"/>
      <c r="CW2" s="296"/>
      <c r="CX2" s="295"/>
      <c r="CY2" s="295"/>
      <c r="CZ2" s="531"/>
      <c r="DA2" s="531"/>
      <c r="DB2" s="295"/>
      <c r="DC2" s="295"/>
      <c r="DD2" s="295"/>
      <c r="DE2" s="295"/>
      <c r="DF2" s="602"/>
      <c r="DG2" s="295"/>
      <c r="DH2" s="295"/>
      <c r="DI2" s="295"/>
      <c r="DJ2" s="295"/>
      <c r="DK2" s="295"/>
      <c r="DL2" s="295"/>
      <c r="DM2" s="295"/>
      <c r="DN2" s="295"/>
      <c r="DO2" s="295"/>
      <c r="DP2" s="295"/>
      <c r="DQ2" s="295"/>
      <c r="DR2" s="295"/>
      <c r="DS2" s="295"/>
      <c r="DT2" s="295"/>
      <c r="DU2" s="295"/>
      <c r="DV2" s="295"/>
      <c r="DW2" s="295"/>
      <c r="DX2" s="295"/>
      <c r="DY2" s="295"/>
      <c r="DZ2" s="295"/>
      <c r="EA2" s="295"/>
      <c r="EB2" s="295"/>
      <c r="EC2" s="295"/>
      <c r="ED2" s="295"/>
      <c r="EE2" s="295"/>
      <c r="EF2" s="295"/>
      <c r="EG2" s="295"/>
      <c r="EH2" s="295"/>
      <c r="EI2" s="295"/>
      <c r="EJ2" s="295"/>
      <c r="EK2" s="295"/>
      <c r="EL2" s="295"/>
      <c r="EM2" s="295"/>
      <c r="EN2" s="295"/>
      <c r="EO2" s="295"/>
      <c r="EP2" s="295"/>
      <c r="EQ2" s="295"/>
      <c r="ER2" s="295"/>
      <c r="ES2" s="295"/>
      <c r="ET2" s="295"/>
      <c r="EU2" s="295"/>
      <c r="EV2" s="295"/>
      <c r="EW2" s="295"/>
      <c r="EX2" s="295"/>
      <c r="EY2" s="295"/>
      <c r="EZ2" s="295"/>
      <c r="FA2" s="603"/>
      <c r="FB2" s="603"/>
      <c r="FC2" s="603"/>
      <c r="FD2" s="603"/>
      <c r="FE2" s="603"/>
      <c r="FF2" s="603"/>
      <c r="FG2" s="295"/>
      <c r="FH2" s="295"/>
      <c r="FI2" s="295"/>
      <c r="FJ2" s="295"/>
      <c r="FK2" s="295"/>
      <c r="FL2" s="295"/>
      <c r="FM2" s="295"/>
      <c r="FN2" s="295"/>
      <c r="FO2" s="295"/>
      <c r="FP2" s="295"/>
      <c r="FQ2" s="295"/>
      <c r="FR2" s="295"/>
    </row>
    <row r="3" spans="1:194" s="29" customFormat="1" ht="25.5" customHeight="1">
      <c r="A3"/>
      <c r="B3"/>
      <c r="C3" s="294"/>
      <c r="D3" s="294"/>
      <c r="E3" s="295"/>
      <c r="F3" s="718"/>
      <c r="G3" s="717" t="s">
        <v>461</v>
      </c>
      <c r="H3" s="1096">
        <v>3</v>
      </c>
      <c r="I3" s="1096"/>
      <c r="J3" s="296"/>
      <c r="K3" s="296"/>
      <c r="L3" s="296"/>
      <c r="M3" s="296"/>
      <c r="N3" s="296"/>
      <c r="O3" s="296"/>
      <c r="P3" s="295"/>
      <c r="Q3" s="295"/>
      <c r="R3" s="295"/>
      <c r="S3" s="295"/>
      <c r="T3" s="295"/>
      <c r="U3" s="295"/>
      <c r="V3" s="295"/>
      <c r="W3" s="295"/>
      <c r="X3" s="296"/>
      <c r="Y3" s="295"/>
      <c r="Z3" s="295"/>
      <c r="AA3" s="531"/>
      <c r="AB3" s="531"/>
      <c r="AC3" s="295"/>
      <c r="AD3" s="295"/>
      <c r="AE3" s="295"/>
      <c r="AF3" s="295"/>
      <c r="AG3" s="295"/>
      <c r="AH3" s="295"/>
      <c r="AI3" s="295"/>
      <c r="AJ3" s="295"/>
      <c r="AK3" s="295"/>
      <c r="AL3" s="295"/>
      <c r="AM3" s="295"/>
      <c r="AN3" s="295"/>
      <c r="AO3" s="295"/>
      <c r="AP3" s="295"/>
      <c r="AQ3" s="295"/>
      <c r="AR3" s="295"/>
      <c r="AS3" s="295"/>
      <c r="AT3" s="295"/>
      <c r="AU3" s="295"/>
      <c r="AV3" s="295"/>
      <c r="AW3" s="295"/>
      <c r="AX3" s="295"/>
      <c r="AY3" s="295"/>
      <c r="AZ3" s="295"/>
      <c r="BA3" s="295"/>
      <c r="BB3" s="295"/>
      <c r="BC3" s="295"/>
      <c r="BD3" s="295"/>
      <c r="BE3" s="295"/>
      <c r="BF3" s="295"/>
      <c r="BG3" s="295"/>
      <c r="BH3" s="295"/>
      <c r="BI3" s="295"/>
      <c r="BJ3" s="295"/>
      <c r="BK3" s="295"/>
      <c r="BL3" s="602"/>
      <c r="BM3" s="602"/>
      <c r="BN3" s="602"/>
      <c r="BO3" s="602"/>
      <c r="BP3" s="602"/>
      <c r="BQ3" s="602"/>
      <c r="BR3" s="602"/>
      <c r="BS3" s="602"/>
      <c r="BT3" s="602"/>
      <c r="BU3" s="602"/>
      <c r="BV3" s="602"/>
      <c r="BW3" s="602"/>
      <c r="BX3" s="602"/>
      <c r="BY3" s="602"/>
      <c r="BZ3" s="602"/>
      <c r="CA3" s="602"/>
      <c r="CB3" s="602"/>
      <c r="CC3" s="602"/>
      <c r="CD3" s="295"/>
      <c r="CE3" s="295"/>
      <c r="CF3" s="295"/>
      <c r="CG3" s="295"/>
      <c r="CH3" s="295"/>
      <c r="CI3" s="295"/>
      <c r="CJ3" s="295"/>
      <c r="CK3" s="295"/>
      <c r="CL3" s="295"/>
      <c r="CM3" s="295"/>
      <c r="CN3" s="295"/>
      <c r="CO3" s="295"/>
      <c r="CP3" s="295"/>
      <c r="CQ3" s="295"/>
      <c r="CR3" s="295"/>
      <c r="CS3" s="295"/>
      <c r="CT3" s="295"/>
      <c r="CU3" s="295"/>
      <c r="CV3" s="295"/>
      <c r="CW3" s="296"/>
      <c r="CX3" s="295"/>
      <c r="CY3" s="295"/>
      <c r="CZ3" s="531"/>
      <c r="DA3" s="531"/>
      <c r="DB3" s="295"/>
      <c r="DC3" s="295"/>
      <c r="DD3" s="295"/>
      <c r="DE3" s="295"/>
      <c r="DF3" s="602"/>
      <c r="DG3" s="295"/>
      <c r="DH3" s="295"/>
      <c r="DI3" s="295"/>
      <c r="DJ3" s="295"/>
      <c r="DK3" s="295"/>
      <c r="DL3" s="295"/>
      <c r="DM3" s="295"/>
      <c r="DN3" s="295"/>
      <c r="DO3" s="295"/>
      <c r="DP3" s="295"/>
      <c r="DQ3" s="295"/>
      <c r="DR3" s="295"/>
      <c r="DS3" s="295"/>
      <c r="DT3" s="295"/>
      <c r="DU3" s="295"/>
      <c r="DV3" s="295"/>
      <c r="DW3" s="295"/>
      <c r="DX3" s="295"/>
      <c r="DY3" s="295"/>
      <c r="DZ3" s="295"/>
      <c r="EA3" s="295"/>
      <c r="EB3" s="295"/>
      <c r="EC3" s="295"/>
      <c r="ED3" s="295"/>
      <c r="EE3" s="295"/>
      <c r="EF3" s="295"/>
      <c r="EG3" s="295"/>
      <c r="EH3" s="295"/>
      <c r="EI3" s="295"/>
      <c r="EJ3" s="295"/>
      <c r="EK3" s="295"/>
      <c r="EL3" s="295"/>
      <c r="EM3" s="295"/>
      <c r="EN3" s="295"/>
      <c r="EO3" s="295"/>
      <c r="EP3" s="295"/>
      <c r="EQ3" s="295"/>
      <c r="ER3" s="295"/>
      <c r="ES3" s="295"/>
      <c r="ET3" s="295"/>
      <c r="EU3" s="295"/>
      <c r="EV3" s="295"/>
      <c r="EW3" s="295"/>
      <c r="EX3" s="295"/>
      <c r="EY3" s="295"/>
      <c r="EZ3" s="295"/>
      <c r="FA3" s="603"/>
      <c r="FB3" s="603"/>
      <c r="FC3" s="603"/>
      <c r="FD3" s="603"/>
      <c r="FE3" s="603"/>
      <c r="FF3" s="603"/>
      <c r="FG3" s="295"/>
      <c r="FH3" s="295"/>
      <c r="FI3" s="295"/>
      <c r="FJ3" s="295"/>
      <c r="FK3" s="295"/>
      <c r="FL3" s="295"/>
      <c r="FM3" s="295"/>
      <c r="FN3" s="295"/>
      <c r="FO3" s="295"/>
      <c r="FP3" s="295"/>
      <c r="FQ3" s="295"/>
      <c r="FR3" s="295"/>
    </row>
    <row r="4" spans="1:194" s="29" customFormat="1" ht="8.25" customHeight="1">
      <c r="A4"/>
      <c r="B4"/>
      <c r="C4" s="294"/>
      <c r="D4" s="294"/>
      <c r="E4" s="295"/>
      <c r="F4" s="295"/>
      <c r="G4" s="295"/>
      <c r="H4" s="295"/>
      <c r="I4" s="295"/>
      <c r="J4" s="296"/>
      <c r="K4" s="296"/>
      <c r="L4" s="296"/>
      <c r="M4" s="296"/>
      <c r="N4" s="296"/>
      <c r="O4" s="296"/>
      <c r="P4" s="295"/>
      <c r="Q4" s="295"/>
      <c r="R4" s="295"/>
      <c r="S4" s="295"/>
      <c r="T4" s="295"/>
      <c r="U4" s="295"/>
      <c r="V4" s="295"/>
      <c r="W4" s="295"/>
      <c r="X4" s="296"/>
      <c r="Y4" s="295"/>
      <c r="Z4" s="295"/>
      <c r="AA4" s="531"/>
      <c r="AB4" s="531"/>
      <c r="AC4" s="295"/>
      <c r="AD4" s="295"/>
      <c r="AE4" s="295"/>
      <c r="AF4" s="295"/>
      <c r="AG4" s="295"/>
      <c r="AH4" s="295"/>
      <c r="AI4" s="295"/>
      <c r="AJ4" s="295"/>
      <c r="AK4" s="295"/>
      <c r="AL4" s="295"/>
      <c r="AM4" s="295"/>
      <c r="AN4" s="295"/>
      <c r="AO4" s="295"/>
      <c r="AP4" s="295"/>
      <c r="AQ4" s="295"/>
      <c r="AR4" s="295"/>
      <c r="AS4" s="295"/>
      <c r="AT4" s="295"/>
      <c r="AU4" s="295"/>
      <c r="AV4" s="295"/>
      <c r="AW4" s="295"/>
      <c r="AX4" s="295"/>
      <c r="AY4" s="295"/>
      <c r="AZ4" s="295"/>
      <c r="BA4" s="295"/>
      <c r="BB4" s="295"/>
      <c r="BC4" s="295"/>
      <c r="BD4" s="295"/>
      <c r="BE4" s="295"/>
      <c r="BF4" s="295"/>
      <c r="BG4" s="295"/>
      <c r="BH4" s="295"/>
      <c r="BI4" s="295"/>
      <c r="BJ4" s="295"/>
      <c r="BK4" s="295"/>
      <c r="BL4" s="602"/>
      <c r="BM4" s="602"/>
      <c r="BN4" s="602"/>
      <c r="BO4" s="602"/>
      <c r="BP4" s="602"/>
      <c r="BQ4" s="602"/>
      <c r="BR4" s="602"/>
      <c r="BS4" s="602"/>
      <c r="BT4" s="602"/>
      <c r="BU4" s="602"/>
      <c r="BV4" s="602"/>
      <c r="BW4" s="602"/>
      <c r="BX4" s="602"/>
      <c r="BY4" s="602"/>
      <c r="BZ4" s="602"/>
      <c r="CA4" s="602"/>
      <c r="CB4" s="602"/>
      <c r="CC4" s="602"/>
      <c r="CD4" s="295"/>
      <c r="CE4" s="295"/>
      <c r="CF4" s="295"/>
      <c r="CG4" s="295"/>
      <c r="CH4" s="295"/>
      <c r="CI4" s="295"/>
      <c r="CJ4" s="295"/>
      <c r="CK4" s="295"/>
      <c r="CL4" s="295"/>
      <c r="CM4" s="295"/>
      <c r="CN4" s="295"/>
      <c r="CO4" s="295"/>
      <c r="CP4" s="295"/>
      <c r="CQ4" s="295"/>
      <c r="CR4" s="295"/>
      <c r="CS4" s="295"/>
      <c r="CT4" s="295"/>
      <c r="CU4" s="295"/>
      <c r="CV4" s="295"/>
      <c r="CW4" s="296"/>
      <c r="CX4" s="295"/>
      <c r="CY4" s="295"/>
      <c r="CZ4" s="531"/>
      <c r="DA4" s="531"/>
      <c r="DB4" s="295"/>
      <c r="DC4" s="295"/>
      <c r="DD4" s="295"/>
      <c r="DE4" s="295"/>
      <c r="DF4" s="602"/>
      <c r="DG4" s="295"/>
      <c r="DH4" s="295"/>
      <c r="DI4" s="295"/>
      <c r="DJ4" s="295"/>
      <c r="DK4" s="295"/>
      <c r="DL4" s="295"/>
      <c r="DM4" s="295"/>
      <c r="DN4" s="295"/>
      <c r="DO4" s="295"/>
      <c r="DP4" s="295"/>
      <c r="DQ4" s="295"/>
      <c r="DR4" s="295"/>
      <c r="DS4" s="295"/>
      <c r="DT4" s="295"/>
      <c r="DU4" s="295"/>
      <c r="DV4" s="295"/>
      <c r="DW4" s="295"/>
      <c r="DX4" s="295"/>
      <c r="DY4" s="295"/>
      <c r="DZ4" s="295"/>
      <c r="EA4" s="295"/>
      <c r="EB4" s="295"/>
      <c r="EC4" s="295"/>
      <c r="ED4" s="295"/>
      <c r="EE4" s="295"/>
      <c r="EF4" s="295"/>
      <c r="EG4" s="295"/>
      <c r="EH4" s="295"/>
      <c r="EI4" s="295"/>
      <c r="EJ4" s="295"/>
      <c r="EK4" s="295"/>
      <c r="EL4" s="295"/>
      <c r="EM4" s="295"/>
      <c r="EN4" s="295"/>
      <c r="EO4" s="295"/>
      <c r="EP4" s="295"/>
      <c r="EQ4" s="295"/>
      <c r="ER4" s="295"/>
      <c r="ES4" s="295"/>
      <c r="ET4" s="295"/>
      <c r="EU4" s="295"/>
      <c r="EV4" s="295"/>
      <c r="EW4" s="295"/>
      <c r="EX4" s="295"/>
      <c r="EY4" s="295"/>
      <c r="EZ4" s="295"/>
      <c r="FA4" s="603"/>
      <c r="FB4" s="603"/>
      <c r="FC4" s="603"/>
      <c r="FD4" s="603"/>
      <c r="FE4" s="603"/>
      <c r="FF4" s="603"/>
      <c r="FG4" s="295"/>
      <c r="FH4" s="295"/>
      <c r="FI4" s="295"/>
      <c r="FJ4" s="295"/>
      <c r="FK4" s="295"/>
      <c r="FL4" s="295"/>
      <c r="FM4" s="295"/>
      <c r="FN4" s="295"/>
      <c r="FO4" s="295"/>
      <c r="FP4" s="295"/>
      <c r="FQ4" s="295"/>
      <c r="FR4" s="295"/>
    </row>
    <row r="5" spans="1:194">
      <c r="B5" s="1133" t="s">
        <v>112</v>
      </c>
      <c r="C5" s="1133" t="s">
        <v>106</v>
      </c>
      <c r="D5" s="604"/>
      <c r="E5" s="1136" t="s">
        <v>337</v>
      </c>
      <c r="F5" s="1137"/>
      <c r="G5" s="1137"/>
      <c r="H5" s="1137"/>
      <c r="I5" s="1137"/>
      <c r="J5" s="1138"/>
      <c r="K5" s="297"/>
      <c r="L5" s="297"/>
      <c r="M5" s="297"/>
      <c r="N5" s="297"/>
      <c r="O5" s="297"/>
      <c r="P5" s="298"/>
      <c r="Q5" s="298"/>
      <c r="R5" s="579"/>
      <c r="S5" s="1139" t="s">
        <v>338</v>
      </c>
      <c r="T5" s="1140"/>
      <c r="U5" s="1140"/>
      <c r="V5" s="1140"/>
      <c r="W5" s="1140"/>
      <c r="X5" s="1140"/>
      <c r="Y5" s="1140"/>
      <c r="Z5" s="1140"/>
      <c r="AA5" s="1140"/>
      <c r="AB5" s="1140"/>
      <c r="AC5" s="1140"/>
      <c r="AD5" s="1140"/>
      <c r="AE5" s="1141"/>
      <c r="AF5" s="595"/>
      <c r="AG5" s="1127" t="s">
        <v>343</v>
      </c>
      <c r="AH5" s="1128"/>
      <c r="AI5" s="1128"/>
      <c r="AJ5" s="1128"/>
      <c r="AK5" s="1128"/>
      <c r="AL5" s="1128"/>
      <c r="AM5" s="1128"/>
      <c r="AN5" s="1128"/>
      <c r="AO5" s="1128"/>
      <c r="AP5" s="1128"/>
      <c r="AQ5" s="1128"/>
      <c r="AR5" s="1128"/>
      <c r="AS5" s="1129"/>
      <c r="AT5" s="583"/>
      <c r="AU5" s="1145" t="s">
        <v>251</v>
      </c>
      <c r="AV5" s="1146"/>
      <c r="AW5" s="1146"/>
      <c r="AX5" s="1146"/>
      <c r="AY5" s="1146"/>
      <c r="AZ5" s="1146"/>
      <c r="BA5" s="1146"/>
      <c r="BB5" s="1146"/>
      <c r="BC5" s="1146"/>
      <c r="BD5" s="1146"/>
      <c r="BE5" s="1146"/>
      <c r="BF5" s="1146"/>
      <c r="BG5" s="1147"/>
      <c r="BH5" s="299"/>
      <c r="BI5" s="299"/>
      <c r="BJ5" s="299"/>
      <c r="BK5" s="600"/>
      <c r="BL5" s="620" t="s">
        <v>262</v>
      </c>
      <c r="BM5" s="621"/>
      <c r="BN5" s="621"/>
      <c r="BO5" s="621"/>
      <c r="BP5" s="621"/>
      <c r="BQ5" s="621"/>
      <c r="BR5" s="621"/>
      <c r="BS5" s="621"/>
      <c r="BT5" s="621"/>
      <c r="BU5" s="621"/>
      <c r="BV5" s="621"/>
      <c r="BW5" s="621"/>
      <c r="BX5" s="621"/>
      <c r="BY5" s="621"/>
      <c r="BZ5" s="621"/>
      <c r="CA5" s="621"/>
      <c r="CB5" s="622"/>
      <c r="CC5" s="614"/>
      <c r="CD5" s="1142" t="s">
        <v>339</v>
      </c>
      <c r="CE5" s="1143"/>
      <c r="CF5" s="1143"/>
      <c r="CG5" s="1143"/>
      <c r="CH5" s="1143"/>
      <c r="CI5" s="1143"/>
      <c r="CJ5" s="1143"/>
      <c r="CK5" s="1143"/>
      <c r="CL5" s="1143"/>
      <c r="CM5" s="1143"/>
      <c r="CN5" s="1143"/>
      <c r="CO5" s="1143"/>
      <c r="CP5" s="1144"/>
      <c r="CQ5" s="583"/>
      <c r="CR5" s="1136" t="s">
        <v>340</v>
      </c>
      <c r="CS5" s="1137"/>
      <c r="CT5" s="1137"/>
      <c r="CU5" s="1137"/>
      <c r="CV5" s="1137"/>
      <c r="CW5" s="1138"/>
      <c r="CX5" s="297"/>
      <c r="CY5" s="297"/>
      <c r="CZ5" s="297"/>
      <c r="DA5" s="297"/>
      <c r="DB5" s="297"/>
      <c r="DC5" s="298"/>
      <c r="DD5" s="298"/>
      <c r="DE5" s="567"/>
      <c r="DF5" s="600"/>
      <c r="DG5" s="1097" t="s">
        <v>341</v>
      </c>
      <c r="DH5" s="1098"/>
      <c r="DI5" s="1098"/>
      <c r="DJ5" s="1098"/>
      <c r="DK5" s="1098"/>
      <c r="DL5" s="1098"/>
      <c r="DM5" s="1098"/>
      <c r="DN5" s="1098"/>
      <c r="DO5" s="1098"/>
      <c r="DP5" s="1098"/>
      <c r="DQ5" s="1098"/>
      <c r="DR5" s="565"/>
      <c r="DS5" s="1099" t="s">
        <v>340</v>
      </c>
      <c r="DT5" s="1099"/>
      <c r="DU5" s="1099"/>
      <c r="DV5" s="1099"/>
      <c r="DW5" s="1099"/>
      <c r="DX5" s="1099"/>
      <c r="DY5" s="1099"/>
      <c r="DZ5" s="1099"/>
      <c r="EA5" s="566"/>
      <c r="EB5" s="1126" t="s">
        <v>342</v>
      </c>
      <c r="EC5" s="1126"/>
      <c r="ED5" s="1126"/>
      <c r="EE5" s="1126"/>
      <c r="EF5" s="1126"/>
      <c r="EG5" s="1126"/>
      <c r="EH5" s="1126"/>
      <c r="EI5" s="1126"/>
      <c r="EJ5" s="1130" t="s">
        <v>344</v>
      </c>
      <c r="EK5" s="1131"/>
      <c r="EL5" s="1131"/>
      <c r="EM5" s="1131"/>
      <c r="EN5" s="1131"/>
      <c r="EO5" s="1131"/>
      <c r="EP5" s="1131"/>
      <c r="EQ5" s="1131"/>
      <c r="ER5" s="1131"/>
      <c r="ES5" s="1131"/>
      <c r="ET5" s="1132"/>
      <c r="EU5" s="1142" t="s">
        <v>345</v>
      </c>
      <c r="EV5" s="1143"/>
      <c r="EW5" s="1143"/>
      <c r="EX5" s="1143"/>
      <c r="EY5" s="1143"/>
      <c r="EZ5" s="1144"/>
      <c r="FA5" s="1151" t="s">
        <v>346</v>
      </c>
      <c r="FB5" s="1152"/>
      <c r="FC5" s="1152"/>
      <c r="FD5" s="1152"/>
      <c r="FE5" s="1152"/>
      <c r="FF5" s="1152"/>
      <c r="FG5" s="1153" t="s">
        <v>347</v>
      </c>
      <c r="FH5" s="1154"/>
      <c r="FI5" s="1154"/>
      <c r="FJ5" s="1154"/>
      <c r="FK5" s="1154"/>
      <c r="FL5" s="1154"/>
      <c r="FM5" s="1154"/>
      <c r="FN5" s="1154"/>
      <c r="FO5" s="1154"/>
      <c r="FP5" s="1154"/>
      <c r="FQ5" s="1154"/>
      <c r="FR5" s="1154"/>
      <c r="FS5" s="1155" t="s">
        <v>348</v>
      </c>
      <c r="FT5" s="1155" t="s">
        <v>349</v>
      </c>
      <c r="FU5" s="1155" t="s">
        <v>350</v>
      </c>
      <c r="FV5" s="1155" t="s">
        <v>351</v>
      </c>
      <c r="FW5" s="300"/>
      <c r="FX5" s="300"/>
      <c r="FY5" s="300"/>
      <c r="FZ5" s="1155" t="s">
        <v>352</v>
      </c>
      <c r="GA5" s="1155" t="s">
        <v>353</v>
      </c>
      <c r="GB5" s="1155" t="s">
        <v>354</v>
      </c>
      <c r="GC5" s="1155" t="s">
        <v>355</v>
      </c>
      <c r="GD5" s="1155" t="s">
        <v>356</v>
      </c>
      <c r="GE5" s="300"/>
      <c r="GF5" s="300"/>
      <c r="GG5" s="1155" t="s">
        <v>357</v>
      </c>
      <c r="GH5" s="1155" t="s">
        <v>358</v>
      </c>
      <c r="GI5" s="1155" t="s">
        <v>359</v>
      </c>
      <c r="GJ5" s="1155" t="s">
        <v>360</v>
      </c>
      <c r="GK5" s="1155" t="s">
        <v>354</v>
      </c>
      <c r="GL5" s="1155" t="s">
        <v>361</v>
      </c>
    </row>
    <row r="6" spans="1:194" ht="25.5">
      <c r="B6" s="1134"/>
      <c r="C6" s="1134"/>
      <c r="D6" s="605"/>
      <c r="E6" s="1106" t="s">
        <v>362</v>
      </c>
      <c r="F6" s="1108" t="s">
        <v>363</v>
      </c>
      <c r="G6" s="1110" t="s">
        <v>364</v>
      </c>
      <c r="H6" s="1112" t="s">
        <v>365</v>
      </c>
      <c r="I6" s="1113"/>
      <c r="J6" s="1110" t="s">
        <v>366</v>
      </c>
      <c r="K6" s="1100" t="s">
        <v>367</v>
      </c>
      <c r="L6" s="1100" t="s">
        <v>368</v>
      </c>
      <c r="M6" s="1114" t="s">
        <v>369</v>
      </c>
      <c r="N6" s="1102" t="s">
        <v>370</v>
      </c>
      <c r="O6" s="301" t="s">
        <v>68</v>
      </c>
      <c r="P6" s="1100" t="s">
        <v>371</v>
      </c>
      <c r="Q6" s="302" t="s">
        <v>68</v>
      </c>
      <c r="R6" s="302"/>
      <c r="S6" s="1106" t="s">
        <v>362</v>
      </c>
      <c r="T6" s="1108" t="s">
        <v>363</v>
      </c>
      <c r="U6" s="1110" t="s">
        <v>364</v>
      </c>
      <c r="V6" s="1112" t="s">
        <v>365</v>
      </c>
      <c r="W6" s="1113"/>
      <c r="X6" s="1110" t="s">
        <v>366</v>
      </c>
      <c r="Y6" s="1100" t="s">
        <v>367</v>
      </c>
      <c r="Z6" s="1100" t="s">
        <v>368</v>
      </c>
      <c r="AA6" s="1114" t="s">
        <v>369</v>
      </c>
      <c r="AB6" s="1102" t="s">
        <v>370</v>
      </c>
      <c r="AC6" s="301" t="s">
        <v>68</v>
      </c>
      <c r="AD6" s="1100" t="s">
        <v>371</v>
      </c>
      <c r="AE6" s="302" t="s">
        <v>68</v>
      </c>
      <c r="AF6" s="302"/>
      <c r="AG6" s="1106" t="s">
        <v>362</v>
      </c>
      <c r="AH6" s="1108" t="s">
        <v>363</v>
      </c>
      <c r="AI6" s="1110" t="s">
        <v>364</v>
      </c>
      <c r="AJ6" s="1112" t="s">
        <v>365</v>
      </c>
      <c r="AK6" s="1113"/>
      <c r="AL6" s="1110" t="s">
        <v>366</v>
      </c>
      <c r="AM6" s="1100" t="s">
        <v>367</v>
      </c>
      <c r="AN6" s="1100" t="s">
        <v>375</v>
      </c>
      <c r="AO6" s="1100" t="s">
        <v>386</v>
      </c>
      <c r="AP6" s="1100" t="s">
        <v>387</v>
      </c>
      <c r="AQ6" s="1100" t="s">
        <v>375</v>
      </c>
      <c r="AR6" s="1100" t="s">
        <v>392</v>
      </c>
      <c r="AS6" s="302" t="s">
        <v>68</v>
      </c>
      <c r="AT6" s="580"/>
      <c r="AU6" s="307" t="s">
        <v>372</v>
      </c>
      <c r="AV6" s="307" t="s">
        <v>372</v>
      </c>
      <c r="AW6" s="308" t="s">
        <v>372</v>
      </c>
      <c r="AX6" s="1120" t="s">
        <v>373</v>
      </c>
      <c r="AY6" s="1121"/>
      <c r="AZ6" s="1122" t="s">
        <v>378</v>
      </c>
      <c r="BA6" s="1123"/>
      <c r="BB6" s="1124" t="s">
        <v>379</v>
      </c>
      <c r="BC6" s="1124" t="s">
        <v>380</v>
      </c>
      <c r="BD6" s="308" t="s">
        <v>67</v>
      </c>
      <c r="BE6" s="309" t="s">
        <v>68</v>
      </c>
      <c r="BF6" s="1114" t="s">
        <v>369</v>
      </c>
      <c r="BG6" s="1102" t="s">
        <v>370</v>
      </c>
      <c r="BH6" s="301" t="s">
        <v>68</v>
      </c>
      <c r="BI6" s="1104" t="s">
        <v>374</v>
      </c>
      <c r="BJ6" s="309" t="s">
        <v>68</v>
      </c>
      <c r="BK6" s="590"/>
      <c r="BL6" s="1106" t="s">
        <v>362</v>
      </c>
      <c r="BM6" s="1108" t="s">
        <v>363</v>
      </c>
      <c r="BN6" s="1110" t="s">
        <v>364</v>
      </c>
      <c r="BO6" s="1167" t="s">
        <v>373</v>
      </c>
      <c r="BP6" s="1168"/>
      <c r="BQ6" s="1110" t="s">
        <v>381</v>
      </c>
      <c r="BR6" s="1110" t="s">
        <v>382</v>
      </c>
      <c r="BS6" s="1164" t="s">
        <v>383</v>
      </c>
      <c r="BT6" s="1165"/>
      <c r="BU6" s="1110" t="s">
        <v>366</v>
      </c>
      <c r="BV6" s="1100" t="s">
        <v>367</v>
      </c>
      <c r="BW6" s="1100" t="s">
        <v>384</v>
      </c>
      <c r="BX6" s="1114" t="s">
        <v>369</v>
      </c>
      <c r="BY6" s="1114" t="s">
        <v>370</v>
      </c>
      <c r="BZ6" s="1114" t="s">
        <v>388</v>
      </c>
      <c r="CA6" s="1114" t="s">
        <v>374</v>
      </c>
      <c r="CB6" s="1114" t="s">
        <v>459</v>
      </c>
      <c r="CC6" s="535"/>
      <c r="CD6" s="611" t="s">
        <v>372</v>
      </c>
      <c r="CE6" s="303" t="s">
        <v>372</v>
      </c>
      <c r="CF6" s="303" t="s">
        <v>372</v>
      </c>
      <c r="CG6" s="1117" t="s">
        <v>373</v>
      </c>
      <c r="CH6" s="1118"/>
      <c r="CI6" s="304" t="s">
        <v>372</v>
      </c>
      <c r="CJ6" s="305" t="s">
        <v>67</v>
      </c>
      <c r="CK6" s="301" t="s">
        <v>68</v>
      </c>
      <c r="CL6" s="1114" t="s">
        <v>369</v>
      </c>
      <c r="CM6" s="1102" t="s">
        <v>370</v>
      </c>
      <c r="CN6" s="301" t="s">
        <v>68</v>
      </c>
      <c r="CO6" s="1104" t="s">
        <v>374</v>
      </c>
      <c r="CP6" s="306" t="s">
        <v>68</v>
      </c>
      <c r="CQ6" s="584"/>
      <c r="CR6" s="1106" t="s">
        <v>362</v>
      </c>
      <c r="CS6" s="1108" t="s">
        <v>363</v>
      </c>
      <c r="CT6" s="1110" t="s">
        <v>364</v>
      </c>
      <c r="CU6" s="1112" t="s">
        <v>365</v>
      </c>
      <c r="CV6" s="1113"/>
      <c r="CW6" s="1110" t="s">
        <v>366</v>
      </c>
      <c r="CX6" s="1100" t="s">
        <v>367</v>
      </c>
      <c r="CY6" s="1100" t="s">
        <v>375</v>
      </c>
      <c r="CZ6" s="1169" t="s">
        <v>376</v>
      </c>
      <c r="DA6" s="1171" t="s">
        <v>377</v>
      </c>
      <c r="DB6" s="301" t="s">
        <v>68</v>
      </c>
      <c r="DC6" s="1100" t="s">
        <v>371</v>
      </c>
      <c r="DD6" s="302" t="s">
        <v>68</v>
      </c>
      <c r="DE6" s="580"/>
      <c r="DF6" s="302"/>
      <c r="DG6" s="1106" t="s">
        <v>362</v>
      </c>
      <c r="DH6" s="1108" t="s">
        <v>363</v>
      </c>
      <c r="DI6" s="1110" t="s">
        <v>364</v>
      </c>
      <c r="DJ6" s="1112" t="s">
        <v>365</v>
      </c>
      <c r="DK6" s="1113"/>
      <c r="DL6" s="1110" t="s">
        <v>366</v>
      </c>
      <c r="DM6" s="1100" t="s">
        <v>367</v>
      </c>
      <c r="DN6" s="1100" t="s">
        <v>385</v>
      </c>
      <c r="DO6" s="1100" t="s">
        <v>386</v>
      </c>
      <c r="DP6" s="1100" t="s">
        <v>387</v>
      </c>
      <c r="DQ6" s="1100" t="s">
        <v>388</v>
      </c>
      <c r="DR6" s="302"/>
      <c r="DS6" s="1106" t="s">
        <v>362</v>
      </c>
      <c r="DT6" s="1108" t="s">
        <v>363</v>
      </c>
      <c r="DU6" s="1110" t="s">
        <v>364</v>
      </c>
      <c r="DV6" s="1167" t="s">
        <v>373</v>
      </c>
      <c r="DW6" s="1168"/>
      <c r="DX6" s="1110" t="s">
        <v>389</v>
      </c>
      <c r="DY6" s="1100" t="s">
        <v>367</v>
      </c>
      <c r="DZ6" s="1100" t="s">
        <v>390</v>
      </c>
      <c r="EA6" s="302"/>
      <c r="EB6" s="1106" t="s">
        <v>362</v>
      </c>
      <c r="EC6" s="1108" t="s">
        <v>363</v>
      </c>
      <c r="ED6" s="1110" t="s">
        <v>364</v>
      </c>
      <c r="EE6" s="1112" t="s">
        <v>365</v>
      </c>
      <c r="EF6" s="1113"/>
      <c r="EG6" s="1110" t="s">
        <v>366</v>
      </c>
      <c r="EH6" s="1100" t="s">
        <v>367</v>
      </c>
      <c r="EI6" s="1100" t="s">
        <v>391</v>
      </c>
      <c r="EJ6" s="310" t="s">
        <v>372</v>
      </c>
      <c r="EK6" s="310" t="s">
        <v>372</v>
      </c>
      <c r="EL6" s="311" t="s">
        <v>372</v>
      </c>
      <c r="EM6" s="1112" t="s">
        <v>365</v>
      </c>
      <c r="EN6" s="1113"/>
      <c r="EO6" s="310" t="s">
        <v>372</v>
      </c>
      <c r="EP6" s="311" t="s">
        <v>67</v>
      </c>
      <c r="EQ6" s="312" t="s">
        <v>68</v>
      </c>
      <c r="ER6" s="312" t="s">
        <v>393</v>
      </c>
      <c r="ES6" s="311" t="s">
        <v>394</v>
      </c>
      <c r="ET6" s="312" t="s">
        <v>68</v>
      </c>
      <c r="EU6" s="1106" t="s">
        <v>362</v>
      </c>
      <c r="EV6" s="1108" t="s">
        <v>363</v>
      </c>
      <c r="EW6" s="1110" t="s">
        <v>364</v>
      </c>
      <c r="EX6" s="1112" t="s">
        <v>365</v>
      </c>
      <c r="EY6" s="1113"/>
      <c r="EZ6" s="1100" t="s">
        <v>366</v>
      </c>
      <c r="FA6" s="1159" t="s">
        <v>395</v>
      </c>
      <c r="FB6" s="1160"/>
      <c r="FC6" s="1161"/>
      <c r="FD6" s="1162" t="s">
        <v>396</v>
      </c>
      <c r="FE6" s="1163"/>
      <c r="FF6" s="1163"/>
      <c r="FG6" s="1106" t="s">
        <v>362</v>
      </c>
      <c r="FH6" s="1108" t="s">
        <v>363</v>
      </c>
      <c r="FI6" s="1110" t="s">
        <v>364</v>
      </c>
      <c r="FJ6" s="1112" t="s">
        <v>365</v>
      </c>
      <c r="FK6" s="1113"/>
      <c r="FL6" s="1110" t="s">
        <v>366</v>
      </c>
      <c r="FM6" s="1100" t="s">
        <v>367</v>
      </c>
      <c r="FN6" s="1100" t="s">
        <v>385</v>
      </c>
      <c r="FO6" s="1100" t="s">
        <v>386</v>
      </c>
      <c r="FP6" s="1100" t="s">
        <v>387</v>
      </c>
      <c r="FQ6" s="1100" t="s">
        <v>397</v>
      </c>
      <c r="FR6" s="1100" t="s">
        <v>388</v>
      </c>
      <c r="FS6" s="1156"/>
      <c r="FT6" s="1156"/>
      <c r="FU6" s="1156"/>
      <c r="FV6" s="1156"/>
      <c r="FW6" s="313" t="s">
        <v>342</v>
      </c>
      <c r="FX6" s="313" t="s">
        <v>398</v>
      </c>
      <c r="FY6" s="313" t="s">
        <v>399</v>
      </c>
      <c r="FZ6" s="1156"/>
      <c r="GA6" s="1156"/>
      <c r="GB6" s="1156"/>
      <c r="GC6" s="1156"/>
      <c r="GD6" s="1156"/>
      <c r="GE6" s="313" t="s">
        <v>400</v>
      </c>
      <c r="GF6" s="313" t="s">
        <v>401</v>
      </c>
      <c r="GG6" s="1156"/>
      <c r="GH6" s="1156"/>
      <c r="GI6" s="1156"/>
      <c r="GJ6" s="1156"/>
      <c r="GK6" s="1156"/>
      <c r="GL6" s="1156"/>
    </row>
    <row r="7" spans="1:194" ht="26.25" thickBot="1">
      <c r="B7" s="1135"/>
      <c r="C7" s="1135"/>
      <c r="D7" s="606"/>
      <c r="E7" s="1148"/>
      <c r="F7" s="1149"/>
      <c r="G7" s="1150"/>
      <c r="H7" s="624" t="s">
        <v>402</v>
      </c>
      <c r="I7" s="625" t="s">
        <v>46</v>
      </c>
      <c r="J7" s="1150"/>
      <c r="K7" s="1101"/>
      <c r="L7" s="1101"/>
      <c r="M7" s="1115"/>
      <c r="N7" s="1116"/>
      <c r="O7" s="316" t="s">
        <v>403</v>
      </c>
      <c r="P7" s="1101"/>
      <c r="Q7" s="535" t="s">
        <v>404</v>
      </c>
      <c r="R7" s="535"/>
      <c r="S7" s="1148"/>
      <c r="T7" s="1149"/>
      <c r="U7" s="1150"/>
      <c r="V7" s="624" t="s">
        <v>402</v>
      </c>
      <c r="W7" s="625" t="s">
        <v>46</v>
      </c>
      <c r="X7" s="1150"/>
      <c r="Y7" s="1101"/>
      <c r="Z7" s="1101"/>
      <c r="AA7" s="1115"/>
      <c r="AB7" s="1116"/>
      <c r="AC7" s="316" t="s">
        <v>403</v>
      </c>
      <c r="AD7" s="1101"/>
      <c r="AE7" s="535" t="s">
        <v>404</v>
      </c>
      <c r="AF7" s="535"/>
      <c r="AG7" s="1148"/>
      <c r="AH7" s="1149"/>
      <c r="AI7" s="1150"/>
      <c r="AJ7" s="624" t="s">
        <v>402</v>
      </c>
      <c r="AK7" s="625" t="s">
        <v>46</v>
      </c>
      <c r="AL7" s="1150"/>
      <c r="AM7" s="1101"/>
      <c r="AN7" s="1101"/>
      <c r="AO7" s="1101"/>
      <c r="AP7" s="1101"/>
      <c r="AQ7" s="1101"/>
      <c r="AR7" s="1101"/>
      <c r="AS7" s="535" t="s">
        <v>404</v>
      </c>
      <c r="AT7" s="533"/>
      <c r="AU7" s="323" t="s">
        <v>405</v>
      </c>
      <c r="AV7" s="323" t="s">
        <v>406</v>
      </c>
      <c r="AW7" s="324" t="s">
        <v>407</v>
      </c>
      <c r="AX7" s="325" t="s">
        <v>408</v>
      </c>
      <c r="AY7" s="324" t="s">
        <v>409</v>
      </c>
      <c r="AZ7" s="326" t="s">
        <v>402</v>
      </c>
      <c r="BA7" s="327" t="s">
        <v>46</v>
      </c>
      <c r="BB7" s="1125"/>
      <c r="BC7" s="1125"/>
      <c r="BD7" s="328" t="s">
        <v>411</v>
      </c>
      <c r="BE7" s="329" t="s">
        <v>413</v>
      </c>
      <c r="BF7" s="1115"/>
      <c r="BG7" s="1116"/>
      <c r="BH7" s="316" t="s">
        <v>403</v>
      </c>
      <c r="BI7" s="1166"/>
      <c r="BJ7" s="329" t="s">
        <v>404</v>
      </c>
      <c r="BK7" s="591"/>
      <c r="BL7" s="1148"/>
      <c r="BM7" s="1149"/>
      <c r="BN7" s="1150"/>
      <c r="BO7" s="626" t="s">
        <v>408</v>
      </c>
      <c r="BP7" s="627" t="s">
        <v>409</v>
      </c>
      <c r="BQ7" s="1150"/>
      <c r="BR7" s="1150"/>
      <c r="BS7" s="628" t="s">
        <v>414</v>
      </c>
      <c r="BT7" s="629" t="s">
        <v>415</v>
      </c>
      <c r="BU7" s="1150"/>
      <c r="BV7" s="1101"/>
      <c r="BW7" s="1101"/>
      <c r="BX7" s="1115"/>
      <c r="BY7" s="1115"/>
      <c r="BZ7" s="1115"/>
      <c r="CA7" s="1115"/>
      <c r="CB7" s="1115"/>
      <c r="CC7" s="535"/>
      <c r="CD7" s="612" t="s">
        <v>405</v>
      </c>
      <c r="CE7" s="318" t="s">
        <v>406</v>
      </c>
      <c r="CF7" s="318" t="s">
        <v>407</v>
      </c>
      <c r="CG7" s="319" t="s">
        <v>408</v>
      </c>
      <c r="CH7" s="318" t="s">
        <v>409</v>
      </c>
      <c r="CI7" s="320" t="s">
        <v>410</v>
      </c>
      <c r="CJ7" s="321" t="s">
        <v>411</v>
      </c>
      <c r="CK7" s="316" t="s">
        <v>412</v>
      </c>
      <c r="CL7" s="1119"/>
      <c r="CM7" s="1103"/>
      <c r="CN7" s="316" t="s">
        <v>403</v>
      </c>
      <c r="CO7" s="1105"/>
      <c r="CP7" s="322" t="s">
        <v>404</v>
      </c>
      <c r="CQ7" s="585"/>
      <c r="CR7" s="1107"/>
      <c r="CS7" s="1109"/>
      <c r="CT7" s="1111"/>
      <c r="CU7" s="314" t="s">
        <v>402</v>
      </c>
      <c r="CV7" s="315" t="s">
        <v>46</v>
      </c>
      <c r="CW7" s="1111"/>
      <c r="CX7" s="1158"/>
      <c r="CY7" s="1158"/>
      <c r="CZ7" s="1170"/>
      <c r="DA7" s="1172"/>
      <c r="DB7" s="316" t="s">
        <v>403</v>
      </c>
      <c r="DC7" s="1158"/>
      <c r="DD7" s="317" t="s">
        <v>404</v>
      </c>
      <c r="DE7" s="533"/>
      <c r="DF7" s="317"/>
      <c r="DG7" s="1107"/>
      <c r="DH7" s="1109"/>
      <c r="DI7" s="1111"/>
      <c r="DJ7" s="332" t="s">
        <v>416</v>
      </c>
      <c r="DK7" s="333" t="s">
        <v>46</v>
      </c>
      <c r="DL7" s="1111"/>
      <c r="DM7" s="1158"/>
      <c r="DN7" s="1158"/>
      <c r="DO7" s="1158"/>
      <c r="DP7" s="1158"/>
      <c r="DQ7" s="1158"/>
      <c r="DR7" s="317"/>
      <c r="DS7" s="1107"/>
      <c r="DT7" s="1109"/>
      <c r="DU7" s="1111"/>
      <c r="DV7" s="330" t="s">
        <v>408</v>
      </c>
      <c r="DW7" s="331" t="s">
        <v>409</v>
      </c>
      <c r="DX7" s="1111"/>
      <c r="DY7" s="1158"/>
      <c r="DZ7" s="1158"/>
      <c r="EA7" s="317"/>
      <c r="EB7" s="1107"/>
      <c r="EC7" s="1109"/>
      <c r="ED7" s="1111"/>
      <c r="EE7" s="314" t="s">
        <v>402</v>
      </c>
      <c r="EF7" s="315" t="s">
        <v>46</v>
      </c>
      <c r="EG7" s="1111"/>
      <c r="EH7" s="1158"/>
      <c r="EI7" s="1158"/>
      <c r="EJ7" s="334" t="s">
        <v>405</v>
      </c>
      <c r="EK7" s="334" t="s">
        <v>406</v>
      </c>
      <c r="EL7" s="335" t="s">
        <v>407</v>
      </c>
      <c r="EM7" s="336" t="s">
        <v>402</v>
      </c>
      <c r="EN7" s="337" t="s">
        <v>46</v>
      </c>
      <c r="EO7" s="334" t="s">
        <v>410</v>
      </c>
      <c r="EP7" s="338" t="s">
        <v>411</v>
      </c>
      <c r="EQ7" s="339" t="s">
        <v>417</v>
      </c>
      <c r="ER7" s="339" t="s">
        <v>418</v>
      </c>
      <c r="ES7" s="338" t="s">
        <v>418</v>
      </c>
      <c r="ET7" s="339" t="s">
        <v>403</v>
      </c>
      <c r="EU7" s="1107"/>
      <c r="EV7" s="1109"/>
      <c r="EW7" s="1111"/>
      <c r="EX7" s="314" t="s">
        <v>402</v>
      </c>
      <c r="EY7" s="315" t="s">
        <v>46</v>
      </c>
      <c r="EZ7" s="1158"/>
      <c r="FA7" s="340" t="s">
        <v>68</v>
      </c>
      <c r="FB7" s="341" t="s">
        <v>419</v>
      </c>
      <c r="FC7" s="342" t="s">
        <v>60</v>
      </c>
      <c r="FD7" s="343" t="s">
        <v>68</v>
      </c>
      <c r="FE7" s="344" t="s">
        <v>419</v>
      </c>
      <c r="FF7" s="345" t="s">
        <v>60</v>
      </c>
      <c r="FG7" s="1107"/>
      <c r="FH7" s="1109"/>
      <c r="FI7" s="1111"/>
      <c r="FJ7" s="332" t="s">
        <v>416</v>
      </c>
      <c r="FK7" s="333" t="s">
        <v>46</v>
      </c>
      <c r="FL7" s="1111"/>
      <c r="FM7" s="1158"/>
      <c r="FN7" s="1158"/>
      <c r="FO7" s="1158"/>
      <c r="FP7" s="1158"/>
      <c r="FQ7" s="1158"/>
      <c r="FR7" s="1158"/>
      <c r="FS7" s="1157"/>
      <c r="FT7" s="1157"/>
      <c r="FU7" s="1157"/>
      <c r="FV7" s="1157"/>
      <c r="FW7" s="346"/>
      <c r="FX7" s="346"/>
      <c r="FY7" s="346"/>
      <c r="FZ7" s="1157"/>
      <c r="GA7" s="1157"/>
      <c r="GB7" s="1157"/>
      <c r="GC7" s="1157"/>
      <c r="GD7" s="1157"/>
      <c r="GE7" s="346"/>
      <c r="GF7" s="346"/>
      <c r="GG7" s="1157"/>
      <c r="GH7" s="1157"/>
      <c r="GI7" s="1157"/>
      <c r="GJ7" s="1157"/>
      <c r="GK7" s="1157"/>
      <c r="GL7" s="1157"/>
    </row>
    <row r="8" spans="1:194" s="33" customFormat="1" ht="9.9499999999999993" customHeight="1">
      <c r="B8" s="561"/>
      <c r="C8" s="644"/>
      <c r="D8" s="532"/>
      <c r="E8" s="630"/>
      <c r="F8" s="630"/>
      <c r="G8" s="630"/>
      <c r="H8" s="631"/>
      <c r="I8" s="630"/>
      <c r="J8" s="630"/>
      <c r="K8" s="630"/>
      <c r="L8" s="630"/>
      <c r="M8" s="632"/>
      <c r="N8" s="633"/>
      <c r="O8" s="634"/>
      <c r="P8" s="630"/>
      <c r="Q8" s="630"/>
      <c r="R8" s="630"/>
      <c r="S8" s="630"/>
      <c r="T8" s="630"/>
      <c r="U8" s="630"/>
      <c r="V8" s="631"/>
      <c r="W8" s="630"/>
      <c r="X8" s="630"/>
      <c r="Y8" s="630"/>
      <c r="Z8" s="630"/>
      <c r="AA8" s="632"/>
      <c r="AB8" s="633"/>
      <c r="AC8" s="634"/>
      <c r="AD8" s="630"/>
      <c r="AE8" s="630"/>
      <c r="AF8" s="630"/>
      <c r="AG8" s="630"/>
      <c r="AH8" s="630"/>
      <c r="AI8" s="630"/>
      <c r="AJ8" s="631"/>
      <c r="AK8" s="630"/>
      <c r="AL8" s="630"/>
      <c r="AM8" s="630"/>
      <c r="AN8" s="630"/>
      <c r="AO8" s="630"/>
      <c r="AP8" s="630"/>
      <c r="AQ8" s="630"/>
      <c r="AR8" s="630"/>
      <c r="AS8" s="630"/>
      <c r="AT8" s="630"/>
      <c r="AU8" s="635"/>
      <c r="AV8" s="635"/>
      <c r="AW8" s="635"/>
      <c r="AX8" s="636"/>
      <c r="AY8" s="635"/>
      <c r="AZ8" s="637"/>
      <c r="BA8" s="635"/>
      <c r="BB8" s="638"/>
      <c r="BC8" s="638"/>
      <c r="BD8" s="635"/>
      <c r="BE8" s="635"/>
      <c r="BF8" s="632"/>
      <c r="BG8" s="633"/>
      <c r="BH8" s="634"/>
      <c r="BI8" s="639"/>
      <c r="BJ8" s="635"/>
      <c r="BK8" s="635"/>
      <c r="BL8" s="630"/>
      <c r="BM8" s="630"/>
      <c r="BN8" s="630"/>
      <c r="BO8" s="640"/>
      <c r="BP8" s="641"/>
      <c r="BQ8" s="630"/>
      <c r="BR8" s="630"/>
      <c r="BS8" s="642"/>
      <c r="BT8" s="643"/>
      <c r="BU8" s="630"/>
      <c r="BV8" s="630"/>
      <c r="BW8" s="630"/>
      <c r="BX8" s="630"/>
      <c r="BY8" s="630"/>
      <c r="BZ8" s="630"/>
      <c r="CA8" s="630"/>
      <c r="CB8" s="630"/>
      <c r="CC8" s="533"/>
      <c r="CD8" s="538"/>
      <c r="CE8" s="538"/>
      <c r="CF8" s="538"/>
      <c r="CG8" s="539"/>
      <c r="CH8" s="538"/>
      <c r="CI8" s="540"/>
      <c r="CJ8" s="540"/>
      <c r="CK8" s="537"/>
      <c r="CL8" s="541"/>
      <c r="CM8" s="542"/>
      <c r="CN8" s="537"/>
      <c r="CO8" s="543"/>
      <c r="CP8" s="544"/>
      <c r="CQ8" s="586"/>
      <c r="CR8" s="533"/>
      <c r="CS8" s="533"/>
      <c r="CT8" s="534"/>
      <c r="CU8" s="536"/>
      <c r="CV8" s="534"/>
      <c r="CW8" s="534"/>
      <c r="CX8" s="534"/>
      <c r="CY8" s="534"/>
      <c r="CZ8" s="545"/>
      <c r="DA8" s="546"/>
      <c r="DB8" s="537"/>
      <c r="DC8" s="534"/>
      <c r="DD8" s="533"/>
      <c r="DE8" s="533"/>
      <c r="DF8" s="533"/>
      <c r="DG8" s="533"/>
      <c r="DH8" s="533"/>
      <c r="DI8" s="534"/>
      <c r="DJ8" s="552"/>
      <c r="DK8" s="553"/>
      <c r="DL8" s="534"/>
      <c r="DM8" s="534"/>
      <c r="DN8" s="534"/>
      <c r="DO8" s="534"/>
      <c r="DP8" s="534"/>
      <c r="DQ8" s="534"/>
      <c r="DR8" s="533"/>
      <c r="DS8" s="533"/>
      <c r="DT8" s="533"/>
      <c r="DU8" s="534"/>
      <c r="DV8" s="550"/>
      <c r="DW8" s="551"/>
      <c r="DX8" s="534"/>
      <c r="DY8" s="534"/>
      <c r="DZ8" s="534"/>
      <c r="EA8" s="533"/>
      <c r="EB8" s="533"/>
      <c r="EC8" s="533"/>
      <c r="ED8" s="534"/>
      <c r="EE8" s="536"/>
      <c r="EF8" s="534"/>
      <c r="EG8" s="534"/>
      <c r="EH8" s="534"/>
      <c r="EI8" s="534"/>
      <c r="EJ8" s="554"/>
      <c r="EK8" s="554"/>
      <c r="EL8" s="554"/>
      <c r="EM8" s="555"/>
      <c r="EN8" s="556"/>
      <c r="EO8" s="554"/>
      <c r="EP8" s="554"/>
      <c r="EQ8" s="556"/>
      <c r="ER8" s="556"/>
      <c r="ES8" s="554"/>
      <c r="ET8" s="556"/>
      <c r="EU8" s="533"/>
      <c r="EV8" s="533"/>
      <c r="EW8" s="534"/>
      <c r="EX8" s="536"/>
      <c r="EY8" s="534"/>
      <c r="EZ8" s="534"/>
      <c r="FA8" s="562"/>
      <c r="FB8" s="563"/>
      <c r="FC8" s="562"/>
      <c r="FD8" s="562"/>
      <c r="FE8" s="563"/>
      <c r="FF8" s="563"/>
      <c r="FG8" s="533"/>
      <c r="FH8" s="533"/>
      <c r="FI8" s="534"/>
      <c r="FJ8" s="552"/>
      <c r="FK8" s="553"/>
      <c r="FL8" s="534"/>
      <c r="FM8" s="534"/>
      <c r="FN8" s="534"/>
      <c r="FO8" s="534"/>
      <c r="FP8" s="534"/>
      <c r="FQ8" s="534"/>
      <c r="FR8" s="534"/>
      <c r="FS8" s="564"/>
      <c r="FT8" s="564"/>
      <c r="FU8" s="564"/>
      <c r="FV8" s="564"/>
      <c r="FW8" s="564"/>
      <c r="FX8" s="564"/>
      <c r="FY8" s="564"/>
      <c r="FZ8" s="564"/>
      <c r="GA8" s="564"/>
      <c r="GB8" s="564"/>
      <c r="GC8" s="564"/>
      <c r="GD8" s="564"/>
      <c r="GE8" s="564"/>
      <c r="GF8" s="564"/>
      <c r="GG8" s="564"/>
      <c r="GH8" s="564"/>
      <c r="GI8" s="564"/>
      <c r="GJ8" s="564"/>
      <c r="GK8" s="564"/>
      <c r="GL8" s="564"/>
    </row>
    <row r="9" spans="1:194" s="349" customFormat="1" ht="30" customHeight="1">
      <c r="B9" s="557">
        <v>1</v>
      </c>
      <c r="C9" s="645">
        <f t="shared" ref="C9:C36" si="0">DATE($H$2,$H$3,B9)</f>
        <v>43891</v>
      </c>
      <c r="D9" s="607"/>
      <c r="E9" s="659">
        <f>SUMIFS(KB[BRUTO],KB[TANGGAL],C9,KB[TYPE],"A")</f>
        <v>0</v>
      </c>
      <c r="F9" s="660">
        <f>SUMIFS(KB[TARRA],KB[TANGGAL],C9,KB[TYPE],"A")</f>
        <v>0</v>
      </c>
      <c r="G9" s="660">
        <f>SUMIFS(KB[NETTO],KB[TANGGAL],C9,KB[TYPE],"A")</f>
        <v>0</v>
      </c>
      <c r="H9" s="660">
        <f t="shared" ref="H9" si="1">IFERROR(I9/G9%,0)</f>
        <v>0</v>
      </c>
      <c r="I9" s="660">
        <f>SUMIFS(KB[TPOT],KB[TANGGAL],C9,KB[TYPE],"A")</f>
        <v>0</v>
      </c>
      <c r="J9" s="660">
        <f>SUMIFS(KB[NETTO2],KB[TANGGAL],C9,KB[TYPE],"A")</f>
        <v>0</v>
      </c>
      <c r="K9" s="660">
        <f t="shared" ref="K9" si="2">IFERROR(L9/J9,0)</f>
        <v>0</v>
      </c>
      <c r="L9" s="660">
        <f>SUMIFS(KB[TBAYAR],KB[TANGGAL],C9,KB[TYPE],"A")</f>
        <v>0</v>
      </c>
      <c r="M9" s="660">
        <f t="shared" ref="M9" si="3">ROUND(K9*0.5025%,2)</f>
        <v>0</v>
      </c>
      <c r="N9" s="660">
        <f t="shared" ref="N9" si="4">IFERROR(O9/J9,0)</f>
        <v>0</v>
      </c>
      <c r="O9" s="660">
        <f>SUMIFS(KB[TBAYAR2],KB[TANGGAL],C9,KB[TYPE],"A")</f>
        <v>0</v>
      </c>
      <c r="P9" s="660">
        <f>SUMIFS(KB[POTPPH],KB[TANGGAL],C9,KB[TYPE],"A")</f>
        <v>0</v>
      </c>
      <c r="Q9" s="660">
        <f>SUMIFS(KB[TPEMBAYARAN],KB[TANGGAL],C9,KB[TYPE],"A")</f>
        <v>0</v>
      </c>
      <c r="R9" s="661"/>
      <c r="S9" s="659">
        <f>SUMIFS(KB[BRUTO],KB[TANGGAL],C9,KB[TYPE],"B")</f>
        <v>0</v>
      </c>
      <c r="T9" s="660">
        <f>SUMIFS(KB[TARRA],KB[TANGGAL],C9,KB[TYPE],"B")</f>
        <v>0</v>
      </c>
      <c r="U9" s="660">
        <f>SUMIFS(KB[NETTO],KB[TANGGAL],C9,KB[TYPE],"B")</f>
        <v>0</v>
      </c>
      <c r="V9" s="660">
        <f t="shared" ref="V9" si="5">IFERROR(W9/U9%,0)</f>
        <v>0</v>
      </c>
      <c r="W9" s="660">
        <f>SUMIFS(KB[TPOT],KB[TANGGAL],C9,KB[TYPE],"B")</f>
        <v>0</v>
      </c>
      <c r="X9" s="660">
        <f>SUMIFS(KB[NETTO2],KB[TANGGAL],C9,KB[TYPE],"B")</f>
        <v>0</v>
      </c>
      <c r="Y9" s="660">
        <f t="shared" ref="Y9" si="6">IFERROR(Z9/X9,0)</f>
        <v>0</v>
      </c>
      <c r="Z9" s="660">
        <f>SUMIFS(KB[TBAYAR],KB[TANGGAL],C9,KB[TYPE],"B")</f>
        <v>0</v>
      </c>
      <c r="AA9" s="660">
        <f t="shared" ref="AA9" si="7">ROUND(Y9*0.5025%,2)</f>
        <v>0</v>
      </c>
      <c r="AB9" s="660">
        <f t="shared" ref="AB9" si="8">IFERROR(AC9/X9,0)</f>
        <v>0</v>
      </c>
      <c r="AC9" s="660">
        <f>SUMIFS(KB[TBAYAR2],KB[TANGGAL],C9,KB[TYPE],"B")</f>
        <v>0</v>
      </c>
      <c r="AD9" s="660">
        <f>SUMIFS(KB[POTPPH],KB[TANGGAL],C9,KB[TYPE],"B")</f>
        <v>0</v>
      </c>
      <c r="AE9" s="660">
        <f>SUMIFS(KB[TPEMBAYARAN],KB[TANGGAL],C9,KB[TYPE],"B")</f>
        <v>0</v>
      </c>
      <c r="AF9" s="659"/>
      <c r="AG9" s="659">
        <f>SUMIFS(KBS[BRUTO],KBS[TANGGAL],C9)</f>
        <v>0</v>
      </c>
      <c r="AH9" s="660">
        <f>SUMIFS(KBS[TARRA],KBS[TANGGAL],C9)</f>
        <v>0</v>
      </c>
      <c r="AI9" s="660">
        <f>SUMIFS(KBS[NETTO],KBS[TANGGAL],C9)</f>
        <v>0</v>
      </c>
      <c r="AJ9" s="660">
        <f>IFERROR(AK9/AI9%,0)</f>
        <v>0</v>
      </c>
      <c r="AK9" s="660">
        <f>SUMIFS(KBS[TPOT],KBS[TANGGAL],C9)</f>
        <v>0</v>
      </c>
      <c r="AL9" s="660">
        <f>SUMIFS(KBS[NETTO2],KBS[TANGGAL],C9)</f>
        <v>0</v>
      </c>
      <c r="AM9" s="660">
        <f t="shared" ref="AM9" si="9">IFERROR(AN9/AL9,0)</f>
        <v>0</v>
      </c>
      <c r="AN9" s="660">
        <f>SUMIFS(KBS[TBAYAR],KBS[TANGGAL],C9)</f>
        <v>0</v>
      </c>
      <c r="AO9" s="660">
        <f t="shared" ref="AO9" si="10">ROUND(AM9*0.5025%,2)</f>
        <v>0</v>
      </c>
      <c r="AP9" s="660">
        <f t="shared" ref="AP9" si="11">IFERROR(AQ9/AL9,0)</f>
        <v>0</v>
      </c>
      <c r="AQ9" s="660">
        <f>SUMIFS(KBS[TBAYAR2],KBS[TANGGAL],C9)</f>
        <v>0</v>
      </c>
      <c r="AR9" s="660">
        <f>SUMIFS(KBS[POTPPH],KBS[TANGGAL],C9)</f>
        <v>0</v>
      </c>
      <c r="AS9" s="660">
        <f>SUMIFS(KBS[TPEMBAYARAN],KBS[TANGGAL],C9)</f>
        <v>0</v>
      </c>
      <c r="AT9" s="659"/>
      <c r="AU9" s="659">
        <f>SUMIFS(KPR[BRUTO],KPR[TANGGAL],C9)</f>
        <v>0</v>
      </c>
      <c r="AV9" s="660">
        <f>SUMIFS(KPR[TARRA],KPR[TANGGAL],C9)</f>
        <v>0</v>
      </c>
      <c r="AW9" s="660">
        <f>SUMIFS(KPR[NETTO],KPR[TANGGAL],C9)</f>
        <v>0</v>
      </c>
      <c r="AX9" s="662">
        <f>SUMIFS(KPR[POTKRG],KPR[TANGGAL],C9)</f>
        <v>0</v>
      </c>
      <c r="AY9" s="660">
        <f>SUMIFS(KPR[TPOT1],KPR[TANGGAL],C9)</f>
        <v>0</v>
      </c>
      <c r="AZ9" s="662">
        <f>SUMIFS(KPR[POTAIR],KPR[TANGGAL],C9)</f>
        <v>0</v>
      </c>
      <c r="BA9" s="660">
        <f>SUMIFS(KPR[TPOT2],KPR[TANGGAL],C9)</f>
        <v>0</v>
      </c>
      <c r="BB9" s="660">
        <f>SUMIFS(KPR[NETTOA],KPR[TANGGAL],C9)</f>
        <v>0</v>
      </c>
      <c r="BC9" s="660">
        <f>SUMIFS(KPR[NETTOB],KPR[TANGGAL],C9)</f>
        <v>0</v>
      </c>
      <c r="BD9" s="660">
        <f>IFERROR(BE9/BC9,0)</f>
        <v>0</v>
      </c>
      <c r="BE9" s="660">
        <f>SUMIFS(KPR[TOTAL],KPR[TANGGAL],C9)</f>
        <v>0</v>
      </c>
      <c r="BF9" s="662">
        <f t="shared" ref="BF9" si="12">ROUND(BD9*0.5025%,2)</f>
        <v>0</v>
      </c>
      <c r="BG9" s="662">
        <f t="shared" ref="BG9" si="13">IFERROR(BH9/BC9,0)</f>
        <v>0</v>
      </c>
      <c r="BH9" s="660">
        <f>SUMIFS(KPR[TBAYAR2],KPR[TANGGAL],C9)</f>
        <v>0</v>
      </c>
      <c r="BI9" s="660">
        <f>SUMIFS(KPR[POTPPH],KPR[TANGGAL],C9)</f>
        <v>0</v>
      </c>
      <c r="BJ9" s="660">
        <f>SUMIFS(KPR[TPEMBAYARAN],KPR[TANGGAL],C9)</f>
        <v>0</v>
      </c>
      <c r="BK9" s="659"/>
      <c r="BL9" s="659">
        <f>SUMIFS(ARG[BRUTO],ARG[TANGGAL],C9)</f>
        <v>0</v>
      </c>
      <c r="BM9" s="659">
        <f>SUMIFS(ARG[TARRA],ARG[TANGGAL],C9)</f>
        <v>0</v>
      </c>
      <c r="BN9" s="659">
        <f>SUMIFS(ARG[NETTO1],ARG[TANGGAL],C9)</f>
        <v>0</v>
      </c>
      <c r="BO9" s="659">
        <f>SUMIFS(ARG[POTKARUNG],ARG[TANGGAL],C9)</f>
        <v>0</v>
      </c>
      <c r="BP9" s="659">
        <f>SUMIFS(ARG[TPOT1],ARG[TANGGAL],C9)</f>
        <v>0</v>
      </c>
      <c r="BQ9" s="659">
        <f>SUMIFS(ARG[NETTO2],ARG[TANGGAL],C9)</f>
        <v>0</v>
      </c>
      <c r="BR9" s="659">
        <f>SUMIFS(ARG[MC],ARG[TANGGAL],C9)</f>
        <v>0</v>
      </c>
      <c r="BS9" s="659">
        <f>SUMIFS(ARG[DC],ARG[TANGGAL],C9)</f>
        <v>0</v>
      </c>
      <c r="BT9" s="659">
        <f>SUMIFS(ARG[DC2],ARG[TANGGAL],C9)</f>
        <v>0</v>
      </c>
      <c r="BU9" s="659">
        <f>SUMIFS(ARG[NETTO3],ARG[TANGGAL],C9)</f>
        <v>0</v>
      </c>
      <c r="BV9" s="660">
        <f>IFERROR(BW9/BU9,0)</f>
        <v>0</v>
      </c>
      <c r="BW9" s="659">
        <f>SUMIFS(ARG[TBAYAR1],ARG[TANGGAL],C9)</f>
        <v>0</v>
      </c>
      <c r="BX9" s="663">
        <f t="shared" ref="BX9" si="14">ROUND(BV9*0.5025%,2)</f>
        <v>0</v>
      </c>
      <c r="BY9" s="663">
        <f t="shared" ref="BY9" si="15">IFERROR(BZ9/BU9,0)</f>
        <v>0</v>
      </c>
      <c r="BZ9" s="659">
        <f>SUMIFS(ARG[TBAYAR2],ARG[TANGGAL],C9)</f>
        <v>0</v>
      </c>
      <c r="CA9" s="659">
        <f>SUMIFS(ARG[POTPPH],ARG[TANGGAL],C9)</f>
        <v>0</v>
      </c>
      <c r="CB9" s="659">
        <f>SUMIFS(ARG[TPEMBAYARAN],ARG[TANGGAL],C9)</f>
        <v>0</v>
      </c>
      <c r="CC9" s="615"/>
      <c r="CD9" s="581">
        <v>0</v>
      </c>
      <c r="CE9" s="347">
        <v>0</v>
      </c>
      <c r="CF9" s="347">
        <v>0</v>
      </c>
      <c r="CG9" s="347">
        <v>0</v>
      </c>
      <c r="CH9" s="347">
        <v>0</v>
      </c>
      <c r="CI9" s="347">
        <v>0</v>
      </c>
      <c r="CJ9" s="347">
        <v>0</v>
      </c>
      <c r="CK9" s="347">
        <v>0</v>
      </c>
      <c r="CL9" s="347">
        <v>0</v>
      </c>
      <c r="CM9" s="347">
        <v>0</v>
      </c>
      <c r="CN9" s="347">
        <v>0</v>
      </c>
      <c r="CO9" s="347">
        <v>0</v>
      </c>
      <c r="CP9" s="347">
        <v>0</v>
      </c>
      <c r="CQ9" s="581"/>
      <c r="CR9" s="347">
        <v>0</v>
      </c>
      <c r="CS9" s="347">
        <v>0</v>
      </c>
      <c r="CT9" s="347">
        <v>0</v>
      </c>
      <c r="CU9" s="347">
        <v>0</v>
      </c>
      <c r="CV9" s="347">
        <v>0</v>
      </c>
      <c r="CW9" s="347">
        <v>0</v>
      </c>
      <c r="CX9" s="347">
        <v>0</v>
      </c>
      <c r="CY9" s="347">
        <v>0</v>
      </c>
      <c r="CZ9" s="347">
        <v>0</v>
      </c>
      <c r="DA9" s="347">
        <v>0</v>
      </c>
      <c r="DB9" s="347">
        <v>0</v>
      </c>
      <c r="DC9" s="347">
        <v>0</v>
      </c>
      <c r="DD9" s="347">
        <v>0</v>
      </c>
      <c r="DE9" s="581"/>
      <c r="DF9" s="581"/>
      <c r="DG9" s="347">
        <v>199640</v>
      </c>
      <c r="DH9" s="347">
        <v>62940</v>
      </c>
      <c r="DI9" s="347">
        <v>136700</v>
      </c>
      <c r="DJ9" s="347">
        <v>0</v>
      </c>
      <c r="DK9" s="347">
        <v>130</v>
      </c>
      <c r="DL9" s="347">
        <v>136570</v>
      </c>
      <c r="DM9" s="347">
        <v>599.12279417148716</v>
      </c>
      <c r="DN9" s="347">
        <v>81822200</v>
      </c>
      <c r="DO9" s="347">
        <v>0</v>
      </c>
      <c r="DP9" s="347">
        <v>0</v>
      </c>
      <c r="DQ9" s="347">
        <v>81822200</v>
      </c>
      <c r="DR9" s="581"/>
      <c r="DS9" s="347"/>
      <c r="DT9" s="347"/>
      <c r="DU9" s="347"/>
      <c r="DV9" s="347"/>
      <c r="DW9" s="347"/>
      <c r="DX9" s="347"/>
      <c r="DY9" s="347"/>
      <c r="DZ9" s="347"/>
      <c r="EA9" s="581"/>
      <c r="EB9" s="347"/>
      <c r="EC9" s="347"/>
      <c r="ED9" s="347"/>
      <c r="EE9" s="347"/>
      <c r="EF9" s="347"/>
      <c r="EG9" s="347"/>
      <c r="EH9" s="347"/>
      <c r="EI9" s="347"/>
      <c r="EJ9" s="347"/>
      <c r="EK9" s="347"/>
      <c r="EL9" s="347"/>
      <c r="EM9" s="347"/>
      <c r="EN9" s="347"/>
      <c r="EO9" s="347"/>
      <c r="EP9" s="347"/>
      <c r="EQ9" s="347"/>
      <c r="ER9" s="347"/>
      <c r="ES9" s="347"/>
      <c r="ET9" s="347"/>
      <c r="EU9" s="347"/>
      <c r="EV9" s="347"/>
      <c r="EW9" s="347"/>
      <c r="EX9" s="347"/>
      <c r="EY9" s="347"/>
      <c r="EZ9" s="347"/>
      <c r="FA9" s="347"/>
      <c r="FB9" s="347"/>
      <c r="FC9" s="347"/>
      <c r="FD9" s="347"/>
      <c r="FE9" s="347"/>
      <c r="FF9" s="347"/>
      <c r="FG9" s="347">
        <v>0</v>
      </c>
      <c r="FH9" s="347">
        <v>0</v>
      </c>
      <c r="FI9" s="347">
        <v>0</v>
      </c>
      <c r="FJ9" s="347">
        <v>0</v>
      </c>
      <c r="FK9" s="347">
        <v>0</v>
      </c>
      <c r="FL9" s="347">
        <v>0</v>
      </c>
      <c r="FM9" s="347">
        <v>0</v>
      </c>
      <c r="FN9" s="347">
        <v>0</v>
      </c>
      <c r="FO9" s="347">
        <v>0</v>
      </c>
      <c r="FP9" s="347">
        <v>0</v>
      </c>
      <c r="FQ9" s="347">
        <v>0</v>
      </c>
      <c r="FR9" s="347">
        <v>0</v>
      </c>
      <c r="FS9" s="347">
        <v>720</v>
      </c>
      <c r="FT9" s="347">
        <v>0</v>
      </c>
      <c r="FU9" s="347">
        <v>5310</v>
      </c>
      <c r="FV9" s="347">
        <v>0</v>
      </c>
      <c r="FW9" s="347">
        <v>0</v>
      </c>
      <c r="FX9" s="347">
        <v>0</v>
      </c>
      <c r="FY9" s="347">
        <v>0</v>
      </c>
      <c r="FZ9" s="347">
        <v>0</v>
      </c>
      <c r="GA9" s="347">
        <v>0</v>
      </c>
      <c r="GB9" s="347">
        <v>0</v>
      </c>
      <c r="GC9" s="347">
        <v>22420</v>
      </c>
      <c r="GD9" s="347">
        <v>39470</v>
      </c>
      <c r="GE9" s="347">
        <v>0</v>
      </c>
      <c r="GF9" s="347">
        <v>72240</v>
      </c>
      <c r="GG9" s="347">
        <v>0</v>
      </c>
      <c r="GH9" s="347">
        <v>0</v>
      </c>
      <c r="GI9" s="347">
        <v>0</v>
      </c>
      <c r="GJ9" s="347">
        <v>15510</v>
      </c>
      <c r="GK9" s="347">
        <v>0</v>
      </c>
      <c r="GL9" s="347">
        <v>0</v>
      </c>
    </row>
    <row r="10" spans="1:194" s="349" customFormat="1" ht="30" customHeight="1">
      <c r="B10" s="557">
        <f>+B9+1</f>
        <v>2</v>
      </c>
      <c r="C10" s="645">
        <f t="shared" si="0"/>
        <v>43892</v>
      </c>
      <c r="D10" s="607"/>
      <c r="E10" s="659">
        <f>SUMIFS(KB[BRUTO],KB[TANGGAL],C10,KB[TYPE],"A")</f>
        <v>181770</v>
      </c>
      <c r="F10" s="660">
        <f>SUMIFS(KB[TARRA],KB[TANGGAL],C10,KB[TYPE],"A")</f>
        <v>76210</v>
      </c>
      <c r="G10" s="660">
        <f>SUMIFS(KB[NETTO],KB[TANGGAL],C10,KB[TYPE],"A")</f>
        <v>105560</v>
      </c>
      <c r="H10" s="660">
        <f t="shared" ref="H10:H39" si="16">IFERROR(I10/G10%,0)</f>
        <v>5.1557408109132252</v>
      </c>
      <c r="I10" s="660">
        <f>SUMIFS(KB[TPOT],KB[TANGGAL],C10,KB[TYPE],"A")</f>
        <v>5442.4000000000005</v>
      </c>
      <c r="J10" s="660">
        <f>SUMIFS(KB[NETTO2],KB[TANGGAL],C10,KB[TYPE],"A")</f>
        <v>100117.59999999999</v>
      </c>
      <c r="K10" s="660">
        <f t="shared" ref="K10:K39" si="17">IFERROR(L10/J10,0)</f>
        <v>2911.0654370460343</v>
      </c>
      <c r="L10" s="660">
        <f>SUMIFS(KB[TBAYAR],KB[TANGGAL],C10,KB[TYPE],"A")</f>
        <v>291448885</v>
      </c>
      <c r="M10" s="660">
        <f t="shared" ref="M10:M39" si="18">ROUND(K10*0.5025%,2)</f>
        <v>14.63</v>
      </c>
      <c r="N10" s="660">
        <f t="shared" ref="N10:N39" si="19">IFERROR(O10/J10,0)</f>
        <v>2925.6925355781605</v>
      </c>
      <c r="O10" s="660">
        <f>SUMIFS(KB[TBAYAR2],KB[TANGGAL],C10,KB[TYPE],"A")</f>
        <v>292913315</v>
      </c>
      <c r="P10" s="660">
        <f>SUMIFS(KB[POTPPH],KB[TANGGAL],C10,KB[TYPE],"A")</f>
        <v>1464567</v>
      </c>
      <c r="Q10" s="660">
        <f>SUMIFS(KB[TPEMBAYARAN],KB[TANGGAL],C10,KB[TYPE],"A")</f>
        <v>291448748</v>
      </c>
      <c r="R10" s="661"/>
      <c r="S10" s="659">
        <f>SUMIFS(KB[BRUTO],KB[TANGGAL],C10,KB[TYPE],"B")</f>
        <v>0</v>
      </c>
      <c r="T10" s="660">
        <f>SUMIFS(KB[TARRA],KB[TANGGAL],C10,KB[TYPE],"B")</f>
        <v>0</v>
      </c>
      <c r="U10" s="660">
        <f>SUMIFS(KB[NETTO],KB[TANGGAL],C10,KB[TYPE],"B")</f>
        <v>0</v>
      </c>
      <c r="V10" s="660">
        <f t="shared" ref="V10:V39" si="20">IFERROR(W10/U10%,0)</f>
        <v>0</v>
      </c>
      <c r="W10" s="660">
        <f>SUMIFS(KB[TPOT],KB[TANGGAL],C10,KB[TYPE],"B")</f>
        <v>0</v>
      </c>
      <c r="X10" s="660">
        <f>SUMIFS(KB[NETTO2],KB[TANGGAL],C10,KB[TYPE],"B")</f>
        <v>0</v>
      </c>
      <c r="Y10" s="660">
        <f t="shared" ref="Y10:Y39" si="21">IFERROR(Z10/X10,0)</f>
        <v>0</v>
      </c>
      <c r="Z10" s="660">
        <f>SUMIFS(KB[TBAYAR],KB[TANGGAL],C10,KB[TYPE],"B")</f>
        <v>0</v>
      </c>
      <c r="AA10" s="660">
        <f t="shared" ref="AA10:AA39" si="22">ROUND(Y10*0.5025%,2)</f>
        <v>0</v>
      </c>
      <c r="AB10" s="660">
        <f t="shared" ref="AB10:AB39" si="23">IFERROR(AC10/X10,0)</f>
        <v>0</v>
      </c>
      <c r="AC10" s="660">
        <f>SUMIFS(KB[TBAYAR2],KB[TANGGAL],C10,KB[TYPE],"B")</f>
        <v>0</v>
      </c>
      <c r="AD10" s="660">
        <f>SUMIFS(KB[POTPPH],KB[TANGGAL],C10,KB[TYPE],"B")</f>
        <v>0</v>
      </c>
      <c r="AE10" s="660">
        <f>SUMIFS(KB[TPEMBAYARAN],KB[TANGGAL],C10,KB[TYPE],"B")</f>
        <v>0</v>
      </c>
      <c r="AF10" s="660"/>
      <c r="AG10" s="659">
        <f>SUMIFS(KBS[BRUTO],KBS[TANGGAL],C10)</f>
        <v>0</v>
      </c>
      <c r="AH10" s="660">
        <f>SUMIFS(KBS[TARRA],KBS[TANGGAL],C10)</f>
        <v>0</v>
      </c>
      <c r="AI10" s="660">
        <f>SUMIFS(KBS[NETTO],KBS[TANGGAL],C10)</f>
        <v>0</v>
      </c>
      <c r="AJ10" s="660">
        <f t="shared" ref="AJ10:AJ39" si="24">IFERROR(AK10/AI10%,0)</f>
        <v>0</v>
      </c>
      <c r="AK10" s="660">
        <f>SUMIFS(KBS[TPOT],KBS[TANGGAL],C10)</f>
        <v>0</v>
      </c>
      <c r="AL10" s="660">
        <f>SUMIFS(KBS[NETTO2],KBS[TANGGAL],C10)</f>
        <v>0</v>
      </c>
      <c r="AM10" s="660">
        <f t="shared" ref="AM10:AM39" si="25">IFERROR(AN10/AL10,0)</f>
        <v>0</v>
      </c>
      <c r="AN10" s="660">
        <f>SUMIFS(KBS[TBAYAR],KBS[TANGGAL],C10)</f>
        <v>0</v>
      </c>
      <c r="AO10" s="660">
        <f t="shared" ref="AO10:AO39" si="26">ROUND(AM10*0.5025%,2)</f>
        <v>0</v>
      </c>
      <c r="AP10" s="660">
        <f t="shared" ref="AP10:AP39" si="27">IFERROR(AQ10/AL10,0)</f>
        <v>0</v>
      </c>
      <c r="AQ10" s="660">
        <f>SUMIFS(KBS[TBAYAR2],KBS[TANGGAL],C10)</f>
        <v>0</v>
      </c>
      <c r="AR10" s="660">
        <f>SUMIFS(KBS[POTPPH],KBS[TANGGAL],C10)</f>
        <v>0</v>
      </c>
      <c r="AS10" s="660">
        <f>SUMIFS(KBS[TPEMBAYARAN],KBS[TANGGAL],C10)</f>
        <v>0</v>
      </c>
      <c r="AT10" s="660"/>
      <c r="AU10" s="659">
        <f>SUMIFS(KPR[BRUTO],KPR[TANGGAL],C10)</f>
        <v>0</v>
      </c>
      <c r="AV10" s="660">
        <f>SUMIFS(KPR[TARRA],KPR[TANGGAL],C10)</f>
        <v>0</v>
      </c>
      <c r="AW10" s="660">
        <f>SUMIFS(KPR[NETTO],KPR[TANGGAL],C10)</f>
        <v>0</v>
      </c>
      <c r="AX10" s="662">
        <f>SUMIFS(KPR[POTKRG],KPR[TANGGAL],C10)</f>
        <v>0</v>
      </c>
      <c r="AY10" s="660">
        <f>SUMIFS(KPR[TPOT1],KPR[TANGGAL],C10)</f>
        <v>0</v>
      </c>
      <c r="AZ10" s="662">
        <f>SUMIFS(KPR[POTAIR],KPR[TANGGAL],C10)</f>
        <v>0</v>
      </c>
      <c r="BA10" s="660">
        <f>SUMIFS(KPR[TPOT2],KPR[TANGGAL],C10)</f>
        <v>0</v>
      </c>
      <c r="BB10" s="660">
        <f>SUMIFS(KPR[NETTOA],KPR[TANGGAL],C10)</f>
        <v>0</v>
      </c>
      <c r="BC10" s="660">
        <f>SUMIFS(KPR[NETTOB],KPR[TANGGAL],C10)</f>
        <v>0</v>
      </c>
      <c r="BD10" s="660">
        <f t="shared" ref="BD10:BD39" si="28">IFERROR(BE10/BC10,0)</f>
        <v>0</v>
      </c>
      <c r="BE10" s="660">
        <f>SUMIFS(KPR[TOTAL],KPR[TANGGAL],C10)</f>
        <v>0</v>
      </c>
      <c r="BF10" s="662">
        <f t="shared" ref="BF10:BF39" si="29">ROUND(BD10*0.5025%,2)</f>
        <v>0</v>
      </c>
      <c r="BG10" s="662">
        <f t="shared" ref="BG10:BG39" si="30">IFERROR(BH10/BC10,0)</f>
        <v>0</v>
      </c>
      <c r="BH10" s="660">
        <f>SUMIFS(KPR[TBAYAR2],KPR[TANGGAL],C10)</f>
        <v>0</v>
      </c>
      <c r="BI10" s="660">
        <f>SUMIFS(KPR[POTPPH],KPR[TANGGAL],C10)</f>
        <v>0</v>
      </c>
      <c r="BJ10" s="660">
        <f>SUMIFS(KPR[TPEMBAYARAN],KPR[TANGGAL],C10)</f>
        <v>0</v>
      </c>
      <c r="BK10" s="660"/>
      <c r="BL10" s="659">
        <f>SUMIFS(ARG[BRUTO],ARG[TANGGAL],C10)</f>
        <v>0</v>
      </c>
      <c r="BM10" s="659">
        <f>SUMIFS(ARG[TARRA],ARG[TANGGAL],C10)</f>
        <v>0</v>
      </c>
      <c r="BN10" s="659">
        <f>SUMIFS(ARG[NETTO1],ARG[TANGGAL],C10)</f>
        <v>0</v>
      </c>
      <c r="BO10" s="659">
        <f>SUMIFS(ARG[POTKARUNG],ARG[TANGGAL],C10)</f>
        <v>0</v>
      </c>
      <c r="BP10" s="659">
        <f>SUMIFS(ARG[TPOT1],ARG[TANGGAL],C10)</f>
        <v>0</v>
      </c>
      <c r="BQ10" s="659">
        <f>SUMIFS(ARG[NETTO2],ARG[TANGGAL],C10)</f>
        <v>0</v>
      </c>
      <c r="BR10" s="659">
        <f>SUMIFS(ARG[MC],ARG[TANGGAL],C10)</f>
        <v>0</v>
      </c>
      <c r="BS10" s="659">
        <f>SUMIFS(ARG[DC],ARG[TANGGAL],C10)</f>
        <v>0</v>
      </c>
      <c r="BT10" s="659">
        <f>SUMIFS(ARG[DC2],ARG[TANGGAL],C10)</f>
        <v>0</v>
      </c>
      <c r="BU10" s="659">
        <f>SUMIFS(ARG[NETTO3],ARG[TANGGAL],C10)</f>
        <v>0</v>
      </c>
      <c r="BV10" s="660">
        <f t="shared" ref="BV10:BV39" si="31">IFERROR(BW10/BU10,0)</f>
        <v>0</v>
      </c>
      <c r="BW10" s="659">
        <f>SUMIFS(ARG[TBAYAR1],ARG[TANGGAL],C10)</f>
        <v>0</v>
      </c>
      <c r="BX10" s="663">
        <f t="shared" ref="BX10:BX39" si="32">ROUND(BV10*0.5025%,2)</f>
        <v>0</v>
      </c>
      <c r="BY10" s="663">
        <f t="shared" ref="BY10:BY39" si="33">IFERROR(BZ10/BU10,0)</f>
        <v>0</v>
      </c>
      <c r="BZ10" s="659">
        <f>SUMIFS(ARG[TBAYAR2],ARG[TANGGAL],C10)</f>
        <v>0</v>
      </c>
      <c r="CA10" s="659">
        <f>SUMIFS(ARG[POTPPH],ARG[TANGGAL],C10)</f>
        <v>0</v>
      </c>
      <c r="CB10" s="659">
        <f>SUMIFS(ARG[TPEMBAYARAN],ARG[TANGGAL],C10)</f>
        <v>0</v>
      </c>
      <c r="CC10" s="616"/>
      <c r="CD10" s="575">
        <v>82326207</v>
      </c>
      <c r="CE10" s="348">
        <v>411632</v>
      </c>
      <c r="CF10" s="348">
        <v>81914575</v>
      </c>
      <c r="CG10" s="348"/>
      <c r="CH10" s="348"/>
      <c r="CI10" s="348"/>
      <c r="CJ10" s="348"/>
      <c r="CK10" s="348"/>
      <c r="CL10" s="348"/>
      <c r="CM10" s="348"/>
      <c r="CN10" s="348"/>
      <c r="CO10" s="348"/>
      <c r="CP10" s="348"/>
      <c r="CQ10" s="576"/>
      <c r="CR10" s="348">
        <v>0</v>
      </c>
      <c r="CS10" s="348">
        <v>0</v>
      </c>
      <c r="CT10" s="348">
        <v>0</v>
      </c>
      <c r="CU10" s="348">
        <v>0</v>
      </c>
      <c r="CV10" s="348">
        <v>0</v>
      </c>
      <c r="CW10" s="348">
        <v>0</v>
      </c>
      <c r="CX10" s="348">
        <v>0</v>
      </c>
      <c r="CY10" s="348">
        <v>0</v>
      </c>
      <c r="CZ10" s="348">
        <v>0</v>
      </c>
      <c r="DA10" s="348">
        <v>0</v>
      </c>
      <c r="DB10" s="348">
        <v>0</v>
      </c>
      <c r="DC10" s="348">
        <v>0</v>
      </c>
      <c r="DD10" s="348">
        <v>0</v>
      </c>
      <c r="DE10" s="576"/>
      <c r="DF10" s="576"/>
      <c r="DG10" s="350">
        <v>247210</v>
      </c>
      <c r="DH10" s="350">
        <v>75210</v>
      </c>
      <c r="DI10" s="350">
        <v>172000</v>
      </c>
      <c r="DJ10" s="350">
        <v>0</v>
      </c>
      <c r="DK10" s="350">
        <v>730</v>
      </c>
      <c r="DL10" s="350">
        <v>171270</v>
      </c>
      <c r="DM10" s="350">
        <v>608.94377299001576</v>
      </c>
      <c r="DN10" s="350">
        <v>104293800</v>
      </c>
      <c r="DO10" s="350">
        <v>0</v>
      </c>
      <c r="DP10" s="350">
        <v>0</v>
      </c>
      <c r="DQ10" s="350">
        <v>104293800</v>
      </c>
      <c r="DR10" s="598"/>
      <c r="DS10" s="348"/>
      <c r="DT10" s="348"/>
      <c r="DU10" s="348"/>
      <c r="DV10" s="348"/>
      <c r="DW10" s="348"/>
      <c r="DX10" s="348"/>
      <c r="DY10" s="348"/>
      <c r="DZ10" s="348"/>
      <c r="EA10" s="576"/>
      <c r="EB10" s="348"/>
      <c r="EC10" s="348"/>
      <c r="ED10" s="348"/>
      <c r="EE10" s="348"/>
      <c r="EF10" s="348"/>
      <c r="EG10" s="348"/>
      <c r="EH10" s="348"/>
      <c r="EI10" s="348"/>
      <c r="EJ10" s="348"/>
      <c r="EK10" s="348"/>
      <c r="EL10" s="348"/>
      <c r="EM10" s="348"/>
      <c r="EN10" s="348"/>
      <c r="EO10" s="348"/>
      <c r="EP10" s="348"/>
      <c r="EQ10" s="348"/>
      <c r="ER10" s="348"/>
      <c r="ES10" s="348"/>
      <c r="ET10" s="348"/>
      <c r="EU10" s="348"/>
      <c r="EV10" s="348"/>
      <c r="EW10" s="348"/>
      <c r="EX10" s="348"/>
      <c r="EY10" s="348"/>
      <c r="EZ10" s="348"/>
      <c r="FA10" s="348"/>
      <c r="FB10" s="348"/>
      <c r="FC10" s="348"/>
      <c r="FD10" s="348"/>
      <c r="FE10" s="348"/>
      <c r="FF10" s="348"/>
      <c r="FG10" s="348">
        <v>0</v>
      </c>
      <c r="FH10" s="348">
        <v>0</v>
      </c>
      <c r="FI10" s="348">
        <v>0</v>
      </c>
      <c r="FJ10" s="348">
        <v>0</v>
      </c>
      <c r="FK10" s="348">
        <v>0</v>
      </c>
      <c r="FL10" s="348">
        <v>0</v>
      </c>
      <c r="FM10" s="348">
        <v>0</v>
      </c>
      <c r="FN10" s="348">
        <v>0</v>
      </c>
      <c r="FO10" s="348">
        <v>0</v>
      </c>
      <c r="FP10" s="348">
        <v>0</v>
      </c>
      <c r="FQ10" s="348">
        <v>0</v>
      </c>
      <c r="FR10" s="348">
        <v>0</v>
      </c>
      <c r="FS10" s="348">
        <v>760</v>
      </c>
      <c r="FT10" s="348">
        <v>3650</v>
      </c>
      <c r="FU10" s="348">
        <v>2490</v>
      </c>
      <c r="FV10" s="348">
        <v>1120</v>
      </c>
      <c r="FW10" s="348">
        <v>0</v>
      </c>
      <c r="FX10" s="348">
        <v>0</v>
      </c>
      <c r="FY10" s="348">
        <v>0</v>
      </c>
      <c r="FZ10" s="348">
        <v>50100</v>
      </c>
      <c r="GA10" s="348">
        <v>6450</v>
      </c>
      <c r="GB10" s="348">
        <v>0</v>
      </c>
      <c r="GC10" s="348">
        <v>23370</v>
      </c>
      <c r="GD10" s="348">
        <v>52330</v>
      </c>
      <c r="GE10" s="348">
        <v>0</v>
      </c>
      <c r="GF10" s="348">
        <v>59420</v>
      </c>
      <c r="GG10" s="348">
        <v>0</v>
      </c>
      <c r="GH10" s="348">
        <v>0</v>
      </c>
      <c r="GI10" s="348">
        <v>0</v>
      </c>
      <c r="GJ10" s="348">
        <v>0</v>
      </c>
      <c r="GK10" s="348">
        <v>0</v>
      </c>
      <c r="GL10" s="348">
        <v>0</v>
      </c>
    </row>
    <row r="11" spans="1:194" s="349" customFormat="1" ht="30" customHeight="1">
      <c r="B11" s="557">
        <f t="shared" ref="B11:B39" si="34">+B10+1</f>
        <v>3</v>
      </c>
      <c r="C11" s="645">
        <f t="shared" si="0"/>
        <v>43893</v>
      </c>
      <c r="D11" s="607"/>
      <c r="E11" s="659">
        <f>SUMIFS(KB[BRUTO],KB[TANGGAL],C11,KB[TYPE],"A")</f>
        <v>110360</v>
      </c>
      <c r="F11" s="660">
        <f>SUMIFS(KB[TARRA],KB[TANGGAL],C11,KB[TYPE],"A")</f>
        <v>45930</v>
      </c>
      <c r="G11" s="660">
        <f>SUMIFS(KB[NETTO],KB[TANGGAL],C11,KB[TYPE],"A")</f>
        <v>64430</v>
      </c>
      <c r="H11" s="660">
        <f t="shared" si="16"/>
        <v>5.354338041285116</v>
      </c>
      <c r="I11" s="660">
        <f>SUMIFS(KB[TPOT],KB[TANGGAL],C11,KB[TYPE],"A")</f>
        <v>3449.8</v>
      </c>
      <c r="J11" s="660">
        <f>SUMIFS(KB[NETTO2],KB[TANGGAL],C11,KB[TYPE],"A")</f>
        <v>60980.2</v>
      </c>
      <c r="K11" s="660">
        <f t="shared" si="17"/>
        <v>2906.0522103896019</v>
      </c>
      <c r="L11" s="660">
        <f>SUMIFS(KB[TBAYAR],KB[TANGGAL],C11,KB[TYPE],"A")</f>
        <v>177211645</v>
      </c>
      <c r="M11" s="660">
        <f t="shared" si="18"/>
        <v>14.6</v>
      </c>
      <c r="N11" s="660">
        <f t="shared" si="19"/>
        <v>2920.6524576829856</v>
      </c>
      <c r="O11" s="660">
        <f>SUMIFS(KB[TBAYAR2],KB[TANGGAL],C11,KB[TYPE],"A")</f>
        <v>178101971</v>
      </c>
      <c r="P11" s="660">
        <f>SUMIFS(KB[POTPPH],KB[TANGGAL],C11,KB[TYPE],"A")</f>
        <v>890511</v>
      </c>
      <c r="Q11" s="660">
        <f>SUMIFS(KB[TPEMBAYARAN],KB[TANGGAL],C11,KB[TYPE],"A")</f>
        <v>177211460</v>
      </c>
      <c r="R11" s="660"/>
      <c r="S11" s="659">
        <f>SUMIFS(KB[BRUTO],KB[TANGGAL],C11,KB[TYPE],"B")</f>
        <v>0</v>
      </c>
      <c r="T11" s="660">
        <f>SUMIFS(KB[TARRA],KB[TANGGAL],C11,KB[TYPE],"B")</f>
        <v>0</v>
      </c>
      <c r="U11" s="660">
        <f>SUMIFS(KB[NETTO],KB[TANGGAL],C11,KB[TYPE],"B")</f>
        <v>0</v>
      </c>
      <c r="V11" s="660">
        <f t="shared" si="20"/>
        <v>0</v>
      </c>
      <c r="W11" s="660">
        <f>SUMIFS(KB[TPOT],KB[TANGGAL],C11,KB[TYPE],"B")</f>
        <v>0</v>
      </c>
      <c r="X11" s="660">
        <f>SUMIFS(KB[NETTO2],KB[TANGGAL],C11,KB[TYPE],"B")</f>
        <v>0</v>
      </c>
      <c r="Y11" s="660">
        <f t="shared" si="21"/>
        <v>0</v>
      </c>
      <c r="Z11" s="660">
        <f>SUMIFS(KB[TBAYAR],KB[TANGGAL],C11,KB[TYPE],"B")</f>
        <v>0</v>
      </c>
      <c r="AA11" s="660">
        <f t="shared" si="22"/>
        <v>0</v>
      </c>
      <c r="AB11" s="660">
        <f t="shared" si="23"/>
        <v>0</v>
      </c>
      <c r="AC11" s="660">
        <f>SUMIFS(KB[TBAYAR2],KB[TANGGAL],C11,KB[TYPE],"B")</f>
        <v>0</v>
      </c>
      <c r="AD11" s="660">
        <f>SUMIFS(KB[POTPPH],KB[TANGGAL],C11,KB[TYPE],"B")</f>
        <v>0</v>
      </c>
      <c r="AE11" s="660">
        <f>SUMIFS(KB[TPEMBAYARAN],KB[TANGGAL],C11,KB[TYPE],"B")</f>
        <v>0</v>
      </c>
      <c r="AF11" s="660"/>
      <c r="AG11" s="659">
        <f>SUMIFS(KBS[BRUTO],KBS[TANGGAL],C11)</f>
        <v>0</v>
      </c>
      <c r="AH11" s="660">
        <f>SUMIFS(KBS[TARRA],KBS[TANGGAL],C11)</f>
        <v>0</v>
      </c>
      <c r="AI11" s="660">
        <f>SUMIFS(KBS[NETTO],KBS[TANGGAL],C11)</f>
        <v>0</v>
      </c>
      <c r="AJ11" s="660">
        <f t="shared" si="24"/>
        <v>0</v>
      </c>
      <c r="AK11" s="660">
        <f>SUMIFS(KBS[TPOT],KBS[TANGGAL],C11)</f>
        <v>0</v>
      </c>
      <c r="AL11" s="660">
        <f>SUMIFS(KBS[NETTO2],KBS[TANGGAL],C11)</f>
        <v>0</v>
      </c>
      <c r="AM11" s="660">
        <f t="shared" si="25"/>
        <v>0</v>
      </c>
      <c r="AN11" s="660">
        <f>SUMIFS(KBS[TBAYAR],KBS[TANGGAL],C11)</f>
        <v>0</v>
      </c>
      <c r="AO11" s="660">
        <f t="shared" si="26"/>
        <v>0</v>
      </c>
      <c r="AP11" s="660">
        <f t="shared" si="27"/>
        <v>0</v>
      </c>
      <c r="AQ11" s="660">
        <f>SUMIFS(KBS[TBAYAR2],KBS[TANGGAL],C11)</f>
        <v>0</v>
      </c>
      <c r="AR11" s="660">
        <f>SUMIFS(KBS[POTPPH],KBS[TANGGAL],C11)</f>
        <v>0</v>
      </c>
      <c r="AS11" s="660">
        <f>SUMIFS(KBS[TPEMBAYARAN],KBS[TANGGAL],C11)</f>
        <v>0</v>
      </c>
      <c r="AT11" s="660"/>
      <c r="AU11" s="659">
        <f>SUMIFS(KPR[BRUTO],KPR[TANGGAL],C11)</f>
        <v>0</v>
      </c>
      <c r="AV11" s="660">
        <f>SUMIFS(KPR[TARRA],KPR[TANGGAL],C11)</f>
        <v>0</v>
      </c>
      <c r="AW11" s="660">
        <f>SUMIFS(KPR[NETTO],KPR[TANGGAL],C11)</f>
        <v>0</v>
      </c>
      <c r="AX11" s="662">
        <f>SUMIFS(KPR[POTKRG],KPR[TANGGAL],C11)</f>
        <v>0</v>
      </c>
      <c r="AY11" s="660">
        <f>SUMIFS(KPR[TPOT1],KPR[TANGGAL],C11)</f>
        <v>0</v>
      </c>
      <c r="AZ11" s="662">
        <f>SUMIFS(KPR[POTAIR],KPR[TANGGAL],C11)</f>
        <v>0</v>
      </c>
      <c r="BA11" s="660">
        <f>SUMIFS(KPR[TPOT2],KPR[TANGGAL],C11)</f>
        <v>0</v>
      </c>
      <c r="BB11" s="660">
        <f>SUMIFS(KPR[NETTOA],KPR[TANGGAL],C11)</f>
        <v>0</v>
      </c>
      <c r="BC11" s="660">
        <f>SUMIFS(KPR[NETTOB],KPR[TANGGAL],C11)</f>
        <v>0</v>
      </c>
      <c r="BD11" s="660">
        <f t="shared" si="28"/>
        <v>0</v>
      </c>
      <c r="BE11" s="660">
        <f>SUMIFS(KPR[TOTAL],KPR[TANGGAL],C11)</f>
        <v>0</v>
      </c>
      <c r="BF11" s="662">
        <f t="shared" si="29"/>
        <v>0</v>
      </c>
      <c r="BG11" s="662">
        <f t="shared" si="30"/>
        <v>0</v>
      </c>
      <c r="BH11" s="660">
        <f>SUMIFS(KPR[TBAYAR2],KPR[TANGGAL],C11)</f>
        <v>0</v>
      </c>
      <c r="BI11" s="660">
        <f>SUMIFS(KPR[POTPPH],KPR[TANGGAL],C11)</f>
        <v>0</v>
      </c>
      <c r="BJ11" s="660">
        <f>SUMIFS(KPR[TPEMBAYARAN],KPR[TANGGAL],C11)</f>
        <v>0</v>
      </c>
      <c r="BK11" s="660"/>
      <c r="BL11" s="659">
        <f>SUMIFS(ARG[BRUTO],ARG[TANGGAL],C11)</f>
        <v>0</v>
      </c>
      <c r="BM11" s="659">
        <f>SUMIFS(ARG[TARRA],ARG[TANGGAL],C11)</f>
        <v>0</v>
      </c>
      <c r="BN11" s="659">
        <f>SUMIFS(ARG[NETTO1],ARG[TANGGAL],C11)</f>
        <v>0</v>
      </c>
      <c r="BO11" s="659">
        <f>SUMIFS(ARG[POTKARUNG],ARG[TANGGAL],C11)</f>
        <v>0</v>
      </c>
      <c r="BP11" s="659">
        <f>SUMIFS(ARG[TPOT1],ARG[TANGGAL],C11)</f>
        <v>0</v>
      </c>
      <c r="BQ11" s="659">
        <f>SUMIFS(ARG[NETTO2],ARG[TANGGAL],C11)</f>
        <v>0</v>
      </c>
      <c r="BR11" s="659">
        <f>SUMIFS(ARG[MC],ARG[TANGGAL],C11)</f>
        <v>0</v>
      </c>
      <c r="BS11" s="659">
        <f>SUMIFS(ARG[DC],ARG[TANGGAL],C11)</f>
        <v>0</v>
      </c>
      <c r="BT11" s="659">
        <f>SUMIFS(ARG[DC2],ARG[TANGGAL],C11)</f>
        <v>0</v>
      </c>
      <c r="BU11" s="659">
        <f>SUMIFS(ARG[NETTO3],ARG[TANGGAL],C11)</f>
        <v>0</v>
      </c>
      <c r="BV11" s="660">
        <f t="shared" si="31"/>
        <v>0</v>
      </c>
      <c r="BW11" s="659">
        <f>SUMIFS(ARG[TBAYAR1],ARG[TANGGAL],C11)</f>
        <v>0</v>
      </c>
      <c r="BX11" s="663">
        <f t="shared" si="32"/>
        <v>0</v>
      </c>
      <c r="BY11" s="663">
        <f t="shared" si="33"/>
        <v>0</v>
      </c>
      <c r="BZ11" s="659">
        <f>SUMIFS(ARG[TBAYAR2],ARG[TANGGAL],C11)</f>
        <v>0</v>
      </c>
      <c r="CA11" s="659">
        <f>SUMIFS(ARG[POTPPH],ARG[TANGGAL],C11)</f>
        <v>0</v>
      </c>
      <c r="CB11" s="659">
        <f>SUMIFS(ARG[TPEMBAYARAN],ARG[TANGGAL],C11)</f>
        <v>0</v>
      </c>
      <c r="CC11" s="616"/>
      <c r="CD11" s="575"/>
      <c r="CE11" s="348"/>
      <c r="CF11" s="348"/>
      <c r="CG11" s="348"/>
      <c r="CH11" s="348"/>
      <c r="CI11" s="348"/>
      <c r="CJ11" s="348"/>
      <c r="CK11" s="348"/>
      <c r="CL11" s="348"/>
      <c r="CM11" s="348"/>
      <c r="CN11" s="348"/>
      <c r="CO11" s="348"/>
      <c r="CP11" s="348"/>
      <c r="CQ11" s="576"/>
      <c r="CR11" s="348">
        <v>0</v>
      </c>
      <c r="CS11" s="348">
        <v>0</v>
      </c>
      <c r="CT11" s="348">
        <v>0</v>
      </c>
      <c r="CU11" s="348">
        <v>0</v>
      </c>
      <c r="CV11" s="348">
        <v>0</v>
      </c>
      <c r="CW11" s="348">
        <v>0</v>
      </c>
      <c r="CX11" s="348">
        <v>0</v>
      </c>
      <c r="CY11" s="348">
        <v>0</v>
      </c>
      <c r="CZ11" s="348">
        <v>0</v>
      </c>
      <c r="DA11" s="348">
        <v>0</v>
      </c>
      <c r="DB11" s="348">
        <v>0</v>
      </c>
      <c r="DC11" s="348">
        <v>0</v>
      </c>
      <c r="DD11" s="348">
        <v>0</v>
      </c>
      <c r="DE11" s="576"/>
      <c r="DF11" s="351"/>
      <c r="DG11" s="351">
        <v>264410</v>
      </c>
      <c r="DH11" s="351">
        <v>86720</v>
      </c>
      <c r="DI11" s="351">
        <v>177690</v>
      </c>
      <c r="DJ11" s="351">
        <v>0</v>
      </c>
      <c r="DK11" s="351">
        <v>360</v>
      </c>
      <c r="DL11" s="351">
        <v>177330</v>
      </c>
      <c r="DM11" s="351">
        <v>580.51373146111769</v>
      </c>
      <c r="DN11" s="351">
        <v>102942500</v>
      </c>
      <c r="DO11" s="351">
        <v>0</v>
      </c>
      <c r="DP11" s="351">
        <v>0</v>
      </c>
      <c r="DQ11" s="351">
        <v>102942500</v>
      </c>
      <c r="DR11" s="351"/>
      <c r="DS11" s="351"/>
      <c r="DT11" s="351"/>
      <c r="DU11" s="351"/>
      <c r="DV11" s="351"/>
      <c r="DW11" s="351"/>
      <c r="DX11" s="351"/>
      <c r="DY11" s="351"/>
      <c r="DZ11" s="351"/>
      <c r="EA11" s="351"/>
      <c r="EB11" s="351"/>
      <c r="EC11" s="351"/>
      <c r="ED11" s="351"/>
      <c r="EE11" s="351"/>
      <c r="EF11" s="351"/>
      <c r="EG11" s="351"/>
      <c r="EH11" s="351"/>
      <c r="EI11" s="351"/>
      <c r="EJ11" s="348"/>
      <c r="EK11" s="348"/>
      <c r="EL11" s="348"/>
      <c r="EM11" s="348"/>
      <c r="EN11" s="348"/>
      <c r="EO11" s="348"/>
      <c r="EP11" s="348"/>
      <c r="EQ11" s="348"/>
      <c r="ER11" s="348"/>
      <c r="ES11" s="348"/>
      <c r="ET11" s="348"/>
      <c r="EU11" s="348"/>
      <c r="EV11" s="348"/>
      <c r="EW11" s="348"/>
      <c r="EX11" s="348"/>
      <c r="EY11" s="348"/>
      <c r="EZ11" s="348"/>
      <c r="FA11" s="348"/>
      <c r="FB11" s="348"/>
      <c r="FC11" s="348"/>
      <c r="FD11" s="348"/>
      <c r="FE11" s="348"/>
      <c r="FF11" s="348"/>
      <c r="FG11" s="350">
        <v>0</v>
      </c>
      <c r="FH11" s="350">
        <v>0</v>
      </c>
      <c r="FI11" s="350">
        <v>0</v>
      </c>
      <c r="FJ11" s="350">
        <v>0</v>
      </c>
      <c r="FK11" s="350">
        <v>0</v>
      </c>
      <c r="FL11" s="350">
        <v>0</v>
      </c>
      <c r="FM11" s="350">
        <v>0</v>
      </c>
      <c r="FN11" s="350">
        <v>0</v>
      </c>
      <c r="FO11" s="350">
        <v>0</v>
      </c>
      <c r="FP11" s="350">
        <v>0</v>
      </c>
      <c r="FQ11" s="350">
        <v>0</v>
      </c>
      <c r="FR11" s="350">
        <v>0</v>
      </c>
      <c r="FS11" s="350">
        <v>1230</v>
      </c>
      <c r="FT11" s="350">
        <v>7750</v>
      </c>
      <c r="FU11" s="350">
        <v>0</v>
      </c>
      <c r="FV11" s="350">
        <v>0</v>
      </c>
      <c r="FW11" s="350">
        <v>0</v>
      </c>
      <c r="FX11" s="350">
        <v>0</v>
      </c>
      <c r="FY11" s="350">
        <v>0</v>
      </c>
      <c r="FZ11" s="350">
        <v>0</v>
      </c>
      <c r="GA11" s="350">
        <v>76220</v>
      </c>
      <c r="GB11" s="350">
        <v>0</v>
      </c>
      <c r="GC11" s="350">
        <v>24630</v>
      </c>
      <c r="GD11" s="350">
        <v>43140</v>
      </c>
      <c r="GE11" s="350">
        <v>0</v>
      </c>
      <c r="GF11" s="350">
        <v>68670</v>
      </c>
      <c r="GG11" s="350">
        <v>0</v>
      </c>
      <c r="GH11" s="350">
        <v>0</v>
      </c>
      <c r="GI11" s="350">
        <v>59900</v>
      </c>
      <c r="GJ11" s="350">
        <v>0</v>
      </c>
      <c r="GK11" s="350">
        <v>0</v>
      </c>
      <c r="GL11" s="350">
        <v>0</v>
      </c>
    </row>
    <row r="12" spans="1:194" s="349" customFormat="1" ht="30" customHeight="1">
      <c r="B12" s="557">
        <f t="shared" si="34"/>
        <v>4</v>
      </c>
      <c r="C12" s="645">
        <f t="shared" si="0"/>
        <v>43894</v>
      </c>
      <c r="D12" s="607"/>
      <c r="E12" s="659">
        <f>SUMIFS(KB[BRUTO],KB[TANGGAL],C12,KB[TYPE],"A")</f>
        <v>114780</v>
      </c>
      <c r="F12" s="660">
        <f>SUMIFS(KB[TARRA],KB[TANGGAL],C12,KB[TYPE],"A")</f>
        <v>49440</v>
      </c>
      <c r="G12" s="660">
        <f>SUMIFS(KB[NETTO],KB[TANGGAL],C12,KB[TYPE],"A")</f>
        <v>65340</v>
      </c>
      <c r="H12" s="660">
        <f t="shared" si="16"/>
        <v>5.2154882154882154</v>
      </c>
      <c r="I12" s="660">
        <f>SUMIFS(KB[TPOT],KB[TANGGAL],C12,KB[TYPE],"A")</f>
        <v>3407.7999999999997</v>
      </c>
      <c r="J12" s="660">
        <f>SUMIFS(KB[NETTO2],KB[TANGGAL],C12,KB[TYPE],"A")</f>
        <v>61932.200000000004</v>
      </c>
      <c r="K12" s="660">
        <f t="shared" si="17"/>
        <v>2900.9675096315</v>
      </c>
      <c r="L12" s="660">
        <f>SUMIFS(KB[TBAYAR],KB[TANGGAL],C12,KB[TYPE],"A")</f>
        <v>179663300</v>
      </c>
      <c r="M12" s="660">
        <f t="shared" si="18"/>
        <v>14.58</v>
      </c>
      <c r="N12" s="660">
        <f t="shared" si="19"/>
        <v>2915.5427548189791</v>
      </c>
      <c r="O12" s="660">
        <f>SUMIFS(KB[TBAYAR2],KB[TANGGAL],C12,KB[TYPE],"A")</f>
        <v>180565977</v>
      </c>
      <c r="P12" s="660">
        <f>SUMIFS(KB[POTPPH],KB[TANGGAL],C12,KB[TYPE],"A")</f>
        <v>902829</v>
      </c>
      <c r="Q12" s="660">
        <f>SUMIFS(KB[TPEMBAYARAN],KB[TANGGAL],C12,KB[TYPE],"A")</f>
        <v>179663148</v>
      </c>
      <c r="R12" s="660"/>
      <c r="S12" s="659">
        <f>SUMIFS(KB[BRUTO],KB[TANGGAL],C12,KB[TYPE],"B")</f>
        <v>0</v>
      </c>
      <c r="T12" s="660">
        <f>SUMIFS(KB[TARRA],KB[TANGGAL],C12,KB[TYPE],"B")</f>
        <v>0</v>
      </c>
      <c r="U12" s="660">
        <f>SUMIFS(KB[NETTO],KB[TANGGAL],C12,KB[TYPE],"B")</f>
        <v>0</v>
      </c>
      <c r="V12" s="660">
        <f t="shared" si="20"/>
        <v>0</v>
      </c>
      <c r="W12" s="660">
        <f>SUMIFS(KB[TPOT],KB[TANGGAL],C12,KB[TYPE],"B")</f>
        <v>0</v>
      </c>
      <c r="X12" s="660">
        <f>SUMIFS(KB[NETTO2],KB[TANGGAL],C12,KB[TYPE],"B")</f>
        <v>0</v>
      </c>
      <c r="Y12" s="660">
        <f t="shared" si="21"/>
        <v>0</v>
      </c>
      <c r="Z12" s="660">
        <f>SUMIFS(KB[TBAYAR],KB[TANGGAL],C12,KB[TYPE],"B")</f>
        <v>0</v>
      </c>
      <c r="AA12" s="660">
        <f t="shared" si="22"/>
        <v>0</v>
      </c>
      <c r="AB12" s="660">
        <f t="shared" si="23"/>
        <v>0</v>
      </c>
      <c r="AC12" s="660">
        <f>SUMIFS(KB[TBAYAR2],KB[TANGGAL],C12,KB[TYPE],"B")</f>
        <v>0</v>
      </c>
      <c r="AD12" s="660">
        <f>SUMIFS(KB[POTPPH],KB[TANGGAL],C12,KB[TYPE],"B")</f>
        <v>0</v>
      </c>
      <c r="AE12" s="660">
        <f>SUMIFS(KB[TPEMBAYARAN],KB[TANGGAL],C12,KB[TYPE],"B")</f>
        <v>0</v>
      </c>
      <c r="AF12" s="660"/>
      <c r="AG12" s="659">
        <f>SUMIFS(KBS[BRUTO],KBS[TANGGAL],C12)</f>
        <v>0</v>
      </c>
      <c r="AH12" s="660">
        <f>SUMIFS(KBS[TARRA],KBS[TANGGAL],C12)</f>
        <v>0</v>
      </c>
      <c r="AI12" s="660">
        <f>SUMIFS(KBS[NETTO],KBS[TANGGAL],C12)</f>
        <v>0</v>
      </c>
      <c r="AJ12" s="660">
        <f t="shared" si="24"/>
        <v>0</v>
      </c>
      <c r="AK12" s="660">
        <f>SUMIFS(KBS[TPOT],KBS[TANGGAL],C12)</f>
        <v>0</v>
      </c>
      <c r="AL12" s="660">
        <f>SUMIFS(KBS[NETTO2],KBS[TANGGAL],C12)</f>
        <v>0</v>
      </c>
      <c r="AM12" s="660">
        <f t="shared" si="25"/>
        <v>0</v>
      </c>
      <c r="AN12" s="660">
        <f>SUMIFS(KBS[TBAYAR],KBS[TANGGAL],C12)</f>
        <v>0</v>
      </c>
      <c r="AO12" s="660">
        <f t="shared" si="26"/>
        <v>0</v>
      </c>
      <c r="AP12" s="660">
        <f t="shared" si="27"/>
        <v>0</v>
      </c>
      <c r="AQ12" s="660">
        <f>SUMIFS(KBS[TBAYAR2],KBS[TANGGAL],C12)</f>
        <v>0</v>
      </c>
      <c r="AR12" s="660">
        <f>SUMIFS(KBS[POTPPH],KBS[TANGGAL],C12)</f>
        <v>0</v>
      </c>
      <c r="AS12" s="660">
        <f>SUMIFS(KBS[TPEMBAYARAN],KBS[TANGGAL],C12)</f>
        <v>0</v>
      </c>
      <c r="AT12" s="660"/>
      <c r="AU12" s="659">
        <f>SUMIFS(KPR[BRUTO],KPR[TANGGAL],C12)</f>
        <v>0</v>
      </c>
      <c r="AV12" s="660">
        <f>SUMIFS(KPR[TARRA],KPR[TANGGAL],C12)</f>
        <v>0</v>
      </c>
      <c r="AW12" s="660">
        <f>SUMIFS(KPR[NETTO],KPR[TANGGAL],C12)</f>
        <v>0</v>
      </c>
      <c r="AX12" s="662">
        <f>SUMIFS(KPR[POTKRG],KPR[TANGGAL],C12)</f>
        <v>0</v>
      </c>
      <c r="AY12" s="660">
        <f>SUMIFS(KPR[TPOT1],KPR[TANGGAL],C12)</f>
        <v>0</v>
      </c>
      <c r="AZ12" s="662">
        <f>SUMIFS(KPR[POTAIR],KPR[TANGGAL],C12)</f>
        <v>0</v>
      </c>
      <c r="BA12" s="660">
        <f>SUMIFS(KPR[TPOT2],KPR[TANGGAL],C12)</f>
        <v>0</v>
      </c>
      <c r="BB12" s="660">
        <f>SUMIFS(KPR[NETTOA],KPR[TANGGAL],C12)</f>
        <v>0</v>
      </c>
      <c r="BC12" s="660">
        <f>SUMIFS(KPR[NETTOB],KPR[TANGGAL],C12)</f>
        <v>0</v>
      </c>
      <c r="BD12" s="660">
        <f t="shared" si="28"/>
        <v>0</v>
      </c>
      <c r="BE12" s="660">
        <f>SUMIFS(KPR[TOTAL],KPR[TANGGAL],C12)</f>
        <v>0</v>
      </c>
      <c r="BF12" s="662">
        <f t="shared" si="29"/>
        <v>0</v>
      </c>
      <c r="BG12" s="662">
        <f t="shared" si="30"/>
        <v>0</v>
      </c>
      <c r="BH12" s="660">
        <f>SUMIFS(KPR[TBAYAR2],KPR[TANGGAL],C12)</f>
        <v>0</v>
      </c>
      <c r="BI12" s="660">
        <f>SUMIFS(KPR[POTPPH],KPR[TANGGAL],C12)</f>
        <v>0</v>
      </c>
      <c r="BJ12" s="660">
        <f>SUMIFS(KPR[TPEMBAYARAN],KPR[TANGGAL],C12)</f>
        <v>0</v>
      </c>
      <c r="BK12" s="660"/>
      <c r="BL12" s="659">
        <f>SUMIFS(ARG[BRUTO],ARG[TANGGAL],C12)</f>
        <v>0</v>
      </c>
      <c r="BM12" s="659">
        <f>SUMIFS(ARG[TARRA],ARG[TANGGAL],C12)</f>
        <v>0</v>
      </c>
      <c r="BN12" s="659">
        <f>SUMIFS(ARG[NETTO1],ARG[TANGGAL],C12)</f>
        <v>0</v>
      </c>
      <c r="BO12" s="659">
        <f>SUMIFS(ARG[POTKARUNG],ARG[TANGGAL],C12)</f>
        <v>0</v>
      </c>
      <c r="BP12" s="659">
        <f>SUMIFS(ARG[TPOT1],ARG[TANGGAL],C12)</f>
        <v>0</v>
      </c>
      <c r="BQ12" s="659">
        <f>SUMIFS(ARG[NETTO2],ARG[TANGGAL],C12)</f>
        <v>0</v>
      </c>
      <c r="BR12" s="659">
        <f>SUMIFS(ARG[MC],ARG[TANGGAL],C12)</f>
        <v>0</v>
      </c>
      <c r="BS12" s="659">
        <f>SUMIFS(ARG[DC],ARG[TANGGAL],C12)</f>
        <v>0</v>
      </c>
      <c r="BT12" s="659">
        <f>SUMIFS(ARG[DC2],ARG[TANGGAL],C12)</f>
        <v>0</v>
      </c>
      <c r="BU12" s="659">
        <f>SUMIFS(ARG[NETTO3],ARG[TANGGAL],C12)</f>
        <v>0</v>
      </c>
      <c r="BV12" s="660">
        <f t="shared" si="31"/>
        <v>0</v>
      </c>
      <c r="BW12" s="659">
        <f>SUMIFS(ARG[TBAYAR1],ARG[TANGGAL],C12)</f>
        <v>0</v>
      </c>
      <c r="BX12" s="663">
        <f t="shared" si="32"/>
        <v>0</v>
      </c>
      <c r="BY12" s="663">
        <f t="shared" si="33"/>
        <v>0</v>
      </c>
      <c r="BZ12" s="659">
        <f>SUMIFS(ARG[TBAYAR2],ARG[TANGGAL],C12)</f>
        <v>0</v>
      </c>
      <c r="CA12" s="659">
        <f>SUMIFS(ARG[POTPPH],ARG[TANGGAL],C12)</f>
        <v>0</v>
      </c>
      <c r="CB12" s="659">
        <f>SUMIFS(ARG[TPEMBAYARAN],ARG[TANGGAL],C12)</f>
        <v>0</v>
      </c>
      <c r="CC12" s="616"/>
      <c r="CD12" s="575"/>
      <c r="CE12" s="348"/>
      <c r="CF12" s="348"/>
      <c r="CG12" s="348"/>
      <c r="CH12" s="348"/>
      <c r="CI12" s="348"/>
      <c r="CJ12" s="348"/>
      <c r="CK12" s="348"/>
      <c r="CL12" s="348"/>
      <c r="CM12" s="348"/>
      <c r="CN12" s="348"/>
      <c r="CO12" s="348"/>
      <c r="CP12" s="348"/>
      <c r="CQ12" s="576"/>
      <c r="CR12" s="352">
        <v>0</v>
      </c>
      <c r="CS12" s="352">
        <v>0</v>
      </c>
      <c r="CT12" s="352">
        <v>0</v>
      </c>
      <c r="CU12" s="352">
        <v>0</v>
      </c>
      <c r="CV12" s="352">
        <v>0</v>
      </c>
      <c r="CW12" s="352">
        <v>0</v>
      </c>
      <c r="CX12" s="352">
        <v>0</v>
      </c>
      <c r="CY12" s="352">
        <v>0</v>
      </c>
      <c r="CZ12" s="352">
        <v>0</v>
      </c>
      <c r="DA12" s="352">
        <v>0</v>
      </c>
      <c r="DB12" s="352">
        <v>0</v>
      </c>
      <c r="DC12" s="352">
        <v>0</v>
      </c>
      <c r="DD12" s="352">
        <v>0</v>
      </c>
      <c r="DE12" s="593"/>
      <c r="DF12" s="576"/>
      <c r="DG12" s="348">
        <v>333050</v>
      </c>
      <c r="DH12" s="348">
        <v>109520</v>
      </c>
      <c r="DI12" s="348">
        <v>223530</v>
      </c>
      <c r="DJ12" s="348">
        <v>0</v>
      </c>
      <c r="DK12" s="348">
        <v>10</v>
      </c>
      <c r="DL12" s="348">
        <v>223520</v>
      </c>
      <c r="DM12" s="348">
        <v>580.35701503221185</v>
      </c>
      <c r="DN12" s="348">
        <v>129721400</v>
      </c>
      <c r="DO12" s="348">
        <v>0</v>
      </c>
      <c r="DP12" s="348">
        <v>0</v>
      </c>
      <c r="DQ12" s="348">
        <v>129721400</v>
      </c>
      <c r="DR12" s="576"/>
      <c r="DS12" s="348"/>
      <c r="DT12" s="348"/>
      <c r="DU12" s="348"/>
      <c r="DV12" s="348"/>
      <c r="DW12" s="348"/>
      <c r="DX12" s="348"/>
      <c r="DY12" s="348"/>
      <c r="DZ12" s="348"/>
      <c r="EA12" s="576"/>
      <c r="EB12" s="348"/>
      <c r="EC12" s="348"/>
      <c r="ED12" s="348"/>
      <c r="EE12" s="348"/>
      <c r="EF12" s="348"/>
      <c r="EG12" s="348"/>
      <c r="EH12" s="348"/>
      <c r="EI12" s="348"/>
      <c r="EJ12" s="348">
        <v>0</v>
      </c>
      <c r="EK12" s="348">
        <v>0</v>
      </c>
      <c r="EL12" s="348">
        <v>0</v>
      </c>
      <c r="EM12" s="348">
        <v>0</v>
      </c>
      <c r="EN12" s="348">
        <v>0</v>
      </c>
      <c r="EO12" s="348">
        <v>0</v>
      </c>
      <c r="EP12" s="348">
        <v>0</v>
      </c>
      <c r="EQ12" s="348">
        <v>0</v>
      </c>
      <c r="ER12" s="348">
        <v>0</v>
      </c>
      <c r="ES12" s="348">
        <v>0</v>
      </c>
      <c r="ET12" s="348">
        <v>0</v>
      </c>
      <c r="EU12" s="348">
        <v>0</v>
      </c>
      <c r="EV12" s="348">
        <v>0</v>
      </c>
      <c r="EW12" s="348">
        <v>0</v>
      </c>
      <c r="EX12" s="348">
        <v>0</v>
      </c>
      <c r="EY12" s="348">
        <v>0</v>
      </c>
      <c r="EZ12" s="348">
        <v>0</v>
      </c>
      <c r="FA12" s="348">
        <v>0</v>
      </c>
      <c r="FB12" s="348">
        <v>0</v>
      </c>
      <c r="FC12" s="348">
        <v>0</v>
      </c>
      <c r="FD12" s="348">
        <v>0</v>
      </c>
      <c r="FE12" s="348">
        <v>0</v>
      </c>
      <c r="FF12" s="348">
        <v>0</v>
      </c>
      <c r="FG12" s="348">
        <v>0</v>
      </c>
      <c r="FH12" s="348">
        <v>0</v>
      </c>
      <c r="FI12" s="348">
        <v>0</v>
      </c>
      <c r="FJ12" s="348">
        <v>0</v>
      </c>
      <c r="FK12" s="348">
        <v>0</v>
      </c>
      <c r="FL12" s="348">
        <v>0</v>
      </c>
      <c r="FM12" s="348">
        <v>0</v>
      </c>
      <c r="FN12" s="348">
        <v>0</v>
      </c>
      <c r="FO12" s="348">
        <v>0</v>
      </c>
      <c r="FP12" s="348">
        <v>0</v>
      </c>
      <c r="FQ12" s="348">
        <v>0</v>
      </c>
      <c r="FR12" s="348">
        <v>0</v>
      </c>
      <c r="FS12" s="348">
        <v>0</v>
      </c>
      <c r="FT12" s="347">
        <v>610</v>
      </c>
      <c r="FU12" s="347">
        <v>3210</v>
      </c>
      <c r="FV12" s="353">
        <v>0</v>
      </c>
      <c r="FW12" s="353">
        <v>0</v>
      </c>
      <c r="FX12" s="353">
        <v>7880</v>
      </c>
      <c r="FY12" s="353">
        <v>0</v>
      </c>
      <c r="FZ12" s="353">
        <v>0</v>
      </c>
      <c r="GA12" s="353">
        <v>0</v>
      </c>
      <c r="GB12" s="353">
        <v>0</v>
      </c>
      <c r="GC12" s="348">
        <v>23780</v>
      </c>
      <c r="GD12" s="348">
        <v>42930</v>
      </c>
      <c r="GE12" s="348"/>
      <c r="GF12" s="348">
        <v>62670</v>
      </c>
      <c r="GG12" s="348"/>
      <c r="GH12" s="353">
        <v>19500</v>
      </c>
      <c r="GI12" s="354">
        <v>0</v>
      </c>
      <c r="GJ12" s="354">
        <v>0</v>
      </c>
      <c r="GK12" s="355"/>
      <c r="GL12" s="353">
        <v>0</v>
      </c>
    </row>
    <row r="13" spans="1:194" s="349" customFormat="1" ht="30" customHeight="1">
      <c r="B13" s="557">
        <f t="shared" si="34"/>
        <v>5</v>
      </c>
      <c r="C13" s="645">
        <f t="shared" si="0"/>
        <v>43895</v>
      </c>
      <c r="D13" s="607"/>
      <c r="E13" s="659">
        <f>SUMIFS(KB[BRUTO],KB[TANGGAL],C13,KB[TYPE],"A")</f>
        <v>111410</v>
      </c>
      <c r="F13" s="660">
        <f>SUMIFS(KB[TARRA],KB[TANGGAL],C13,KB[TYPE],"A")</f>
        <v>51230</v>
      </c>
      <c r="G13" s="660">
        <f>SUMIFS(KB[NETTO],KB[TANGGAL],C13,KB[TYPE],"A")</f>
        <v>60180</v>
      </c>
      <c r="H13" s="660">
        <f t="shared" si="16"/>
        <v>5.5041542040545037</v>
      </c>
      <c r="I13" s="660">
        <f>SUMIFS(KB[TPOT],KB[TANGGAL],C13,KB[TYPE],"A")</f>
        <v>3312.4</v>
      </c>
      <c r="J13" s="660">
        <f>SUMIFS(KB[NETTO2],KB[TANGGAL],C13,KB[TYPE],"A")</f>
        <v>56867.6</v>
      </c>
      <c r="K13" s="660">
        <f t="shared" si="17"/>
        <v>2905.531796664533</v>
      </c>
      <c r="L13" s="660">
        <f>SUMIFS(KB[TBAYAR],KB[TANGGAL],C13,KB[TYPE],"A")</f>
        <v>165230620</v>
      </c>
      <c r="M13" s="660">
        <f t="shared" si="18"/>
        <v>14.6</v>
      </c>
      <c r="N13" s="660">
        <f t="shared" si="19"/>
        <v>2920.1298102961969</v>
      </c>
      <c r="O13" s="660">
        <f>SUMIFS(KB[TBAYAR2],KB[TANGGAL],C13,KB[TYPE],"A")</f>
        <v>166060774</v>
      </c>
      <c r="P13" s="660">
        <f>SUMIFS(KB[POTPPH],KB[TANGGAL],C13,KB[TYPE],"A")</f>
        <v>830303</v>
      </c>
      <c r="Q13" s="660">
        <f>SUMIFS(KB[TPEMBAYARAN],KB[TANGGAL],C13,KB[TYPE],"A")</f>
        <v>165230471</v>
      </c>
      <c r="R13" s="660"/>
      <c r="S13" s="659">
        <f>SUMIFS(KB[BRUTO],KB[TANGGAL],C13,KB[TYPE],"B")</f>
        <v>0</v>
      </c>
      <c r="T13" s="660">
        <f>SUMIFS(KB[TARRA],KB[TANGGAL],C13,KB[TYPE],"B")</f>
        <v>0</v>
      </c>
      <c r="U13" s="660">
        <f>SUMIFS(KB[NETTO],KB[TANGGAL],C13,KB[TYPE],"B")</f>
        <v>0</v>
      </c>
      <c r="V13" s="660">
        <f t="shared" si="20"/>
        <v>0</v>
      </c>
      <c r="W13" s="660">
        <f>SUMIFS(KB[TPOT],KB[TANGGAL],C13,KB[TYPE],"B")</f>
        <v>0</v>
      </c>
      <c r="X13" s="660">
        <f>SUMIFS(KB[NETTO2],KB[TANGGAL],C13,KB[TYPE],"B")</f>
        <v>0</v>
      </c>
      <c r="Y13" s="660">
        <f t="shared" si="21"/>
        <v>0</v>
      </c>
      <c r="Z13" s="660">
        <f>SUMIFS(KB[TBAYAR],KB[TANGGAL],C13,KB[TYPE],"B")</f>
        <v>0</v>
      </c>
      <c r="AA13" s="660">
        <f t="shared" si="22"/>
        <v>0</v>
      </c>
      <c r="AB13" s="660">
        <f t="shared" si="23"/>
        <v>0</v>
      </c>
      <c r="AC13" s="660">
        <f>SUMIFS(KB[TBAYAR2],KB[TANGGAL],C13,KB[TYPE],"B")</f>
        <v>0</v>
      </c>
      <c r="AD13" s="660">
        <f>SUMIFS(KB[POTPPH],KB[TANGGAL],C13,KB[TYPE],"B")</f>
        <v>0</v>
      </c>
      <c r="AE13" s="660">
        <f>SUMIFS(KB[TPEMBAYARAN],KB[TANGGAL],C13,KB[TYPE],"B")</f>
        <v>0</v>
      </c>
      <c r="AF13" s="660"/>
      <c r="AG13" s="659">
        <f>SUMIFS(KBS[BRUTO],KBS[TANGGAL],C13)</f>
        <v>0</v>
      </c>
      <c r="AH13" s="660">
        <f>SUMIFS(KBS[TARRA],KBS[TANGGAL],C13)</f>
        <v>0</v>
      </c>
      <c r="AI13" s="660">
        <f>SUMIFS(KBS[NETTO],KBS[TANGGAL],C13)</f>
        <v>0</v>
      </c>
      <c r="AJ13" s="660">
        <f t="shared" si="24"/>
        <v>0</v>
      </c>
      <c r="AK13" s="660">
        <f>SUMIFS(KBS[TPOT],KBS[TANGGAL],C13)</f>
        <v>0</v>
      </c>
      <c r="AL13" s="660">
        <f>SUMIFS(KBS[NETTO2],KBS[TANGGAL],C13)</f>
        <v>0</v>
      </c>
      <c r="AM13" s="660">
        <f t="shared" si="25"/>
        <v>0</v>
      </c>
      <c r="AN13" s="660">
        <f>SUMIFS(KBS[TBAYAR],KBS[TANGGAL],C13)</f>
        <v>0</v>
      </c>
      <c r="AO13" s="660">
        <f t="shared" si="26"/>
        <v>0</v>
      </c>
      <c r="AP13" s="660">
        <f t="shared" si="27"/>
        <v>0</v>
      </c>
      <c r="AQ13" s="660">
        <f>SUMIFS(KBS[TBAYAR2],KBS[TANGGAL],C13)</f>
        <v>0</v>
      </c>
      <c r="AR13" s="660">
        <f>SUMIFS(KBS[POTPPH],KBS[TANGGAL],C13)</f>
        <v>0</v>
      </c>
      <c r="AS13" s="660">
        <f>SUMIFS(KBS[TPEMBAYARAN],KBS[TANGGAL],C13)</f>
        <v>0</v>
      </c>
      <c r="AT13" s="660"/>
      <c r="AU13" s="659">
        <f>SUMIFS(KPR[BRUTO],KPR[TANGGAL],C13)</f>
        <v>0</v>
      </c>
      <c r="AV13" s="660">
        <f>SUMIFS(KPR[TARRA],KPR[TANGGAL],C13)</f>
        <v>0</v>
      </c>
      <c r="AW13" s="660">
        <f>SUMIFS(KPR[NETTO],KPR[TANGGAL],C13)</f>
        <v>0</v>
      </c>
      <c r="AX13" s="662">
        <f>SUMIFS(KPR[POTKRG],KPR[TANGGAL],C13)</f>
        <v>0</v>
      </c>
      <c r="AY13" s="660">
        <f>SUMIFS(KPR[TPOT1],KPR[TANGGAL],C13)</f>
        <v>0</v>
      </c>
      <c r="AZ13" s="662">
        <f>SUMIFS(KPR[POTAIR],KPR[TANGGAL],C13)</f>
        <v>0</v>
      </c>
      <c r="BA13" s="660">
        <f>SUMIFS(KPR[TPOT2],KPR[TANGGAL],C13)</f>
        <v>0</v>
      </c>
      <c r="BB13" s="660">
        <f>SUMIFS(KPR[NETTOA],KPR[TANGGAL],C13)</f>
        <v>0</v>
      </c>
      <c r="BC13" s="660">
        <f>SUMIFS(KPR[NETTOB],KPR[TANGGAL],C13)</f>
        <v>0</v>
      </c>
      <c r="BD13" s="660">
        <f t="shared" si="28"/>
        <v>0</v>
      </c>
      <c r="BE13" s="660">
        <f>SUMIFS(KPR[TOTAL],KPR[TANGGAL],C13)</f>
        <v>0</v>
      </c>
      <c r="BF13" s="662">
        <f t="shared" si="29"/>
        <v>0</v>
      </c>
      <c r="BG13" s="662">
        <f t="shared" si="30"/>
        <v>0</v>
      </c>
      <c r="BH13" s="660">
        <f>SUMIFS(KPR[TBAYAR2],KPR[TANGGAL],C13)</f>
        <v>0</v>
      </c>
      <c r="BI13" s="660">
        <f>SUMIFS(KPR[POTPPH],KPR[TANGGAL],C13)</f>
        <v>0</v>
      </c>
      <c r="BJ13" s="660">
        <f>SUMIFS(KPR[TPEMBAYARAN],KPR[TANGGAL],C13)</f>
        <v>0</v>
      </c>
      <c r="BK13" s="660"/>
      <c r="BL13" s="659">
        <f>SUMIFS(ARG[BRUTO],ARG[TANGGAL],C13)</f>
        <v>0</v>
      </c>
      <c r="BM13" s="659">
        <f>SUMIFS(ARG[TARRA],ARG[TANGGAL],C13)</f>
        <v>0</v>
      </c>
      <c r="BN13" s="659">
        <f>SUMIFS(ARG[NETTO1],ARG[TANGGAL],C13)</f>
        <v>0</v>
      </c>
      <c r="BO13" s="659">
        <f>SUMIFS(ARG[POTKARUNG],ARG[TANGGAL],C13)</f>
        <v>0</v>
      </c>
      <c r="BP13" s="659">
        <f>SUMIFS(ARG[TPOT1],ARG[TANGGAL],C13)</f>
        <v>0</v>
      </c>
      <c r="BQ13" s="659">
        <f>SUMIFS(ARG[NETTO2],ARG[TANGGAL],C13)</f>
        <v>0</v>
      </c>
      <c r="BR13" s="659">
        <f>SUMIFS(ARG[MC],ARG[TANGGAL],C13)</f>
        <v>0</v>
      </c>
      <c r="BS13" s="659">
        <f>SUMIFS(ARG[DC],ARG[TANGGAL],C13)</f>
        <v>0</v>
      </c>
      <c r="BT13" s="659">
        <f>SUMIFS(ARG[DC2],ARG[TANGGAL],C13)</f>
        <v>0</v>
      </c>
      <c r="BU13" s="659">
        <f>SUMIFS(ARG[NETTO3],ARG[TANGGAL],C13)</f>
        <v>0</v>
      </c>
      <c r="BV13" s="660">
        <f t="shared" si="31"/>
        <v>0</v>
      </c>
      <c r="BW13" s="659">
        <f>SUMIFS(ARG[TBAYAR1],ARG[TANGGAL],C13)</f>
        <v>0</v>
      </c>
      <c r="BX13" s="663">
        <f t="shared" si="32"/>
        <v>0</v>
      </c>
      <c r="BY13" s="663">
        <f t="shared" si="33"/>
        <v>0</v>
      </c>
      <c r="BZ13" s="659">
        <f>SUMIFS(ARG[TBAYAR2],ARG[TANGGAL],C13)</f>
        <v>0</v>
      </c>
      <c r="CA13" s="659">
        <f>SUMIFS(ARG[POTPPH],ARG[TANGGAL],C13)</f>
        <v>0</v>
      </c>
      <c r="CB13" s="659">
        <f>SUMIFS(ARG[TPEMBAYARAN],ARG[TANGGAL],C13)</f>
        <v>0</v>
      </c>
      <c r="CC13" s="616"/>
      <c r="CD13" s="575"/>
      <c r="CE13" s="348"/>
      <c r="CF13" s="348"/>
      <c r="CG13" s="348"/>
      <c r="CH13" s="348"/>
      <c r="CI13" s="348"/>
      <c r="CJ13" s="348"/>
      <c r="CK13" s="348"/>
      <c r="CL13" s="348"/>
      <c r="CM13" s="348"/>
      <c r="CN13" s="348"/>
      <c r="CO13" s="348"/>
      <c r="CP13" s="348"/>
      <c r="CQ13" s="576"/>
      <c r="CR13" s="348">
        <v>0</v>
      </c>
      <c r="CS13" s="348">
        <v>0</v>
      </c>
      <c r="CT13" s="348">
        <v>0</v>
      </c>
      <c r="CU13" s="348">
        <v>0</v>
      </c>
      <c r="CV13" s="348">
        <v>0</v>
      </c>
      <c r="CW13" s="348">
        <v>0</v>
      </c>
      <c r="CX13" s="348">
        <v>0</v>
      </c>
      <c r="CY13" s="348">
        <v>0</v>
      </c>
      <c r="CZ13" s="348">
        <v>0</v>
      </c>
      <c r="DA13" s="348">
        <v>0</v>
      </c>
      <c r="DB13" s="348">
        <v>0</v>
      </c>
      <c r="DC13" s="348">
        <v>0</v>
      </c>
      <c r="DD13" s="348">
        <v>0</v>
      </c>
      <c r="DE13" s="576"/>
      <c r="DF13" s="576"/>
      <c r="DG13" s="348">
        <v>32920</v>
      </c>
      <c r="DH13" s="348">
        <v>12170</v>
      </c>
      <c r="DI13" s="348">
        <v>20750</v>
      </c>
      <c r="DJ13" s="348">
        <v>0</v>
      </c>
      <c r="DK13" s="348">
        <v>0</v>
      </c>
      <c r="DL13" s="348">
        <v>20750</v>
      </c>
      <c r="DM13" s="348">
        <v>560</v>
      </c>
      <c r="DN13" s="348">
        <v>11620000</v>
      </c>
      <c r="DO13" s="348">
        <v>0</v>
      </c>
      <c r="DP13" s="348">
        <v>0</v>
      </c>
      <c r="DQ13" s="348">
        <v>11620000</v>
      </c>
      <c r="DR13" s="576"/>
      <c r="DS13" s="348"/>
      <c r="DT13" s="348"/>
      <c r="DU13" s="348"/>
      <c r="DV13" s="348"/>
      <c r="DW13" s="348"/>
      <c r="DX13" s="348"/>
      <c r="DY13" s="348"/>
      <c r="DZ13" s="348"/>
      <c r="EA13" s="576"/>
      <c r="EB13" s="348"/>
      <c r="EC13" s="348"/>
      <c r="ED13" s="348"/>
      <c r="EE13" s="348"/>
      <c r="EF13" s="348"/>
      <c r="EG13" s="348"/>
      <c r="EH13" s="348"/>
      <c r="EI13" s="348"/>
      <c r="EJ13" s="348">
        <v>0</v>
      </c>
      <c r="EK13" s="348">
        <v>0</v>
      </c>
      <c r="EL13" s="348">
        <v>0</v>
      </c>
      <c r="EM13" s="348">
        <v>0</v>
      </c>
      <c r="EN13" s="348">
        <v>0</v>
      </c>
      <c r="EO13" s="348">
        <v>0</v>
      </c>
      <c r="EP13" s="348">
        <v>0</v>
      </c>
      <c r="EQ13" s="348">
        <v>0</v>
      </c>
      <c r="ER13" s="348">
        <v>0</v>
      </c>
      <c r="ES13" s="348">
        <v>0</v>
      </c>
      <c r="ET13" s="348">
        <v>0</v>
      </c>
      <c r="EU13" s="348">
        <v>0</v>
      </c>
      <c r="EV13" s="348">
        <v>0</v>
      </c>
      <c r="EW13" s="348">
        <v>0</v>
      </c>
      <c r="EX13" s="348">
        <v>0</v>
      </c>
      <c r="EY13" s="348">
        <v>0</v>
      </c>
      <c r="EZ13" s="348">
        <v>0</v>
      </c>
      <c r="FA13" s="348">
        <v>0</v>
      </c>
      <c r="FB13" s="348">
        <v>0</v>
      </c>
      <c r="FC13" s="348">
        <v>0</v>
      </c>
      <c r="FD13" s="348">
        <v>0</v>
      </c>
      <c r="FE13" s="348">
        <v>0</v>
      </c>
      <c r="FF13" s="348">
        <v>0</v>
      </c>
      <c r="FG13" s="348">
        <v>0</v>
      </c>
      <c r="FH13" s="348">
        <v>0</v>
      </c>
      <c r="FI13" s="348">
        <v>0</v>
      </c>
      <c r="FJ13" s="348">
        <v>0</v>
      </c>
      <c r="FK13" s="348">
        <v>0</v>
      </c>
      <c r="FL13" s="348">
        <v>0</v>
      </c>
      <c r="FM13" s="348">
        <v>0</v>
      </c>
      <c r="FN13" s="348">
        <v>0</v>
      </c>
      <c r="FO13" s="348">
        <v>0</v>
      </c>
      <c r="FP13" s="348">
        <v>0</v>
      </c>
      <c r="FQ13" s="348">
        <v>0</v>
      </c>
      <c r="FR13" s="348">
        <v>0</v>
      </c>
      <c r="FS13" s="348">
        <v>1770</v>
      </c>
      <c r="FT13" s="347">
        <v>0</v>
      </c>
      <c r="FU13" s="347">
        <v>2980</v>
      </c>
      <c r="FV13" s="353">
        <v>0</v>
      </c>
      <c r="FW13" s="353">
        <v>0</v>
      </c>
      <c r="FX13" s="353">
        <v>0</v>
      </c>
      <c r="FY13" s="353">
        <v>0</v>
      </c>
      <c r="FZ13" s="353">
        <v>11390</v>
      </c>
      <c r="GA13" s="353">
        <v>68050</v>
      </c>
      <c r="GB13" s="353">
        <v>0</v>
      </c>
      <c r="GC13" s="348">
        <v>24070</v>
      </c>
      <c r="GD13" s="348">
        <v>75080</v>
      </c>
      <c r="GE13" s="348"/>
      <c r="GF13" s="348">
        <v>71690</v>
      </c>
      <c r="GG13" s="348"/>
      <c r="GH13" s="353">
        <v>0</v>
      </c>
      <c r="GI13" s="354">
        <v>0</v>
      </c>
      <c r="GJ13" s="354">
        <v>0</v>
      </c>
      <c r="GK13" s="355"/>
      <c r="GL13" s="353">
        <v>0</v>
      </c>
    </row>
    <row r="14" spans="1:194" s="349" customFormat="1" ht="30" customHeight="1">
      <c r="B14" s="557">
        <f t="shared" si="34"/>
        <v>6</v>
      </c>
      <c r="C14" s="645">
        <f t="shared" si="0"/>
        <v>43896</v>
      </c>
      <c r="D14" s="607"/>
      <c r="E14" s="659">
        <f>SUMIFS(KB[BRUTO],KB[TANGGAL],C14,KB[TYPE],"A")</f>
        <v>170070</v>
      </c>
      <c r="F14" s="660">
        <f>SUMIFS(KB[TARRA],KB[TANGGAL],C14,KB[TYPE],"A")</f>
        <v>75630</v>
      </c>
      <c r="G14" s="660">
        <f>SUMIFS(KB[NETTO],KB[TANGGAL],C14,KB[TYPE],"A")</f>
        <v>94440</v>
      </c>
      <c r="H14" s="660">
        <f t="shared" si="16"/>
        <v>5.4981999152901313</v>
      </c>
      <c r="I14" s="660">
        <f>SUMIFS(KB[TPOT],KB[TANGGAL],C14,KB[TYPE],"A")</f>
        <v>5192.5</v>
      </c>
      <c r="J14" s="660">
        <f>SUMIFS(KB[NETTO2],KB[TANGGAL],C14,KB[TYPE],"A")</f>
        <v>89247.499999999985</v>
      </c>
      <c r="K14" s="660">
        <f t="shared" si="17"/>
        <v>3003.7504692008183</v>
      </c>
      <c r="L14" s="660">
        <f>SUMIFS(KB[TBAYAR],KB[TANGGAL],C14,KB[TYPE],"A")</f>
        <v>268077220</v>
      </c>
      <c r="M14" s="660">
        <f t="shared" si="18"/>
        <v>15.09</v>
      </c>
      <c r="N14" s="660">
        <f t="shared" si="19"/>
        <v>3018.8427799098017</v>
      </c>
      <c r="O14" s="660">
        <f>SUMIFS(KB[TBAYAR2],KB[TANGGAL],C14,KB[TYPE],"A")</f>
        <v>269424171</v>
      </c>
      <c r="P14" s="660">
        <f>SUMIFS(KB[POTPPH],KB[TANGGAL],C14,KB[TYPE],"A")</f>
        <v>1347123</v>
      </c>
      <c r="Q14" s="660">
        <f>SUMIFS(KB[TPEMBAYARAN],KB[TANGGAL],C14,KB[TYPE],"A")</f>
        <v>268077048</v>
      </c>
      <c r="R14" s="660"/>
      <c r="S14" s="659">
        <f>SUMIFS(KB[BRUTO],KB[TANGGAL],C14,KB[TYPE],"B")</f>
        <v>0</v>
      </c>
      <c r="T14" s="660">
        <f>SUMIFS(KB[TARRA],KB[TANGGAL],C14,KB[TYPE],"B")</f>
        <v>0</v>
      </c>
      <c r="U14" s="660">
        <f>SUMIFS(KB[NETTO],KB[TANGGAL],C14,KB[TYPE],"B")</f>
        <v>0</v>
      </c>
      <c r="V14" s="660">
        <f t="shared" si="20"/>
        <v>0</v>
      </c>
      <c r="W14" s="660">
        <f>SUMIFS(KB[TPOT],KB[TANGGAL],C14,KB[TYPE],"B")</f>
        <v>0</v>
      </c>
      <c r="X14" s="660">
        <f>SUMIFS(KB[NETTO2],KB[TANGGAL],C14,KB[TYPE],"B")</f>
        <v>0</v>
      </c>
      <c r="Y14" s="660">
        <f t="shared" si="21"/>
        <v>0</v>
      </c>
      <c r="Z14" s="660">
        <f>SUMIFS(KB[TBAYAR],KB[TANGGAL],C14,KB[TYPE],"B")</f>
        <v>0</v>
      </c>
      <c r="AA14" s="660">
        <f t="shared" si="22"/>
        <v>0</v>
      </c>
      <c r="AB14" s="660">
        <f t="shared" si="23"/>
        <v>0</v>
      </c>
      <c r="AC14" s="660">
        <f>SUMIFS(KB[TBAYAR2],KB[TANGGAL],C14,KB[TYPE],"B")</f>
        <v>0</v>
      </c>
      <c r="AD14" s="660">
        <f>SUMIFS(KB[POTPPH],KB[TANGGAL],C14,KB[TYPE],"B")</f>
        <v>0</v>
      </c>
      <c r="AE14" s="660">
        <f>SUMIFS(KB[TPEMBAYARAN],KB[TANGGAL],C14,KB[TYPE],"B")</f>
        <v>0</v>
      </c>
      <c r="AF14" s="660"/>
      <c r="AG14" s="659">
        <f>SUMIFS(KBS[BRUTO],KBS[TANGGAL],C14)</f>
        <v>0</v>
      </c>
      <c r="AH14" s="660">
        <f>SUMIFS(KBS[TARRA],KBS[TANGGAL],C14)</f>
        <v>0</v>
      </c>
      <c r="AI14" s="660">
        <f>SUMIFS(KBS[NETTO],KBS[TANGGAL],C14)</f>
        <v>0</v>
      </c>
      <c r="AJ14" s="660">
        <f t="shared" si="24"/>
        <v>0</v>
      </c>
      <c r="AK14" s="660">
        <f>SUMIFS(KBS[TPOT],KBS[TANGGAL],C14)</f>
        <v>0</v>
      </c>
      <c r="AL14" s="660">
        <f>SUMIFS(KBS[NETTO2],KBS[TANGGAL],C14)</f>
        <v>0</v>
      </c>
      <c r="AM14" s="660">
        <f t="shared" si="25"/>
        <v>0</v>
      </c>
      <c r="AN14" s="660">
        <f>SUMIFS(KBS[TBAYAR],KBS[TANGGAL],C14)</f>
        <v>0</v>
      </c>
      <c r="AO14" s="660">
        <f t="shared" si="26"/>
        <v>0</v>
      </c>
      <c r="AP14" s="660">
        <f t="shared" si="27"/>
        <v>0</v>
      </c>
      <c r="AQ14" s="660">
        <f>SUMIFS(KBS[TBAYAR2],KBS[TANGGAL],C14)</f>
        <v>0</v>
      </c>
      <c r="AR14" s="660">
        <f>SUMIFS(KBS[POTPPH],KBS[TANGGAL],C14)</f>
        <v>0</v>
      </c>
      <c r="AS14" s="660">
        <f>SUMIFS(KBS[TPEMBAYARAN],KBS[TANGGAL],C14)</f>
        <v>0</v>
      </c>
      <c r="AT14" s="660"/>
      <c r="AU14" s="659">
        <f>SUMIFS(KPR[BRUTO],KPR[TANGGAL],C14)</f>
        <v>0</v>
      </c>
      <c r="AV14" s="660">
        <f>SUMIFS(KPR[TARRA],KPR[TANGGAL],C14)</f>
        <v>0</v>
      </c>
      <c r="AW14" s="660">
        <f>SUMIFS(KPR[NETTO],KPR[TANGGAL],C14)</f>
        <v>0</v>
      </c>
      <c r="AX14" s="662">
        <f>SUMIFS(KPR[POTKRG],KPR[TANGGAL],C14)</f>
        <v>0</v>
      </c>
      <c r="AY14" s="660">
        <f>SUMIFS(KPR[TPOT1],KPR[TANGGAL],C14)</f>
        <v>0</v>
      </c>
      <c r="AZ14" s="662">
        <f>SUMIFS(KPR[POTAIR],KPR[TANGGAL],C14)</f>
        <v>0</v>
      </c>
      <c r="BA14" s="660">
        <f>SUMIFS(KPR[TPOT2],KPR[TANGGAL],C14)</f>
        <v>0</v>
      </c>
      <c r="BB14" s="660">
        <f>SUMIFS(KPR[NETTOA],KPR[TANGGAL],C14)</f>
        <v>0</v>
      </c>
      <c r="BC14" s="660">
        <f>SUMIFS(KPR[NETTOB],KPR[TANGGAL],C14)</f>
        <v>0</v>
      </c>
      <c r="BD14" s="660">
        <f t="shared" si="28"/>
        <v>0</v>
      </c>
      <c r="BE14" s="660">
        <f>SUMIFS(KPR[TOTAL],KPR[TANGGAL],C14)</f>
        <v>0</v>
      </c>
      <c r="BF14" s="662">
        <f t="shared" si="29"/>
        <v>0</v>
      </c>
      <c r="BG14" s="662">
        <f t="shared" si="30"/>
        <v>0</v>
      </c>
      <c r="BH14" s="660">
        <f>SUMIFS(KPR[TBAYAR2],KPR[TANGGAL],C14)</f>
        <v>0</v>
      </c>
      <c r="BI14" s="660">
        <f>SUMIFS(KPR[POTPPH],KPR[TANGGAL],C14)</f>
        <v>0</v>
      </c>
      <c r="BJ14" s="660">
        <f>SUMIFS(KPR[TPEMBAYARAN],KPR[TANGGAL],C14)</f>
        <v>0</v>
      </c>
      <c r="BK14" s="660"/>
      <c r="BL14" s="659">
        <f>SUMIFS(ARG[BRUTO],ARG[TANGGAL],C14)</f>
        <v>0</v>
      </c>
      <c r="BM14" s="659">
        <f>SUMIFS(ARG[TARRA],ARG[TANGGAL],C14)</f>
        <v>0</v>
      </c>
      <c r="BN14" s="659">
        <f>SUMIFS(ARG[NETTO1],ARG[TANGGAL],C14)</f>
        <v>0</v>
      </c>
      <c r="BO14" s="659">
        <f>SUMIFS(ARG[POTKARUNG],ARG[TANGGAL],C14)</f>
        <v>0</v>
      </c>
      <c r="BP14" s="659">
        <f>SUMIFS(ARG[TPOT1],ARG[TANGGAL],C14)</f>
        <v>0</v>
      </c>
      <c r="BQ14" s="659">
        <f>SUMIFS(ARG[NETTO2],ARG[TANGGAL],C14)</f>
        <v>0</v>
      </c>
      <c r="BR14" s="659">
        <f>SUMIFS(ARG[MC],ARG[TANGGAL],C14)</f>
        <v>0</v>
      </c>
      <c r="BS14" s="659">
        <f>SUMIFS(ARG[DC],ARG[TANGGAL],C14)</f>
        <v>0</v>
      </c>
      <c r="BT14" s="659">
        <f>SUMIFS(ARG[DC2],ARG[TANGGAL],C14)</f>
        <v>0</v>
      </c>
      <c r="BU14" s="659">
        <f>SUMIFS(ARG[NETTO3],ARG[TANGGAL],C14)</f>
        <v>0</v>
      </c>
      <c r="BV14" s="660">
        <f t="shared" si="31"/>
        <v>0</v>
      </c>
      <c r="BW14" s="659">
        <f>SUMIFS(ARG[TBAYAR1],ARG[TANGGAL],C14)</f>
        <v>0</v>
      </c>
      <c r="BX14" s="663">
        <f t="shared" si="32"/>
        <v>0</v>
      </c>
      <c r="BY14" s="663">
        <f t="shared" si="33"/>
        <v>0</v>
      </c>
      <c r="BZ14" s="659">
        <f>SUMIFS(ARG[TBAYAR2],ARG[TANGGAL],C14)</f>
        <v>0</v>
      </c>
      <c r="CA14" s="659">
        <f>SUMIFS(ARG[POTPPH],ARG[TANGGAL],C14)</f>
        <v>0</v>
      </c>
      <c r="CB14" s="659">
        <f>SUMIFS(ARG[TPEMBAYARAN],ARG[TANGGAL],C14)</f>
        <v>0</v>
      </c>
      <c r="CC14" s="616"/>
      <c r="CD14" s="575">
        <v>0</v>
      </c>
      <c r="CE14" s="348">
        <v>0</v>
      </c>
      <c r="CF14" s="348">
        <v>0</v>
      </c>
      <c r="CG14" s="348">
        <v>0</v>
      </c>
      <c r="CH14" s="348">
        <v>0</v>
      </c>
      <c r="CI14" s="348">
        <v>0</v>
      </c>
      <c r="CJ14" s="348">
        <v>0</v>
      </c>
      <c r="CK14" s="348">
        <v>0</v>
      </c>
      <c r="CL14" s="348">
        <v>0</v>
      </c>
      <c r="CM14" s="348">
        <v>0</v>
      </c>
      <c r="CN14" s="348">
        <v>0</v>
      </c>
      <c r="CO14" s="348">
        <v>0</v>
      </c>
      <c r="CP14" s="348">
        <v>0</v>
      </c>
      <c r="CQ14" s="576"/>
      <c r="CR14" s="348">
        <v>0</v>
      </c>
      <c r="CS14" s="348">
        <v>0</v>
      </c>
      <c r="CT14" s="348">
        <v>0</v>
      </c>
      <c r="CU14" s="348">
        <v>0</v>
      </c>
      <c r="CV14" s="348">
        <v>0</v>
      </c>
      <c r="CW14" s="348">
        <v>0</v>
      </c>
      <c r="CX14" s="348">
        <v>0</v>
      </c>
      <c r="CY14" s="348">
        <v>0</v>
      </c>
      <c r="CZ14" s="348">
        <v>0</v>
      </c>
      <c r="DA14" s="348">
        <v>0</v>
      </c>
      <c r="DB14" s="348">
        <v>0</v>
      </c>
      <c r="DC14" s="348">
        <v>0</v>
      </c>
      <c r="DD14" s="348">
        <v>0</v>
      </c>
      <c r="DE14" s="576"/>
      <c r="DF14" s="576"/>
      <c r="DG14" s="348">
        <v>149850</v>
      </c>
      <c r="DH14" s="348">
        <v>51960</v>
      </c>
      <c r="DI14" s="348">
        <v>97890</v>
      </c>
      <c r="DJ14" s="348">
        <v>0</v>
      </c>
      <c r="DK14" s="348">
        <v>20</v>
      </c>
      <c r="DL14" s="348">
        <v>97870</v>
      </c>
      <c r="DM14" s="348">
        <v>574.10646776335955</v>
      </c>
      <c r="DN14" s="348">
        <v>56187800</v>
      </c>
      <c r="DO14" s="348">
        <v>0</v>
      </c>
      <c r="DP14" s="348">
        <v>0</v>
      </c>
      <c r="DQ14" s="348">
        <v>56187800</v>
      </c>
      <c r="DR14" s="576"/>
      <c r="DS14" s="348"/>
      <c r="DT14" s="348"/>
      <c r="DU14" s="348"/>
      <c r="DV14" s="348"/>
      <c r="DW14" s="348"/>
      <c r="DX14" s="348"/>
      <c r="DY14" s="348"/>
      <c r="DZ14" s="348"/>
      <c r="EA14" s="576"/>
      <c r="EB14" s="348"/>
      <c r="EC14" s="348"/>
      <c r="ED14" s="348"/>
      <c r="EE14" s="348"/>
      <c r="EF14" s="348"/>
      <c r="EG14" s="348"/>
      <c r="EH14" s="348"/>
      <c r="EI14" s="348"/>
      <c r="EJ14" s="348">
        <v>0</v>
      </c>
      <c r="EK14" s="348">
        <v>0</v>
      </c>
      <c r="EL14" s="348">
        <v>0</v>
      </c>
      <c r="EM14" s="348">
        <v>0</v>
      </c>
      <c r="EN14" s="348">
        <v>0</v>
      </c>
      <c r="EO14" s="348">
        <v>0</v>
      </c>
      <c r="EP14" s="348">
        <v>0</v>
      </c>
      <c r="EQ14" s="348">
        <v>0</v>
      </c>
      <c r="ER14" s="348">
        <v>0</v>
      </c>
      <c r="ES14" s="348">
        <v>0</v>
      </c>
      <c r="ET14" s="348">
        <v>0</v>
      </c>
      <c r="EU14" s="348">
        <v>0</v>
      </c>
      <c r="EV14" s="348">
        <v>0</v>
      </c>
      <c r="EW14" s="348">
        <v>0</v>
      </c>
      <c r="EX14" s="348">
        <v>0</v>
      </c>
      <c r="EY14" s="348">
        <v>0</v>
      </c>
      <c r="EZ14" s="348">
        <v>0</v>
      </c>
      <c r="FA14" s="348">
        <v>0</v>
      </c>
      <c r="FB14" s="348">
        <v>0</v>
      </c>
      <c r="FC14" s="348">
        <v>0</v>
      </c>
      <c r="FD14" s="348">
        <v>0</v>
      </c>
      <c r="FE14" s="348">
        <v>0</v>
      </c>
      <c r="FF14" s="348">
        <v>0</v>
      </c>
      <c r="FG14" s="348">
        <v>0</v>
      </c>
      <c r="FH14" s="348">
        <v>0</v>
      </c>
      <c r="FI14" s="348">
        <v>0</v>
      </c>
      <c r="FJ14" s="348">
        <v>0</v>
      </c>
      <c r="FK14" s="348">
        <v>0</v>
      </c>
      <c r="FL14" s="348">
        <v>0</v>
      </c>
      <c r="FM14" s="348">
        <v>0</v>
      </c>
      <c r="FN14" s="348">
        <v>0</v>
      </c>
      <c r="FO14" s="348">
        <v>0</v>
      </c>
      <c r="FP14" s="348">
        <v>0</v>
      </c>
      <c r="FQ14" s="348">
        <v>0</v>
      </c>
      <c r="FR14" s="348">
        <v>0</v>
      </c>
      <c r="FS14" s="348">
        <v>1000</v>
      </c>
      <c r="FT14" s="348">
        <v>0</v>
      </c>
      <c r="FU14" s="348">
        <v>0</v>
      </c>
      <c r="FV14" s="348">
        <v>6310</v>
      </c>
      <c r="FW14" s="348">
        <v>0</v>
      </c>
      <c r="FX14" s="348">
        <v>0</v>
      </c>
      <c r="FY14" s="348">
        <v>0</v>
      </c>
      <c r="FZ14" s="348">
        <v>5650</v>
      </c>
      <c r="GA14" s="348">
        <v>54860</v>
      </c>
      <c r="GB14" s="348">
        <v>0</v>
      </c>
      <c r="GC14" s="348">
        <v>25400</v>
      </c>
      <c r="GD14" s="348">
        <v>80200</v>
      </c>
      <c r="GE14" s="348">
        <v>0</v>
      </c>
      <c r="GF14" s="348">
        <v>52850</v>
      </c>
      <c r="GG14" s="348">
        <v>0</v>
      </c>
      <c r="GH14" s="348">
        <v>0</v>
      </c>
      <c r="GI14" s="348">
        <v>0</v>
      </c>
      <c r="GJ14" s="348">
        <v>0</v>
      </c>
      <c r="GK14" s="348">
        <v>0</v>
      </c>
      <c r="GL14" s="348">
        <v>0</v>
      </c>
    </row>
    <row r="15" spans="1:194" s="349" customFormat="1" ht="30" customHeight="1">
      <c r="B15" s="557">
        <f t="shared" si="34"/>
        <v>7</v>
      </c>
      <c r="C15" s="645">
        <f t="shared" si="0"/>
        <v>43897</v>
      </c>
      <c r="D15" s="607"/>
      <c r="E15" s="659">
        <f>SUMIFS(KB[BRUTO],KB[TANGGAL],C15,KB[TYPE],"A")</f>
        <v>133370</v>
      </c>
      <c r="F15" s="660">
        <f>SUMIFS(KB[TARRA],KB[TANGGAL],C15,KB[TYPE],"A")</f>
        <v>70940</v>
      </c>
      <c r="G15" s="660">
        <f>SUMIFS(KB[NETTO],KB[TANGGAL],C15,KB[TYPE],"A")</f>
        <v>62430</v>
      </c>
      <c r="H15" s="660">
        <f t="shared" si="16"/>
        <v>6.6892519621976607</v>
      </c>
      <c r="I15" s="660">
        <f>SUMIFS(KB[TPOT],KB[TANGGAL],C15,KB[TYPE],"A")</f>
        <v>4176.0999999999995</v>
      </c>
      <c r="J15" s="660">
        <f>SUMIFS(KB[NETTO2],KB[TANGGAL],C15,KB[TYPE],"A")</f>
        <v>58253.900000000009</v>
      </c>
      <c r="K15" s="660">
        <f t="shared" si="17"/>
        <v>3124.4127860967242</v>
      </c>
      <c r="L15" s="660">
        <f>SUMIFS(KB[TBAYAR],KB[TANGGAL],C15,KB[TYPE],"A")</f>
        <v>182009230</v>
      </c>
      <c r="M15" s="660">
        <f t="shared" si="18"/>
        <v>15.7</v>
      </c>
      <c r="N15" s="660">
        <f t="shared" si="19"/>
        <v>3140.1123358264422</v>
      </c>
      <c r="O15" s="660">
        <f>SUMIFS(KB[TBAYAR2],KB[TANGGAL],C15,KB[TYPE],"A")</f>
        <v>182923790</v>
      </c>
      <c r="P15" s="660">
        <f>SUMIFS(KB[POTPPH],KB[TANGGAL],C15,KB[TYPE],"A")</f>
        <v>914619</v>
      </c>
      <c r="Q15" s="660">
        <f>SUMIFS(KB[TPEMBAYARAN],KB[TANGGAL],C15,KB[TYPE],"A")</f>
        <v>182009171</v>
      </c>
      <c r="R15" s="660"/>
      <c r="S15" s="659">
        <f>SUMIFS(KB[BRUTO],KB[TANGGAL],C15,KB[TYPE],"B")</f>
        <v>0</v>
      </c>
      <c r="T15" s="660">
        <f>SUMIFS(KB[TARRA],KB[TANGGAL],C15,KB[TYPE],"B")</f>
        <v>0</v>
      </c>
      <c r="U15" s="660">
        <f>SUMIFS(KB[NETTO],KB[TANGGAL],C15,KB[TYPE],"B")</f>
        <v>0</v>
      </c>
      <c r="V15" s="660">
        <f t="shared" si="20"/>
        <v>0</v>
      </c>
      <c r="W15" s="660">
        <f>SUMIFS(KB[TPOT],KB[TANGGAL],C15,KB[TYPE],"B")</f>
        <v>0</v>
      </c>
      <c r="X15" s="660">
        <f>SUMIFS(KB[NETTO2],KB[TANGGAL],C15,KB[TYPE],"B")</f>
        <v>0</v>
      </c>
      <c r="Y15" s="660">
        <f t="shared" si="21"/>
        <v>0</v>
      </c>
      <c r="Z15" s="660">
        <f>SUMIFS(KB[TBAYAR],KB[TANGGAL],C15,KB[TYPE],"B")</f>
        <v>0</v>
      </c>
      <c r="AA15" s="660">
        <f t="shared" si="22"/>
        <v>0</v>
      </c>
      <c r="AB15" s="660">
        <f t="shared" si="23"/>
        <v>0</v>
      </c>
      <c r="AC15" s="660">
        <f>SUMIFS(KB[TBAYAR2],KB[TANGGAL],C15,KB[TYPE],"B")</f>
        <v>0</v>
      </c>
      <c r="AD15" s="660">
        <f>SUMIFS(KB[POTPPH],KB[TANGGAL],C15,KB[TYPE],"B")</f>
        <v>0</v>
      </c>
      <c r="AE15" s="660">
        <f>SUMIFS(KB[TPEMBAYARAN],KB[TANGGAL],C15,KB[TYPE],"B")</f>
        <v>0</v>
      </c>
      <c r="AF15" s="660"/>
      <c r="AG15" s="659">
        <f>SUMIFS(KBS[BRUTO],KBS[TANGGAL],C15)</f>
        <v>0</v>
      </c>
      <c r="AH15" s="660">
        <f>SUMIFS(KBS[TARRA],KBS[TANGGAL],C15)</f>
        <v>0</v>
      </c>
      <c r="AI15" s="660">
        <f>SUMIFS(KBS[NETTO],KBS[TANGGAL],C15)</f>
        <v>0</v>
      </c>
      <c r="AJ15" s="660">
        <f t="shared" si="24"/>
        <v>0</v>
      </c>
      <c r="AK15" s="660">
        <f>SUMIFS(KBS[TPOT],KBS[TANGGAL],C15)</f>
        <v>0</v>
      </c>
      <c r="AL15" s="660">
        <f>SUMIFS(KBS[NETTO2],KBS[TANGGAL],C15)</f>
        <v>0</v>
      </c>
      <c r="AM15" s="660">
        <f t="shared" si="25"/>
        <v>0</v>
      </c>
      <c r="AN15" s="660">
        <f>SUMIFS(KBS[TBAYAR],KBS[TANGGAL],C15)</f>
        <v>0</v>
      </c>
      <c r="AO15" s="660">
        <f t="shared" si="26"/>
        <v>0</v>
      </c>
      <c r="AP15" s="660">
        <f t="shared" si="27"/>
        <v>0</v>
      </c>
      <c r="AQ15" s="660">
        <f>SUMIFS(KBS[TBAYAR2],KBS[TANGGAL],C15)</f>
        <v>0</v>
      </c>
      <c r="AR15" s="660">
        <f>SUMIFS(KBS[POTPPH],KBS[TANGGAL],C15)</f>
        <v>0</v>
      </c>
      <c r="AS15" s="660">
        <f>SUMIFS(KBS[TPEMBAYARAN],KBS[TANGGAL],C15)</f>
        <v>0</v>
      </c>
      <c r="AT15" s="660"/>
      <c r="AU15" s="659">
        <f>SUMIFS(KPR[BRUTO],KPR[TANGGAL],C15)</f>
        <v>0</v>
      </c>
      <c r="AV15" s="660">
        <f>SUMIFS(KPR[TARRA],KPR[TANGGAL],C15)</f>
        <v>0</v>
      </c>
      <c r="AW15" s="660">
        <f>SUMIFS(KPR[NETTO],KPR[TANGGAL],C15)</f>
        <v>0</v>
      </c>
      <c r="AX15" s="662">
        <f>SUMIFS(KPR[POTKRG],KPR[TANGGAL],C15)</f>
        <v>0</v>
      </c>
      <c r="AY15" s="660">
        <f>SUMIFS(KPR[TPOT1],KPR[TANGGAL],C15)</f>
        <v>0</v>
      </c>
      <c r="AZ15" s="662">
        <f>SUMIFS(KPR[POTAIR],KPR[TANGGAL],C15)</f>
        <v>0</v>
      </c>
      <c r="BA15" s="660">
        <f>SUMIFS(KPR[TPOT2],KPR[TANGGAL],C15)</f>
        <v>0</v>
      </c>
      <c r="BB15" s="660">
        <f>SUMIFS(KPR[NETTOA],KPR[TANGGAL],C15)</f>
        <v>0</v>
      </c>
      <c r="BC15" s="660">
        <f>SUMIFS(KPR[NETTOB],KPR[TANGGAL],C15)</f>
        <v>0</v>
      </c>
      <c r="BD15" s="660">
        <f t="shared" si="28"/>
        <v>0</v>
      </c>
      <c r="BE15" s="660">
        <f>SUMIFS(KPR[TOTAL],KPR[TANGGAL],C15)</f>
        <v>0</v>
      </c>
      <c r="BF15" s="662">
        <f t="shared" si="29"/>
        <v>0</v>
      </c>
      <c r="BG15" s="662">
        <f t="shared" si="30"/>
        <v>0</v>
      </c>
      <c r="BH15" s="660">
        <f>SUMIFS(KPR[TBAYAR2],KPR[TANGGAL],C15)</f>
        <v>0</v>
      </c>
      <c r="BI15" s="660">
        <f>SUMIFS(KPR[POTPPH],KPR[TANGGAL],C15)</f>
        <v>0</v>
      </c>
      <c r="BJ15" s="660">
        <f>SUMIFS(KPR[TPEMBAYARAN],KPR[TANGGAL],C15)</f>
        <v>0</v>
      </c>
      <c r="BK15" s="660"/>
      <c r="BL15" s="659">
        <f>SUMIFS(ARG[BRUTO],ARG[TANGGAL],C15)</f>
        <v>0</v>
      </c>
      <c r="BM15" s="659">
        <f>SUMIFS(ARG[TARRA],ARG[TANGGAL],C15)</f>
        <v>0</v>
      </c>
      <c r="BN15" s="659">
        <f>SUMIFS(ARG[NETTO1],ARG[TANGGAL],C15)</f>
        <v>0</v>
      </c>
      <c r="BO15" s="659">
        <f>SUMIFS(ARG[POTKARUNG],ARG[TANGGAL],C15)</f>
        <v>0</v>
      </c>
      <c r="BP15" s="659">
        <f>SUMIFS(ARG[TPOT1],ARG[TANGGAL],C15)</f>
        <v>0</v>
      </c>
      <c r="BQ15" s="659">
        <f>SUMIFS(ARG[NETTO2],ARG[TANGGAL],C15)</f>
        <v>0</v>
      </c>
      <c r="BR15" s="659">
        <f>SUMIFS(ARG[MC],ARG[TANGGAL],C15)</f>
        <v>0</v>
      </c>
      <c r="BS15" s="659">
        <f>SUMIFS(ARG[DC],ARG[TANGGAL],C15)</f>
        <v>0</v>
      </c>
      <c r="BT15" s="659">
        <f>SUMIFS(ARG[DC2],ARG[TANGGAL],C15)</f>
        <v>0</v>
      </c>
      <c r="BU15" s="659">
        <f>SUMIFS(ARG[NETTO3],ARG[TANGGAL],C15)</f>
        <v>0</v>
      </c>
      <c r="BV15" s="660">
        <f t="shared" si="31"/>
        <v>0</v>
      </c>
      <c r="BW15" s="659">
        <f>SUMIFS(ARG[TBAYAR1],ARG[TANGGAL],C15)</f>
        <v>0</v>
      </c>
      <c r="BX15" s="663">
        <f t="shared" si="32"/>
        <v>0</v>
      </c>
      <c r="BY15" s="663">
        <f t="shared" si="33"/>
        <v>0</v>
      </c>
      <c r="BZ15" s="659">
        <f>SUMIFS(ARG[TBAYAR2],ARG[TANGGAL],C15)</f>
        <v>0</v>
      </c>
      <c r="CA15" s="659">
        <f>SUMIFS(ARG[POTPPH],ARG[TANGGAL],C15)</f>
        <v>0</v>
      </c>
      <c r="CB15" s="659">
        <f>SUMIFS(ARG[TPEMBAYARAN],ARG[TANGGAL],C15)</f>
        <v>0</v>
      </c>
      <c r="CC15" s="616"/>
      <c r="CD15" s="575"/>
      <c r="CE15" s="348"/>
      <c r="CF15" s="348"/>
      <c r="CG15" s="348"/>
      <c r="CH15" s="348"/>
      <c r="CI15" s="348"/>
      <c r="CJ15" s="348"/>
      <c r="CK15" s="348"/>
      <c r="CL15" s="348"/>
      <c r="CM15" s="348"/>
      <c r="CN15" s="348"/>
      <c r="CO15" s="348"/>
      <c r="CP15" s="348"/>
      <c r="CQ15" s="576"/>
      <c r="CR15" s="348">
        <v>0</v>
      </c>
      <c r="CS15" s="348">
        <v>0</v>
      </c>
      <c r="CT15" s="348">
        <v>0</v>
      </c>
      <c r="CU15" s="348">
        <v>0</v>
      </c>
      <c r="CV15" s="348">
        <v>0</v>
      </c>
      <c r="CW15" s="348">
        <v>0</v>
      </c>
      <c r="CX15" s="348">
        <v>0</v>
      </c>
      <c r="CY15" s="348">
        <v>0</v>
      </c>
      <c r="CZ15" s="348">
        <v>0</v>
      </c>
      <c r="DA15" s="348">
        <v>0</v>
      </c>
      <c r="DB15" s="348">
        <v>0</v>
      </c>
      <c r="DC15" s="348">
        <v>0</v>
      </c>
      <c r="DD15" s="348">
        <v>0</v>
      </c>
      <c r="DE15" s="576"/>
      <c r="DF15" s="576"/>
      <c r="DG15" s="348">
        <v>287370</v>
      </c>
      <c r="DH15" s="348">
        <v>89090</v>
      </c>
      <c r="DI15" s="348">
        <v>198280</v>
      </c>
      <c r="DJ15" s="348">
        <v>0</v>
      </c>
      <c r="DK15" s="348">
        <v>140</v>
      </c>
      <c r="DL15" s="348">
        <v>198140</v>
      </c>
      <c r="DM15" s="348">
        <v>578.93711517109114</v>
      </c>
      <c r="DN15" s="348">
        <v>114710600</v>
      </c>
      <c r="DO15" s="348">
        <v>0</v>
      </c>
      <c r="DP15" s="348">
        <v>0</v>
      </c>
      <c r="DQ15" s="348">
        <v>114710600</v>
      </c>
      <c r="DR15" s="576"/>
      <c r="DS15" s="348"/>
      <c r="DT15" s="348"/>
      <c r="DU15" s="348"/>
      <c r="DV15" s="348"/>
      <c r="DW15" s="348"/>
      <c r="DX15" s="348"/>
      <c r="DY15" s="348"/>
      <c r="DZ15" s="348"/>
      <c r="EA15" s="576"/>
      <c r="EB15" s="348"/>
      <c r="EC15" s="348"/>
      <c r="ED15" s="348"/>
      <c r="EE15" s="348"/>
      <c r="EF15" s="348"/>
      <c r="EG15" s="348"/>
      <c r="EH15" s="348"/>
      <c r="EI15" s="348"/>
      <c r="EJ15" s="348">
        <v>0</v>
      </c>
      <c r="EK15" s="348">
        <v>0</v>
      </c>
      <c r="EL15" s="348">
        <v>0</v>
      </c>
      <c r="EM15" s="348">
        <v>0</v>
      </c>
      <c r="EN15" s="348">
        <v>0</v>
      </c>
      <c r="EO15" s="348">
        <v>0</v>
      </c>
      <c r="EP15" s="348">
        <v>0</v>
      </c>
      <c r="EQ15" s="348">
        <v>0</v>
      </c>
      <c r="ER15" s="348">
        <v>0</v>
      </c>
      <c r="ES15" s="348">
        <v>0</v>
      </c>
      <c r="ET15" s="348">
        <v>0</v>
      </c>
      <c r="EU15" s="348">
        <v>0</v>
      </c>
      <c r="EV15" s="348">
        <v>0</v>
      </c>
      <c r="EW15" s="348">
        <v>0</v>
      </c>
      <c r="EX15" s="348">
        <v>0</v>
      </c>
      <c r="EY15" s="348">
        <v>0</v>
      </c>
      <c r="EZ15" s="348">
        <v>0</v>
      </c>
      <c r="FA15" s="348">
        <v>0</v>
      </c>
      <c r="FB15" s="348">
        <v>0</v>
      </c>
      <c r="FC15" s="348">
        <v>0</v>
      </c>
      <c r="FD15" s="348">
        <v>0</v>
      </c>
      <c r="FE15" s="348">
        <v>0</v>
      </c>
      <c r="FF15" s="348">
        <v>0</v>
      </c>
      <c r="FG15" s="348">
        <v>0</v>
      </c>
      <c r="FH15" s="348">
        <v>0</v>
      </c>
      <c r="FI15" s="348">
        <v>0</v>
      </c>
      <c r="FJ15" s="348">
        <v>0</v>
      </c>
      <c r="FK15" s="348">
        <v>0</v>
      </c>
      <c r="FL15" s="348">
        <v>0</v>
      </c>
      <c r="FM15" s="348">
        <v>0</v>
      </c>
      <c r="FN15" s="348">
        <v>0</v>
      </c>
      <c r="FO15" s="348">
        <v>0</v>
      </c>
      <c r="FP15" s="348">
        <v>0</v>
      </c>
      <c r="FQ15" s="348">
        <v>0</v>
      </c>
      <c r="FR15" s="348">
        <v>0</v>
      </c>
      <c r="FS15" s="348">
        <v>780</v>
      </c>
      <c r="FT15" s="348">
        <v>0</v>
      </c>
      <c r="FU15" s="348">
        <v>3440</v>
      </c>
      <c r="FV15" s="348">
        <v>0</v>
      </c>
      <c r="FW15" s="348">
        <v>0</v>
      </c>
      <c r="FX15" s="348">
        <v>0</v>
      </c>
      <c r="FY15" s="348">
        <v>0</v>
      </c>
      <c r="FZ15" s="348">
        <v>29440</v>
      </c>
      <c r="GA15" s="348">
        <v>37950</v>
      </c>
      <c r="GB15" s="348">
        <v>0</v>
      </c>
      <c r="GC15" s="348">
        <v>25750</v>
      </c>
      <c r="GD15" s="348">
        <v>70460</v>
      </c>
      <c r="GE15" s="348"/>
      <c r="GF15" s="348">
        <v>74270</v>
      </c>
      <c r="GG15" s="348"/>
      <c r="GH15" s="348">
        <v>0</v>
      </c>
      <c r="GI15" s="348">
        <v>0</v>
      </c>
      <c r="GJ15" s="348">
        <v>0</v>
      </c>
      <c r="GK15" s="348"/>
      <c r="GL15" s="353">
        <v>0</v>
      </c>
    </row>
    <row r="16" spans="1:194" s="349" customFormat="1" ht="30" customHeight="1">
      <c r="B16" s="557">
        <f t="shared" si="34"/>
        <v>8</v>
      </c>
      <c r="C16" s="645">
        <f t="shared" si="0"/>
        <v>43898</v>
      </c>
      <c r="D16" s="607"/>
      <c r="E16" s="659">
        <f>SUMIFS(KB[BRUTO],KB[TANGGAL],C16,KB[TYPE],"A")</f>
        <v>0</v>
      </c>
      <c r="F16" s="660">
        <f>SUMIFS(KB[TARRA],KB[TANGGAL],C16,KB[TYPE],"A")</f>
        <v>0</v>
      </c>
      <c r="G16" s="660">
        <f>SUMIFS(KB[NETTO],KB[TANGGAL],C16,KB[TYPE],"A")</f>
        <v>0</v>
      </c>
      <c r="H16" s="660">
        <f t="shared" si="16"/>
        <v>0</v>
      </c>
      <c r="I16" s="660">
        <f>SUMIFS(KB[TPOT],KB[TANGGAL],C16,KB[TYPE],"A")</f>
        <v>0</v>
      </c>
      <c r="J16" s="660">
        <f>SUMIFS(KB[NETTO2],KB[TANGGAL],C16,KB[TYPE],"A")</f>
        <v>0</v>
      </c>
      <c r="K16" s="660">
        <f t="shared" si="17"/>
        <v>0</v>
      </c>
      <c r="L16" s="660">
        <f>SUMIFS(KB[TBAYAR],KB[TANGGAL],C16,KB[TYPE],"A")</f>
        <v>0</v>
      </c>
      <c r="M16" s="660">
        <f t="shared" si="18"/>
        <v>0</v>
      </c>
      <c r="N16" s="660">
        <f t="shared" si="19"/>
        <v>0</v>
      </c>
      <c r="O16" s="660">
        <f>SUMIFS(KB[TBAYAR2],KB[TANGGAL],C16,KB[TYPE],"A")</f>
        <v>0</v>
      </c>
      <c r="P16" s="660">
        <f>SUMIFS(KB[POTPPH],KB[TANGGAL],C16,KB[TYPE],"A")</f>
        <v>0</v>
      </c>
      <c r="Q16" s="660">
        <f>SUMIFS(KB[TPEMBAYARAN],KB[TANGGAL],C16,KB[TYPE],"A")</f>
        <v>0</v>
      </c>
      <c r="R16" s="660"/>
      <c r="S16" s="659">
        <f>SUMIFS(KB[BRUTO],KB[TANGGAL],C16,KB[TYPE],"B")</f>
        <v>0</v>
      </c>
      <c r="T16" s="660">
        <f>SUMIFS(KB[TARRA],KB[TANGGAL],C16,KB[TYPE],"B")</f>
        <v>0</v>
      </c>
      <c r="U16" s="660">
        <f>SUMIFS(KB[NETTO],KB[TANGGAL],C16,KB[TYPE],"B")</f>
        <v>0</v>
      </c>
      <c r="V16" s="660">
        <f t="shared" si="20"/>
        <v>0</v>
      </c>
      <c r="W16" s="660">
        <f>SUMIFS(KB[TPOT],KB[TANGGAL],C16,KB[TYPE],"B")</f>
        <v>0</v>
      </c>
      <c r="X16" s="660">
        <f>SUMIFS(KB[NETTO2],KB[TANGGAL],C16,KB[TYPE],"B")</f>
        <v>0</v>
      </c>
      <c r="Y16" s="660">
        <f t="shared" si="21"/>
        <v>0</v>
      </c>
      <c r="Z16" s="660">
        <f>SUMIFS(KB[TBAYAR],KB[TANGGAL],C16,KB[TYPE],"B")</f>
        <v>0</v>
      </c>
      <c r="AA16" s="660">
        <f t="shared" si="22"/>
        <v>0</v>
      </c>
      <c r="AB16" s="660">
        <f t="shared" si="23"/>
        <v>0</v>
      </c>
      <c r="AC16" s="660">
        <f>SUMIFS(KB[TBAYAR2],KB[TANGGAL],C16,KB[TYPE],"B")</f>
        <v>0</v>
      </c>
      <c r="AD16" s="660">
        <f>SUMIFS(KB[POTPPH],KB[TANGGAL],C16,KB[TYPE],"B")</f>
        <v>0</v>
      </c>
      <c r="AE16" s="660">
        <f>SUMIFS(KB[TPEMBAYARAN],KB[TANGGAL],C16,KB[TYPE],"B")</f>
        <v>0</v>
      </c>
      <c r="AF16" s="660"/>
      <c r="AG16" s="659">
        <f>SUMIFS(KBS[BRUTO],KBS[TANGGAL],C16)</f>
        <v>0</v>
      </c>
      <c r="AH16" s="660">
        <f>SUMIFS(KBS[TARRA],KBS[TANGGAL],C16)</f>
        <v>0</v>
      </c>
      <c r="AI16" s="660">
        <f>SUMIFS(KBS[NETTO],KBS[TANGGAL],C16)</f>
        <v>0</v>
      </c>
      <c r="AJ16" s="660">
        <f t="shared" si="24"/>
        <v>0</v>
      </c>
      <c r="AK16" s="660">
        <f>SUMIFS(KBS[TPOT],KBS[TANGGAL],C16)</f>
        <v>0</v>
      </c>
      <c r="AL16" s="660">
        <f>SUMIFS(KBS[NETTO2],KBS[TANGGAL],C16)</f>
        <v>0</v>
      </c>
      <c r="AM16" s="660">
        <f t="shared" si="25"/>
        <v>0</v>
      </c>
      <c r="AN16" s="660">
        <f>SUMIFS(KBS[TBAYAR],KBS[TANGGAL],C16)</f>
        <v>0</v>
      </c>
      <c r="AO16" s="660">
        <f t="shared" si="26"/>
        <v>0</v>
      </c>
      <c r="AP16" s="660">
        <f t="shared" si="27"/>
        <v>0</v>
      </c>
      <c r="AQ16" s="660">
        <f>SUMIFS(KBS[TBAYAR2],KBS[TANGGAL],C16)</f>
        <v>0</v>
      </c>
      <c r="AR16" s="660">
        <f>SUMIFS(KBS[POTPPH],KBS[TANGGAL],C16)</f>
        <v>0</v>
      </c>
      <c r="AS16" s="660">
        <f>SUMIFS(KBS[TPEMBAYARAN],KBS[TANGGAL],C16)</f>
        <v>0</v>
      </c>
      <c r="AT16" s="660"/>
      <c r="AU16" s="659">
        <f>SUMIFS(KPR[BRUTO],KPR[TANGGAL],C16)</f>
        <v>0</v>
      </c>
      <c r="AV16" s="660">
        <f>SUMIFS(KPR[TARRA],KPR[TANGGAL],C16)</f>
        <v>0</v>
      </c>
      <c r="AW16" s="660">
        <f>SUMIFS(KPR[NETTO],KPR[TANGGAL],C16)</f>
        <v>0</v>
      </c>
      <c r="AX16" s="662">
        <f>SUMIFS(KPR[POTKRG],KPR[TANGGAL],C16)</f>
        <v>0</v>
      </c>
      <c r="AY16" s="660">
        <f>SUMIFS(KPR[TPOT1],KPR[TANGGAL],C16)</f>
        <v>0</v>
      </c>
      <c r="AZ16" s="662">
        <f>SUMIFS(KPR[POTAIR],KPR[TANGGAL],C16)</f>
        <v>0</v>
      </c>
      <c r="BA16" s="660">
        <f>SUMIFS(KPR[TPOT2],KPR[TANGGAL],C16)</f>
        <v>0</v>
      </c>
      <c r="BB16" s="660">
        <f>SUMIFS(KPR[NETTOA],KPR[TANGGAL],C16)</f>
        <v>0</v>
      </c>
      <c r="BC16" s="660">
        <f>SUMIFS(KPR[NETTOB],KPR[TANGGAL],C16)</f>
        <v>0</v>
      </c>
      <c r="BD16" s="660">
        <f t="shared" si="28"/>
        <v>0</v>
      </c>
      <c r="BE16" s="660">
        <f>SUMIFS(KPR[TOTAL],KPR[TANGGAL],C16)</f>
        <v>0</v>
      </c>
      <c r="BF16" s="662">
        <f t="shared" si="29"/>
        <v>0</v>
      </c>
      <c r="BG16" s="662">
        <f t="shared" si="30"/>
        <v>0</v>
      </c>
      <c r="BH16" s="660">
        <f>SUMIFS(KPR[TBAYAR2],KPR[TANGGAL],C16)</f>
        <v>0</v>
      </c>
      <c r="BI16" s="660">
        <f>SUMIFS(KPR[POTPPH],KPR[TANGGAL],C16)</f>
        <v>0</v>
      </c>
      <c r="BJ16" s="660">
        <f>SUMIFS(KPR[TPEMBAYARAN],KPR[TANGGAL],C16)</f>
        <v>0</v>
      </c>
      <c r="BK16" s="660"/>
      <c r="BL16" s="659">
        <f>SUMIFS(ARG[BRUTO],ARG[TANGGAL],C16)</f>
        <v>0</v>
      </c>
      <c r="BM16" s="659">
        <f>SUMIFS(ARG[TARRA],ARG[TANGGAL],C16)</f>
        <v>0</v>
      </c>
      <c r="BN16" s="659">
        <f>SUMIFS(ARG[NETTO1],ARG[TANGGAL],C16)</f>
        <v>0</v>
      </c>
      <c r="BO16" s="659">
        <f>SUMIFS(ARG[POTKARUNG],ARG[TANGGAL],C16)</f>
        <v>0</v>
      </c>
      <c r="BP16" s="659">
        <f>SUMIFS(ARG[TPOT1],ARG[TANGGAL],C16)</f>
        <v>0</v>
      </c>
      <c r="BQ16" s="659">
        <f>SUMIFS(ARG[NETTO2],ARG[TANGGAL],C16)</f>
        <v>0</v>
      </c>
      <c r="BR16" s="659">
        <f>SUMIFS(ARG[MC],ARG[TANGGAL],C16)</f>
        <v>0</v>
      </c>
      <c r="BS16" s="659">
        <f>SUMIFS(ARG[DC],ARG[TANGGAL],C16)</f>
        <v>0</v>
      </c>
      <c r="BT16" s="659">
        <f>SUMIFS(ARG[DC2],ARG[TANGGAL],C16)</f>
        <v>0</v>
      </c>
      <c r="BU16" s="659">
        <f>SUMIFS(ARG[NETTO3],ARG[TANGGAL],C16)</f>
        <v>0</v>
      </c>
      <c r="BV16" s="660">
        <f t="shared" si="31"/>
        <v>0</v>
      </c>
      <c r="BW16" s="659">
        <f>SUMIFS(ARG[TBAYAR1],ARG[TANGGAL],C16)</f>
        <v>0</v>
      </c>
      <c r="BX16" s="663">
        <f t="shared" si="32"/>
        <v>0</v>
      </c>
      <c r="BY16" s="663">
        <f t="shared" si="33"/>
        <v>0</v>
      </c>
      <c r="BZ16" s="659">
        <f>SUMIFS(ARG[TBAYAR2],ARG[TANGGAL],C16)</f>
        <v>0</v>
      </c>
      <c r="CA16" s="659">
        <f>SUMIFS(ARG[POTPPH],ARG[TANGGAL],C16)</f>
        <v>0</v>
      </c>
      <c r="CB16" s="659">
        <f>SUMIFS(ARG[TPEMBAYARAN],ARG[TANGGAL],C16)</f>
        <v>0</v>
      </c>
      <c r="CC16" s="616"/>
      <c r="CD16" s="575">
        <v>0</v>
      </c>
      <c r="CE16" s="348">
        <v>0</v>
      </c>
      <c r="CF16" s="348">
        <v>0</v>
      </c>
      <c r="CG16" s="348">
        <v>0</v>
      </c>
      <c r="CH16" s="348">
        <v>0</v>
      </c>
      <c r="CI16" s="348">
        <v>0</v>
      </c>
      <c r="CJ16" s="348">
        <v>0</v>
      </c>
      <c r="CK16" s="348">
        <v>0</v>
      </c>
      <c r="CL16" s="348">
        <v>0</v>
      </c>
      <c r="CM16" s="348">
        <v>0</v>
      </c>
      <c r="CN16" s="348">
        <v>0</v>
      </c>
      <c r="CO16" s="348">
        <v>0</v>
      </c>
      <c r="CP16" s="348">
        <v>0</v>
      </c>
      <c r="CQ16" s="576"/>
      <c r="CR16" s="348">
        <v>0</v>
      </c>
      <c r="CS16" s="348">
        <v>0</v>
      </c>
      <c r="CT16" s="348">
        <v>0</v>
      </c>
      <c r="CU16" s="348">
        <v>0</v>
      </c>
      <c r="CV16" s="348">
        <v>0</v>
      </c>
      <c r="CW16" s="348">
        <v>0</v>
      </c>
      <c r="CX16" s="348">
        <v>0</v>
      </c>
      <c r="CY16" s="348">
        <v>0</v>
      </c>
      <c r="CZ16" s="348">
        <v>0</v>
      </c>
      <c r="DA16" s="348">
        <v>0</v>
      </c>
      <c r="DB16" s="348">
        <v>0</v>
      </c>
      <c r="DC16" s="348">
        <v>0</v>
      </c>
      <c r="DD16" s="348">
        <v>0</v>
      </c>
      <c r="DE16" s="576"/>
      <c r="DF16" s="576"/>
      <c r="DG16" s="348">
        <v>206820</v>
      </c>
      <c r="DH16" s="348">
        <v>71670</v>
      </c>
      <c r="DI16" s="348">
        <v>135150</v>
      </c>
      <c r="DJ16" s="348">
        <v>0</v>
      </c>
      <c r="DK16" s="348">
        <v>0</v>
      </c>
      <c r="DL16" s="348">
        <v>135150</v>
      </c>
      <c r="DM16" s="348">
        <v>570.74953755086938</v>
      </c>
      <c r="DN16" s="348">
        <v>77136800</v>
      </c>
      <c r="DO16" s="348">
        <v>0</v>
      </c>
      <c r="DP16" s="348">
        <v>0</v>
      </c>
      <c r="DQ16" s="348">
        <v>77136800</v>
      </c>
      <c r="DR16" s="576"/>
      <c r="DS16" s="348"/>
      <c r="DT16" s="348"/>
      <c r="DU16" s="348"/>
      <c r="DV16" s="348"/>
      <c r="DW16" s="348"/>
      <c r="DX16" s="348"/>
      <c r="DY16" s="348"/>
      <c r="DZ16" s="348"/>
      <c r="EA16" s="576"/>
      <c r="EB16" s="348"/>
      <c r="EC16" s="348"/>
      <c r="ED16" s="348"/>
      <c r="EE16" s="348"/>
      <c r="EF16" s="348"/>
      <c r="EG16" s="348"/>
      <c r="EH16" s="348"/>
      <c r="EI16" s="348"/>
      <c r="EJ16" s="348">
        <v>0</v>
      </c>
      <c r="EK16" s="348">
        <v>0</v>
      </c>
      <c r="EL16" s="348">
        <v>0</v>
      </c>
      <c r="EM16" s="348">
        <v>0</v>
      </c>
      <c r="EN16" s="348">
        <v>0</v>
      </c>
      <c r="EO16" s="348">
        <v>0</v>
      </c>
      <c r="EP16" s="348">
        <v>0</v>
      </c>
      <c r="EQ16" s="348">
        <v>0</v>
      </c>
      <c r="ER16" s="348">
        <v>0</v>
      </c>
      <c r="ES16" s="348">
        <v>0</v>
      </c>
      <c r="ET16" s="348">
        <v>0</v>
      </c>
      <c r="EU16" s="348">
        <v>0</v>
      </c>
      <c r="EV16" s="348">
        <v>0</v>
      </c>
      <c r="EW16" s="348">
        <v>0</v>
      </c>
      <c r="EX16" s="348">
        <v>0</v>
      </c>
      <c r="EY16" s="348">
        <v>0</v>
      </c>
      <c r="EZ16" s="348">
        <v>0</v>
      </c>
      <c r="FA16" s="348">
        <v>0</v>
      </c>
      <c r="FB16" s="348">
        <v>0</v>
      </c>
      <c r="FC16" s="348">
        <v>0</v>
      </c>
      <c r="FD16" s="348">
        <v>0</v>
      </c>
      <c r="FE16" s="348">
        <v>0</v>
      </c>
      <c r="FF16" s="348">
        <v>0</v>
      </c>
      <c r="FG16" s="348">
        <v>0</v>
      </c>
      <c r="FH16" s="348">
        <v>0</v>
      </c>
      <c r="FI16" s="348">
        <v>0</v>
      </c>
      <c r="FJ16" s="348">
        <v>0</v>
      </c>
      <c r="FK16" s="348">
        <v>0</v>
      </c>
      <c r="FL16" s="348">
        <v>0</v>
      </c>
      <c r="FM16" s="348">
        <v>0</v>
      </c>
      <c r="FN16" s="348">
        <v>0</v>
      </c>
      <c r="FO16" s="348">
        <v>0</v>
      </c>
      <c r="FP16" s="348">
        <v>0</v>
      </c>
      <c r="FQ16" s="348">
        <v>0</v>
      </c>
      <c r="FR16" s="348">
        <v>0</v>
      </c>
      <c r="FS16" s="348">
        <v>750</v>
      </c>
      <c r="FT16" s="348">
        <v>0</v>
      </c>
      <c r="FU16" s="356">
        <v>2670</v>
      </c>
      <c r="FV16" s="353">
        <v>1010</v>
      </c>
      <c r="FW16" s="353">
        <v>0</v>
      </c>
      <c r="FX16" s="354">
        <v>0</v>
      </c>
      <c r="FY16" s="353">
        <v>0</v>
      </c>
      <c r="FZ16" s="353">
        <v>0</v>
      </c>
      <c r="GA16" s="348">
        <v>36180</v>
      </c>
      <c r="GB16" s="353">
        <v>0</v>
      </c>
      <c r="GC16" s="348">
        <v>28280</v>
      </c>
      <c r="GD16" s="348">
        <f>38740+21850</f>
        <v>60590</v>
      </c>
      <c r="GE16" s="348"/>
      <c r="GF16" s="348">
        <v>35040</v>
      </c>
      <c r="GG16" s="348"/>
      <c r="GH16" s="353">
        <v>19200</v>
      </c>
      <c r="GI16" s="354">
        <v>0</v>
      </c>
      <c r="GJ16" s="353">
        <v>0</v>
      </c>
      <c r="GK16" s="355"/>
      <c r="GL16" s="353">
        <v>0</v>
      </c>
    </row>
    <row r="17" spans="2:194" s="349" customFormat="1" ht="30" customHeight="1">
      <c r="B17" s="557">
        <f t="shared" si="34"/>
        <v>9</v>
      </c>
      <c r="C17" s="645">
        <f t="shared" si="0"/>
        <v>43899</v>
      </c>
      <c r="D17" s="607"/>
      <c r="E17" s="659">
        <f>SUMIFS(KB[BRUTO],KB[TANGGAL],C17,KB[TYPE],"A")</f>
        <v>164400</v>
      </c>
      <c r="F17" s="660">
        <f>SUMIFS(KB[TARRA],KB[TANGGAL],C17,KB[TYPE],"A")</f>
        <v>71470</v>
      </c>
      <c r="G17" s="660">
        <f>SUMIFS(KB[NETTO],KB[TANGGAL],C17,KB[TYPE],"A")</f>
        <v>92930</v>
      </c>
      <c r="H17" s="660">
        <f t="shared" si="16"/>
        <v>5.3159367265683857</v>
      </c>
      <c r="I17" s="660">
        <f>SUMIFS(KB[TPOT],KB[TANGGAL],C17,KB[TYPE],"A")</f>
        <v>4940.1000000000004</v>
      </c>
      <c r="J17" s="660">
        <f>SUMIFS(KB[NETTO2],KB[TANGGAL],C17,KB[TYPE],"A")</f>
        <v>87989.9</v>
      </c>
      <c r="K17" s="660">
        <f t="shared" si="17"/>
        <v>2897.3360578884622</v>
      </c>
      <c r="L17" s="660">
        <f>SUMIFS(KB[TBAYAR],KB[TANGGAL],C17,KB[TYPE],"A")</f>
        <v>254936310</v>
      </c>
      <c r="M17" s="660">
        <f t="shared" si="18"/>
        <v>14.56</v>
      </c>
      <c r="N17" s="660">
        <f t="shared" si="19"/>
        <v>2911.8930581805412</v>
      </c>
      <c r="O17" s="660">
        <f>SUMIFS(KB[TBAYAR2],KB[TANGGAL],C17,KB[TYPE],"A")</f>
        <v>256217179</v>
      </c>
      <c r="P17" s="660">
        <f>SUMIFS(KB[POTPPH],KB[TANGGAL],C17,KB[TYPE],"A")</f>
        <v>1281086</v>
      </c>
      <c r="Q17" s="660">
        <f>SUMIFS(KB[TPEMBAYARAN],KB[TANGGAL],C17,KB[TYPE],"A")</f>
        <v>254936093</v>
      </c>
      <c r="R17" s="660"/>
      <c r="S17" s="659">
        <f>SUMIFS(KB[BRUTO],KB[TANGGAL],C17,KB[TYPE],"B")</f>
        <v>0</v>
      </c>
      <c r="T17" s="660">
        <f>SUMIFS(KB[TARRA],KB[TANGGAL],C17,KB[TYPE],"B")</f>
        <v>0</v>
      </c>
      <c r="U17" s="660">
        <f>SUMIFS(KB[NETTO],KB[TANGGAL],C17,KB[TYPE],"B")</f>
        <v>0</v>
      </c>
      <c r="V17" s="660">
        <f t="shared" si="20"/>
        <v>0</v>
      </c>
      <c r="W17" s="660">
        <f>SUMIFS(KB[TPOT],KB[TANGGAL],C17,KB[TYPE],"B")</f>
        <v>0</v>
      </c>
      <c r="X17" s="660">
        <f>SUMIFS(KB[NETTO2],KB[TANGGAL],C17,KB[TYPE],"B")</f>
        <v>0</v>
      </c>
      <c r="Y17" s="660">
        <f t="shared" si="21"/>
        <v>0</v>
      </c>
      <c r="Z17" s="660">
        <f>SUMIFS(KB[TBAYAR],KB[TANGGAL],C17,KB[TYPE],"B")</f>
        <v>0</v>
      </c>
      <c r="AA17" s="660">
        <f t="shared" si="22"/>
        <v>0</v>
      </c>
      <c r="AB17" s="660">
        <f t="shared" si="23"/>
        <v>0</v>
      </c>
      <c r="AC17" s="660">
        <f>SUMIFS(KB[TBAYAR2],KB[TANGGAL],C17,KB[TYPE],"B")</f>
        <v>0</v>
      </c>
      <c r="AD17" s="660">
        <f>SUMIFS(KB[POTPPH],KB[TANGGAL],C17,KB[TYPE],"B")</f>
        <v>0</v>
      </c>
      <c r="AE17" s="660">
        <f>SUMIFS(KB[TPEMBAYARAN],KB[TANGGAL],C17,KB[TYPE],"B")</f>
        <v>0</v>
      </c>
      <c r="AF17" s="660"/>
      <c r="AG17" s="659">
        <f>SUMIFS(KBS[BRUTO],KBS[TANGGAL],C17)</f>
        <v>0</v>
      </c>
      <c r="AH17" s="660">
        <f>SUMIFS(KBS[TARRA],KBS[TANGGAL],C17)</f>
        <v>0</v>
      </c>
      <c r="AI17" s="660">
        <f>SUMIFS(KBS[NETTO],KBS[TANGGAL],C17)</f>
        <v>0</v>
      </c>
      <c r="AJ17" s="660">
        <f t="shared" si="24"/>
        <v>0</v>
      </c>
      <c r="AK17" s="660">
        <f>SUMIFS(KBS[TPOT],KBS[TANGGAL],C17)</f>
        <v>0</v>
      </c>
      <c r="AL17" s="660">
        <f>SUMIFS(KBS[NETTO2],KBS[TANGGAL],C17)</f>
        <v>0</v>
      </c>
      <c r="AM17" s="660">
        <f t="shared" si="25"/>
        <v>0</v>
      </c>
      <c r="AN17" s="660">
        <f>SUMIFS(KBS[TBAYAR],KBS[TANGGAL],C17)</f>
        <v>0</v>
      </c>
      <c r="AO17" s="660">
        <f t="shared" si="26"/>
        <v>0</v>
      </c>
      <c r="AP17" s="660">
        <f t="shared" si="27"/>
        <v>0</v>
      </c>
      <c r="AQ17" s="660">
        <f>SUMIFS(KBS[TBAYAR2],KBS[TANGGAL],C17)</f>
        <v>0</v>
      </c>
      <c r="AR17" s="660">
        <f>SUMIFS(KBS[POTPPH],KBS[TANGGAL],C17)</f>
        <v>0</v>
      </c>
      <c r="AS17" s="660">
        <f>SUMIFS(KBS[TPEMBAYARAN],KBS[TANGGAL],C17)</f>
        <v>0</v>
      </c>
      <c r="AT17" s="660"/>
      <c r="AU17" s="659">
        <f>SUMIFS(KPR[BRUTO],KPR[TANGGAL],C17)</f>
        <v>0</v>
      </c>
      <c r="AV17" s="660">
        <f>SUMIFS(KPR[TARRA],KPR[TANGGAL],C17)</f>
        <v>0</v>
      </c>
      <c r="AW17" s="660">
        <f>SUMIFS(KPR[NETTO],KPR[TANGGAL],C17)</f>
        <v>0</v>
      </c>
      <c r="AX17" s="662">
        <f>SUMIFS(KPR[POTKRG],KPR[TANGGAL],C17)</f>
        <v>0</v>
      </c>
      <c r="AY17" s="660">
        <f>SUMIFS(KPR[TPOT1],KPR[TANGGAL],C17)</f>
        <v>0</v>
      </c>
      <c r="AZ17" s="662">
        <f>SUMIFS(KPR[POTAIR],KPR[TANGGAL],C17)</f>
        <v>0</v>
      </c>
      <c r="BA17" s="660">
        <f>SUMIFS(KPR[TPOT2],KPR[TANGGAL],C17)</f>
        <v>0</v>
      </c>
      <c r="BB17" s="660">
        <f>SUMIFS(KPR[NETTOA],KPR[TANGGAL],C17)</f>
        <v>0</v>
      </c>
      <c r="BC17" s="660">
        <f>SUMIFS(KPR[NETTOB],KPR[TANGGAL],C17)</f>
        <v>0</v>
      </c>
      <c r="BD17" s="660">
        <f t="shared" si="28"/>
        <v>0</v>
      </c>
      <c r="BE17" s="660">
        <f>SUMIFS(KPR[TOTAL],KPR[TANGGAL],C17)</f>
        <v>0</v>
      </c>
      <c r="BF17" s="662">
        <f t="shared" si="29"/>
        <v>0</v>
      </c>
      <c r="BG17" s="662">
        <f t="shared" si="30"/>
        <v>0</v>
      </c>
      <c r="BH17" s="660">
        <f>SUMIFS(KPR[TBAYAR2],KPR[TANGGAL],C17)</f>
        <v>0</v>
      </c>
      <c r="BI17" s="660">
        <f>SUMIFS(KPR[POTPPH],KPR[TANGGAL],C17)</f>
        <v>0</v>
      </c>
      <c r="BJ17" s="660">
        <f>SUMIFS(KPR[TPEMBAYARAN],KPR[TANGGAL],C17)</f>
        <v>0</v>
      </c>
      <c r="BK17" s="660"/>
      <c r="BL17" s="659">
        <f>SUMIFS(ARG[BRUTO],ARG[TANGGAL],C17)</f>
        <v>0</v>
      </c>
      <c r="BM17" s="659">
        <f>SUMIFS(ARG[TARRA],ARG[TANGGAL],C17)</f>
        <v>0</v>
      </c>
      <c r="BN17" s="659">
        <f>SUMIFS(ARG[NETTO1],ARG[TANGGAL],C17)</f>
        <v>0</v>
      </c>
      <c r="BO17" s="659">
        <f>SUMIFS(ARG[POTKARUNG],ARG[TANGGAL],C17)</f>
        <v>0</v>
      </c>
      <c r="BP17" s="659">
        <f>SUMIFS(ARG[TPOT1],ARG[TANGGAL],C17)</f>
        <v>0</v>
      </c>
      <c r="BQ17" s="659">
        <f>SUMIFS(ARG[NETTO2],ARG[TANGGAL],C17)</f>
        <v>0</v>
      </c>
      <c r="BR17" s="659">
        <f>SUMIFS(ARG[MC],ARG[TANGGAL],C17)</f>
        <v>0</v>
      </c>
      <c r="BS17" s="659">
        <f>SUMIFS(ARG[DC],ARG[TANGGAL],C17)</f>
        <v>0</v>
      </c>
      <c r="BT17" s="659">
        <f>SUMIFS(ARG[DC2],ARG[TANGGAL],C17)</f>
        <v>0</v>
      </c>
      <c r="BU17" s="659">
        <f>SUMIFS(ARG[NETTO3],ARG[TANGGAL],C17)</f>
        <v>0</v>
      </c>
      <c r="BV17" s="660">
        <f t="shared" si="31"/>
        <v>0</v>
      </c>
      <c r="BW17" s="659">
        <f>SUMIFS(ARG[TBAYAR1],ARG[TANGGAL],C17)</f>
        <v>0</v>
      </c>
      <c r="BX17" s="663">
        <f t="shared" si="32"/>
        <v>0</v>
      </c>
      <c r="BY17" s="663">
        <f t="shared" si="33"/>
        <v>0</v>
      </c>
      <c r="BZ17" s="659">
        <f>SUMIFS(ARG[TBAYAR2],ARG[TANGGAL],C17)</f>
        <v>0</v>
      </c>
      <c r="CA17" s="659">
        <f>SUMIFS(ARG[POTPPH],ARG[TANGGAL],C17)</f>
        <v>0</v>
      </c>
      <c r="CB17" s="659">
        <f>SUMIFS(ARG[TPEMBAYARAN],ARG[TANGGAL],C17)</f>
        <v>0</v>
      </c>
      <c r="CC17" s="616"/>
      <c r="CD17" s="575"/>
      <c r="CE17" s="348"/>
      <c r="CF17" s="348"/>
      <c r="CG17" s="348"/>
      <c r="CH17" s="348"/>
      <c r="CI17" s="348"/>
      <c r="CJ17" s="348"/>
      <c r="CK17" s="348"/>
      <c r="CL17" s="348"/>
      <c r="CM17" s="348"/>
      <c r="CN17" s="348"/>
      <c r="CO17" s="348"/>
      <c r="CP17" s="348"/>
      <c r="CQ17" s="576"/>
      <c r="CR17" s="348">
        <v>0</v>
      </c>
      <c r="CS17" s="348">
        <v>0</v>
      </c>
      <c r="CT17" s="348">
        <v>0</v>
      </c>
      <c r="CU17" s="348">
        <v>0</v>
      </c>
      <c r="CV17" s="348">
        <v>0</v>
      </c>
      <c r="CW17" s="348">
        <v>0</v>
      </c>
      <c r="CX17" s="348">
        <v>0</v>
      </c>
      <c r="CY17" s="348">
        <v>0</v>
      </c>
      <c r="CZ17" s="348">
        <v>0</v>
      </c>
      <c r="DA17" s="348">
        <v>0</v>
      </c>
      <c r="DB17" s="348">
        <v>0</v>
      </c>
      <c r="DC17" s="348">
        <v>0</v>
      </c>
      <c r="DD17" s="348">
        <v>0</v>
      </c>
      <c r="DE17" s="576"/>
      <c r="DF17" s="576"/>
      <c r="DG17" s="348">
        <v>276780</v>
      </c>
      <c r="DH17" s="348">
        <v>88050</v>
      </c>
      <c r="DI17" s="348">
        <v>188730</v>
      </c>
      <c r="DJ17" s="348">
        <v>0</v>
      </c>
      <c r="DK17" s="348">
        <v>480</v>
      </c>
      <c r="DL17" s="348">
        <v>188250</v>
      </c>
      <c r="DM17" s="348">
        <v>575.57609561752986</v>
      </c>
      <c r="DN17" s="348">
        <v>108352200</v>
      </c>
      <c r="DO17" s="348">
        <v>0</v>
      </c>
      <c r="DP17" s="348">
        <v>0</v>
      </c>
      <c r="DQ17" s="348">
        <v>108352200</v>
      </c>
      <c r="DR17" s="576"/>
      <c r="DS17" s="348"/>
      <c r="DT17" s="348"/>
      <c r="DU17" s="348"/>
      <c r="DV17" s="348"/>
      <c r="DW17" s="348"/>
      <c r="DX17" s="348"/>
      <c r="DY17" s="348"/>
      <c r="DZ17" s="348"/>
      <c r="EA17" s="576"/>
      <c r="EB17" s="348"/>
      <c r="EC17" s="348"/>
      <c r="ED17" s="348"/>
      <c r="EE17" s="348"/>
      <c r="EF17" s="348"/>
      <c r="EG17" s="348"/>
      <c r="EH17" s="348"/>
      <c r="EI17" s="348"/>
      <c r="EJ17" s="348">
        <v>0</v>
      </c>
      <c r="EK17" s="348">
        <v>0</v>
      </c>
      <c r="EL17" s="348">
        <v>0</v>
      </c>
      <c r="EM17" s="348">
        <v>0</v>
      </c>
      <c r="EN17" s="348">
        <v>0</v>
      </c>
      <c r="EO17" s="348">
        <v>0</v>
      </c>
      <c r="EP17" s="348">
        <v>0</v>
      </c>
      <c r="EQ17" s="348">
        <v>0</v>
      </c>
      <c r="ER17" s="348">
        <v>0</v>
      </c>
      <c r="ES17" s="348">
        <v>0</v>
      </c>
      <c r="ET17" s="348">
        <v>0</v>
      </c>
      <c r="EU17" s="348">
        <v>0</v>
      </c>
      <c r="EV17" s="348">
        <v>0</v>
      </c>
      <c r="EW17" s="348">
        <v>0</v>
      </c>
      <c r="EX17" s="348">
        <v>0</v>
      </c>
      <c r="EY17" s="348">
        <v>0</v>
      </c>
      <c r="EZ17" s="348">
        <v>0</v>
      </c>
      <c r="FA17" s="348">
        <v>0</v>
      </c>
      <c r="FB17" s="348">
        <v>0</v>
      </c>
      <c r="FC17" s="348">
        <v>0</v>
      </c>
      <c r="FD17" s="348">
        <v>0</v>
      </c>
      <c r="FE17" s="348">
        <v>0</v>
      </c>
      <c r="FF17" s="348">
        <v>0</v>
      </c>
      <c r="FG17" s="348">
        <v>0</v>
      </c>
      <c r="FH17" s="348">
        <v>0</v>
      </c>
      <c r="FI17" s="348">
        <v>0</v>
      </c>
      <c r="FJ17" s="348">
        <v>0</v>
      </c>
      <c r="FK17" s="348">
        <v>0</v>
      </c>
      <c r="FL17" s="348">
        <v>0</v>
      </c>
      <c r="FM17" s="348">
        <v>0</v>
      </c>
      <c r="FN17" s="348">
        <v>0</v>
      </c>
      <c r="FO17" s="348">
        <v>0</v>
      </c>
      <c r="FP17" s="348">
        <v>0</v>
      </c>
      <c r="FQ17" s="348">
        <v>0</v>
      </c>
      <c r="FR17" s="348">
        <v>0</v>
      </c>
      <c r="FS17" s="348">
        <v>950</v>
      </c>
      <c r="FT17" s="348">
        <v>0</v>
      </c>
      <c r="FU17" s="348">
        <v>2980</v>
      </c>
      <c r="FV17" s="348">
        <v>0</v>
      </c>
      <c r="FW17" s="348">
        <v>0</v>
      </c>
      <c r="FX17" s="348">
        <v>0</v>
      </c>
      <c r="FY17" s="348">
        <v>0</v>
      </c>
      <c r="FZ17" s="348">
        <v>0</v>
      </c>
      <c r="GA17" s="348">
        <v>40630</v>
      </c>
      <c r="GB17" s="348">
        <v>0</v>
      </c>
      <c r="GC17" s="348">
        <v>28790</v>
      </c>
      <c r="GD17" s="348">
        <f>35140+17660</f>
        <v>52800</v>
      </c>
      <c r="GE17" s="348">
        <v>0</v>
      </c>
      <c r="GF17" s="348">
        <v>84170</v>
      </c>
      <c r="GG17" s="348">
        <v>0</v>
      </c>
      <c r="GH17" s="348">
        <v>75000</v>
      </c>
      <c r="GI17" s="348">
        <v>0</v>
      </c>
      <c r="GJ17" s="348">
        <v>0</v>
      </c>
      <c r="GK17" s="348">
        <v>0</v>
      </c>
      <c r="GL17" s="348">
        <v>0</v>
      </c>
    </row>
    <row r="18" spans="2:194" s="349" customFormat="1" ht="30" customHeight="1">
      <c r="B18" s="557">
        <f t="shared" si="34"/>
        <v>10</v>
      </c>
      <c r="C18" s="645">
        <f t="shared" si="0"/>
        <v>43900</v>
      </c>
      <c r="D18" s="607"/>
      <c r="E18" s="659">
        <f>SUMIFS(KB[BRUTO],KB[TANGGAL],C18,KB[TYPE],"A")</f>
        <v>229720</v>
      </c>
      <c r="F18" s="660">
        <f>SUMIFS(KB[TARRA],KB[TANGGAL],C18,KB[TYPE],"A")</f>
        <v>97830</v>
      </c>
      <c r="G18" s="660">
        <f>SUMIFS(KB[NETTO],KB[TANGGAL],C18,KB[TYPE],"A")</f>
        <v>131890</v>
      </c>
      <c r="H18" s="660">
        <f t="shared" si="16"/>
        <v>5.6331033436955034</v>
      </c>
      <c r="I18" s="660">
        <f>SUMIFS(KB[TPOT],KB[TANGGAL],C18,KB[TYPE],"A")</f>
        <v>7429.5</v>
      </c>
      <c r="J18" s="660">
        <f>SUMIFS(KB[NETTO2],KB[TANGGAL],C18,KB[TYPE],"A")</f>
        <v>124460.5</v>
      </c>
      <c r="K18" s="660">
        <f t="shared" si="17"/>
        <v>2946.3099135870416</v>
      </c>
      <c r="L18" s="660">
        <f>SUMIFS(KB[TBAYAR],KB[TANGGAL],C18,KB[TYPE],"A")</f>
        <v>366699205</v>
      </c>
      <c r="M18" s="660">
        <f t="shared" si="18"/>
        <v>14.81</v>
      </c>
      <c r="N18" s="660">
        <f t="shared" si="19"/>
        <v>2961.1155828556048</v>
      </c>
      <c r="O18" s="660">
        <f>SUMIFS(KB[TBAYAR2],KB[TANGGAL],C18,KB[TYPE],"A")</f>
        <v>368541926</v>
      </c>
      <c r="P18" s="660">
        <f>SUMIFS(KB[POTPPH],KB[TANGGAL],C18,KB[TYPE],"A")</f>
        <v>1842709</v>
      </c>
      <c r="Q18" s="660">
        <f>SUMIFS(KB[TPEMBAYARAN],KB[TANGGAL],C18,KB[TYPE],"A")</f>
        <v>366699217</v>
      </c>
      <c r="R18" s="660"/>
      <c r="S18" s="659">
        <f>SUMIFS(KB[BRUTO],KB[TANGGAL],C18,KB[TYPE],"B")</f>
        <v>0</v>
      </c>
      <c r="T18" s="660">
        <f>SUMIFS(KB[TARRA],KB[TANGGAL],C18,KB[TYPE],"B")</f>
        <v>0</v>
      </c>
      <c r="U18" s="660">
        <f>SUMIFS(KB[NETTO],KB[TANGGAL],C18,KB[TYPE],"B")</f>
        <v>0</v>
      </c>
      <c r="V18" s="660">
        <f t="shared" si="20"/>
        <v>0</v>
      </c>
      <c r="W18" s="660">
        <f>SUMIFS(KB[TPOT],KB[TANGGAL],C18,KB[TYPE],"B")</f>
        <v>0</v>
      </c>
      <c r="X18" s="660">
        <f>SUMIFS(KB[NETTO2],KB[TANGGAL],C18,KB[TYPE],"B")</f>
        <v>0</v>
      </c>
      <c r="Y18" s="660">
        <f t="shared" si="21"/>
        <v>0</v>
      </c>
      <c r="Z18" s="660">
        <f>SUMIFS(KB[TBAYAR],KB[TANGGAL],C18,KB[TYPE],"B")</f>
        <v>0</v>
      </c>
      <c r="AA18" s="660">
        <f t="shared" si="22"/>
        <v>0</v>
      </c>
      <c r="AB18" s="660">
        <f t="shared" si="23"/>
        <v>0</v>
      </c>
      <c r="AC18" s="660">
        <f>SUMIFS(KB[TBAYAR2],KB[TANGGAL],C18,KB[TYPE],"B")</f>
        <v>0</v>
      </c>
      <c r="AD18" s="660">
        <f>SUMIFS(KB[POTPPH],KB[TANGGAL],C18,KB[TYPE],"B")</f>
        <v>0</v>
      </c>
      <c r="AE18" s="660">
        <f>SUMIFS(KB[TPEMBAYARAN],KB[TANGGAL],C18,KB[TYPE],"B")</f>
        <v>0</v>
      </c>
      <c r="AF18" s="664"/>
      <c r="AG18" s="659">
        <f>SUMIFS(KBS[BRUTO],KBS[TANGGAL],C18)</f>
        <v>0</v>
      </c>
      <c r="AH18" s="660">
        <f>SUMIFS(KBS[TARRA],KBS[TANGGAL],C18)</f>
        <v>0</v>
      </c>
      <c r="AI18" s="660">
        <f>SUMIFS(KBS[NETTO],KBS[TANGGAL],C18)</f>
        <v>0</v>
      </c>
      <c r="AJ18" s="660">
        <f t="shared" si="24"/>
        <v>0</v>
      </c>
      <c r="AK18" s="660">
        <f>SUMIFS(KBS[TPOT],KBS[TANGGAL],C18)</f>
        <v>0</v>
      </c>
      <c r="AL18" s="660">
        <f>SUMIFS(KBS[NETTO2],KBS[TANGGAL],C18)</f>
        <v>0</v>
      </c>
      <c r="AM18" s="660">
        <f t="shared" si="25"/>
        <v>0</v>
      </c>
      <c r="AN18" s="660">
        <f>SUMIFS(KBS[TBAYAR],KBS[TANGGAL],C18)</f>
        <v>0</v>
      </c>
      <c r="AO18" s="660">
        <f t="shared" si="26"/>
        <v>0</v>
      </c>
      <c r="AP18" s="660">
        <f t="shared" si="27"/>
        <v>0</v>
      </c>
      <c r="AQ18" s="660">
        <f>SUMIFS(KBS[TBAYAR2],KBS[TANGGAL],C18)</f>
        <v>0</v>
      </c>
      <c r="AR18" s="660">
        <f>SUMIFS(KBS[POTPPH],KBS[TANGGAL],C18)</f>
        <v>0</v>
      </c>
      <c r="AS18" s="660">
        <f>SUMIFS(KBS[TPEMBAYARAN],KBS[TANGGAL],C18)</f>
        <v>0</v>
      </c>
      <c r="AT18" s="660"/>
      <c r="AU18" s="659">
        <f>SUMIFS(KPR[BRUTO],KPR[TANGGAL],C18)</f>
        <v>0</v>
      </c>
      <c r="AV18" s="660">
        <f>SUMIFS(KPR[TARRA],KPR[TANGGAL],C18)</f>
        <v>0</v>
      </c>
      <c r="AW18" s="660">
        <f>SUMIFS(KPR[NETTO],KPR[TANGGAL],C18)</f>
        <v>0</v>
      </c>
      <c r="AX18" s="662">
        <f>SUMIFS(KPR[POTKRG],KPR[TANGGAL],C18)</f>
        <v>0</v>
      </c>
      <c r="AY18" s="660">
        <f>SUMIFS(KPR[TPOT1],KPR[TANGGAL],C18)</f>
        <v>0</v>
      </c>
      <c r="AZ18" s="662">
        <f>SUMIFS(KPR[POTAIR],KPR[TANGGAL],C18)</f>
        <v>0</v>
      </c>
      <c r="BA18" s="660">
        <f>SUMIFS(KPR[TPOT2],KPR[TANGGAL],C18)</f>
        <v>0</v>
      </c>
      <c r="BB18" s="660">
        <f>SUMIFS(KPR[NETTOA],KPR[TANGGAL],C18)</f>
        <v>0</v>
      </c>
      <c r="BC18" s="660">
        <f>SUMIFS(KPR[NETTOB],KPR[TANGGAL],C18)</f>
        <v>0</v>
      </c>
      <c r="BD18" s="660">
        <f t="shared" si="28"/>
        <v>0</v>
      </c>
      <c r="BE18" s="660">
        <f>SUMIFS(KPR[TOTAL],KPR[TANGGAL],C18)</f>
        <v>0</v>
      </c>
      <c r="BF18" s="662">
        <f t="shared" si="29"/>
        <v>0</v>
      </c>
      <c r="BG18" s="662">
        <f t="shared" si="30"/>
        <v>0</v>
      </c>
      <c r="BH18" s="660">
        <f>SUMIFS(KPR[TBAYAR2],KPR[TANGGAL],C18)</f>
        <v>0</v>
      </c>
      <c r="BI18" s="660">
        <f>SUMIFS(KPR[POTPPH],KPR[TANGGAL],C18)</f>
        <v>0</v>
      </c>
      <c r="BJ18" s="660">
        <f>SUMIFS(KPR[TPEMBAYARAN],KPR[TANGGAL],C18)</f>
        <v>0</v>
      </c>
      <c r="BK18" s="660"/>
      <c r="BL18" s="659">
        <f>SUMIFS(ARG[BRUTO],ARG[TANGGAL],C18)</f>
        <v>0</v>
      </c>
      <c r="BM18" s="659">
        <f>SUMIFS(ARG[TARRA],ARG[TANGGAL],C18)</f>
        <v>0</v>
      </c>
      <c r="BN18" s="659">
        <f>SUMIFS(ARG[NETTO1],ARG[TANGGAL],C18)</f>
        <v>0</v>
      </c>
      <c r="BO18" s="659">
        <f>SUMIFS(ARG[POTKARUNG],ARG[TANGGAL],C18)</f>
        <v>0</v>
      </c>
      <c r="BP18" s="659">
        <f>SUMIFS(ARG[TPOT1],ARG[TANGGAL],C18)</f>
        <v>0</v>
      </c>
      <c r="BQ18" s="659">
        <f>SUMIFS(ARG[NETTO2],ARG[TANGGAL],C18)</f>
        <v>0</v>
      </c>
      <c r="BR18" s="659">
        <f>SUMIFS(ARG[MC],ARG[TANGGAL],C18)</f>
        <v>0</v>
      </c>
      <c r="BS18" s="659">
        <f>SUMIFS(ARG[DC],ARG[TANGGAL],C18)</f>
        <v>0</v>
      </c>
      <c r="BT18" s="659">
        <f>SUMIFS(ARG[DC2],ARG[TANGGAL],C18)</f>
        <v>0</v>
      </c>
      <c r="BU18" s="659">
        <f>SUMIFS(ARG[NETTO3],ARG[TANGGAL],C18)</f>
        <v>0</v>
      </c>
      <c r="BV18" s="660">
        <f t="shared" si="31"/>
        <v>0</v>
      </c>
      <c r="BW18" s="659">
        <f>SUMIFS(ARG[TBAYAR1],ARG[TANGGAL],C18)</f>
        <v>0</v>
      </c>
      <c r="BX18" s="663">
        <f t="shared" si="32"/>
        <v>0</v>
      </c>
      <c r="BY18" s="663">
        <f t="shared" si="33"/>
        <v>0</v>
      </c>
      <c r="BZ18" s="659">
        <f>SUMIFS(ARG[TBAYAR2],ARG[TANGGAL],C18)</f>
        <v>0</v>
      </c>
      <c r="CA18" s="659">
        <f>SUMIFS(ARG[POTPPH],ARG[TANGGAL],C18)</f>
        <v>0</v>
      </c>
      <c r="CB18" s="659">
        <f>SUMIFS(ARG[TPEMBAYARAN],ARG[TANGGAL],C18)</f>
        <v>0</v>
      </c>
      <c r="CC18" s="623"/>
      <c r="CD18" s="594">
        <v>0</v>
      </c>
      <c r="CE18" s="355">
        <v>0</v>
      </c>
      <c r="CF18" s="355">
        <v>0</v>
      </c>
      <c r="CG18" s="355">
        <v>0</v>
      </c>
      <c r="CH18" s="355">
        <v>0</v>
      </c>
      <c r="CI18" s="355">
        <v>0</v>
      </c>
      <c r="CJ18" s="355">
        <v>0</v>
      </c>
      <c r="CK18" s="355">
        <v>0</v>
      </c>
      <c r="CL18" s="355">
        <v>0</v>
      </c>
      <c r="CM18" s="355">
        <v>0</v>
      </c>
      <c r="CN18" s="355">
        <v>0</v>
      </c>
      <c r="CO18" s="355">
        <v>0</v>
      </c>
      <c r="CP18" s="355">
        <v>0</v>
      </c>
      <c r="CQ18" s="587"/>
      <c r="CR18" s="355">
        <v>0</v>
      </c>
      <c r="CS18" s="355">
        <v>0</v>
      </c>
      <c r="CT18" s="355">
        <v>0</v>
      </c>
      <c r="CU18" s="355">
        <v>0</v>
      </c>
      <c r="CV18" s="355">
        <v>0</v>
      </c>
      <c r="CW18" s="355">
        <v>0</v>
      </c>
      <c r="CX18" s="355">
        <v>0</v>
      </c>
      <c r="CY18" s="355">
        <v>0</v>
      </c>
      <c r="CZ18" s="355">
        <v>0</v>
      </c>
      <c r="DA18" s="355">
        <v>0</v>
      </c>
      <c r="DB18" s="355">
        <v>0</v>
      </c>
      <c r="DC18" s="355">
        <v>0</v>
      </c>
      <c r="DD18" s="355">
        <v>0</v>
      </c>
      <c r="DE18" s="587"/>
      <c r="DF18" s="587"/>
      <c r="DG18" s="348">
        <v>177490</v>
      </c>
      <c r="DH18" s="348">
        <v>58380</v>
      </c>
      <c r="DI18" s="348">
        <v>119110</v>
      </c>
      <c r="DJ18" s="348">
        <v>0</v>
      </c>
      <c r="DK18" s="348">
        <v>0</v>
      </c>
      <c r="DL18" s="348">
        <v>119110</v>
      </c>
      <c r="DM18" s="348">
        <v>581.98388044664591</v>
      </c>
      <c r="DN18" s="348">
        <v>69320100</v>
      </c>
      <c r="DO18" s="348">
        <v>0</v>
      </c>
      <c r="DP18" s="348">
        <v>0</v>
      </c>
      <c r="DQ18" s="348">
        <v>69320100</v>
      </c>
      <c r="DR18" s="576"/>
      <c r="DS18" s="355"/>
      <c r="DT18" s="355"/>
      <c r="DU18" s="355"/>
      <c r="DV18" s="355"/>
      <c r="DW18" s="355"/>
      <c r="DX18" s="355"/>
      <c r="DY18" s="355"/>
      <c r="DZ18" s="355"/>
      <c r="EA18" s="587"/>
      <c r="EB18" s="355"/>
      <c r="EC18" s="355"/>
      <c r="ED18" s="355"/>
      <c r="EE18" s="355"/>
      <c r="EF18" s="355"/>
      <c r="EG18" s="355"/>
      <c r="EH18" s="355"/>
      <c r="EI18" s="355"/>
      <c r="EJ18" s="348">
        <v>0</v>
      </c>
      <c r="EK18" s="348">
        <v>0</v>
      </c>
      <c r="EL18" s="348">
        <v>0</v>
      </c>
      <c r="EM18" s="348">
        <v>0</v>
      </c>
      <c r="EN18" s="348">
        <v>0</v>
      </c>
      <c r="EO18" s="348">
        <v>0</v>
      </c>
      <c r="EP18" s="348">
        <v>0</v>
      </c>
      <c r="EQ18" s="348">
        <v>0</v>
      </c>
      <c r="ER18" s="348">
        <v>0</v>
      </c>
      <c r="ES18" s="348">
        <v>0</v>
      </c>
      <c r="ET18" s="348">
        <v>0</v>
      </c>
      <c r="EU18" s="348">
        <v>0</v>
      </c>
      <c r="EV18" s="348">
        <v>0</v>
      </c>
      <c r="EW18" s="348">
        <v>0</v>
      </c>
      <c r="EX18" s="348">
        <v>0</v>
      </c>
      <c r="EY18" s="348">
        <v>0</v>
      </c>
      <c r="EZ18" s="348">
        <v>0</v>
      </c>
      <c r="FA18" s="348">
        <v>0</v>
      </c>
      <c r="FB18" s="348">
        <v>0</v>
      </c>
      <c r="FC18" s="348">
        <v>0</v>
      </c>
      <c r="FD18" s="348">
        <v>0</v>
      </c>
      <c r="FE18" s="348">
        <v>0</v>
      </c>
      <c r="FF18" s="348">
        <v>0</v>
      </c>
      <c r="FG18" s="348">
        <v>0</v>
      </c>
      <c r="FH18" s="348">
        <v>0</v>
      </c>
      <c r="FI18" s="348">
        <v>0</v>
      </c>
      <c r="FJ18" s="348">
        <v>0</v>
      </c>
      <c r="FK18" s="348">
        <v>0</v>
      </c>
      <c r="FL18" s="348">
        <v>0</v>
      </c>
      <c r="FM18" s="348">
        <v>0</v>
      </c>
      <c r="FN18" s="348">
        <v>0</v>
      </c>
      <c r="FO18" s="348">
        <v>0</v>
      </c>
      <c r="FP18" s="348">
        <v>0</v>
      </c>
      <c r="FQ18" s="348">
        <v>0</v>
      </c>
      <c r="FR18" s="348">
        <v>0</v>
      </c>
      <c r="FS18" s="355">
        <v>730</v>
      </c>
      <c r="FT18" s="348">
        <v>0</v>
      </c>
      <c r="FU18" s="356">
        <v>2910</v>
      </c>
      <c r="FV18" s="353">
        <v>0</v>
      </c>
      <c r="FW18" s="353">
        <v>0</v>
      </c>
      <c r="FX18" s="354">
        <v>0</v>
      </c>
      <c r="FY18" s="353">
        <v>0</v>
      </c>
      <c r="FZ18" s="355">
        <v>0</v>
      </c>
      <c r="GA18" s="348">
        <v>105340</v>
      </c>
      <c r="GB18" s="353">
        <v>0</v>
      </c>
      <c r="GC18" s="348">
        <v>29200</v>
      </c>
      <c r="GD18" s="348">
        <v>59560</v>
      </c>
      <c r="GE18" s="355"/>
      <c r="GF18" s="348">
        <v>85130</v>
      </c>
      <c r="GG18" s="355"/>
      <c r="GH18" s="353">
        <v>0</v>
      </c>
      <c r="GI18" s="354">
        <v>0</v>
      </c>
      <c r="GJ18" s="353">
        <v>0</v>
      </c>
      <c r="GK18" s="355"/>
      <c r="GL18" s="353">
        <v>0</v>
      </c>
    </row>
    <row r="19" spans="2:194" s="358" customFormat="1" ht="30" customHeight="1">
      <c r="B19" s="557">
        <f t="shared" si="34"/>
        <v>11</v>
      </c>
      <c r="C19" s="645">
        <f t="shared" si="0"/>
        <v>43901</v>
      </c>
      <c r="D19" s="607"/>
      <c r="E19" s="659">
        <f>SUMIFS(KB[BRUTO],KB[TANGGAL],C19,KB[TYPE],"A")</f>
        <v>108940</v>
      </c>
      <c r="F19" s="660">
        <f>SUMIFS(KB[TARRA],KB[TANGGAL],C19,KB[TYPE],"A")</f>
        <v>50900</v>
      </c>
      <c r="G19" s="660">
        <f>SUMIFS(KB[NETTO],KB[TANGGAL],C19,KB[TYPE],"A")</f>
        <v>58040</v>
      </c>
      <c r="H19" s="660">
        <f t="shared" si="16"/>
        <v>5.372329427980703</v>
      </c>
      <c r="I19" s="660">
        <f>SUMIFS(KB[TPOT],KB[TANGGAL],C19,KB[TYPE],"A")</f>
        <v>3118.1</v>
      </c>
      <c r="J19" s="660">
        <f>SUMIFS(KB[NETTO2],KB[TANGGAL],C19,KB[TYPE],"A")</f>
        <v>54921.9</v>
      </c>
      <c r="K19" s="660">
        <f t="shared" si="17"/>
        <v>2928.231361260262</v>
      </c>
      <c r="L19" s="660">
        <f>SUMIFS(KB[TBAYAR],KB[TANGGAL],C19,KB[TYPE],"A")</f>
        <v>160824030</v>
      </c>
      <c r="M19" s="660">
        <f t="shared" si="18"/>
        <v>14.71</v>
      </c>
      <c r="N19" s="660">
        <f t="shared" si="19"/>
        <v>2942.943507052742</v>
      </c>
      <c r="O19" s="660">
        <f>SUMIFS(KB[TBAYAR2],KB[TANGGAL],C19,KB[TYPE],"A")</f>
        <v>161632049</v>
      </c>
      <c r="P19" s="660">
        <f>SUMIFS(KB[POTPPH],KB[TANGGAL],C19,KB[TYPE],"A")</f>
        <v>808161</v>
      </c>
      <c r="Q19" s="660">
        <f>SUMIFS(KB[TPEMBAYARAN],KB[TANGGAL],C19,KB[TYPE],"A")</f>
        <v>160823888</v>
      </c>
      <c r="R19" s="660"/>
      <c r="S19" s="659">
        <f>SUMIFS(KB[BRUTO],KB[TANGGAL],C19,KB[TYPE],"B")</f>
        <v>0</v>
      </c>
      <c r="T19" s="660">
        <f>SUMIFS(KB[TARRA],KB[TANGGAL],C19,KB[TYPE],"B")</f>
        <v>0</v>
      </c>
      <c r="U19" s="660">
        <f>SUMIFS(KB[NETTO],KB[TANGGAL],C19,KB[TYPE],"B")</f>
        <v>0</v>
      </c>
      <c r="V19" s="660">
        <f t="shared" si="20"/>
        <v>0</v>
      </c>
      <c r="W19" s="660">
        <f>SUMIFS(KB[TPOT],KB[TANGGAL],C19,KB[TYPE],"B")</f>
        <v>0</v>
      </c>
      <c r="X19" s="660">
        <f>SUMIFS(KB[NETTO2],KB[TANGGAL],C19,KB[TYPE],"B")</f>
        <v>0</v>
      </c>
      <c r="Y19" s="660">
        <f t="shared" si="21"/>
        <v>0</v>
      </c>
      <c r="Z19" s="660">
        <f>SUMIFS(KB[TBAYAR],KB[TANGGAL],C19,KB[TYPE],"B")</f>
        <v>0</v>
      </c>
      <c r="AA19" s="660">
        <f t="shared" si="22"/>
        <v>0</v>
      </c>
      <c r="AB19" s="660">
        <f t="shared" si="23"/>
        <v>0</v>
      </c>
      <c r="AC19" s="660">
        <f>SUMIFS(KB[TBAYAR2],KB[TANGGAL],C19,KB[TYPE],"B")</f>
        <v>0</v>
      </c>
      <c r="AD19" s="660">
        <f>SUMIFS(KB[POTPPH],KB[TANGGAL],C19,KB[TYPE],"B")</f>
        <v>0</v>
      </c>
      <c r="AE19" s="660">
        <f>SUMIFS(KB[TPEMBAYARAN],KB[TANGGAL],C19,KB[TYPE],"B")</f>
        <v>0</v>
      </c>
      <c r="AF19" s="660"/>
      <c r="AG19" s="659">
        <f>SUMIFS(KBS[BRUTO],KBS[TANGGAL],C19)</f>
        <v>0</v>
      </c>
      <c r="AH19" s="660">
        <f>SUMIFS(KBS[TARRA],KBS[TANGGAL],C19)</f>
        <v>0</v>
      </c>
      <c r="AI19" s="660">
        <f>SUMIFS(KBS[NETTO],KBS[TANGGAL],C19)</f>
        <v>0</v>
      </c>
      <c r="AJ19" s="660">
        <f t="shared" si="24"/>
        <v>0</v>
      </c>
      <c r="AK19" s="660">
        <f>SUMIFS(KBS[TPOT],KBS[TANGGAL],C19)</f>
        <v>0</v>
      </c>
      <c r="AL19" s="660">
        <f>SUMIFS(KBS[NETTO2],KBS[TANGGAL],C19)</f>
        <v>0</v>
      </c>
      <c r="AM19" s="660">
        <f t="shared" si="25"/>
        <v>0</v>
      </c>
      <c r="AN19" s="660">
        <f>SUMIFS(KBS[TBAYAR],KBS[TANGGAL],C19)</f>
        <v>0</v>
      </c>
      <c r="AO19" s="660">
        <f t="shared" si="26"/>
        <v>0</v>
      </c>
      <c r="AP19" s="660">
        <f t="shared" si="27"/>
        <v>0</v>
      </c>
      <c r="AQ19" s="660">
        <f>SUMIFS(KBS[TBAYAR2],KBS[TANGGAL],C19)</f>
        <v>0</v>
      </c>
      <c r="AR19" s="660">
        <f>SUMIFS(KBS[POTPPH],KBS[TANGGAL],C19)</f>
        <v>0</v>
      </c>
      <c r="AS19" s="660">
        <f>SUMIFS(KBS[TPEMBAYARAN],KBS[TANGGAL],C19)</f>
        <v>0</v>
      </c>
      <c r="AT19" s="660"/>
      <c r="AU19" s="659">
        <f>SUMIFS(KPR[BRUTO],KPR[TANGGAL],C19)</f>
        <v>0</v>
      </c>
      <c r="AV19" s="660">
        <f>SUMIFS(KPR[TARRA],KPR[TANGGAL],C19)</f>
        <v>0</v>
      </c>
      <c r="AW19" s="660">
        <f>SUMIFS(KPR[NETTO],KPR[TANGGAL],C19)</f>
        <v>0</v>
      </c>
      <c r="AX19" s="662">
        <f>SUMIFS(KPR[POTKRG],KPR[TANGGAL],C19)</f>
        <v>0</v>
      </c>
      <c r="AY19" s="660">
        <f>SUMIFS(KPR[TPOT1],KPR[TANGGAL],C19)</f>
        <v>0</v>
      </c>
      <c r="AZ19" s="662">
        <f>SUMIFS(KPR[POTAIR],KPR[TANGGAL],C19)</f>
        <v>0</v>
      </c>
      <c r="BA19" s="660">
        <f>SUMIFS(KPR[TPOT2],KPR[TANGGAL],C19)</f>
        <v>0</v>
      </c>
      <c r="BB19" s="660">
        <f>SUMIFS(KPR[NETTOA],KPR[TANGGAL],C19)</f>
        <v>0</v>
      </c>
      <c r="BC19" s="660">
        <f>SUMIFS(KPR[NETTOB],KPR[TANGGAL],C19)</f>
        <v>0</v>
      </c>
      <c r="BD19" s="660">
        <f t="shared" si="28"/>
        <v>0</v>
      </c>
      <c r="BE19" s="660">
        <f>SUMIFS(KPR[TOTAL],KPR[TANGGAL],C19)</f>
        <v>0</v>
      </c>
      <c r="BF19" s="662">
        <f t="shared" si="29"/>
        <v>0</v>
      </c>
      <c r="BG19" s="662">
        <f t="shared" si="30"/>
        <v>0</v>
      </c>
      <c r="BH19" s="660">
        <f>SUMIFS(KPR[TBAYAR2],KPR[TANGGAL],C19)</f>
        <v>0</v>
      </c>
      <c r="BI19" s="660">
        <f>SUMIFS(KPR[POTPPH],KPR[TANGGAL],C19)</f>
        <v>0</v>
      </c>
      <c r="BJ19" s="660">
        <f>SUMIFS(KPR[TPEMBAYARAN],KPR[TANGGAL],C19)</f>
        <v>0</v>
      </c>
      <c r="BK19" s="660"/>
      <c r="BL19" s="659">
        <f>SUMIFS(ARG[BRUTO],ARG[TANGGAL],C19)</f>
        <v>0</v>
      </c>
      <c r="BM19" s="659">
        <f>SUMIFS(ARG[TARRA],ARG[TANGGAL],C19)</f>
        <v>0</v>
      </c>
      <c r="BN19" s="659">
        <f>SUMIFS(ARG[NETTO1],ARG[TANGGAL],C19)</f>
        <v>0</v>
      </c>
      <c r="BO19" s="659">
        <f>SUMIFS(ARG[POTKARUNG],ARG[TANGGAL],C19)</f>
        <v>0</v>
      </c>
      <c r="BP19" s="659">
        <f>SUMIFS(ARG[TPOT1],ARG[TANGGAL],C19)</f>
        <v>0</v>
      </c>
      <c r="BQ19" s="659">
        <f>SUMIFS(ARG[NETTO2],ARG[TANGGAL],C19)</f>
        <v>0</v>
      </c>
      <c r="BR19" s="659">
        <f>SUMIFS(ARG[MC],ARG[TANGGAL],C19)</f>
        <v>0</v>
      </c>
      <c r="BS19" s="659">
        <f>SUMIFS(ARG[DC],ARG[TANGGAL],C19)</f>
        <v>0</v>
      </c>
      <c r="BT19" s="659">
        <f>SUMIFS(ARG[DC2],ARG[TANGGAL],C19)</f>
        <v>0</v>
      </c>
      <c r="BU19" s="659">
        <f>SUMIFS(ARG[NETTO3],ARG[TANGGAL],C19)</f>
        <v>0</v>
      </c>
      <c r="BV19" s="660">
        <f t="shared" si="31"/>
        <v>0</v>
      </c>
      <c r="BW19" s="659">
        <f>SUMIFS(ARG[TBAYAR1],ARG[TANGGAL],C19)</f>
        <v>0</v>
      </c>
      <c r="BX19" s="663">
        <f t="shared" si="32"/>
        <v>0</v>
      </c>
      <c r="BY19" s="663">
        <f t="shared" si="33"/>
        <v>0</v>
      </c>
      <c r="BZ19" s="659">
        <f>SUMIFS(ARG[TBAYAR2],ARG[TANGGAL],C19)</f>
        <v>0</v>
      </c>
      <c r="CA19" s="659">
        <f>SUMIFS(ARG[POTPPH],ARG[TANGGAL],C19)</f>
        <v>0</v>
      </c>
      <c r="CB19" s="659">
        <f>SUMIFS(ARG[TPEMBAYARAN],ARG[TANGGAL],C19)</f>
        <v>0</v>
      </c>
      <c r="CC19" s="616"/>
      <c r="CD19" s="575">
        <v>0</v>
      </c>
      <c r="CE19" s="348">
        <v>0</v>
      </c>
      <c r="CF19" s="348">
        <v>0</v>
      </c>
      <c r="CG19" s="348">
        <v>0</v>
      </c>
      <c r="CH19" s="348">
        <v>0</v>
      </c>
      <c r="CI19" s="348">
        <v>0</v>
      </c>
      <c r="CJ19" s="348">
        <v>0</v>
      </c>
      <c r="CK19" s="348">
        <v>0</v>
      </c>
      <c r="CL19" s="348">
        <v>0</v>
      </c>
      <c r="CM19" s="348">
        <v>0</v>
      </c>
      <c r="CN19" s="348">
        <v>0</v>
      </c>
      <c r="CO19" s="348">
        <v>0</v>
      </c>
      <c r="CP19" s="348">
        <v>0</v>
      </c>
      <c r="CQ19" s="576"/>
      <c r="CR19" s="348">
        <v>0</v>
      </c>
      <c r="CS19" s="348">
        <v>0</v>
      </c>
      <c r="CT19" s="348">
        <v>0</v>
      </c>
      <c r="CU19" s="348">
        <v>0</v>
      </c>
      <c r="CV19" s="348">
        <v>0</v>
      </c>
      <c r="CW19" s="348">
        <v>0</v>
      </c>
      <c r="CX19" s="348">
        <v>0</v>
      </c>
      <c r="CY19" s="348">
        <v>0</v>
      </c>
      <c r="CZ19" s="348">
        <v>0</v>
      </c>
      <c r="DA19" s="348">
        <v>0</v>
      </c>
      <c r="DB19" s="348">
        <v>0</v>
      </c>
      <c r="DC19" s="348">
        <v>0</v>
      </c>
      <c r="DD19" s="348">
        <v>0</v>
      </c>
      <c r="DE19" s="576"/>
      <c r="DF19" s="576"/>
      <c r="DG19" s="348">
        <v>210580</v>
      </c>
      <c r="DH19" s="348">
        <v>63400</v>
      </c>
      <c r="DI19" s="348">
        <v>147180</v>
      </c>
      <c r="DJ19" s="348">
        <v>0</v>
      </c>
      <c r="DK19" s="348">
        <v>130</v>
      </c>
      <c r="DL19" s="348">
        <v>147050</v>
      </c>
      <c r="DM19" s="348">
        <v>581.59741584495066</v>
      </c>
      <c r="DN19" s="348">
        <v>85523900</v>
      </c>
      <c r="DO19" s="348">
        <v>0</v>
      </c>
      <c r="DP19" s="348">
        <v>0</v>
      </c>
      <c r="DQ19" s="348">
        <v>85523900</v>
      </c>
      <c r="DR19" s="576"/>
      <c r="DS19" s="348"/>
      <c r="DT19" s="348"/>
      <c r="DU19" s="348"/>
      <c r="DV19" s="348"/>
      <c r="DW19" s="348"/>
      <c r="DX19" s="348"/>
      <c r="DY19" s="348"/>
      <c r="DZ19" s="348"/>
      <c r="EA19" s="576"/>
      <c r="EB19" s="348"/>
      <c r="EC19" s="348"/>
      <c r="ED19" s="348"/>
      <c r="EE19" s="348"/>
      <c r="EF19" s="348"/>
      <c r="EG19" s="348"/>
      <c r="EH19" s="348"/>
      <c r="EI19" s="348"/>
      <c r="EJ19" s="348">
        <v>0</v>
      </c>
      <c r="EK19" s="348">
        <v>0</v>
      </c>
      <c r="EL19" s="348">
        <v>0</v>
      </c>
      <c r="EM19" s="348">
        <v>0</v>
      </c>
      <c r="EN19" s="348">
        <v>0</v>
      </c>
      <c r="EO19" s="348">
        <v>0</v>
      </c>
      <c r="EP19" s="348">
        <v>0</v>
      </c>
      <c r="EQ19" s="348">
        <v>0</v>
      </c>
      <c r="ER19" s="348">
        <v>0</v>
      </c>
      <c r="ES19" s="348">
        <v>0</v>
      </c>
      <c r="ET19" s="348">
        <v>0</v>
      </c>
      <c r="EU19" s="348">
        <v>0</v>
      </c>
      <c r="EV19" s="348">
        <v>0</v>
      </c>
      <c r="EW19" s="348">
        <v>0</v>
      </c>
      <c r="EX19" s="348">
        <v>0</v>
      </c>
      <c r="EY19" s="348">
        <v>0</v>
      </c>
      <c r="EZ19" s="348">
        <v>0</v>
      </c>
      <c r="FA19" s="348">
        <v>0</v>
      </c>
      <c r="FB19" s="348">
        <v>0</v>
      </c>
      <c r="FC19" s="348">
        <v>0</v>
      </c>
      <c r="FD19" s="348">
        <v>0</v>
      </c>
      <c r="FE19" s="348">
        <v>0</v>
      </c>
      <c r="FF19" s="348">
        <v>0</v>
      </c>
      <c r="FG19" s="348">
        <v>0</v>
      </c>
      <c r="FH19" s="348">
        <v>0</v>
      </c>
      <c r="FI19" s="348">
        <v>0</v>
      </c>
      <c r="FJ19" s="348">
        <v>0</v>
      </c>
      <c r="FK19" s="348">
        <v>0</v>
      </c>
      <c r="FL19" s="348">
        <v>0</v>
      </c>
      <c r="FM19" s="348">
        <v>0</v>
      </c>
      <c r="FN19" s="348">
        <v>0</v>
      </c>
      <c r="FO19" s="348">
        <v>0</v>
      </c>
      <c r="FP19" s="348">
        <v>0</v>
      </c>
      <c r="FQ19" s="348">
        <v>0</v>
      </c>
      <c r="FR19" s="348">
        <v>0</v>
      </c>
      <c r="FS19" s="357">
        <v>770</v>
      </c>
      <c r="FT19" s="348">
        <v>0</v>
      </c>
      <c r="FU19" s="356">
        <v>5350</v>
      </c>
      <c r="FV19" s="353">
        <v>0</v>
      </c>
      <c r="FW19" s="353">
        <v>0</v>
      </c>
      <c r="FX19" s="354">
        <v>6830</v>
      </c>
      <c r="FY19" s="353">
        <v>0</v>
      </c>
      <c r="FZ19" s="353">
        <v>0</v>
      </c>
      <c r="GA19" s="348">
        <v>0</v>
      </c>
      <c r="GB19" s="353">
        <v>0</v>
      </c>
      <c r="GC19" s="348">
        <v>27420</v>
      </c>
      <c r="GD19" s="348">
        <v>46660</v>
      </c>
      <c r="GE19" s="348"/>
      <c r="GF19" s="348">
        <v>59820</v>
      </c>
      <c r="GG19" s="348"/>
      <c r="GH19" s="353">
        <v>20000</v>
      </c>
      <c r="GI19" s="354">
        <v>0</v>
      </c>
      <c r="GJ19" s="353">
        <v>0</v>
      </c>
      <c r="GK19" s="355"/>
      <c r="GL19" s="353">
        <v>0</v>
      </c>
    </row>
    <row r="20" spans="2:194" s="349" customFormat="1" ht="30" customHeight="1">
      <c r="B20" s="557">
        <f t="shared" si="34"/>
        <v>12</v>
      </c>
      <c r="C20" s="645">
        <f t="shared" si="0"/>
        <v>43902</v>
      </c>
      <c r="D20" s="607"/>
      <c r="E20" s="659">
        <f>SUMIFS(KB[BRUTO],KB[TANGGAL],C20,KB[TYPE],"A")</f>
        <v>131210</v>
      </c>
      <c r="F20" s="660">
        <f>SUMIFS(KB[TARRA],KB[TANGGAL],C20,KB[TYPE],"A")</f>
        <v>54580</v>
      </c>
      <c r="G20" s="660">
        <f>SUMIFS(KB[NETTO],KB[TANGGAL],C20,KB[TYPE],"A")</f>
        <v>76630</v>
      </c>
      <c r="H20" s="660">
        <f t="shared" si="16"/>
        <v>5.3291139240506329</v>
      </c>
      <c r="I20" s="660">
        <f>SUMIFS(KB[TPOT],KB[TANGGAL],C20,KB[TYPE],"A")</f>
        <v>4083.7</v>
      </c>
      <c r="J20" s="660">
        <f>SUMIFS(KB[NETTO2],KB[TANGGAL],C20,KB[TYPE],"A")</f>
        <v>72546.3</v>
      </c>
      <c r="K20" s="660">
        <f t="shared" si="17"/>
        <v>2935.7100224270566</v>
      </c>
      <c r="L20" s="660">
        <f>SUMIFS(KB[TBAYAR],KB[TANGGAL],C20,KB[TYPE],"A")</f>
        <v>212974900</v>
      </c>
      <c r="M20" s="660">
        <f t="shared" si="18"/>
        <v>14.75</v>
      </c>
      <c r="N20" s="660">
        <f t="shared" si="19"/>
        <v>2950.4616775769405</v>
      </c>
      <c r="O20" s="660">
        <f>SUMIFS(KB[TBAYAR2],KB[TANGGAL],C20,KB[TYPE],"A")</f>
        <v>214045078</v>
      </c>
      <c r="P20" s="660">
        <f>SUMIFS(KB[POTPPH],KB[TANGGAL],C20,KB[TYPE],"A")</f>
        <v>1070225</v>
      </c>
      <c r="Q20" s="660">
        <f>SUMIFS(KB[TPEMBAYARAN],KB[TANGGAL],C20,KB[TYPE],"A")</f>
        <v>212974853</v>
      </c>
      <c r="R20" s="660"/>
      <c r="S20" s="659">
        <f>SUMIFS(KB[BRUTO],KB[TANGGAL],C20,KB[TYPE],"B")</f>
        <v>0</v>
      </c>
      <c r="T20" s="660">
        <f>SUMIFS(KB[TARRA],KB[TANGGAL],C20,KB[TYPE],"B")</f>
        <v>0</v>
      </c>
      <c r="U20" s="660">
        <f>SUMIFS(KB[NETTO],KB[TANGGAL],C20,KB[TYPE],"B")</f>
        <v>0</v>
      </c>
      <c r="V20" s="660">
        <f t="shared" si="20"/>
        <v>0</v>
      </c>
      <c r="W20" s="660">
        <f>SUMIFS(KB[TPOT],KB[TANGGAL],C20,KB[TYPE],"B")</f>
        <v>0</v>
      </c>
      <c r="X20" s="660">
        <f>SUMIFS(KB[NETTO2],KB[TANGGAL],C20,KB[TYPE],"B")</f>
        <v>0</v>
      </c>
      <c r="Y20" s="660">
        <f t="shared" si="21"/>
        <v>0</v>
      </c>
      <c r="Z20" s="660">
        <f>SUMIFS(KB[TBAYAR],KB[TANGGAL],C20,KB[TYPE],"B")</f>
        <v>0</v>
      </c>
      <c r="AA20" s="660">
        <f t="shared" si="22"/>
        <v>0</v>
      </c>
      <c r="AB20" s="660">
        <f t="shared" si="23"/>
        <v>0</v>
      </c>
      <c r="AC20" s="660">
        <f>SUMIFS(KB[TBAYAR2],KB[TANGGAL],C20,KB[TYPE],"B")</f>
        <v>0</v>
      </c>
      <c r="AD20" s="660">
        <f>SUMIFS(KB[POTPPH],KB[TANGGAL],C20,KB[TYPE],"B")</f>
        <v>0</v>
      </c>
      <c r="AE20" s="660">
        <f>SUMIFS(KB[TPEMBAYARAN],KB[TANGGAL],C20,KB[TYPE],"B")</f>
        <v>0</v>
      </c>
      <c r="AF20" s="660"/>
      <c r="AG20" s="659">
        <f>SUMIFS(KBS[BRUTO],KBS[TANGGAL],C20)</f>
        <v>0</v>
      </c>
      <c r="AH20" s="660">
        <f>SUMIFS(KBS[TARRA],KBS[TANGGAL],C20)</f>
        <v>0</v>
      </c>
      <c r="AI20" s="660">
        <f>SUMIFS(KBS[NETTO],KBS[TANGGAL],C20)</f>
        <v>0</v>
      </c>
      <c r="AJ20" s="660">
        <f t="shared" si="24"/>
        <v>0</v>
      </c>
      <c r="AK20" s="660">
        <f>SUMIFS(KBS[TPOT],KBS[TANGGAL],C20)</f>
        <v>0</v>
      </c>
      <c r="AL20" s="660">
        <f>SUMIFS(KBS[NETTO2],KBS[TANGGAL],C20)</f>
        <v>0</v>
      </c>
      <c r="AM20" s="660">
        <f t="shared" si="25"/>
        <v>0</v>
      </c>
      <c r="AN20" s="660">
        <f>SUMIFS(KBS[TBAYAR],KBS[TANGGAL],C20)</f>
        <v>0</v>
      </c>
      <c r="AO20" s="660">
        <f t="shared" si="26"/>
        <v>0</v>
      </c>
      <c r="AP20" s="660">
        <f t="shared" si="27"/>
        <v>0</v>
      </c>
      <c r="AQ20" s="660">
        <f>SUMIFS(KBS[TBAYAR2],KBS[TANGGAL],C20)</f>
        <v>0</v>
      </c>
      <c r="AR20" s="660">
        <f>SUMIFS(KBS[POTPPH],KBS[TANGGAL],C20)</f>
        <v>0</v>
      </c>
      <c r="AS20" s="660">
        <f>SUMIFS(KBS[TPEMBAYARAN],KBS[TANGGAL],C20)</f>
        <v>0</v>
      </c>
      <c r="AT20" s="660"/>
      <c r="AU20" s="659">
        <f>SUMIFS(KPR[BRUTO],KPR[TANGGAL],C20)</f>
        <v>0</v>
      </c>
      <c r="AV20" s="660">
        <f>SUMIFS(KPR[TARRA],KPR[TANGGAL],C20)</f>
        <v>0</v>
      </c>
      <c r="AW20" s="660">
        <f>SUMIFS(KPR[NETTO],KPR[TANGGAL],C20)</f>
        <v>0</v>
      </c>
      <c r="AX20" s="662">
        <f>SUMIFS(KPR[POTKRG],KPR[TANGGAL],C20)</f>
        <v>0</v>
      </c>
      <c r="AY20" s="660">
        <f>SUMIFS(KPR[TPOT1],KPR[TANGGAL],C20)</f>
        <v>0</v>
      </c>
      <c r="AZ20" s="662">
        <f>SUMIFS(KPR[POTAIR],KPR[TANGGAL],C20)</f>
        <v>0</v>
      </c>
      <c r="BA20" s="660">
        <f>SUMIFS(KPR[TPOT2],KPR[TANGGAL],C20)</f>
        <v>0</v>
      </c>
      <c r="BB20" s="660">
        <f>SUMIFS(KPR[NETTOA],KPR[TANGGAL],C20)</f>
        <v>0</v>
      </c>
      <c r="BC20" s="660">
        <f>SUMIFS(KPR[NETTOB],KPR[TANGGAL],C20)</f>
        <v>0</v>
      </c>
      <c r="BD20" s="660">
        <f t="shared" si="28"/>
        <v>0</v>
      </c>
      <c r="BE20" s="660">
        <f>SUMIFS(KPR[TOTAL],KPR[TANGGAL],C20)</f>
        <v>0</v>
      </c>
      <c r="BF20" s="662">
        <f t="shared" si="29"/>
        <v>0</v>
      </c>
      <c r="BG20" s="662">
        <f t="shared" si="30"/>
        <v>0</v>
      </c>
      <c r="BH20" s="660">
        <f>SUMIFS(KPR[TBAYAR2],KPR[TANGGAL],C20)</f>
        <v>0</v>
      </c>
      <c r="BI20" s="660">
        <f>SUMIFS(KPR[POTPPH],KPR[TANGGAL],C20)</f>
        <v>0</v>
      </c>
      <c r="BJ20" s="660">
        <f>SUMIFS(KPR[TPEMBAYARAN],KPR[TANGGAL],C20)</f>
        <v>0</v>
      </c>
      <c r="BK20" s="660"/>
      <c r="BL20" s="659">
        <f>SUMIFS(ARG[BRUTO],ARG[TANGGAL],C20)</f>
        <v>0</v>
      </c>
      <c r="BM20" s="659">
        <f>SUMIFS(ARG[TARRA],ARG[TANGGAL],C20)</f>
        <v>0</v>
      </c>
      <c r="BN20" s="659">
        <f>SUMIFS(ARG[NETTO1],ARG[TANGGAL],C20)</f>
        <v>0</v>
      </c>
      <c r="BO20" s="659">
        <f>SUMIFS(ARG[POTKARUNG],ARG[TANGGAL],C20)</f>
        <v>0</v>
      </c>
      <c r="BP20" s="659">
        <f>SUMIFS(ARG[TPOT1],ARG[TANGGAL],C20)</f>
        <v>0</v>
      </c>
      <c r="BQ20" s="659">
        <f>SUMIFS(ARG[NETTO2],ARG[TANGGAL],C20)</f>
        <v>0</v>
      </c>
      <c r="BR20" s="659">
        <f>SUMIFS(ARG[MC],ARG[TANGGAL],C20)</f>
        <v>0</v>
      </c>
      <c r="BS20" s="659">
        <f>SUMIFS(ARG[DC],ARG[TANGGAL],C20)</f>
        <v>0</v>
      </c>
      <c r="BT20" s="659">
        <f>SUMIFS(ARG[DC2],ARG[TANGGAL],C20)</f>
        <v>0</v>
      </c>
      <c r="BU20" s="659">
        <f>SUMIFS(ARG[NETTO3],ARG[TANGGAL],C20)</f>
        <v>0</v>
      </c>
      <c r="BV20" s="660">
        <f t="shared" si="31"/>
        <v>0</v>
      </c>
      <c r="BW20" s="659">
        <f>SUMIFS(ARG[TBAYAR1],ARG[TANGGAL],C20)</f>
        <v>0</v>
      </c>
      <c r="BX20" s="663">
        <f t="shared" si="32"/>
        <v>0</v>
      </c>
      <c r="BY20" s="663">
        <f t="shared" si="33"/>
        <v>0</v>
      </c>
      <c r="BZ20" s="659">
        <f>SUMIFS(ARG[TBAYAR2],ARG[TANGGAL],C20)</f>
        <v>0</v>
      </c>
      <c r="CA20" s="659">
        <f>SUMIFS(ARG[POTPPH],ARG[TANGGAL],C20)</f>
        <v>0</v>
      </c>
      <c r="CB20" s="659">
        <f>SUMIFS(ARG[TPEMBAYARAN],ARG[TANGGAL],C20)</f>
        <v>0</v>
      </c>
      <c r="CC20" s="616"/>
      <c r="CD20" s="575"/>
      <c r="CE20" s="348"/>
      <c r="CF20" s="348"/>
      <c r="CG20" s="348"/>
      <c r="CH20" s="348"/>
      <c r="CI20" s="348"/>
      <c r="CJ20" s="348"/>
      <c r="CK20" s="348"/>
      <c r="CL20" s="348"/>
      <c r="CM20" s="348"/>
      <c r="CN20" s="348"/>
      <c r="CO20" s="348"/>
      <c r="CP20" s="348"/>
      <c r="CQ20" s="576"/>
      <c r="CR20" s="348">
        <v>0</v>
      </c>
      <c r="CS20" s="348">
        <v>0</v>
      </c>
      <c r="CT20" s="348">
        <v>0</v>
      </c>
      <c r="CU20" s="348">
        <v>0</v>
      </c>
      <c r="CV20" s="348">
        <v>0</v>
      </c>
      <c r="CW20" s="348">
        <v>0</v>
      </c>
      <c r="CX20" s="348">
        <v>0</v>
      </c>
      <c r="CY20" s="348">
        <v>0</v>
      </c>
      <c r="CZ20" s="348">
        <v>0</v>
      </c>
      <c r="DA20" s="348">
        <v>0</v>
      </c>
      <c r="DB20" s="348">
        <v>0</v>
      </c>
      <c r="DC20" s="348">
        <v>0</v>
      </c>
      <c r="DD20" s="348">
        <v>0</v>
      </c>
      <c r="DE20" s="576"/>
      <c r="DF20" s="576"/>
      <c r="DG20" s="348">
        <v>33560</v>
      </c>
      <c r="DH20" s="348">
        <v>12030</v>
      </c>
      <c r="DI20" s="348">
        <v>21530</v>
      </c>
      <c r="DJ20" s="348">
        <v>0</v>
      </c>
      <c r="DK20" s="348">
        <v>0</v>
      </c>
      <c r="DL20" s="348">
        <v>21530</v>
      </c>
      <c r="DM20" s="348">
        <v>590</v>
      </c>
      <c r="DN20" s="348">
        <v>12702700</v>
      </c>
      <c r="DO20" s="348">
        <v>0</v>
      </c>
      <c r="DP20" s="348">
        <v>0</v>
      </c>
      <c r="DQ20" s="348">
        <v>12702700</v>
      </c>
      <c r="DR20" s="576"/>
      <c r="DS20" s="348"/>
      <c r="DT20" s="348"/>
      <c r="DU20" s="348"/>
      <c r="DV20" s="348"/>
      <c r="DW20" s="348"/>
      <c r="DX20" s="348"/>
      <c r="DY20" s="348"/>
      <c r="DZ20" s="348"/>
      <c r="EA20" s="576"/>
      <c r="EB20" s="348"/>
      <c r="EC20" s="348"/>
      <c r="ED20" s="348"/>
      <c r="EE20" s="348"/>
      <c r="EF20" s="348"/>
      <c r="EG20" s="348"/>
      <c r="EH20" s="348"/>
      <c r="EI20" s="348"/>
      <c r="EJ20" s="348"/>
      <c r="EK20" s="348"/>
      <c r="EL20" s="348"/>
      <c r="EM20" s="348"/>
      <c r="EN20" s="348"/>
      <c r="EO20" s="348"/>
      <c r="EP20" s="348"/>
      <c r="EQ20" s="348"/>
      <c r="ER20" s="348"/>
      <c r="ES20" s="348"/>
      <c r="ET20" s="348"/>
      <c r="EU20" s="348"/>
      <c r="EV20" s="348"/>
      <c r="EW20" s="348"/>
      <c r="EX20" s="348"/>
      <c r="EY20" s="348"/>
      <c r="EZ20" s="348"/>
      <c r="FA20" s="348"/>
      <c r="FB20" s="348"/>
      <c r="FC20" s="348"/>
      <c r="FD20" s="348"/>
      <c r="FE20" s="348"/>
      <c r="FF20" s="348"/>
      <c r="FG20" s="350">
        <v>0</v>
      </c>
      <c r="FH20" s="350">
        <v>0</v>
      </c>
      <c r="FI20" s="350">
        <v>0</v>
      </c>
      <c r="FJ20" s="350">
        <v>0</v>
      </c>
      <c r="FK20" s="350">
        <v>0</v>
      </c>
      <c r="FL20" s="350">
        <v>0</v>
      </c>
      <c r="FM20" s="350">
        <v>0</v>
      </c>
      <c r="FN20" s="350">
        <v>0</v>
      </c>
      <c r="FO20" s="350">
        <v>0</v>
      </c>
      <c r="FP20" s="350">
        <v>0</v>
      </c>
      <c r="FQ20" s="350">
        <v>0</v>
      </c>
      <c r="FR20" s="350">
        <v>0</v>
      </c>
      <c r="FS20" s="351">
        <v>0</v>
      </c>
      <c r="FT20" s="348">
        <v>0</v>
      </c>
      <c r="FU20" s="356">
        <v>2630</v>
      </c>
      <c r="FV20" s="353">
        <v>2730</v>
      </c>
      <c r="FW20" s="353">
        <v>0</v>
      </c>
      <c r="FX20" s="354">
        <v>0</v>
      </c>
      <c r="FY20" s="353">
        <v>0</v>
      </c>
      <c r="FZ20" s="353">
        <v>0</v>
      </c>
      <c r="GA20" s="348">
        <v>108590</v>
      </c>
      <c r="GB20" s="353">
        <v>0</v>
      </c>
      <c r="GC20" s="348">
        <v>0</v>
      </c>
      <c r="GD20" s="348">
        <v>8560</v>
      </c>
      <c r="GE20" s="348"/>
      <c r="GF20" s="348">
        <v>51210</v>
      </c>
      <c r="GG20" s="348"/>
      <c r="GH20" s="353">
        <v>0</v>
      </c>
      <c r="GI20" s="354">
        <v>0</v>
      </c>
      <c r="GJ20" s="353">
        <v>0</v>
      </c>
      <c r="GK20" s="355"/>
      <c r="GL20" s="353">
        <v>0</v>
      </c>
    </row>
    <row r="21" spans="2:194" s="349" customFormat="1" ht="30" customHeight="1">
      <c r="B21" s="557">
        <f t="shared" si="34"/>
        <v>13</v>
      </c>
      <c r="C21" s="645">
        <f t="shared" si="0"/>
        <v>43903</v>
      </c>
      <c r="D21" s="607"/>
      <c r="E21" s="659">
        <f>SUMIFS(KB[BRUTO],KB[TANGGAL],C21,KB[TYPE],"A")</f>
        <v>273960</v>
      </c>
      <c r="F21" s="660">
        <f>SUMIFS(KB[TARRA],KB[TANGGAL],C21,KB[TYPE],"A")</f>
        <v>127880</v>
      </c>
      <c r="G21" s="660">
        <f>SUMIFS(KB[NETTO],KB[TANGGAL],C21,KB[TYPE],"A")</f>
        <v>146080</v>
      </c>
      <c r="H21" s="660">
        <f t="shared" si="16"/>
        <v>5.8908817086527945</v>
      </c>
      <c r="I21" s="660">
        <f>SUMIFS(KB[TPOT],KB[TANGGAL],C21,KB[TYPE],"A")</f>
        <v>8605.4000000000015</v>
      </c>
      <c r="J21" s="660">
        <f>SUMIFS(KB[NETTO2],KB[TANGGAL],C21,KB[TYPE],"A")</f>
        <v>137474.59999999998</v>
      </c>
      <c r="K21" s="660">
        <f t="shared" si="17"/>
        <v>3167.976848086847</v>
      </c>
      <c r="L21" s="660">
        <f>SUMIFS(KB[TBAYAR],KB[TANGGAL],C21,KB[TYPE],"A")</f>
        <v>435516350</v>
      </c>
      <c r="M21" s="660">
        <f t="shared" si="18"/>
        <v>15.92</v>
      </c>
      <c r="N21" s="660">
        <f t="shared" si="19"/>
        <v>3183.8942320981482</v>
      </c>
      <c r="O21" s="660">
        <f>SUMIFS(KB[TBAYAR2],KB[TANGGAL],C21,KB[TYPE],"A")</f>
        <v>437704586</v>
      </c>
      <c r="P21" s="660">
        <f>SUMIFS(KB[POTPPH],KB[TANGGAL],C21,KB[TYPE],"A")</f>
        <v>2188526</v>
      </c>
      <c r="Q21" s="660">
        <f>SUMIFS(KB[TPEMBAYARAN],KB[TANGGAL],C21,KB[TYPE],"A")</f>
        <v>435516060</v>
      </c>
      <c r="R21" s="660"/>
      <c r="S21" s="659">
        <f>SUMIFS(KB[BRUTO],KB[TANGGAL],C21,KB[TYPE],"B")</f>
        <v>0</v>
      </c>
      <c r="T21" s="660">
        <f>SUMIFS(KB[TARRA],KB[TANGGAL],C21,KB[TYPE],"B")</f>
        <v>0</v>
      </c>
      <c r="U21" s="660">
        <f>SUMIFS(KB[NETTO],KB[TANGGAL],C21,KB[TYPE],"B")</f>
        <v>0</v>
      </c>
      <c r="V21" s="660">
        <f t="shared" si="20"/>
        <v>0</v>
      </c>
      <c r="W21" s="660">
        <f>SUMIFS(KB[TPOT],KB[TANGGAL],C21,KB[TYPE],"B")</f>
        <v>0</v>
      </c>
      <c r="X21" s="660">
        <f>SUMIFS(KB[NETTO2],KB[TANGGAL],C21,KB[TYPE],"B")</f>
        <v>0</v>
      </c>
      <c r="Y21" s="660">
        <f t="shared" si="21"/>
        <v>0</v>
      </c>
      <c r="Z21" s="660">
        <f>SUMIFS(KB[TBAYAR],KB[TANGGAL],C21,KB[TYPE],"B")</f>
        <v>0</v>
      </c>
      <c r="AA21" s="660">
        <f t="shared" si="22"/>
        <v>0</v>
      </c>
      <c r="AB21" s="660">
        <f t="shared" si="23"/>
        <v>0</v>
      </c>
      <c r="AC21" s="660">
        <f>SUMIFS(KB[TBAYAR2],KB[TANGGAL],C21,KB[TYPE],"B")</f>
        <v>0</v>
      </c>
      <c r="AD21" s="660">
        <f>SUMIFS(KB[POTPPH],KB[TANGGAL],C21,KB[TYPE],"B")</f>
        <v>0</v>
      </c>
      <c r="AE21" s="660">
        <f>SUMIFS(KB[TPEMBAYARAN],KB[TANGGAL],C21,KB[TYPE],"B")</f>
        <v>0</v>
      </c>
      <c r="AF21" s="660"/>
      <c r="AG21" s="659">
        <f>SUMIFS(KBS[BRUTO],KBS[TANGGAL],C21)</f>
        <v>0</v>
      </c>
      <c r="AH21" s="660">
        <f>SUMIFS(KBS[TARRA],KBS[TANGGAL],C21)</f>
        <v>0</v>
      </c>
      <c r="AI21" s="660">
        <f>SUMIFS(KBS[NETTO],KBS[TANGGAL],C21)</f>
        <v>0</v>
      </c>
      <c r="AJ21" s="660">
        <f t="shared" si="24"/>
        <v>0</v>
      </c>
      <c r="AK21" s="660">
        <f>SUMIFS(KBS[TPOT],KBS[TANGGAL],C21)</f>
        <v>0</v>
      </c>
      <c r="AL21" s="660">
        <f>SUMIFS(KBS[NETTO2],KBS[TANGGAL],C21)</f>
        <v>0</v>
      </c>
      <c r="AM21" s="660">
        <f t="shared" si="25"/>
        <v>0</v>
      </c>
      <c r="AN21" s="660">
        <f>SUMIFS(KBS[TBAYAR],KBS[TANGGAL],C21)</f>
        <v>0</v>
      </c>
      <c r="AO21" s="660">
        <f t="shared" si="26"/>
        <v>0</v>
      </c>
      <c r="AP21" s="660">
        <f t="shared" si="27"/>
        <v>0</v>
      </c>
      <c r="AQ21" s="660">
        <f>SUMIFS(KBS[TBAYAR2],KBS[TANGGAL],C21)</f>
        <v>0</v>
      </c>
      <c r="AR21" s="660">
        <f>SUMIFS(KBS[POTPPH],KBS[TANGGAL],C21)</f>
        <v>0</v>
      </c>
      <c r="AS21" s="660">
        <f>SUMIFS(KBS[TPEMBAYARAN],KBS[TANGGAL],C21)</f>
        <v>0</v>
      </c>
      <c r="AT21" s="660"/>
      <c r="AU21" s="659">
        <f>SUMIFS(KPR[BRUTO],KPR[TANGGAL],C21)</f>
        <v>0</v>
      </c>
      <c r="AV21" s="660">
        <f>SUMIFS(KPR[TARRA],KPR[TANGGAL],C21)</f>
        <v>0</v>
      </c>
      <c r="AW21" s="660">
        <f>SUMIFS(KPR[NETTO],KPR[TANGGAL],C21)</f>
        <v>0</v>
      </c>
      <c r="AX21" s="662">
        <f>SUMIFS(KPR[POTKRG],KPR[TANGGAL],C21)</f>
        <v>0</v>
      </c>
      <c r="AY21" s="660">
        <f>SUMIFS(KPR[TPOT1],KPR[TANGGAL],C21)</f>
        <v>0</v>
      </c>
      <c r="AZ21" s="662">
        <f>SUMIFS(KPR[POTAIR],KPR[TANGGAL],C21)</f>
        <v>0</v>
      </c>
      <c r="BA21" s="660">
        <f>SUMIFS(KPR[TPOT2],KPR[TANGGAL],C21)</f>
        <v>0</v>
      </c>
      <c r="BB21" s="660">
        <f>SUMIFS(KPR[NETTOA],KPR[TANGGAL],C21)</f>
        <v>0</v>
      </c>
      <c r="BC21" s="660">
        <f>SUMIFS(KPR[NETTOB],KPR[TANGGAL],C21)</f>
        <v>0</v>
      </c>
      <c r="BD21" s="660">
        <f t="shared" si="28"/>
        <v>0</v>
      </c>
      <c r="BE21" s="660">
        <f>SUMIFS(KPR[TOTAL],KPR[TANGGAL],C21)</f>
        <v>0</v>
      </c>
      <c r="BF21" s="662">
        <f t="shared" si="29"/>
        <v>0</v>
      </c>
      <c r="BG21" s="662">
        <f t="shared" si="30"/>
        <v>0</v>
      </c>
      <c r="BH21" s="660">
        <f>SUMIFS(KPR[TBAYAR2],KPR[TANGGAL],C21)</f>
        <v>0</v>
      </c>
      <c r="BI21" s="660">
        <f>SUMIFS(KPR[POTPPH],KPR[TANGGAL],C21)</f>
        <v>0</v>
      </c>
      <c r="BJ21" s="660">
        <f>SUMIFS(KPR[TPEMBAYARAN],KPR[TANGGAL],C21)</f>
        <v>0</v>
      </c>
      <c r="BK21" s="660"/>
      <c r="BL21" s="659">
        <f>SUMIFS(ARG[BRUTO],ARG[TANGGAL],C21)</f>
        <v>0</v>
      </c>
      <c r="BM21" s="659">
        <f>SUMIFS(ARG[TARRA],ARG[TANGGAL],C21)</f>
        <v>0</v>
      </c>
      <c r="BN21" s="659">
        <f>SUMIFS(ARG[NETTO1],ARG[TANGGAL],C21)</f>
        <v>0</v>
      </c>
      <c r="BO21" s="659">
        <f>SUMIFS(ARG[POTKARUNG],ARG[TANGGAL],C21)</f>
        <v>0</v>
      </c>
      <c r="BP21" s="659">
        <f>SUMIFS(ARG[TPOT1],ARG[TANGGAL],C21)</f>
        <v>0</v>
      </c>
      <c r="BQ21" s="659">
        <f>SUMIFS(ARG[NETTO2],ARG[TANGGAL],C21)</f>
        <v>0</v>
      </c>
      <c r="BR21" s="659">
        <f>SUMIFS(ARG[MC],ARG[TANGGAL],C21)</f>
        <v>0</v>
      </c>
      <c r="BS21" s="659">
        <f>SUMIFS(ARG[DC],ARG[TANGGAL],C21)</f>
        <v>0</v>
      </c>
      <c r="BT21" s="659">
        <f>SUMIFS(ARG[DC2],ARG[TANGGAL],C21)</f>
        <v>0</v>
      </c>
      <c r="BU21" s="659">
        <f>SUMIFS(ARG[NETTO3],ARG[TANGGAL],C21)</f>
        <v>0</v>
      </c>
      <c r="BV21" s="660">
        <f t="shared" si="31"/>
        <v>0</v>
      </c>
      <c r="BW21" s="659">
        <f>SUMIFS(ARG[TBAYAR1],ARG[TANGGAL],C21)</f>
        <v>0</v>
      </c>
      <c r="BX21" s="663">
        <f t="shared" si="32"/>
        <v>0</v>
      </c>
      <c r="BY21" s="663">
        <f t="shared" si="33"/>
        <v>0</v>
      </c>
      <c r="BZ21" s="659">
        <f>SUMIFS(ARG[TBAYAR2],ARG[TANGGAL],C21)</f>
        <v>0</v>
      </c>
      <c r="CA21" s="659">
        <f>SUMIFS(ARG[POTPPH],ARG[TANGGAL],C21)</f>
        <v>0</v>
      </c>
      <c r="CB21" s="659">
        <f>SUMIFS(ARG[TPEMBAYARAN],ARG[TANGGAL],C21)</f>
        <v>0</v>
      </c>
      <c r="CC21" s="616"/>
      <c r="CD21" s="575"/>
      <c r="CE21" s="348"/>
      <c r="CF21" s="348"/>
      <c r="CG21" s="348"/>
      <c r="CH21" s="348"/>
      <c r="CI21" s="348"/>
      <c r="CJ21" s="348"/>
      <c r="CK21" s="348"/>
      <c r="CL21" s="348"/>
      <c r="CM21" s="348"/>
      <c r="CN21" s="348"/>
      <c r="CO21" s="348"/>
      <c r="CP21" s="348"/>
      <c r="CQ21" s="576"/>
      <c r="CR21" s="348">
        <v>0</v>
      </c>
      <c r="CS21" s="348">
        <v>0</v>
      </c>
      <c r="CT21" s="348">
        <v>0</v>
      </c>
      <c r="CU21" s="348">
        <v>0</v>
      </c>
      <c r="CV21" s="348">
        <v>0</v>
      </c>
      <c r="CW21" s="348">
        <v>0</v>
      </c>
      <c r="CX21" s="348">
        <v>0</v>
      </c>
      <c r="CY21" s="348">
        <v>0</v>
      </c>
      <c r="CZ21" s="348">
        <v>0</v>
      </c>
      <c r="DA21" s="348">
        <v>0</v>
      </c>
      <c r="DB21" s="348">
        <v>0</v>
      </c>
      <c r="DC21" s="348">
        <v>0</v>
      </c>
      <c r="DD21" s="348">
        <v>0</v>
      </c>
      <c r="DE21" s="576"/>
      <c r="DF21" s="576"/>
      <c r="DG21" s="348">
        <v>41080</v>
      </c>
      <c r="DH21" s="348">
        <v>11220</v>
      </c>
      <c r="DI21" s="348">
        <v>29860</v>
      </c>
      <c r="DJ21" s="348">
        <v>0</v>
      </c>
      <c r="DK21" s="348">
        <v>0</v>
      </c>
      <c r="DL21" s="348">
        <v>29860</v>
      </c>
      <c r="DM21" s="348">
        <v>580</v>
      </c>
      <c r="DN21" s="348">
        <v>17318800</v>
      </c>
      <c r="DO21" s="348">
        <v>0</v>
      </c>
      <c r="DP21" s="348">
        <v>0</v>
      </c>
      <c r="DQ21" s="348">
        <v>17318800</v>
      </c>
      <c r="DR21" s="576"/>
      <c r="DS21" s="348"/>
      <c r="DT21" s="348"/>
      <c r="DU21" s="348"/>
      <c r="DV21" s="348"/>
      <c r="DW21" s="348"/>
      <c r="DX21" s="348"/>
      <c r="DY21" s="348"/>
      <c r="DZ21" s="348"/>
      <c r="EA21" s="576"/>
      <c r="EB21" s="348"/>
      <c r="EC21" s="348"/>
      <c r="ED21" s="348"/>
      <c r="EE21" s="348"/>
      <c r="EF21" s="348"/>
      <c r="EG21" s="348"/>
      <c r="EH21" s="348"/>
      <c r="EI21" s="348"/>
      <c r="EJ21" s="348">
        <v>0</v>
      </c>
      <c r="EK21" s="348">
        <v>0</v>
      </c>
      <c r="EL21" s="348">
        <v>0</v>
      </c>
      <c r="EM21" s="348">
        <v>0</v>
      </c>
      <c r="EN21" s="348">
        <v>0</v>
      </c>
      <c r="EO21" s="348">
        <v>0</v>
      </c>
      <c r="EP21" s="348">
        <v>0</v>
      </c>
      <c r="EQ21" s="348">
        <v>0</v>
      </c>
      <c r="ER21" s="348">
        <v>0</v>
      </c>
      <c r="ES21" s="348">
        <v>0</v>
      </c>
      <c r="ET21" s="348">
        <v>0</v>
      </c>
      <c r="EU21" s="348">
        <v>0</v>
      </c>
      <c r="EV21" s="348">
        <v>0</v>
      </c>
      <c r="EW21" s="348">
        <v>0</v>
      </c>
      <c r="EX21" s="348">
        <v>0</v>
      </c>
      <c r="EY21" s="348">
        <v>0</v>
      </c>
      <c r="EZ21" s="348">
        <v>0</v>
      </c>
      <c r="FA21" s="348">
        <v>0</v>
      </c>
      <c r="FB21" s="348">
        <v>0</v>
      </c>
      <c r="FC21" s="348">
        <v>0</v>
      </c>
      <c r="FD21" s="348">
        <v>0</v>
      </c>
      <c r="FE21" s="348">
        <v>0</v>
      </c>
      <c r="FF21" s="348">
        <v>0</v>
      </c>
      <c r="FG21" s="348">
        <v>0</v>
      </c>
      <c r="FH21" s="348">
        <v>0</v>
      </c>
      <c r="FI21" s="348">
        <v>0</v>
      </c>
      <c r="FJ21" s="348">
        <v>0</v>
      </c>
      <c r="FK21" s="348">
        <v>0</v>
      </c>
      <c r="FL21" s="348">
        <v>0</v>
      </c>
      <c r="FM21" s="348">
        <v>0</v>
      </c>
      <c r="FN21" s="348">
        <v>0</v>
      </c>
      <c r="FO21" s="348">
        <v>0</v>
      </c>
      <c r="FP21" s="348">
        <v>0</v>
      </c>
      <c r="FQ21" s="348">
        <v>0</v>
      </c>
      <c r="FR21" s="348">
        <v>0</v>
      </c>
      <c r="FS21" s="348">
        <v>660</v>
      </c>
      <c r="FT21" s="348">
        <v>0</v>
      </c>
      <c r="FU21" s="348">
        <v>2860</v>
      </c>
      <c r="FV21" s="348">
        <v>1180</v>
      </c>
      <c r="FW21" s="348">
        <v>0</v>
      </c>
      <c r="FX21" s="348">
        <v>0</v>
      </c>
      <c r="FY21" s="348">
        <v>0</v>
      </c>
      <c r="FZ21" s="348">
        <v>0</v>
      </c>
      <c r="GA21" s="348">
        <v>48600</v>
      </c>
      <c r="GB21" s="348">
        <v>0</v>
      </c>
      <c r="GC21" s="348">
        <v>26720</v>
      </c>
      <c r="GD21" s="348">
        <v>45750</v>
      </c>
      <c r="GE21" s="348">
        <v>0</v>
      </c>
      <c r="GF21" s="348">
        <v>63090</v>
      </c>
      <c r="GG21" s="348">
        <v>0</v>
      </c>
      <c r="GH21" s="348">
        <v>0</v>
      </c>
      <c r="GI21" s="348">
        <v>0</v>
      </c>
      <c r="GJ21" s="348">
        <v>0</v>
      </c>
      <c r="GK21" s="348">
        <v>0</v>
      </c>
      <c r="GL21" s="348">
        <v>0</v>
      </c>
    </row>
    <row r="22" spans="2:194" s="349" customFormat="1" ht="30" customHeight="1">
      <c r="B22" s="557">
        <f t="shared" si="34"/>
        <v>14</v>
      </c>
      <c r="C22" s="645">
        <f t="shared" si="0"/>
        <v>43904</v>
      </c>
      <c r="D22" s="607"/>
      <c r="E22" s="659">
        <f>SUMIFS(KB[BRUTO],KB[TANGGAL],C22,KB[TYPE],"A")</f>
        <v>139930</v>
      </c>
      <c r="F22" s="660">
        <f>SUMIFS(KB[TARRA],KB[TANGGAL],C22,KB[TYPE],"A")</f>
        <v>54510</v>
      </c>
      <c r="G22" s="660">
        <f>SUMIFS(KB[NETTO],KB[TANGGAL],C22,KB[TYPE],"A")</f>
        <v>85420</v>
      </c>
      <c r="H22" s="660">
        <f t="shared" si="16"/>
        <v>5.0401545305549051</v>
      </c>
      <c r="I22" s="660">
        <f>SUMIFS(KB[TPOT],KB[TANGGAL],C22,KB[TYPE],"A")</f>
        <v>4305.3</v>
      </c>
      <c r="J22" s="660">
        <f>SUMIFS(KB[NETTO2],KB[TANGGAL],C22,KB[TYPE],"A")</f>
        <v>81114.7</v>
      </c>
      <c r="K22" s="660">
        <f t="shared" si="17"/>
        <v>2908.0775741018583</v>
      </c>
      <c r="L22" s="660">
        <f>SUMIFS(KB[TBAYAR],KB[TANGGAL],C22,KB[TYPE],"A")</f>
        <v>235887840</v>
      </c>
      <c r="M22" s="660">
        <f t="shared" si="18"/>
        <v>14.61</v>
      </c>
      <c r="N22" s="660">
        <f t="shared" si="19"/>
        <v>2922.6885755602871</v>
      </c>
      <c r="O22" s="660">
        <f>SUMIFS(KB[TBAYAR2],KB[TANGGAL],C22,KB[TYPE],"A")</f>
        <v>237073007</v>
      </c>
      <c r="P22" s="660">
        <f>SUMIFS(KB[POTPPH],KB[TANGGAL],C22,KB[TYPE],"A")</f>
        <v>1185365</v>
      </c>
      <c r="Q22" s="660">
        <f>SUMIFS(KB[TPEMBAYARAN],KB[TANGGAL],C22,KB[TYPE],"A")</f>
        <v>235887642</v>
      </c>
      <c r="R22" s="660"/>
      <c r="S22" s="659">
        <f>SUMIFS(KB[BRUTO],KB[TANGGAL],C22,KB[TYPE],"B")</f>
        <v>0</v>
      </c>
      <c r="T22" s="660">
        <f>SUMIFS(KB[TARRA],KB[TANGGAL],C22,KB[TYPE],"B")</f>
        <v>0</v>
      </c>
      <c r="U22" s="660">
        <f>SUMIFS(KB[NETTO],KB[TANGGAL],C22,KB[TYPE],"B")</f>
        <v>0</v>
      </c>
      <c r="V22" s="660">
        <f t="shared" si="20"/>
        <v>0</v>
      </c>
      <c r="W22" s="660">
        <f>SUMIFS(KB[TPOT],KB[TANGGAL],C22,KB[TYPE],"B")</f>
        <v>0</v>
      </c>
      <c r="X22" s="660">
        <f>SUMIFS(KB[NETTO2],KB[TANGGAL],C22,KB[TYPE],"B")</f>
        <v>0</v>
      </c>
      <c r="Y22" s="660">
        <f t="shared" si="21"/>
        <v>0</v>
      </c>
      <c r="Z22" s="660">
        <f>SUMIFS(KB[TBAYAR],KB[TANGGAL],C22,KB[TYPE],"B")</f>
        <v>0</v>
      </c>
      <c r="AA22" s="660">
        <f t="shared" si="22"/>
        <v>0</v>
      </c>
      <c r="AB22" s="660">
        <f t="shared" si="23"/>
        <v>0</v>
      </c>
      <c r="AC22" s="660">
        <f>SUMIFS(KB[TBAYAR2],KB[TANGGAL],C22,KB[TYPE],"B")</f>
        <v>0</v>
      </c>
      <c r="AD22" s="660">
        <f>SUMIFS(KB[POTPPH],KB[TANGGAL],C22,KB[TYPE],"B")</f>
        <v>0</v>
      </c>
      <c r="AE22" s="660">
        <f>SUMIFS(KB[TPEMBAYARAN],KB[TANGGAL],C22,KB[TYPE],"B")</f>
        <v>0</v>
      </c>
      <c r="AF22" s="660"/>
      <c r="AG22" s="659">
        <f>SUMIFS(KBS[BRUTO],KBS[TANGGAL],C22)</f>
        <v>0</v>
      </c>
      <c r="AH22" s="660">
        <f>SUMIFS(KBS[TARRA],KBS[TANGGAL],C22)</f>
        <v>0</v>
      </c>
      <c r="AI22" s="660">
        <f>SUMIFS(KBS[NETTO],KBS[TANGGAL],C22)</f>
        <v>0</v>
      </c>
      <c r="AJ22" s="660">
        <f t="shared" si="24"/>
        <v>0</v>
      </c>
      <c r="AK22" s="660">
        <f>SUMIFS(KBS[TPOT],KBS[TANGGAL],C22)</f>
        <v>0</v>
      </c>
      <c r="AL22" s="660">
        <f>SUMIFS(KBS[NETTO2],KBS[TANGGAL],C22)</f>
        <v>0</v>
      </c>
      <c r="AM22" s="660">
        <f t="shared" si="25"/>
        <v>0</v>
      </c>
      <c r="AN22" s="660">
        <f>SUMIFS(KBS[TBAYAR],KBS[TANGGAL],C22)</f>
        <v>0</v>
      </c>
      <c r="AO22" s="660">
        <f t="shared" si="26"/>
        <v>0</v>
      </c>
      <c r="AP22" s="660">
        <f t="shared" si="27"/>
        <v>0</v>
      </c>
      <c r="AQ22" s="660">
        <f>SUMIFS(KBS[TBAYAR2],KBS[TANGGAL],C22)</f>
        <v>0</v>
      </c>
      <c r="AR22" s="660">
        <f>SUMIFS(KBS[POTPPH],KBS[TANGGAL],C22)</f>
        <v>0</v>
      </c>
      <c r="AS22" s="660">
        <f>SUMIFS(KBS[TPEMBAYARAN],KBS[TANGGAL],C22)</f>
        <v>0</v>
      </c>
      <c r="AT22" s="660"/>
      <c r="AU22" s="659">
        <f>SUMIFS(KPR[BRUTO],KPR[TANGGAL],C22)</f>
        <v>0</v>
      </c>
      <c r="AV22" s="660">
        <f>SUMIFS(KPR[TARRA],KPR[TANGGAL],C22)</f>
        <v>0</v>
      </c>
      <c r="AW22" s="660">
        <f>SUMIFS(KPR[NETTO],KPR[TANGGAL],C22)</f>
        <v>0</v>
      </c>
      <c r="AX22" s="662">
        <f>SUMIFS(KPR[POTKRG],KPR[TANGGAL],C22)</f>
        <v>0</v>
      </c>
      <c r="AY22" s="660">
        <f>SUMIFS(KPR[TPOT1],KPR[TANGGAL],C22)</f>
        <v>0</v>
      </c>
      <c r="AZ22" s="662">
        <f>SUMIFS(KPR[POTAIR],KPR[TANGGAL],C22)</f>
        <v>0</v>
      </c>
      <c r="BA22" s="660">
        <f>SUMIFS(KPR[TPOT2],KPR[TANGGAL],C22)</f>
        <v>0</v>
      </c>
      <c r="BB22" s="660">
        <f>SUMIFS(KPR[NETTOA],KPR[TANGGAL],C22)</f>
        <v>0</v>
      </c>
      <c r="BC22" s="660">
        <f>SUMIFS(KPR[NETTOB],KPR[TANGGAL],C22)</f>
        <v>0</v>
      </c>
      <c r="BD22" s="660">
        <f t="shared" si="28"/>
        <v>0</v>
      </c>
      <c r="BE22" s="660">
        <f>SUMIFS(KPR[TOTAL],KPR[TANGGAL],C22)</f>
        <v>0</v>
      </c>
      <c r="BF22" s="662">
        <f t="shared" si="29"/>
        <v>0</v>
      </c>
      <c r="BG22" s="662">
        <f t="shared" si="30"/>
        <v>0</v>
      </c>
      <c r="BH22" s="660">
        <f>SUMIFS(KPR[TBAYAR2],KPR[TANGGAL],C22)</f>
        <v>0</v>
      </c>
      <c r="BI22" s="660">
        <f>SUMIFS(KPR[POTPPH],KPR[TANGGAL],C22)</f>
        <v>0</v>
      </c>
      <c r="BJ22" s="660">
        <f>SUMIFS(KPR[TPEMBAYARAN],KPR[TANGGAL],C22)</f>
        <v>0</v>
      </c>
      <c r="BK22" s="660"/>
      <c r="BL22" s="659">
        <f>SUMIFS(ARG[BRUTO],ARG[TANGGAL],C22)</f>
        <v>0</v>
      </c>
      <c r="BM22" s="659">
        <f>SUMIFS(ARG[TARRA],ARG[TANGGAL],C22)</f>
        <v>0</v>
      </c>
      <c r="BN22" s="659">
        <f>SUMIFS(ARG[NETTO1],ARG[TANGGAL],C22)</f>
        <v>0</v>
      </c>
      <c r="BO22" s="659">
        <f>SUMIFS(ARG[POTKARUNG],ARG[TANGGAL],C22)</f>
        <v>0</v>
      </c>
      <c r="BP22" s="659">
        <f>SUMIFS(ARG[TPOT1],ARG[TANGGAL],C22)</f>
        <v>0</v>
      </c>
      <c r="BQ22" s="659">
        <f>SUMIFS(ARG[NETTO2],ARG[TANGGAL],C22)</f>
        <v>0</v>
      </c>
      <c r="BR22" s="659">
        <f>SUMIFS(ARG[MC],ARG[TANGGAL],C22)</f>
        <v>0</v>
      </c>
      <c r="BS22" s="659">
        <f>SUMIFS(ARG[DC],ARG[TANGGAL],C22)</f>
        <v>0</v>
      </c>
      <c r="BT22" s="659">
        <f>SUMIFS(ARG[DC2],ARG[TANGGAL],C22)</f>
        <v>0</v>
      </c>
      <c r="BU22" s="659">
        <f>SUMIFS(ARG[NETTO3],ARG[TANGGAL],C22)</f>
        <v>0</v>
      </c>
      <c r="BV22" s="660">
        <f t="shared" si="31"/>
        <v>0</v>
      </c>
      <c r="BW22" s="659">
        <f>SUMIFS(ARG[TBAYAR1],ARG[TANGGAL],C22)</f>
        <v>0</v>
      </c>
      <c r="BX22" s="663">
        <f t="shared" si="32"/>
        <v>0</v>
      </c>
      <c r="BY22" s="663">
        <f t="shared" si="33"/>
        <v>0</v>
      </c>
      <c r="BZ22" s="659">
        <f>SUMIFS(ARG[TBAYAR2],ARG[TANGGAL],C22)</f>
        <v>0</v>
      </c>
      <c r="CA22" s="659">
        <f>SUMIFS(ARG[POTPPH],ARG[TANGGAL],C22)</f>
        <v>0</v>
      </c>
      <c r="CB22" s="659">
        <f>SUMIFS(ARG[TPEMBAYARAN],ARG[TANGGAL],C22)</f>
        <v>0</v>
      </c>
      <c r="CC22" s="616"/>
      <c r="CD22" s="575">
        <v>0</v>
      </c>
      <c r="CE22" s="348">
        <v>0</v>
      </c>
      <c r="CF22" s="348">
        <v>0</v>
      </c>
      <c r="CG22" s="348">
        <v>0</v>
      </c>
      <c r="CH22" s="348">
        <v>0</v>
      </c>
      <c r="CI22" s="348">
        <v>0</v>
      </c>
      <c r="CJ22" s="348">
        <v>0</v>
      </c>
      <c r="CK22" s="348">
        <v>0</v>
      </c>
      <c r="CL22" s="348">
        <v>0</v>
      </c>
      <c r="CM22" s="348">
        <v>0</v>
      </c>
      <c r="CN22" s="348">
        <v>0</v>
      </c>
      <c r="CO22" s="348">
        <v>0</v>
      </c>
      <c r="CP22" s="348">
        <v>0</v>
      </c>
      <c r="CQ22" s="576"/>
      <c r="CR22" s="348">
        <v>0</v>
      </c>
      <c r="CS22" s="348">
        <v>0</v>
      </c>
      <c r="CT22" s="348">
        <v>0</v>
      </c>
      <c r="CU22" s="348">
        <v>0</v>
      </c>
      <c r="CV22" s="348">
        <v>0</v>
      </c>
      <c r="CW22" s="348">
        <v>0</v>
      </c>
      <c r="CX22" s="348">
        <v>0</v>
      </c>
      <c r="CY22" s="348">
        <v>0</v>
      </c>
      <c r="CZ22" s="348">
        <v>0</v>
      </c>
      <c r="DA22" s="348">
        <v>0</v>
      </c>
      <c r="DB22" s="348">
        <v>0</v>
      </c>
      <c r="DC22" s="348">
        <v>0</v>
      </c>
      <c r="DD22" s="348">
        <v>0</v>
      </c>
      <c r="DE22" s="576"/>
      <c r="DF22" s="576"/>
      <c r="DG22" s="348">
        <v>454320</v>
      </c>
      <c r="DH22" s="348">
        <v>140750</v>
      </c>
      <c r="DI22" s="348">
        <v>313570</v>
      </c>
      <c r="DJ22" s="348">
        <v>0</v>
      </c>
      <c r="DK22" s="348">
        <v>980</v>
      </c>
      <c r="DL22" s="348">
        <v>312590</v>
      </c>
      <c r="DM22" s="348">
        <v>581.49428964458241</v>
      </c>
      <c r="DN22" s="348">
        <v>181769300</v>
      </c>
      <c r="DO22" s="348">
        <v>0</v>
      </c>
      <c r="DP22" s="348">
        <v>0</v>
      </c>
      <c r="DQ22" s="348">
        <v>181769300</v>
      </c>
      <c r="DR22" s="576"/>
      <c r="DS22" s="348"/>
      <c r="DT22" s="348"/>
      <c r="DU22" s="348"/>
      <c r="DV22" s="348"/>
      <c r="DW22" s="348"/>
      <c r="DX22" s="348"/>
      <c r="DY22" s="348"/>
      <c r="DZ22" s="348"/>
      <c r="EA22" s="576"/>
      <c r="EB22" s="348"/>
      <c r="EC22" s="348"/>
      <c r="ED22" s="348"/>
      <c r="EE22" s="348"/>
      <c r="EF22" s="348"/>
      <c r="EG22" s="348"/>
      <c r="EH22" s="348"/>
      <c r="EI22" s="348"/>
      <c r="EJ22" s="348">
        <v>0</v>
      </c>
      <c r="EK22" s="348">
        <v>0</v>
      </c>
      <c r="EL22" s="348">
        <v>0</v>
      </c>
      <c r="EM22" s="348">
        <v>0</v>
      </c>
      <c r="EN22" s="348">
        <v>0</v>
      </c>
      <c r="EO22" s="348">
        <v>0</v>
      </c>
      <c r="EP22" s="348">
        <v>0</v>
      </c>
      <c r="EQ22" s="348">
        <v>0</v>
      </c>
      <c r="ER22" s="348">
        <v>0</v>
      </c>
      <c r="ES22" s="348">
        <v>0</v>
      </c>
      <c r="ET22" s="348">
        <v>0</v>
      </c>
      <c r="EU22" s="348">
        <v>0</v>
      </c>
      <c r="EV22" s="348">
        <v>0</v>
      </c>
      <c r="EW22" s="348">
        <v>0</v>
      </c>
      <c r="EX22" s="348">
        <v>0</v>
      </c>
      <c r="EY22" s="348">
        <v>0</v>
      </c>
      <c r="EZ22" s="348">
        <v>0</v>
      </c>
      <c r="FA22" s="348">
        <v>0</v>
      </c>
      <c r="FB22" s="348">
        <v>0</v>
      </c>
      <c r="FC22" s="348">
        <v>0</v>
      </c>
      <c r="FD22" s="348">
        <v>0</v>
      </c>
      <c r="FE22" s="348">
        <v>0</v>
      </c>
      <c r="FF22" s="348">
        <v>0</v>
      </c>
      <c r="FG22" s="348">
        <v>0</v>
      </c>
      <c r="FH22" s="348">
        <v>0</v>
      </c>
      <c r="FI22" s="348">
        <v>0</v>
      </c>
      <c r="FJ22" s="348">
        <v>0</v>
      </c>
      <c r="FK22" s="348">
        <v>0</v>
      </c>
      <c r="FL22" s="348">
        <v>0</v>
      </c>
      <c r="FM22" s="348">
        <v>0</v>
      </c>
      <c r="FN22" s="348">
        <v>0</v>
      </c>
      <c r="FO22" s="348">
        <v>0</v>
      </c>
      <c r="FP22" s="348">
        <v>0</v>
      </c>
      <c r="FQ22" s="348">
        <v>0</v>
      </c>
      <c r="FR22" s="348">
        <v>0</v>
      </c>
      <c r="FS22" s="348">
        <v>680</v>
      </c>
      <c r="FT22" s="348">
        <v>1070</v>
      </c>
      <c r="FU22" s="356">
        <v>2650</v>
      </c>
      <c r="FV22" s="353">
        <v>0</v>
      </c>
      <c r="FW22" s="353">
        <v>0</v>
      </c>
      <c r="FX22" s="353">
        <v>0</v>
      </c>
      <c r="FY22" s="353">
        <v>0</v>
      </c>
      <c r="FZ22" s="353">
        <v>0</v>
      </c>
      <c r="GA22" s="353">
        <v>40940</v>
      </c>
      <c r="GB22" s="353">
        <v>0</v>
      </c>
      <c r="GC22" s="348">
        <v>25510</v>
      </c>
      <c r="GD22" s="348">
        <v>42840</v>
      </c>
      <c r="GE22" s="348"/>
      <c r="GF22" s="348">
        <v>63800</v>
      </c>
      <c r="GG22" s="348"/>
      <c r="GH22" s="353">
        <v>40000</v>
      </c>
      <c r="GI22" s="354">
        <v>0</v>
      </c>
      <c r="GJ22" s="353">
        <v>0</v>
      </c>
      <c r="GK22" s="355"/>
      <c r="GL22" s="353">
        <v>0</v>
      </c>
    </row>
    <row r="23" spans="2:194" s="349" customFormat="1" ht="30" customHeight="1">
      <c r="B23" s="557">
        <f t="shared" si="34"/>
        <v>15</v>
      </c>
      <c r="C23" s="645">
        <f t="shared" si="0"/>
        <v>43905</v>
      </c>
      <c r="D23" s="607"/>
      <c r="E23" s="659">
        <f>SUMIFS(KB[BRUTO],KB[TANGGAL],C23,KB[TYPE],"A")</f>
        <v>0</v>
      </c>
      <c r="F23" s="660">
        <f>SUMIFS(KB[TARRA],KB[TANGGAL],C23,KB[TYPE],"A")</f>
        <v>0</v>
      </c>
      <c r="G23" s="660">
        <f>SUMIFS(KB[NETTO],KB[TANGGAL],C23,KB[TYPE],"A")</f>
        <v>0</v>
      </c>
      <c r="H23" s="660">
        <f t="shared" si="16"/>
        <v>0</v>
      </c>
      <c r="I23" s="660">
        <f>SUMIFS(KB[TPOT],KB[TANGGAL],C23,KB[TYPE],"A")</f>
        <v>0</v>
      </c>
      <c r="J23" s="660">
        <f>SUMIFS(KB[NETTO2],KB[TANGGAL],C23,KB[TYPE],"A")</f>
        <v>0</v>
      </c>
      <c r="K23" s="660">
        <f t="shared" si="17"/>
        <v>0</v>
      </c>
      <c r="L23" s="660">
        <f>SUMIFS(KB[TBAYAR],KB[TANGGAL],C23,KB[TYPE],"A")</f>
        <v>0</v>
      </c>
      <c r="M23" s="660">
        <f t="shared" si="18"/>
        <v>0</v>
      </c>
      <c r="N23" s="660">
        <f t="shared" si="19"/>
        <v>0</v>
      </c>
      <c r="O23" s="660">
        <f>SUMIFS(KB[TBAYAR2],KB[TANGGAL],C23,KB[TYPE],"A")</f>
        <v>0</v>
      </c>
      <c r="P23" s="660">
        <f>SUMIFS(KB[POTPPH],KB[TANGGAL],C23,KB[TYPE],"A")</f>
        <v>0</v>
      </c>
      <c r="Q23" s="660">
        <f>SUMIFS(KB[TPEMBAYARAN],KB[TANGGAL],C23,KB[TYPE],"A")</f>
        <v>0</v>
      </c>
      <c r="R23" s="660"/>
      <c r="S23" s="659">
        <f>SUMIFS(KB[BRUTO],KB[TANGGAL],C23,KB[TYPE],"B")</f>
        <v>0</v>
      </c>
      <c r="T23" s="660">
        <f>SUMIFS(KB[TARRA],KB[TANGGAL],C23,KB[TYPE],"B")</f>
        <v>0</v>
      </c>
      <c r="U23" s="660">
        <f>SUMIFS(KB[NETTO],KB[TANGGAL],C23,KB[TYPE],"B")</f>
        <v>0</v>
      </c>
      <c r="V23" s="660">
        <f t="shared" si="20"/>
        <v>0</v>
      </c>
      <c r="W23" s="660">
        <f>SUMIFS(KB[TPOT],KB[TANGGAL],C23,KB[TYPE],"B")</f>
        <v>0</v>
      </c>
      <c r="X23" s="660">
        <f>SUMIFS(KB[NETTO2],KB[TANGGAL],C23,KB[TYPE],"B")</f>
        <v>0</v>
      </c>
      <c r="Y23" s="660">
        <f t="shared" si="21"/>
        <v>0</v>
      </c>
      <c r="Z23" s="660">
        <f>SUMIFS(KB[TBAYAR],KB[TANGGAL],C23,KB[TYPE],"B")</f>
        <v>0</v>
      </c>
      <c r="AA23" s="660">
        <f t="shared" si="22"/>
        <v>0</v>
      </c>
      <c r="AB23" s="660">
        <f t="shared" si="23"/>
        <v>0</v>
      </c>
      <c r="AC23" s="660">
        <f>SUMIFS(KB[TBAYAR2],KB[TANGGAL],C23,KB[TYPE],"B")</f>
        <v>0</v>
      </c>
      <c r="AD23" s="660">
        <f>SUMIFS(KB[POTPPH],KB[TANGGAL],C23,KB[TYPE],"B")</f>
        <v>0</v>
      </c>
      <c r="AE23" s="660">
        <f>SUMIFS(KB[TPEMBAYARAN],KB[TANGGAL],C23,KB[TYPE],"B")</f>
        <v>0</v>
      </c>
      <c r="AF23" s="660"/>
      <c r="AG23" s="659">
        <f>SUMIFS(KBS[BRUTO],KBS[TANGGAL],C23)</f>
        <v>0</v>
      </c>
      <c r="AH23" s="660">
        <f>SUMIFS(KBS[TARRA],KBS[TANGGAL],C23)</f>
        <v>0</v>
      </c>
      <c r="AI23" s="660">
        <f>SUMIFS(KBS[NETTO],KBS[TANGGAL],C23)</f>
        <v>0</v>
      </c>
      <c r="AJ23" s="660">
        <f t="shared" si="24"/>
        <v>0</v>
      </c>
      <c r="AK23" s="660">
        <f>SUMIFS(KBS[TPOT],KBS[TANGGAL],C23)</f>
        <v>0</v>
      </c>
      <c r="AL23" s="660">
        <f>SUMIFS(KBS[NETTO2],KBS[TANGGAL],C23)</f>
        <v>0</v>
      </c>
      <c r="AM23" s="660">
        <f t="shared" si="25"/>
        <v>0</v>
      </c>
      <c r="AN23" s="660">
        <f>SUMIFS(KBS[TBAYAR],KBS[TANGGAL],C23)</f>
        <v>0</v>
      </c>
      <c r="AO23" s="660">
        <f t="shared" si="26"/>
        <v>0</v>
      </c>
      <c r="AP23" s="660">
        <f t="shared" si="27"/>
        <v>0</v>
      </c>
      <c r="AQ23" s="660">
        <f>SUMIFS(KBS[TBAYAR2],KBS[TANGGAL],C23)</f>
        <v>0</v>
      </c>
      <c r="AR23" s="660">
        <f>SUMIFS(KBS[POTPPH],KBS[TANGGAL],C23)</f>
        <v>0</v>
      </c>
      <c r="AS23" s="660">
        <f>SUMIFS(KBS[TPEMBAYARAN],KBS[TANGGAL],C23)</f>
        <v>0</v>
      </c>
      <c r="AT23" s="660"/>
      <c r="AU23" s="659">
        <f>SUMIFS(KPR[BRUTO],KPR[TANGGAL],C23)</f>
        <v>0</v>
      </c>
      <c r="AV23" s="660">
        <f>SUMIFS(KPR[TARRA],KPR[TANGGAL],C23)</f>
        <v>0</v>
      </c>
      <c r="AW23" s="660">
        <f>SUMIFS(KPR[NETTO],KPR[TANGGAL],C23)</f>
        <v>0</v>
      </c>
      <c r="AX23" s="662">
        <f>SUMIFS(KPR[POTKRG],KPR[TANGGAL],C23)</f>
        <v>0</v>
      </c>
      <c r="AY23" s="660">
        <f>SUMIFS(KPR[TPOT1],KPR[TANGGAL],C23)</f>
        <v>0</v>
      </c>
      <c r="AZ23" s="662">
        <f>SUMIFS(KPR[POTAIR],KPR[TANGGAL],C23)</f>
        <v>0</v>
      </c>
      <c r="BA23" s="660">
        <f>SUMIFS(KPR[TPOT2],KPR[TANGGAL],C23)</f>
        <v>0</v>
      </c>
      <c r="BB23" s="660">
        <f>SUMIFS(KPR[NETTOA],KPR[TANGGAL],C23)</f>
        <v>0</v>
      </c>
      <c r="BC23" s="660">
        <f>SUMIFS(KPR[NETTOB],KPR[TANGGAL],C23)</f>
        <v>0</v>
      </c>
      <c r="BD23" s="660">
        <f t="shared" si="28"/>
        <v>0</v>
      </c>
      <c r="BE23" s="660">
        <f>SUMIFS(KPR[TOTAL],KPR[TANGGAL],C23)</f>
        <v>0</v>
      </c>
      <c r="BF23" s="662">
        <f t="shared" si="29"/>
        <v>0</v>
      </c>
      <c r="BG23" s="662">
        <f t="shared" si="30"/>
        <v>0</v>
      </c>
      <c r="BH23" s="660">
        <f>SUMIFS(KPR[TBAYAR2],KPR[TANGGAL],C23)</f>
        <v>0</v>
      </c>
      <c r="BI23" s="660">
        <f>SUMIFS(KPR[POTPPH],KPR[TANGGAL],C23)</f>
        <v>0</v>
      </c>
      <c r="BJ23" s="660">
        <f>SUMIFS(KPR[TPEMBAYARAN],KPR[TANGGAL],C23)</f>
        <v>0</v>
      </c>
      <c r="BK23" s="660"/>
      <c r="BL23" s="659">
        <f>SUMIFS(ARG[BRUTO],ARG[TANGGAL],C23)</f>
        <v>0</v>
      </c>
      <c r="BM23" s="659">
        <f>SUMIFS(ARG[TARRA],ARG[TANGGAL],C23)</f>
        <v>0</v>
      </c>
      <c r="BN23" s="659">
        <f>SUMIFS(ARG[NETTO1],ARG[TANGGAL],C23)</f>
        <v>0</v>
      </c>
      <c r="BO23" s="659">
        <f>SUMIFS(ARG[POTKARUNG],ARG[TANGGAL],C23)</f>
        <v>0</v>
      </c>
      <c r="BP23" s="659">
        <f>SUMIFS(ARG[TPOT1],ARG[TANGGAL],C23)</f>
        <v>0</v>
      </c>
      <c r="BQ23" s="659">
        <f>SUMIFS(ARG[NETTO2],ARG[TANGGAL],C23)</f>
        <v>0</v>
      </c>
      <c r="BR23" s="659">
        <f>SUMIFS(ARG[MC],ARG[TANGGAL],C23)</f>
        <v>0</v>
      </c>
      <c r="BS23" s="659">
        <f>SUMIFS(ARG[DC],ARG[TANGGAL],C23)</f>
        <v>0</v>
      </c>
      <c r="BT23" s="659">
        <f>SUMIFS(ARG[DC2],ARG[TANGGAL],C23)</f>
        <v>0</v>
      </c>
      <c r="BU23" s="659">
        <f>SUMIFS(ARG[NETTO3],ARG[TANGGAL],C23)</f>
        <v>0</v>
      </c>
      <c r="BV23" s="660">
        <f t="shared" si="31"/>
        <v>0</v>
      </c>
      <c r="BW23" s="659">
        <f>SUMIFS(ARG[TBAYAR1],ARG[TANGGAL],C23)</f>
        <v>0</v>
      </c>
      <c r="BX23" s="663">
        <f t="shared" si="32"/>
        <v>0</v>
      </c>
      <c r="BY23" s="663">
        <f t="shared" si="33"/>
        <v>0</v>
      </c>
      <c r="BZ23" s="659">
        <f>SUMIFS(ARG[TBAYAR2],ARG[TANGGAL],C23)</f>
        <v>0</v>
      </c>
      <c r="CA23" s="659">
        <f>SUMIFS(ARG[POTPPH],ARG[TANGGAL],C23)</f>
        <v>0</v>
      </c>
      <c r="CB23" s="659">
        <f>SUMIFS(ARG[TPEMBAYARAN],ARG[TANGGAL],C23)</f>
        <v>0</v>
      </c>
      <c r="CC23" s="616"/>
      <c r="CD23" s="575">
        <v>0</v>
      </c>
      <c r="CE23" s="348">
        <v>0</v>
      </c>
      <c r="CF23" s="348">
        <v>0</v>
      </c>
      <c r="CG23" s="348">
        <v>0</v>
      </c>
      <c r="CH23" s="348">
        <v>0</v>
      </c>
      <c r="CI23" s="348">
        <v>0</v>
      </c>
      <c r="CJ23" s="348">
        <v>0</v>
      </c>
      <c r="CK23" s="348">
        <v>0</v>
      </c>
      <c r="CL23" s="348">
        <v>0</v>
      </c>
      <c r="CM23" s="348">
        <v>0</v>
      </c>
      <c r="CN23" s="348">
        <v>0</v>
      </c>
      <c r="CO23" s="348">
        <v>0</v>
      </c>
      <c r="CP23" s="348">
        <v>0</v>
      </c>
      <c r="CQ23" s="576"/>
      <c r="CR23" s="348">
        <v>0</v>
      </c>
      <c r="CS23" s="348">
        <v>0</v>
      </c>
      <c r="CT23" s="348">
        <v>0</v>
      </c>
      <c r="CU23" s="348">
        <v>0</v>
      </c>
      <c r="CV23" s="348">
        <v>0</v>
      </c>
      <c r="CW23" s="348">
        <v>0</v>
      </c>
      <c r="CX23" s="348">
        <v>0</v>
      </c>
      <c r="CY23" s="348">
        <v>0</v>
      </c>
      <c r="CZ23" s="348">
        <v>0</v>
      </c>
      <c r="DA23" s="348">
        <v>0</v>
      </c>
      <c r="DB23" s="348">
        <v>0</v>
      </c>
      <c r="DC23" s="348">
        <v>0</v>
      </c>
      <c r="DD23" s="348">
        <v>0</v>
      </c>
      <c r="DE23" s="576"/>
      <c r="DF23" s="576"/>
      <c r="DG23" s="348">
        <v>144940</v>
      </c>
      <c r="DH23" s="348">
        <v>46510</v>
      </c>
      <c r="DI23" s="348">
        <v>98430</v>
      </c>
      <c r="DJ23" s="348">
        <v>0</v>
      </c>
      <c r="DK23" s="348">
        <v>30</v>
      </c>
      <c r="DL23" s="348">
        <v>98400</v>
      </c>
      <c r="DM23" s="348">
        <v>582.35264227642278</v>
      </c>
      <c r="DN23" s="348">
        <v>57303500</v>
      </c>
      <c r="DO23" s="348">
        <v>0</v>
      </c>
      <c r="DP23" s="348">
        <v>0</v>
      </c>
      <c r="DQ23" s="348">
        <v>57303500</v>
      </c>
      <c r="DR23" s="576"/>
      <c r="DS23" s="348"/>
      <c r="DT23" s="348"/>
      <c r="DU23" s="348"/>
      <c r="DV23" s="348"/>
      <c r="DW23" s="348"/>
      <c r="DX23" s="348"/>
      <c r="DY23" s="348"/>
      <c r="DZ23" s="348"/>
      <c r="EA23" s="576"/>
      <c r="EB23" s="348"/>
      <c r="EC23" s="348"/>
      <c r="ED23" s="348"/>
      <c r="EE23" s="348"/>
      <c r="EF23" s="348"/>
      <c r="EG23" s="348"/>
      <c r="EH23" s="348"/>
      <c r="EI23" s="348"/>
      <c r="EJ23" s="348">
        <v>0</v>
      </c>
      <c r="EK23" s="348">
        <v>0</v>
      </c>
      <c r="EL23" s="348">
        <v>0</v>
      </c>
      <c r="EM23" s="348">
        <v>0</v>
      </c>
      <c r="EN23" s="348">
        <v>0</v>
      </c>
      <c r="EO23" s="348">
        <v>0</v>
      </c>
      <c r="EP23" s="348">
        <v>0</v>
      </c>
      <c r="EQ23" s="348">
        <v>0</v>
      </c>
      <c r="ER23" s="348">
        <v>0</v>
      </c>
      <c r="ES23" s="348">
        <v>0</v>
      </c>
      <c r="ET23" s="348">
        <v>0</v>
      </c>
      <c r="EU23" s="348">
        <v>0</v>
      </c>
      <c r="EV23" s="348">
        <v>0</v>
      </c>
      <c r="EW23" s="348">
        <v>0</v>
      </c>
      <c r="EX23" s="348">
        <v>0</v>
      </c>
      <c r="EY23" s="348">
        <v>0</v>
      </c>
      <c r="EZ23" s="348">
        <v>0</v>
      </c>
      <c r="FA23" s="348">
        <v>0</v>
      </c>
      <c r="FB23" s="348">
        <v>0</v>
      </c>
      <c r="FC23" s="348">
        <v>0</v>
      </c>
      <c r="FD23" s="348">
        <v>0</v>
      </c>
      <c r="FE23" s="348">
        <v>0</v>
      </c>
      <c r="FF23" s="348">
        <v>0</v>
      </c>
      <c r="FG23" s="348">
        <v>0</v>
      </c>
      <c r="FH23" s="348">
        <v>0</v>
      </c>
      <c r="FI23" s="348">
        <v>0</v>
      </c>
      <c r="FJ23" s="348">
        <v>0</v>
      </c>
      <c r="FK23" s="348">
        <v>0</v>
      </c>
      <c r="FL23" s="348">
        <v>0</v>
      </c>
      <c r="FM23" s="348">
        <v>0</v>
      </c>
      <c r="FN23" s="348">
        <v>0</v>
      </c>
      <c r="FO23" s="348">
        <v>0</v>
      </c>
      <c r="FP23" s="348">
        <v>0</v>
      </c>
      <c r="FQ23" s="348">
        <v>0</v>
      </c>
      <c r="FR23" s="348">
        <v>0</v>
      </c>
      <c r="FS23" s="348">
        <v>660</v>
      </c>
      <c r="FT23" s="348">
        <v>3490</v>
      </c>
      <c r="FU23" s="348">
        <v>5620</v>
      </c>
      <c r="FV23" s="348">
        <v>1440</v>
      </c>
      <c r="FW23" s="348">
        <v>0</v>
      </c>
      <c r="FX23" s="348">
        <v>0</v>
      </c>
      <c r="FY23" s="348">
        <v>0</v>
      </c>
      <c r="FZ23" s="348">
        <v>0</v>
      </c>
      <c r="GA23" s="348">
        <v>48700</v>
      </c>
      <c r="GB23" s="348">
        <v>0</v>
      </c>
      <c r="GC23" s="348">
        <v>25880</v>
      </c>
      <c r="GD23" s="348">
        <v>58720</v>
      </c>
      <c r="GE23" s="348">
        <v>0</v>
      </c>
      <c r="GF23" s="348">
        <v>72070</v>
      </c>
      <c r="GG23" s="348">
        <v>0</v>
      </c>
      <c r="GH23" s="348">
        <v>40000</v>
      </c>
      <c r="GI23" s="348">
        <v>0</v>
      </c>
      <c r="GJ23" s="348">
        <v>0</v>
      </c>
      <c r="GK23" s="348">
        <v>0</v>
      </c>
      <c r="GL23" s="348">
        <v>0</v>
      </c>
    </row>
    <row r="24" spans="2:194" s="349" customFormat="1" ht="30" customHeight="1">
      <c r="B24" s="557">
        <f t="shared" si="34"/>
        <v>16</v>
      </c>
      <c r="C24" s="645">
        <f t="shared" si="0"/>
        <v>43906</v>
      </c>
      <c r="D24" s="607"/>
      <c r="E24" s="659">
        <f>SUMIFS(KB[BRUTO],KB[TANGGAL],C24,KB[TYPE],"A")</f>
        <v>161040</v>
      </c>
      <c r="F24" s="660">
        <f>SUMIFS(KB[TARRA],KB[TANGGAL],C24,KB[TYPE],"A")</f>
        <v>67200</v>
      </c>
      <c r="G24" s="660">
        <f>SUMIFS(KB[NETTO],KB[TANGGAL],C24,KB[TYPE],"A")</f>
        <v>93840</v>
      </c>
      <c r="H24" s="660">
        <f t="shared" si="16"/>
        <v>5.230285592497868</v>
      </c>
      <c r="I24" s="660">
        <f>SUMIFS(KB[TPOT],KB[TANGGAL],C24,KB[TYPE],"A")</f>
        <v>4908.0999999999995</v>
      </c>
      <c r="J24" s="660">
        <f>SUMIFS(KB[NETTO2],KB[TANGGAL],C24,KB[TYPE],"A")</f>
        <v>88931.9</v>
      </c>
      <c r="K24" s="660">
        <f t="shared" si="17"/>
        <v>2917.5844663163612</v>
      </c>
      <c r="L24" s="660">
        <f>SUMIFS(KB[TBAYAR],KB[TANGGAL],C24,KB[TYPE],"A")</f>
        <v>259466330</v>
      </c>
      <c r="M24" s="660">
        <f t="shared" si="18"/>
        <v>14.66</v>
      </c>
      <c r="N24" s="660">
        <f t="shared" si="19"/>
        <v>2932.2429746806265</v>
      </c>
      <c r="O24" s="660">
        <f>SUMIFS(KB[TBAYAR2],KB[TANGGAL],C24,KB[TYPE],"A")</f>
        <v>260769939</v>
      </c>
      <c r="P24" s="660">
        <f>SUMIFS(KB[POTPPH],KB[TANGGAL],C24,KB[TYPE],"A")</f>
        <v>1303849</v>
      </c>
      <c r="Q24" s="660">
        <f>SUMIFS(KB[TPEMBAYARAN],KB[TANGGAL],C24,KB[TYPE],"A")</f>
        <v>259466090</v>
      </c>
      <c r="R24" s="660"/>
      <c r="S24" s="659">
        <f>SUMIFS(KB[BRUTO],KB[TANGGAL],C24,KB[TYPE],"B")</f>
        <v>0</v>
      </c>
      <c r="T24" s="660">
        <f>SUMIFS(KB[TARRA],KB[TANGGAL],C24,KB[TYPE],"B")</f>
        <v>0</v>
      </c>
      <c r="U24" s="660">
        <f>SUMIFS(KB[NETTO],KB[TANGGAL],C24,KB[TYPE],"B")</f>
        <v>0</v>
      </c>
      <c r="V24" s="660">
        <f t="shared" si="20"/>
        <v>0</v>
      </c>
      <c r="W24" s="660">
        <f>SUMIFS(KB[TPOT],KB[TANGGAL],C24,KB[TYPE],"B")</f>
        <v>0</v>
      </c>
      <c r="X24" s="660">
        <f>SUMIFS(KB[NETTO2],KB[TANGGAL],C24,KB[TYPE],"B")</f>
        <v>0</v>
      </c>
      <c r="Y24" s="660">
        <f t="shared" si="21"/>
        <v>0</v>
      </c>
      <c r="Z24" s="660">
        <f>SUMIFS(KB[TBAYAR],KB[TANGGAL],C24,KB[TYPE],"B")</f>
        <v>0</v>
      </c>
      <c r="AA24" s="660">
        <f t="shared" si="22"/>
        <v>0</v>
      </c>
      <c r="AB24" s="660">
        <f t="shared" si="23"/>
        <v>0</v>
      </c>
      <c r="AC24" s="660">
        <f>SUMIFS(KB[TBAYAR2],KB[TANGGAL],C24,KB[TYPE],"B")</f>
        <v>0</v>
      </c>
      <c r="AD24" s="660">
        <f>SUMIFS(KB[POTPPH],KB[TANGGAL],C24,KB[TYPE],"B")</f>
        <v>0</v>
      </c>
      <c r="AE24" s="660">
        <f>SUMIFS(KB[TPEMBAYARAN],KB[TANGGAL],C24,KB[TYPE],"B")</f>
        <v>0</v>
      </c>
      <c r="AF24" s="660"/>
      <c r="AG24" s="659">
        <f>SUMIFS(KBS[BRUTO],KBS[TANGGAL],C24)</f>
        <v>0</v>
      </c>
      <c r="AH24" s="660">
        <f>SUMIFS(KBS[TARRA],KBS[TANGGAL],C24)</f>
        <v>0</v>
      </c>
      <c r="AI24" s="660">
        <f>SUMIFS(KBS[NETTO],KBS[TANGGAL],C24)</f>
        <v>0</v>
      </c>
      <c r="AJ24" s="660">
        <f t="shared" si="24"/>
        <v>0</v>
      </c>
      <c r="AK24" s="660">
        <f>SUMIFS(KBS[TPOT],KBS[TANGGAL],C24)</f>
        <v>0</v>
      </c>
      <c r="AL24" s="660">
        <f>SUMIFS(KBS[NETTO2],KBS[TANGGAL],C24)</f>
        <v>0</v>
      </c>
      <c r="AM24" s="660">
        <f t="shared" si="25"/>
        <v>0</v>
      </c>
      <c r="AN24" s="660">
        <f>SUMIFS(KBS[TBAYAR],KBS[TANGGAL],C24)</f>
        <v>0</v>
      </c>
      <c r="AO24" s="660">
        <f t="shared" si="26"/>
        <v>0</v>
      </c>
      <c r="AP24" s="660">
        <f t="shared" si="27"/>
        <v>0</v>
      </c>
      <c r="AQ24" s="660">
        <f>SUMIFS(KBS[TBAYAR2],KBS[TANGGAL],C24)</f>
        <v>0</v>
      </c>
      <c r="AR24" s="660">
        <f>SUMIFS(KBS[POTPPH],KBS[TANGGAL],C24)</f>
        <v>0</v>
      </c>
      <c r="AS24" s="660">
        <f>SUMIFS(KBS[TPEMBAYARAN],KBS[TANGGAL],C24)</f>
        <v>0</v>
      </c>
      <c r="AT24" s="660"/>
      <c r="AU24" s="659">
        <f>SUMIFS(KPR[BRUTO],KPR[TANGGAL],C24)</f>
        <v>0</v>
      </c>
      <c r="AV24" s="660">
        <f>SUMIFS(KPR[TARRA],KPR[TANGGAL],C24)</f>
        <v>0</v>
      </c>
      <c r="AW24" s="660">
        <f>SUMIFS(KPR[NETTO],KPR[TANGGAL],C24)</f>
        <v>0</v>
      </c>
      <c r="AX24" s="662">
        <f>SUMIFS(KPR[POTKRG],KPR[TANGGAL],C24)</f>
        <v>0</v>
      </c>
      <c r="AY24" s="660">
        <f>SUMIFS(KPR[TPOT1],KPR[TANGGAL],C24)</f>
        <v>0</v>
      </c>
      <c r="AZ24" s="662">
        <f>SUMIFS(KPR[POTAIR],KPR[TANGGAL],C24)</f>
        <v>0</v>
      </c>
      <c r="BA24" s="660">
        <f>SUMIFS(KPR[TPOT2],KPR[TANGGAL],C24)</f>
        <v>0</v>
      </c>
      <c r="BB24" s="660">
        <f>SUMIFS(KPR[NETTOA],KPR[TANGGAL],C24)</f>
        <v>0</v>
      </c>
      <c r="BC24" s="660">
        <f>SUMIFS(KPR[NETTOB],KPR[TANGGAL],C24)</f>
        <v>0</v>
      </c>
      <c r="BD24" s="660">
        <f t="shared" si="28"/>
        <v>0</v>
      </c>
      <c r="BE24" s="660">
        <f>SUMIFS(KPR[TOTAL],KPR[TANGGAL],C24)</f>
        <v>0</v>
      </c>
      <c r="BF24" s="662">
        <f t="shared" si="29"/>
        <v>0</v>
      </c>
      <c r="BG24" s="662">
        <f t="shared" si="30"/>
        <v>0</v>
      </c>
      <c r="BH24" s="660">
        <f>SUMIFS(KPR[TBAYAR2],KPR[TANGGAL],C24)</f>
        <v>0</v>
      </c>
      <c r="BI24" s="660">
        <f>SUMIFS(KPR[POTPPH],KPR[TANGGAL],C24)</f>
        <v>0</v>
      </c>
      <c r="BJ24" s="660">
        <f>SUMIFS(KPR[TPEMBAYARAN],KPR[TANGGAL],C24)</f>
        <v>0</v>
      </c>
      <c r="BK24" s="660"/>
      <c r="BL24" s="659">
        <f>SUMIFS(ARG[BRUTO],ARG[TANGGAL],C24)</f>
        <v>0</v>
      </c>
      <c r="BM24" s="659">
        <f>SUMIFS(ARG[TARRA],ARG[TANGGAL],C24)</f>
        <v>0</v>
      </c>
      <c r="BN24" s="659">
        <f>SUMIFS(ARG[NETTO1],ARG[TANGGAL],C24)</f>
        <v>0</v>
      </c>
      <c r="BO24" s="659">
        <f>SUMIFS(ARG[POTKARUNG],ARG[TANGGAL],C24)</f>
        <v>0</v>
      </c>
      <c r="BP24" s="659">
        <f>SUMIFS(ARG[TPOT1],ARG[TANGGAL],C24)</f>
        <v>0</v>
      </c>
      <c r="BQ24" s="659">
        <f>SUMIFS(ARG[NETTO2],ARG[TANGGAL],C24)</f>
        <v>0</v>
      </c>
      <c r="BR24" s="659">
        <f>SUMIFS(ARG[MC],ARG[TANGGAL],C24)</f>
        <v>0</v>
      </c>
      <c r="BS24" s="659">
        <f>SUMIFS(ARG[DC],ARG[TANGGAL],C24)</f>
        <v>0</v>
      </c>
      <c r="BT24" s="659">
        <f>SUMIFS(ARG[DC2],ARG[TANGGAL],C24)</f>
        <v>0</v>
      </c>
      <c r="BU24" s="659">
        <f>SUMIFS(ARG[NETTO3],ARG[TANGGAL],C24)</f>
        <v>0</v>
      </c>
      <c r="BV24" s="660">
        <f t="shared" si="31"/>
        <v>0</v>
      </c>
      <c r="BW24" s="659">
        <f>SUMIFS(ARG[TBAYAR1],ARG[TANGGAL],C24)</f>
        <v>0</v>
      </c>
      <c r="BX24" s="663">
        <f t="shared" si="32"/>
        <v>0</v>
      </c>
      <c r="BY24" s="663">
        <f t="shared" si="33"/>
        <v>0</v>
      </c>
      <c r="BZ24" s="659">
        <f>SUMIFS(ARG[TBAYAR2],ARG[TANGGAL],C24)</f>
        <v>0</v>
      </c>
      <c r="CA24" s="659">
        <f>SUMIFS(ARG[POTPPH],ARG[TANGGAL],C24)</f>
        <v>0</v>
      </c>
      <c r="CB24" s="659">
        <f>SUMIFS(ARG[TPEMBAYARAN],ARG[TANGGAL],C24)</f>
        <v>0</v>
      </c>
      <c r="CC24" s="616"/>
      <c r="CD24" s="575">
        <v>0</v>
      </c>
      <c r="CE24" s="348">
        <v>0</v>
      </c>
      <c r="CF24" s="348">
        <v>0</v>
      </c>
      <c r="CG24" s="348">
        <v>0</v>
      </c>
      <c r="CH24" s="348">
        <v>0</v>
      </c>
      <c r="CI24" s="348">
        <v>0</v>
      </c>
      <c r="CJ24" s="348">
        <v>0</v>
      </c>
      <c r="CK24" s="348">
        <v>0</v>
      </c>
      <c r="CL24" s="348">
        <v>0</v>
      </c>
      <c r="CM24" s="348">
        <v>0</v>
      </c>
      <c r="CN24" s="348">
        <v>0</v>
      </c>
      <c r="CO24" s="348">
        <v>0</v>
      </c>
      <c r="CP24" s="348">
        <v>0</v>
      </c>
      <c r="CQ24" s="576"/>
      <c r="CR24" s="348">
        <v>0</v>
      </c>
      <c r="CS24" s="348">
        <v>0</v>
      </c>
      <c r="CT24" s="348">
        <v>0</v>
      </c>
      <c r="CU24" s="348">
        <v>0</v>
      </c>
      <c r="CV24" s="348">
        <v>0</v>
      </c>
      <c r="CW24" s="348">
        <v>0</v>
      </c>
      <c r="CX24" s="348">
        <v>0</v>
      </c>
      <c r="CY24" s="348">
        <v>0</v>
      </c>
      <c r="CZ24" s="348">
        <v>0</v>
      </c>
      <c r="DA24" s="348">
        <v>0</v>
      </c>
      <c r="DB24" s="348">
        <v>0</v>
      </c>
      <c r="DC24" s="348">
        <v>0</v>
      </c>
      <c r="DD24" s="348">
        <v>0</v>
      </c>
      <c r="DE24" s="576"/>
      <c r="DF24" s="576"/>
      <c r="DG24" s="348"/>
      <c r="DH24" s="348"/>
      <c r="DI24" s="348"/>
      <c r="DJ24" s="348"/>
      <c r="DK24" s="348"/>
      <c r="DL24" s="348"/>
      <c r="DM24" s="348"/>
      <c r="DN24" s="348"/>
      <c r="DO24" s="348"/>
      <c r="DP24" s="348"/>
      <c r="DQ24" s="348"/>
      <c r="DR24" s="576"/>
      <c r="DS24" s="348"/>
      <c r="DT24" s="348"/>
      <c r="DU24" s="348"/>
      <c r="DV24" s="348"/>
      <c r="DW24" s="348"/>
      <c r="DX24" s="348"/>
      <c r="DY24" s="348"/>
      <c r="DZ24" s="348"/>
      <c r="EA24" s="576"/>
      <c r="EB24" s="348"/>
      <c r="EC24" s="348"/>
      <c r="ED24" s="348"/>
      <c r="EE24" s="348"/>
      <c r="EF24" s="348"/>
      <c r="EG24" s="348"/>
      <c r="EH24" s="348"/>
      <c r="EI24" s="348"/>
      <c r="EJ24" s="348"/>
      <c r="EK24" s="348"/>
      <c r="EL24" s="348"/>
      <c r="EM24" s="348"/>
      <c r="EN24" s="348"/>
      <c r="EO24" s="348"/>
      <c r="EP24" s="348"/>
      <c r="EQ24" s="348"/>
      <c r="ER24" s="348"/>
      <c r="ES24" s="348"/>
      <c r="ET24" s="348"/>
      <c r="EU24" s="348"/>
      <c r="EV24" s="348"/>
      <c r="EW24" s="348"/>
      <c r="EX24" s="348"/>
      <c r="EY24" s="348"/>
      <c r="EZ24" s="348"/>
      <c r="FA24" s="348"/>
      <c r="FB24" s="348"/>
      <c r="FC24" s="348"/>
      <c r="FD24" s="348"/>
      <c r="FE24" s="348"/>
      <c r="FF24" s="348"/>
      <c r="FG24" s="350"/>
      <c r="FH24" s="350"/>
      <c r="FI24" s="350"/>
      <c r="FJ24" s="350"/>
      <c r="FK24" s="350"/>
      <c r="FL24" s="350"/>
      <c r="FM24" s="350"/>
      <c r="FN24" s="350"/>
      <c r="FO24" s="350"/>
      <c r="FP24" s="350"/>
      <c r="FQ24" s="350"/>
      <c r="FR24" s="350"/>
      <c r="FS24" s="348"/>
      <c r="FT24" s="348"/>
      <c r="FU24" s="356"/>
      <c r="FV24" s="353"/>
      <c r="FW24" s="353"/>
      <c r="FX24" s="354"/>
      <c r="FY24" s="353"/>
      <c r="FZ24" s="353"/>
      <c r="GA24" s="355"/>
      <c r="GB24" s="353"/>
      <c r="GC24" s="348"/>
      <c r="GD24" s="348"/>
      <c r="GE24" s="348"/>
      <c r="GF24" s="348"/>
      <c r="GG24" s="348"/>
      <c r="GH24" s="353"/>
      <c r="GI24" s="354"/>
      <c r="GJ24" s="355"/>
      <c r="GK24" s="355"/>
      <c r="GL24" s="353"/>
    </row>
    <row r="25" spans="2:194" s="349" customFormat="1" ht="30" customHeight="1">
      <c r="B25" s="557">
        <f t="shared" si="34"/>
        <v>17</v>
      </c>
      <c r="C25" s="645">
        <f t="shared" si="0"/>
        <v>43907</v>
      </c>
      <c r="D25" s="607"/>
      <c r="E25" s="659">
        <f>SUMIFS(KB[BRUTO],KB[TANGGAL],C25,KB[TYPE],"A")</f>
        <v>41590</v>
      </c>
      <c r="F25" s="660">
        <f>SUMIFS(KB[TARRA],KB[TANGGAL],C25,KB[TYPE],"A")</f>
        <v>18850</v>
      </c>
      <c r="G25" s="660">
        <f>SUMIFS(KB[NETTO],KB[TANGGAL],C25,KB[TYPE],"A")</f>
        <v>22740</v>
      </c>
      <c r="H25" s="660">
        <f t="shared" si="16"/>
        <v>5.1328056288478452</v>
      </c>
      <c r="I25" s="660">
        <f>SUMIFS(KB[TPOT],KB[TANGGAL],C25,KB[TYPE],"A")</f>
        <v>1167.2</v>
      </c>
      <c r="J25" s="660">
        <f>SUMIFS(KB[NETTO2],KB[TANGGAL],C25,KB[TYPE],"A")</f>
        <v>21572.799999999999</v>
      </c>
      <c r="K25" s="660">
        <f t="shared" si="17"/>
        <v>2928.6861232663355</v>
      </c>
      <c r="L25" s="660">
        <f>SUMIFS(KB[TBAYAR],KB[TANGGAL],C25,KB[TYPE],"A")</f>
        <v>63179960</v>
      </c>
      <c r="M25" s="660">
        <f t="shared" si="18"/>
        <v>14.72</v>
      </c>
      <c r="N25" s="660">
        <f t="shared" si="19"/>
        <v>2943.4017373729885</v>
      </c>
      <c r="O25" s="660">
        <f>SUMIFS(KB[TBAYAR2],KB[TANGGAL],C25,KB[TYPE],"A")</f>
        <v>63497417</v>
      </c>
      <c r="P25" s="660">
        <f>SUMIFS(KB[POTPPH],KB[TANGGAL],C25,KB[TYPE],"A")</f>
        <v>317488</v>
      </c>
      <c r="Q25" s="660">
        <f>SUMIFS(KB[TPEMBAYARAN],KB[TANGGAL],C25,KB[TYPE],"A")</f>
        <v>63179929</v>
      </c>
      <c r="R25" s="660"/>
      <c r="S25" s="659">
        <f>SUMIFS(KB[BRUTO],KB[TANGGAL],C25,KB[TYPE],"B")</f>
        <v>0</v>
      </c>
      <c r="T25" s="660">
        <f>SUMIFS(KB[TARRA],KB[TANGGAL],C25,KB[TYPE],"B")</f>
        <v>0</v>
      </c>
      <c r="U25" s="660">
        <f>SUMIFS(KB[NETTO],KB[TANGGAL],C25,KB[TYPE],"B")</f>
        <v>0</v>
      </c>
      <c r="V25" s="660">
        <f t="shared" si="20"/>
        <v>0</v>
      </c>
      <c r="W25" s="660">
        <f>SUMIFS(KB[TPOT],KB[TANGGAL],C25,KB[TYPE],"B")</f>
        <v>0</v>
      </c>
      <c r="X25" s="660">
        <f>SUMIFS(KB[NETTO2],KB[TANGGAL],C25,KB[TYPE],"B")</f>
        <v>0</v>
      </c>
      <c r="Y25" s="660">
        <f t="shared" si="21"/>
        <v>0</v>
      </c>
      <c r="Z25" s="660">
        <f>SUMIFS(KB[TBAYAR],KB[TANGGAL],C25,KB[TYPE],"B")</f>
        <v>0</v>
      </c>
      <c r="AA25" s="660">
        <f t="shared" si="22"/>
        <v>0</v>
      </c>
      <c r="AB25" s="660">
        <f t="shared" si="23"/>
        <v>0</v>
      </c>
      <c r="AC25" s="660">
        <f>SUMIFS(KB[TBAYAR2],KB[TANGGAL],C25,KB[TYPE],"B")</f>
        <v>0</v>
      </c>
      <c r="AD25" s="660">
        <f>SUMIFS(KB[POTPPH],KB[TANGGAL],C25,KB[TYPE],"B")</f>
        <v>0</v>
      </c>
      <c r="AE25" s="660">
        <f>SUMIFS(KB[TPEMBAYARAN],KB[TANGGAL],C25,KB[TYPE],"B")</f>
        <v>0</v>
      </c>
      <c r="AF25" s="660"/>
      <c r="AG25" s="659">
        <f>SUMIFS(KBS[BRUTO],KBS[TANGGAL],C25)</f>
        <v>0</v>
      </c>
      <c r="AH25" s="660">
        <f>SUMIFS(KBS[TARRA],KBS[TANGGAL],C25)</f>
        <v>0</v>
      </c>
      <c r="AI25" s="660">
        <f>SUMIFS(KBS[NETTO],KBS[TANGGAL],C25)</f>
        <v>0</v>
      </c>
      <c r="AJ25" s="660">
        <f t="shared" si="24"/>
        <v>0</v>
      </c>
      <c r="AK25" s="660">
        <f>SUMIFS(KBS[TPOT],KBS[TANGGAL],C25)</f>
        <v>0</v>
      </c>
      <c r="AL25" s="660">
        <f>SUMIFS(KBS[NETTO2],KBS[TANGGAL],C25)</f>
        <v>0</v>
      </c>
      <c r="AM25" s="660">
        <f t="shared" si="25"/>
        <v>0</v>
      </c>
      <c r="AN25" s="660">
        <f>SUMIFS(KBS[TBAYAR],KBS[TANGGAL],C25)</f>
        <v>0</v>
      </c>
      <c r="AO25" s="660">
        <f t="shared" si="26"/>
        <v>0</v>
      </c>
      <c r="AP25" s="660">
        <f t="shared" si="27"/>
        <v>0</v>
      </c>
      <c r="AQ25" s="660">
        <f>SUMIFS(KBS[TBAYAR2],KBS[TANGGAL],C25)</f>
        <v>0</v>
      </c>
      <c r="AR25" s="660">
        <f>SUMIFS(KBS[POTPPH],KBS[TANGGAL],C25)</f>
        <v>0</v>
      </c>
      <c r="AS25" s="660">
        <f>SUMIFS(KBS[TPEMBAYARAN],KBS[TANGGAL],C25)</f>
        <v>0</v>
      </c>
      <c r="AT25" s="660"/>
      <c r="AU25" s="659">
        <f>SUMIFS(KPR[BRUTO],KPR[TANGGAL],C25)</f>
        <v>0</v>
      </c>
      <c r="AV25" s="660">
        <f>SUMIFS(KPR[TARRA],KPR[TANGGAL],C25)</f>
        <v>0</v>
      </c>
      <c r="AW25" s="660">
        <f>SUMIFS(KPR[NETTO],KPR[TANGGAL],C25)</f>
        <v>0</v>
      </c>
      <c r="AX25" s="662">
        <f>SUMIFS(KPR[POTKRG],KPR[TANGGAL],C25)</f>
        <v>0</v>
      </c>
      <c r="AY25" s="660">
        <f>SUMIFS(KPR[TPOT1],KPR[TANGGAL],C25)</f>
        <v>0</v>
      </c>
      <c r="AZ25" s="662">
        <f>SUMIFS(KPR[POTAIR],KPR[TANGGAL],C25)</f>
        <v>0</v>
      </c>
      <c r="BA25" s="660">
        <f>SUMIFS(KPR[TPOT2],KPR[TANGGAL],C25)</f>
        <v>0</v>
      </c>
      <c r="BB25" s="660">
        <f>SUMIFS(KPR[NETTOA],KPR[TANGGAL],C25)</f>
        <v>0</v>
      </c>
      <c r="BC25" s="660">
        <f>SUMIFS(KPR[NETTOB],KPR[TANGGAL],C25)</f>
        <v>0</v>
      </c>
      <c r="BD25" s="660">
        <f t="shared" si="28"/>
        <v>0</v>
      </c>
      <c r="BE25" s="660">
        <f>SUMIFS(KPR[TOTAL],KPR[TANGGAL],C25)</f>
        <v>0</v>
      </c>
      <c r="BF25" s="662">
        <f t="shared" si="29"/>
        <v>0</v>
      </c>
      <c r="BG25" s="662">
        <f t="shared" si="30"/>
        <v>0</v>
      </c>
      <c r="BH25" s="660">
        <f>SUMIFS(KPR[TBAYAR2],KPR[TANGGAL],C25)</f>
        <v>0</v>
      </c>
      <c r="BI25" s="660">
        <f>SUMIFS(KPR[POTPPH],KPR[TANGGAL],C25)</f>
        <v>0</v>
      </c>
      <c r="BJ25" s="660">
        <f>SUMIFS(KPR[TPEMBAYARAN],KPR[TANGGAL],C25)</f>
        <v>0</v>
      </c>
      <c r="BK25" s="660"/>
      <c r="BL25" s="659">
        <f>SUMIFS(ARG[BRUTO],ARG[TANGGAL],C25)</f>
        <v>0</v>
      </c>
      <c r="BM25" s="659">
        <f>SUMIFS(ARG[TARRA],ARG[TANGGAL],C25)</f>
        <v>0</v>
      </c>
      <c r="BN25" s="659">
        <f>SUMIFS(ARG[NETTO1],ARG[TANGGAL],C25)</f>
        <v>0</v>
      </c>
      <c r="BO25" s="659">
        <f>SUMIFS(ARG[POTKARUNG],ARG[TANGGAL],C25)</f>
        <v>0</v>
      </c>
      <c r="BP25" s="659">
        <f>SUMIFS(ARG[TPOT1],ARG[TANGGAL],C25)</f>
        <v>0</v>
      </c>
      <c r="BQ25" s="659">
        <f>SUMIFS(ARG[NETTO2],ARG[TANGGAL],C25)</f>
        <v>0</v>
      </c>
      <c r="BR25" s="659">
        <f>SUMIFS(ARG[MC],ARG[TANGGAL],C25)</f>
        <v>0</v>
      </c>
      <c r="BS25" s="659">
        <f>SUMIFS(ARG[DC],ARG[TANGGAL],C25)</f>
        <v>0</v>
      </c>
      <c r="BT25" s="659">
        <f>SUMIFS(ARG[DC2],ARG[TANGGAL],C25)</f>
        <v>0</v>
      </c>
      <c r="BU25" s="659">
        <f>SUMIFS(ARG[NETTO3],ARG[TANGGAL],C25)</f>
        <v>0</v>
      </c>
      <c r="BV25" s="660">
        <f t="shared" si="31"/>
        <v>0</v>
      </c>
      <c r="BW25" s="659">
        <f>SUMIFS(ARG[TBAYAR1],ARG[TANGGAL],C25)</f>
        <v>0</v>
      </c>
      <c r="BX25" s="663">
        <f t="shared" si="32"/>
        <v>0</v>
      </c>
      <c r="BY25" s="663">
        <f t="shared" si="33"/>
        <v>0</v>
      </c>
      <c r="BZ25" s="659">
        <f>SUMIFS(ARG[TBAYAR2],ARG[TANGGAL],C25)</f>
        <v>0</v>
      </c>
      <c r="CA25" s="659">
        <f>SUMIFS(ARG[POTPPH],ARG[TANGGAL],C25)</f>
        <v>0</v>
      </c>
      <c r="CB25" s="659">
        <f>SUMIFS(ARG[TPEMBAYARAN],ARG[TANGGAL],C25)</f>
        <v>0</v>
      </c>
      <c r="CC25" s="616"/>
      <c r="CD25" s="575">
        <v>0</v>
      </c>
      <c r="CE25" s="348">
        <v>0</v>
      </c>
      <c r="CF25" s="348">
        <v>0</v>
      </c>
      <c r="CG25" s="348">
        <v>0</v>
      </c>
      <c r="CH25" s="348">
        <v>0</v>
      </c>
      <c r="CI25" s="348">
        <v>0</v>
      </c>
      <c r="CJ25" s="348">
        <v>0</v>
      </c>
      <c r="CK25" s="348">
        <v>0</v>
      </c>
      <c r="CL25" s="348">
        <v>0</v>
      </c>
      <c r="CM25" s="348">
        <v>0</v>
      </c>
      <c r="CN25" s="348">
        <v>0</v>
      </c>
      <c r="CO25" s="348">
        <v>0</v>
      </c>
      <c r="CP25" s="348">
        <v>0</v>
      </c>
      <c r="CQ25" s="576"/>
      <c r="CR25" s="348">
        <v>0</v>
      </c>
      <c r="CS25" s="348">
        <v>0</v>
      </c>
      <c r="CT25" s="348">
        <v>0</v>
      </c>
      <c r="CU25" s="348">
        <v>0</v>
      </c>
      <c r="CV25" s="348">
        <v>0</v>
      </c>
      <c r="CW25" s="348">
        <v>0</v>
      </c>
      <c r="CX25" s="348">
        <v>0</v>
      </c>
      <c r="CY25" s="348">
        <v>0</v>
      </c>
      <c r="CZ25" s="348">
        <v>0</v>
      </c>
      <c r="DA25" s="348">
        <v>0</v>
      </c>
      <c r="DB25" s="348">
        <v>0</v>
      </c>
      <c r="DC25" s="348">
        <v>0</v>
      </c>
      <c r="DD25" s="348">
        <v>0</v>
      </c>
      <c r="DE25" s="576"/>
      <c r="DF25" s="576"/>
      <c r="DG25" s="348"/>
      <c r="DH25" s="348"/>
      <c r="DI25" s="348"/>
      <c r="DJ25" s="348"/>
      <c r="DK25" s="348"/>
      <c r="DL25" s="348"/>
      <c r="DM25" s="348"/>
      <c r="DN25" s="348"/>
      <c r="DO25" s="348"/>
      <c r="DP25" s="348"/>
      <c r="DQ25" s="348"/>
      <c r="DR25" s="576"/>
      <c r="DS25" s="348"/>
      <c r="DT25" s="348"/>
      <c r="DU25" s="348"/>
      <c r="DV25" s="348"/>
      <c r="DW25" s="348"/>
      <c r="DX25" s="348"/>
      <c r="DY25" s="348"/>
      <c r="DZ25" s="348"/>
      <c r="EA25" s="576"/>
      <c r="EB25" s="348"/>
      <c r="EC25" s="348"/>
      <c r="ED25" s="348"/>
      <c r="EE25" s="348"/>
      <c r="EF25" s="348"/>
      <c r="EG25" s="348"/>
      <c r="EH25" s="348"/>
      <c r="EI25" s="348"/>
      <c r="EJ25" s="348"/>
      <c r="EK25" s="348"/>
      <c r="EL25" s="348"/>
      <c r="EM25" s="348"/>
      <c r="EN25" s="348"/>
      <c r="EO25" s="348"/>
      <c r="EP25" s="348"/>
      <c r="EQ25" s="348"/>
      <c r="ER25" s="348"/>
      <c r="ES25" s="348"/>
      <c r="ET25" s="348"/>
      <c r="EU25" s="348"/>
      <c r="EV25" s="348"/>
      <c r="EW25" s="348"/>
      <c r="EX25" s="348"/>
      <c r="EY25" s="348"/>
      <c r="EZ25" s="348"/>
      <c r="FA25" s="348"/>
      <c r="FB25" s="348"/>
      <c r="FC25" s="348"/>
      <c r="FD25" s="348"/>
      <c r="FE25" s="348"/>
      <c r="FF25" s="348"/>
      <c r="FG25" s="350"/>
      <c r="FH25" s="350"/>
      <c r="FI25" s="350"/>
      <c r="FJ25" s="350"/>
      <c r="FK25" s="350"/>
      <c r="FL25" s="350"/>
      <c r="FM25" s="350"/>
      <c r="FN25" s="350"/>
      <c r="FO25" s="350"/>
      <c r="FP25" s="350"/>
      <c r="FQ25" s="350"/>
      <c r="FR25" s="350"/>
      <c r="FS25" s="348"/>
      <c r="FT25" s="348"/>
      <c r="FU25" s="356"/>
      <c r="FV25" s="353"/>
      <c r="FW25" s="353"/>
      <c r="FX25" s="354"/>
      <c r="FY25" s="353"/>
      <c r="FZ25" s="353"/>
      <c r="GA25" s="355"/>
      <c r="GB25" s="353"/>
      <c r="GC25" s="348"/>
      <c r="GD25" s="348"/>
      <c r="GE25" s="348"/>
      <c r="GF25" s="348"/>
      <c r="GG25" s="348"/>
      <c r="GH25" s="353"/>
      <c r="GI25" s="354"/>
      <c r="GJ25" s="353"/>
      <c r="GK25" s="355"/>
      <c r="GL25" s="353"/>
    </row>
    <row r="26" spans="2:194" s="349" customFormat="1" ht="30" customHeight="1">
      <c r="B26" s="557">
        <f t="shared" si="34"/>
        <v>18</v>
      </c>
      <c r="C26" s="645">
        <f t="shared" si="0"/>
        <v>43908</v>
      </c>
      <c r="D26" s="607"/>
      <c r="E26" s="659">
        <f>SUMIFS(KB[BRUTO],KB[TANGGAL],C26,KB[TYPE],"A")</f>
        <v>75800</v>
      </c>
      <c r="F26" s="660">
        <f>SUMIFS(KB[TARRA],KB[TANGGAL],C26,KB[TYPE],"A")</f>
        <v>33080</v>
      </c>
      <c r="G26" s="660">
        <f>SUMIFS(KB[NETTO],KB[TANGGAL],C26,KB[TYPE],"A")</f>
        <v>42720</v>
      </c>
      <c r="H26" s="660">
        <f t="shared" si="16"/>
        <v>5.4044943820224711</v>
      </c>
      <c r="I26" s="660">
        <f>SUMIFS(KB[TPOT],KB[TANGGAL],C26,KB[TYPE],"A")</f>
        <v>2308.7999999999997</v>
      </c>
      <c r="J26" s="660">
        <f>SUMIFS(KB[NETTO2],KB[TANGGAL],C26,KB[TYPE],"A")</f>
        <v>40411.200000000004</v>
      </c>
      <c r="K26" s="660">
        <f t="shared" si="17"/>
        <v>2938.8454190917364</v>
      </c>
      <c r="L26" s="660">
        <f>SUMIFS(KB[TBAYAR],KB[TANGGAL],C26,KB[TYPE],"A")</f>
        <v>118762270</v>
      </c>
      <c r="M26" s="660">
        <f t="shared" si="18"/>
        <v>14.77</v>
      </c>
      <c r="N26" s="660">
        <f t="shared" si="19"/>
        <v>2953.6123896345566</v>
      </c>
      <c r="O26" s="660">
        <f>SUMIFS(KB[TBAYAR2],KB[TANGGAL],C26,KB[TYPE],"A")</f>
        <v>119359021</v>
      </c>
      <c r="P26" s="660">
        <f>SUMIFS(KB[POTPPH],KB[TANGGAL],C26,KB[TYPE],"A")</f>
        <v>596796</v>
      </c>
      <c r="Q26" s="660">
        <f>SUMIFS(KB[TPEMBAYARAN],KB[TANGGAL],C26,KB[TYPE],"A")</f>
        <v>118762225</v>
      </c>
      <c r="R26" s="660"/>
      <c r="S26" s="659">
        <f>SUMIFS(KB[BRUTO],KB[TANGGAL],C26,KB[TYPE],"B")</f>
        <v>0</v>
      </c>
      <c r="T26" s="660">
        <f>SUMIFS(KB[TARRA],KB[TANGGAL],C26,KB[TYPE],"B")</f>
        <v>0</v>
      </c>
      <c r="U26" s="660">
        <f>SUMIFS(KB[NETTO],KB[TANGGAL],C26,KB[TYPE],"B")</f>
        <v>0</v>
      </c>
      <c r="V26" s="660">
        <f t="shared" si="20"/>
        <v>0</v>
      </c>
      <c r="W26" s="660">
        <f>SUMIFS(KB[TPOT],KB[TANGGAL],C26,KB[TYPE],"B")</f>
        <v>0</v>
      </c>
      <c r="X26" s="660">
        <f>SUMIFS(KB[NETTO2],KB[TANGGAL],C26,KB[TYPE],"B")</f>
        <v>0</v>
      </c>
      <c r="Y26" s="660">
        <f t="shared" si="21"/>
        <v>0</v>
      </c>
      <c r="Z26" s="660">
        <f>SUMIFS(KB[TBAYAR],KB[TANGGAL],C26,KB[TYPE],"B")</f>
        <v>0</v>
      </c>
      <c r="AA26" s="660">
        <f t="shared" si="22"/>
        <v>0</v>
      </c>
      <c r="AB26" s="660">
        <f t="shared" si="23"/>
        <v>0</v>
      </c>
      <c r="AC26" s="660">
        <f>SUMIFS(KB[TBAYAR2],KB[TANGGAL],C26,KB[TYPE],"B")</f>
        <v>0</v>
      </c>
      <c r="AD26" s="660">
        <f>SUMIFS(KB[POTPPH],KB[TANGGAL],C26,KB[TYPE],"B")</f>
        <v>0</v>
      </c>
      <c r="AE26" s="660">
        <f>SUMIFS(KB[TPEMBAYARAN],KB[TANGGAL],C26,KB[TYPE],"B")</f>
        <v>0</v>
      </c>
      <c r="AF26" s="660"/>
      <c r="AG26" s="659">
        <f>SUMIFS(KBS[BRUTO],KBS[TANGGAL],C26)</f>
        <v>0</v>
      </c>
      <c r="AH26" s="660">
        <f>SUMIFS(KBS[TARRA],KBS[TANGGAL],C26)</f>
        <v>0</v>
      </c>
      <c r="AI26" s="660">
        <f>SUMIFS(KBS[NETTO],KBS[TANGGAL],C26)</f>
        <v>0</v>
      </c>
      <c r="AJ26" s="660">
        <f t="shared" si="24"/>
        <v>0</v>
      </c>
      <c r="AK26" s="660">
        <f>SUMIFS(KBS[TPOT],KBS[TANGGAL],C26)</f>
        <v>0</v>
      </c>
      <c r="AL26" s="660">
        <f>SUMIFS(KBS[NETTO2],KBS[TANGGAL],C26)</f>
        <v>0</v>
      </c>
      <c r="AM26" s="660">
        <f t="shared" si="25"/>
        <v>0</v>
      </c>
      <c r="AN26" s="660">
        <f>SUMIFS(KBS[TBAYAR],KBS[TANGGAL],C26)</f>
        <v>0</v>
      </c>
      <c r="AO26" s="660">
        <f t="shared" si="26"/>
        <v>0</v>
      </c>
      <c r="AP26" s="660">
        <f t="shared" si="27"/>
        <v>0</v>
      </c>
      <c r="AQ26" s="660">
        <f>SUMIFS(KBS[TBAYAR2],KBS[TANGGAL],C26)</f>
        <v>0</v>
      </c>
      <c r="AR26" s="660">
        <f>SUMIFS(KBS[POTPPH],KBS[TANGGAL],C26)</f>
        <v>0</v>
      </c>
      <c r="AS26" s="660">
        <f>SUMIFS(KBS[TPEMBAYARAN],KBS[TANGGAL],C26)</f>
        <v>0</v>
      </c>
      <c r="AT26" s="660"/>
      <c r="AU26" s="659">
        <f>SUMIFS(KPR[BRUTO],KPR[TANGGAL],C26)</f>
        <v>0</v>
      </c>
      <c r="AV26" s="660">
        <f>SUMIFS(KPR[TARRA],KPR[TANGGAL],C26)</f>
        <v>0</v>
      </c>
      <c r="AW26" s="660">
        <f>SUMIFS(KPR[NETTO],KPR[TANGGAL],C26)</f>
        <v>0</v>
      </c>
      <c r="AX26" s="662">
        <f>SUMIFS(KPR[POTKRG],KPR[TANGGAL],C26)</f>
        <v>0</v>
      </c>
      <c r="AY26" s="660">
        <f>SUMIFS(KPR[TPOT1],KPR[TANGGAL],C26)</f>
        <v>0</v>
      </c>
      <c r="AZ26" s="662">
        <f>SUMIFS(KPR[POTAIR],KPR[TANGGAL],C26)</f>
        <v>0</v>
      </c>
      <c r="BA26" s="660">
        <f>SUMIFS(KPR[TPOT2],KPR[TANGGAL],C26)</f>
        <v>0</v>
      </c>
      <c r="BB26" s="660">
        <f>SUMIFS(KPR[NETTOA],KPR[TANGGAL],C26)</f>
        <v>0</v>
      </c>
      <c r="BC26" s="660">
        <f>SUMIFS(KPR[NETTOB],KPR[TANGGAL],C26)</f>
        <v>0</v>
      </c>
      <c r="BD26" s="660">
        <f t="shared" si="28"/>
        <v>0</v>
      </c>
      <c r="BE26" s="660">
        <f>SUMIFS(KPR[TOTAL],KPR[TANGGAL],C26)</f>
        <v>0</v>
      </c>
      <c r="BF26" s="662">
        <f t="shared" si="29"/>
        <v>0</v>
      </c>
      <c r="BG26" s="662">
        <f t="shared" si="30"/>
        <v>0</v>
      </c>
      <c r="BH26" s="660">
        <f>SUMIFS(KPR[TBAYAR2],KPR[TANGGAL],C26)</f>
        <v>0</v>
      </c>
      <c r="BI26" s="660">
        <f>SUMIFS(KPR[POTPPH],KPR[TANGGAL],C26)</f>
        <v>0</v>
      </c>
      <c r="BJ26" s="660">
        <f>SUMIFS(KPR[TPEMBAYARAN],KPR[TANGGAL],C26)</f>
        <v>0</v>
      </c>
      <c r="BK26" s="660"/>
      <c r="BL26" s="659">
        <f>SUMIFS(ARG[BRUTO],ARG[TANGGAL],C26)</f>
        <v>0</v>
      </c>
      <c r="BM26" s="659">
        <f>SUMIFS(ARG[TARRA],ARG[TANGGAL],C26)</f>
        <v>0</v>
      </c>
      <c r="BN26" s="659">
        <f>SUMIFS(ARG[NETTO1],ARG[TANGGAL],C26)</f>
        <v>0</v>
      </c>
      <c r="BO26" s="659">
        <f>SUMIFS(ARG[POTKARUNG],ARG[TANGGAL],C26)</f>
        <v>0</v>
      </c>
      <c r="BP26" s="659">
        <f>SUMIFS(ARG[TPOT1],ARG[TANGGAL],C26)</f>
        <v>0</v>
      </c>
      <c r="BQ26" s="659">
        <f>SUMIFS(ARG[NETTO2],ARG[TANGGAL],C26)</f>
        <v>0</v>
      </c>
      <c r="BR26" s="659">
        <f>SUMIFS(ARG[MC],ARG[TANGGAL],C26)</f>
        <v>0</v>
      </c>
      <c r="BS26" s="659">
        <f>SUMIFS(ARG[DC],ARG[TANGGAL],C26)</f>
        <v>0</v>
      </c>
      <c r="BT26" s="659">
        <f>SUMIFS(ARG[DC2],ARG[TANGGAL],C26)</f>
        <v>0</v>
      </c>
      <c r="BU26" s="659">
        <f>SUMIFS(ARG[NETTO3],ARG[TANGGAL],C26)</f>
        <v>0</v>
      </c>
      <c r="BV26" s="660">
        <f t="shared" si="31"/>
        <v>0</v>
      </c>
      <c r="BW26" s="659">
        <f>SUMIFS(ARG[TBAYAR1],ARG[TANGGAL],C26)</f>
        <v>0</v>
      </c>
      <c r="BX26" s="663">
        <f t="shared" si="32"/>
        <v>0</v>
      </c>
      <c r="BY26" s="663">
        <f t="shared" si="33"/>
        <v>0</v>
      </c>
      <c r="BZ26" s="659">
        <f>SUMIFS(ARG[TBAYAR2],ARG[TANGGAL],C26)</f>
        <v>0</v>
      </c>
      <c r="CA26" s="659">
        <f>SUMIFS(ARG[POTPPH],ARG[TANGGAL],C26)</f>
        <v>0</v>
      </c>
      <c r="CB26" s="659">
        <f>SUMIFS(ARG[TPEMBAYARAN],ARG[TANGGAL],C26)</f>
        <v>0</v>
      </c>
      <c r="CC26" s="616"/>
      <c r="CD26" s="575">
        <v>0</v>
      </c>
      <c r="CE26" s="348">
        <v>0</v>
      </c>
      <c r="CF26" s="348">
        <v>0</v>
      </c>
      <c r="CG26" s="348">
        <v>0</v>
      </c>
      <c r="CH26" s="348">
        <v>0</v>
      </c>
      <c r="CI26" s="348">
        <v>0</v>
      </c>
      <c r="CJ26" s="348">
        <v>0</v>
      </c>
      <c r="CK26" s="348">
        <v>0</v>
      </c>
      <c r="CL26" s="348">
        <v>0</v>
      </c>
      <c r="CM26" s="348">
        <v>0</v>
      </c>
      <c r="CN26" s="348">
        <v>0</v>
      </c>
      <c r="CO26" s="348">
        <v>0</v>
      </c>
      <c r="CP26" s="348">
        <v>0</v>
      </c>
      <c r="CQ26" s="576"/>
      <c r="CR26" s="348">
        <v>0</v>
      </c>
      <c r="CS26" s="348">
        <v>0</v>
      </c>
      <c r="CT26" s="348">
        <v>0</v>
      </c>
      <c r="CU26" s="348">
        <v>0</v>
      </c>
      <c r="CV26" s="348">
        <v>0</v>
      </c>
      <c r="CW26" s="348">
        <v>0</v>
      </c>
      <c r="CX26" s="348">
        <v>0</v>
      </c>
      <c r="CY26" s="348">
        <v>0</v>
      </c>
      <c r="CZ26" s="348">
        <v>0</v>
      </c>
      <c r="DA26" s="348">
        <v>0</v>
      </c>
      <c r="DB26" s="348">
        <v>0</v>
      </c>
      <c r="DC26" s="348">
        <v>0</v>
      </c>
      <c r="DD26" s="348">
        <v>0</v>
      </c>
      <c r="DE26" s="576"/>
      <c r="DF26" s="576"/>
      <c r="DG26" s="348"/>
      <c r="DH26" s="348"/>
      <c r="DI26" s="348"/>
      <c r="DJ26" s="348"/>
      <c r="DK26" s="348"/>
      <c r="DL26" s="348"/>
      <c r="DM26" s="348"/>
      <c r="DN26" s="348"/>
      <c r="DO26" s="348"/>
      <c r="DP26" s="348"/>
      <c r="DQ26" s="348"/>
      <c r="DR26" s="576"/>
      <c r="DS26" s="348"/>
      <c r="DT26" s="348"/>
      <c r="DU26" s="348"/>
      <c r="DV26" s="348"/>
      <c r="DW26" s="348"/>
      <c r="DX26" s="348"/>
      <c r="DY26" s="348"/>
      <c r="DZ26" s="348"/>
      <c r="EA26" s="576"/>
      <c r="EB26" s="348"/>
      <c r="EC26" s="348"/>
      <c r="ED26" s="348"/>
      <c r="EE26" s="348"/>
      <c r="EF26" s="348"/>
      <c r="EG26" s="348"/>
      <c r="EH26" s="348"/>
      <c r="EI26" s="348"/>
      <c r="EJ26" s="348"/>
      <c r="EK26" s="348"/>
      <c r="EL26" s="348"/>
      <c r="EM26" s="348"/>
      <c r="EN26" s="348"/>
      <c r="EO26" s="348"/>
      <c r="EP26" s="348"/>
      <c r="EQ26" s="348"/>
      <c r="ER26" s="348"/>
      <c r="ES26" s="348"/>
      <c r="ET26" s="348"/>
      <c r="EU26" s="348"/>
      <c r="EV26" s="348"/>
      <c r="EW26" s="348"/>
      <c r="EX26" s="348"/>
      <c r="EY26" s="348"/>
      <c r="EZ26" s="348"/>
      <c r="FA26" s="348"/>
      <c r="FB26" s="348"/>
      <c r="FC26" s="348"/>
      <c r="FD26" s="348"/>
      <c r="FE26" s="348"/>
      <c r="FF26" s="348"/>
      <c r="FG26" s="348"/>
      <c r="FH26" s="348"/>
      <c r="FI26" s="348"/>
      <c r="FJ26" s="348"/>
      <c r="FK26" s="348"/>
      <c r="FL26" s="348"/>
      <c r="FM26" s="348"/>
      <c r="FN26" s="348"/>
      <c r="FO26" s="348"/>
      <c r="FP26" s="348"/>
      <c r="FQ26" s="348"/>
      <c r="FR26" s="348"/>
      <c r="FS26" s="348"/>
      <c r="FT26" s="348"/>
      <c r="FU26" s="356"/>
      <c r="FV26" s="353"/>
      <c r="FW26" s="353"/>
      <c r="FX26" s="354"/>
      <c r="FY26" s="353"/>
      <c r="FZ26" s="353"/>
      <c r="GA26" s="355"/>
      <c r="GB26" s="353"/>
      <c r="GC26" s="348"/>
      <c r="GD26" s="348"/>
      <c r="GE26" s="348"/>
      <c r="GF26" s="348"/>
      <c r="GG26" s="348"/>
      <c r="GH26" s="353"/>
      <c r="GI26" s="354"/>
      <c r="GJ26" s="354"/>
      <c r="GK26" s="354"/>
      <c r="GL26" s="354"/>
    </row>
    <row r="27" spans="2:194" s="358" customFormat="1" ht="30" customHeight="1">
      <c r="B27" s="557">
        <f t="shared" si="34"/>
        <v>19</v>
      </c>
      <c r="C27" s="645">
        <f t="shared" si="0"/>
        <v>43909</v>
      </c>
      <c r="D27" s="607"/>
      <c r="E27" s="659">
        <f>SUMIFS(KB[BRUTO],KB[TANGGAL],C27,KB[TYPE],"A")</f>
        <v>68010</v>
      </c>
      <c r="F27" s="660">
        <f>SUMIFS(KB[TARRA],KB[TANGGAL],C27,KB[TYPE],"A")</f>
        <v>28400</v>
      </c>
      <c r="G27" s="660">
        <f>SUMIFS(KB[NETTO],KB[TANGGAL],C27,KB[TYPE],"A")</f>
        <v>39610</v>
      </c>
      <c r="H27" s="660">
        <f t="shared" si="16"/>
        <v>5.1363292097955062</v>
      </c>
      <c r="I27" s="660">
        <f>SUMIFS(KB[TPOT],KB[TANGGAL],C27,KB[TYPE],"A")</f>
        <v>2034.5</v>
      </c>
      <c r="J27" s="660">
        <f>SUMIFS(KB[NETTO2],KB[TANGGAL],C27,KB[TYPE],"A")</f>
        <v>37575.5</v>
      </c>
      <c r="K27" s="660">
        <f t="shared" si="17"/>
        <v>2927.8905137656184</v>
      </c>
      <c r="L27" s="660">
        <f>SUMIFS(KB[TBAYAR],KB[TANGGAL],C27,KB[TYPE],"A")</f>
        <v>110016950</v>
      </c>
      <c r="M27" s="660">
        <f t="shared" si="18"/>
        <v>14.71</v>
      </c>
      <c r="N27" s="660">
        <f t="shared" si="19"/>
        <v>2942.6020678367554</v>
      </c>
      <c r="O27" s="660">
        <f>SUMIFS(KB[TBAYAR2],KB[TANGGAL],C27,KB[TYPE],"A")</f>
        <v>110569744</v>
      </c>
      <c r="P27" s="660">
        <f>SUMIFS(KB[POTPPH],KB[TANGGAL],C27,KB[TYPE],"A")</f>
        <v>552848</v>
      </c>
      <c r="Q27" s="660">
        <f>SUMIFS(KB[TPEMBAYARAN],KB[TANGGAL],C27,KB[TYPE],"A")</f>
        <v>110016896</v>
      </c>
      <c r="R27" s="660"/>
      <c r="S27" s="659">
        <f>SUMIFS(KB[BRUTO],KB[TANGGAL],C27,KB[TYPE],"B")</f>
        <v>0</v>
      </c>
      <c r="T27" s="660">
        <f>SUMIFS(KB[TARRA],KB[TANGGAL],C27,KB[TYPE],"B")</f>
        <v>0</v>
      </c>
      <c r="U27" s="660">
        <f>SUMIFS(KB[NETTO],KB[TANGGAL],C27,KB[TYPE],"B")</f>
        <v>0</v>
      </c>
      <c r="V27" s="660">
        <f t="shared" si="20"/>
        <v>0</v>
      </c>
      <c r="W27" s="660">
        <f>SUMIFS(KB[TPOT],KB[TANGGAL],C27,KB[TYPE],"B")</f>
        <v>0</v>
      </c>
      <c r="X27" s="660">
        <f>SUMIFS(KB[NETTO2],KB[TANGGAL],C27,KB[TYPE],"B")</f>
        <v>0</v>
      </c>
      <c r="Y27" s="660">
        <f t="shared" si="21"/>
        <v>0</v>
      </c>
      <c r="Z27" s="660">
        <f>SUMIFS(KB[TBAYAR],KB[TANGGAL],C27,KB[TYPE],"B")</f>
        <v>0</v>
      </c>
      <c r="AA27" s="660">
        <f t="shared" si="22"/>
        <v>0</v>
      </c>
      <c r="AB27" s="660">
        <f t="shared" si="23"/>
        <v>0</v>
      </c>
      <c r="AC27" s="660">
        <f>SUMIFS(KB[TBAYAR2],KB[TANGGAL],C27,KB[TYPE],"B")</f>
        <v>0</v>
      </c>
      <c r="AD27" s="660">
        <f>SUMIFS(KB[POTPPH],KB[TANGGAL],C27,KB[TYPE],"B")</f>
        <v>0</v>
      </c>
      <c r="AE27" s="660">
        <f>SUMIFS(KB[TPEMBAYARAN],KB[TANGGAL],C27,KB[TYPE],"B")</f>
        <v>0</v>
      </c>
      <c r="AF27" s="660"/>
      <c r="AG27" s="659">
        <f>SUMIFS(KBS[BRUTO],KBS[TANGGAL],C27)</f>
        <v>0</v>
      </c>
      <c r="AH27" s="660">
        <f>SUMIFS(KBS[TARRA],KBS[TANGGAL],C27)</f>
        <v>0</v>
      </c>
      <c r="AI27" s="660">
        <f>SUMIFS(KBS[NETTO],KBS[TANGGAL],C27)</f>
        <v>0</v>
      </c>
      <c r="AJ27" s="660">
        <f t="shared" si="24"/>
        <v>0</v>
      </c>
      <c r="AK27" s="660">
        <f>SUMIFS(KBS[TPOT],KBS[TANGGAL],C27)</f>
        <v>0</v>
      </c>
      <c r="AL27" s="660">
        <f>SUMIFS(KBS[NETTO2],KBS[TANGGAL],C27)</f>
        <v>0</v>
      </c>
      <c r="AM27" s="660">
        <f t="shared" si="25"/>
        <v>0</v>
      </c>
      <c r="AN27" s="660">
        <f>SUMIFS(KBS[TBAYAR],KBS[TANGGAL],C27)</f>
        <v>0</v>
      </c>
      <c r="AO27" s="660">
        <f t="shared" si="26"/>
        <v>0</v>
      </c>
      <c r="AP27" s="660">
        <f t="shared" si="27"/>
        <v>0</v>
      </c>
      <c r="AQ27" s="660">
        <f>SUMIFS(KBS[TBAYAR2],KBS[TANGGAL],C27)</f>
        <v>0</v>
      </c>
      <c r="AR27" s="660">
        <f>SUMIFS(KBS[POTPPH],KBS[TANGGAL],C27)</f>
        <v>0</v>
      </c>
      <c r="AS27" s="660">
        <f>SUMIFS(KBS[TPEMBAYARAN],KBS[TANGGAL],C27)</f>
        <v>0</v>
      </c>
      <c r="AT27" s="660"/>
      <c r="AU27" s="659">
        <f>SUMIFS(KPR[BRUTO],KPR[TANGGAL],C27)</f>
        <v>0</v>
      </c>
      <c r="AV27" s="660">
        <f>SUMIFS(KPR[TARRA],KPR[TANGGAL],C27)</f>
        <v>0</v>
      </c>
      <c r="AW27" s="660">
        <f>SUMIFS(KPR[NETTO],KPR[TANGGAL],C27)</f>
        <v>0</v>
      </c>
      <c r="AX27" s="662">
        <f>SUMIFS(KPR[POTKRG],KPR[TANGGAL],C27)</f>
        <v>0</v>
      </c>
      <c r="AY27" s="660">
        <f>SUMIFS(KPR[TPOT1],KPR[TANGGAL],C27)</f>
        <v>0</v>
      </c>
      <c r="AZ27" s="662">
        <f>SUMIFS(KPR[POTAIR],KPR[TANGGAL],C27)</f>
        <v>0</v>
      </c>
      <c r="BA27" s="660">
        <f>SUMIFS(KPR[TPOT2],KPR[TANGGAL],C27)</f>
        <v>0</v>
      </c>
      <c r="BB27" s="660">
        <f>SUMIFS(KPR[NETTOA],KPR[TANGGAL],C27)</f>
        <v>0</v>
      </c>
      <c r="BC27" s="660">
        <f>SUMIFS(KPR[NETTOB],KPR[TANGGAL],C27)</f>
        <v>0</v>
      </c>
      <c r="BD27" s="660">
        <f t="shared" si="28"/>
        <v>0</v>
      </c>
      <c r="BE27" s="660">
        <f>SUMIFS(KPR[TOTAL],KPR[TANGGAL],C27)</f>
        <v>0</v>
      </c>
      <c r="BF27" s="662">
        <f t="shared" si="29"/>
        <v>0</v>
      </c>
      <c r="BG27" s="662">
        <f t="shared" si="30"/>
        <v>0</v>
      </c>
      <c r="BH27" s="660">
        <f>SUMIFS(KPR[TBAYAR2],KPR[TANGGAL],C27)</f>
        <v>0</v>
      </c>
      <c r="BI27" s="660">
        <f>SUMIFS(KPR[POTPPH],KPR[TANGGAL],C27)</f>
        <v>0</v>
      </c>
      <c r="BJ27" s="660">
        <f>SUMIFS(KPR[TPEMBAYARAN],KPR[TANGGAL],C27)</f>
        <v>0</v>
      </c>
      <c r="BK27" s="660"/>
      <c r="BL27" s="659">
        <f>SUMIFS(ARG[BRUTO],ARG[TANGGAL],C27)</f>
        <v>0</v>
      </c>
      <c r="BM27" s="659">
        <f>SUMIFS(ARG[TARRA],ARG[TANGGAL],C27)</f>
        <v>0</v>
      </c>
      <c r="BN27" s="659">
        <f>SUMIFS(ARG[NETTO1],ARG[TANGGAL],C27)</f>
        <v>0</v>
      </c>
      <c r="BO27" s="659">
        <f>SUMIFS(ARG[POTKARUNG],ARG[TANGGAL],C27)</f>
        <v>0</v>
      </c>
      <c r="BP27" s="659">
        <f>SUMIFS(ARG[TPOT1],ARG[TANGGAL],C27)</f>
        <v>0</v>
      </c>
      <c r="BQ27" s="659">
        <f>SUMIFS(ARG[NETTO2],ARG[TANGGAL],C27)</f>
        <v>0</v>
      </c>
      <c r="BR27" s="659">
        <f>SUMIFS(ARG[MC],ARG[TANGGAL],C27)</f>
        <v>0</v>
      </c>
      <c r="BS27" s="659">
        <f>SUMIFS(ARG[DC],ARG[TANGGAL],C27)</f>
        <v>0</v>
      </c>
      <c r="BT27" s="659">
        <f>SUMIFS(ARG[DC2],ARG[TANGGAL],C27)</f>
        <v>0</v>
      </c>
      <c r="BU27" s="659">
        <f>SUMIFS(ARG[NETTO3],ARG[TANGGAL],C27)</f>
        <v>0</v>
      </c>
      <c r="BV27" s="660">
        <f t="shared" si="31"/>
        <v>0</v>
      </c>
      <c r="BW27" s="659">
        <f>SUMIFS(ARG[TBAYAR1],ARG[TANGGAL],C27)</f>
        <v>0</v>
      </c>
      <c r="BX27" s="663">
        <f t="shared" si="32"/>
        <v>0</v>
      </c>
      <c r="BY27" s="663">
        <f t="shared" si="33"/>
        <v>0</v>
      </c>
      <c r="BZ27" s="659">
        <f>SUMIFS(ARG[TBAYAR2],ARG[TANGGAL],C27)</f>
        <v>0</v>
      </c>
      <c r="CA27" s="659">
        <f>SUMIFS(ARG[POTPPH],ARG[TANGGAL],C27)</f>
        <v>0</v>
      </c>
      <c r="CB27" s="659">
        <f>SUMIFS(ARG[TPEMBAYARAN],ARG[TANGGAL],C27)</f>
        <v>0</v>
      </c>
      <c r="CC27" s="616"/>
      <c r="CD27" s="575">
        <v>0</v>
      </c>
      <c r="CE27" s="348">
        <v>0</v>
      </c>
      <c r="CF27" s="348">
        <v>0</v>
      </c>
      <c r="CG27" s="348">
        <v>0</v>
      </c>
      <c r="CH27" s="348">
        <v>0</v>
      </c>
      <c r="CI27" s="348">
        <v>0</v>
      </c>
      <c r="CJ27" s="348">
        <v>0</v>
      </c>
      <c r="CK27" s="348">
        <v>0</v>
      </c>
      <c r="CL27" s="348">
        <v>0</v>
      </c>
      <c r="CM27" s="348">
        <v>0</v>
      </c>
      <c r="CN27" s="348">
        <v>0</v>
      </c>
      <c r="CO27" s="348">
        <v>0</v>
      </c>
      <c r="CP27" s="348">
        <v>0</v>
      </c>
      <c r="CQ27" s="576"/>
      <c r="CR27" s="348">
        <v>0</v>
      </c>
      <c r="CS27" s="348">
        <v>0</v>
      </c>
      <c r="CT27" s="348">
        <v>0</v>
      </c>
      <c r="CU27" s="348">
        <v>0</v>
      </c>
      <c r="CV27" s="348">
        <v>0</v>
      </c>
      <c r="CW27" s="348">
        <v>0</v>
      </c>
      <c r="CX27" s="348">
        <v>0</v>
      </c>
      <c r="CY27" s="348">
        <v>0</v>
      </c>
      <c r="CZ27" s="348">
        <v>0</v>
      </c>
      <c r="DA27" s="348">
        <v>0</v>
      </c>
      <c r="DB27" s="348">
        <v>0</v>
      </c>
      <c r="DC27" s="348">
        <v>0</v>
      </c>
      <c r="DD27" s="348">
        <v>0</v>
      </c>
      <c r="DE27" s="576"/>
      <c r="DF27" s="576"/>
      <c r="DG27" s="348"/>
      <c r="DH27" s="348"/>
      <c r="DI27" s="348"/>
      <c r="DJ27" s="348"/>
      <c r="DK27" s="348"/>
      <c r="DL27" s="348"/>
      <c r="DM27" s="348"/>
      <c r="DN27" s="348"/>
      <c r="DO27" s="348"/>
      <c r="DP27" s="348"/>
      <c r="DQ27" s="348"/>
      <c r="DR27" s="576"/>
      <c r="DS27" s="348"/>
      <c r="DT27" s="348"/>
      <c r="DU27" s="348"/>
      <c r="DV27" s="348"/>
      <c r="DW27" s="348"/>
      <c r="DX27" s="348"/>
      <c r="DY27" s="348"/>
      <c r="DZ27" s="348"/>
      <c r="EA27" s="576"/>
      <c r="EB27" s="348"/>
      <c r="EC27" s="348"/>
      <c r="ED27" s="348"/>
      <c r="EE27" s="348"/>
      <c r="EF27" s="348"/>
      <c r="EG27" s="348"/>
      <c r="EH27" s="348"/>
      <c r="EI27" s="348"/>
      <c r="EJ27" s="348"/>
      <c r="EK27" s="348"/>
      <c r="EL27" s="348"/>
      <c r="EM27" s="348"/>
      <c r="EN27" s="348"/>
      <c r="EO27" s="348"/>
      <c r="EP27" s="348"/>
      <c r="EQ27" s="348"/>
      <c r="ER27" s="348"/>
      <c r="ES27" s="348"/>
      <c r="ET27" s="348"/>
      <c r="EU27" s="348"/>
      <c r="EV27" s="348"/>
      <c r="EW27" s="348"/>
      <c r="EX27" s="348"/>
      <c r="EY27" s="348"/>
      <c r="EZ27" s="348"/>
      <c r="FA27" s="348"/>
      <c r="FB27" s="348"/>
      <c r="FC27" s="348"/>
      <c r="FD27" s="348"/>
      <c r="FE27" s="348"/>
      <c r="FF27" s="348"/>
      <c r="FG27" s="348"/>
      <c r="FH27" s="348"/>
      <c r="FI27" s="348"/>
      <c r="FJ27" s="348"/>
      <c r="FK27" s="348"/>
      <c r="FL27" s="348"/>
      <c r="FM27" s="348"/>
      <c r="FN27" s="348"/>
      <c r="FO27" s="348"/>
      <c r="FP27" s="348"/>
      <c r="FQ27" s="348"/>
      <c r="FR27" s="348"/>
      <c r="FS27" s="348"/>
      <c r="FT27" s="348"/>
      <c r="FU27" s="356"/>
      <c r="FV27" s="353"/>
      <c r="FW27" s="353"/>
      <c r="FX27" s="354"/>
      <c r="FY27" s="353"/>
      <c r="FZ27" s="353"/>
      <c r="GA27" s="355"/>
      <c r="GB27" s="353"/>
      <c r="GC27" s="348"/>
      <c r="GD27" s="348"/>
      <c r="GE27" s="348"/>
      <c r="GF27" s="348"/>
      <c r="GG27" s="348"/>
      <c r="GH27" s="353"/>
      <c r="GI27" s="354"/>
      <c r="GJ27" s="354"/>
      <c r="GK27" s="354"/>
      <c r="GL27" s="354"/>
    </row>
    <row r="28" spans="2:194" s="349" customFormat="1" ht="30" customHeight="1">
      <c r="B28" s="557">
        <f t="shared" si="34"/>
        <v>20</v>
      </c>
      <c r="C28" s="645">
        <f t="shared" si="0"/>
        <v>43910</v>
      </c>
      <c r="D28" s="607"/>
      <c r="E28" s="659">
        <f>SUMIFS(KB[BRUTO],KB[TANGGAL],C28,KB[TYPE],"A")</f>
        <v>45430</v>
      </c>
      <c r="F28" s="660">
        <f>SUMIFS(KB[TARRA],KB[TANGGAL],C28,KB[TYPE],"A")</f>
        <v>18660</v>
      </c>
      <c r="G28" s="660">
        <f>SUMIFS(KB[NETTO],KB[TANGGAL],C28,KB[TYPE],"A")</f>
        <v>26770</v>
      </c>
      <c r="H28" s="660">
        <f t="shared" si="16"/>
        <v>5.0567799775868512</v>
      </c>
      <c r="I28" s="660">
        <f>SUMIFS(KB[TPOT],KB[TANGGAL],C28,KB[TYPE],"A")</f>
        <v>1353.7</v>
      </c>
      <c r="J28" s="660">
        <f>SUMIFS(KB[NETTO2],KB[TANGGAL],C28,KB[TYPE],"A")</f>
        <v>25416.3</v>
      </c>
      <c r="K28" s="660">
        <f t="shared" si="17"/>
        <v>2902.8107946475293</v>
      </c>
      <c r="L28" s="660">
        <f>SUMIFS(KB[TBAYAR],KB[TANGGAL],C28,KB[TYPE],"A")</f>
        <v>73778710</v>
      </c>
      <c r="M28" s="660">
        <f t="shared" si="18"/>
        <v>14.59</v>
      </c>
      <c r="N28" s="660">
        <f t="shared" si="19"/>
        <v>2917.3948214334896</v>
      </c>
      <c r="O28" s="660">
        <f>SUMIFS(KB[TBAYAR2],KB[TANGGAL],C28,KB[TYPE],"A")</f>
        <v>74149382</v>
      </c>
      <c r="P28" s="660">
        <f>SUMIFS(KB[POTPPH],KB[TANGGAL],C28,KB[TYPE],"A")</f>
        <v>370746</v>
      </c>
      <c r="Q28" s="660">
        <f>SUMIFS(KB[TPEMBAYARAN],KB[TANGGAL],C28,KB[TYPE],"A")</f>
        <v>73778636</v>
      </c>
      <c r="R28" s="660"/>
      <c r="S28" s="659">
        <f>SUMIFS(KB[BRUTO],KB[TANGGAL],C28,KB[TYPE],"B")</f>
        <v>0</v>
      </c>
      <c r="T28" s="660">
        <f>SUMIFS(KB[TARRA],KB[TANGGAL],C28,KB[TYPE],"B")</f>
        <v>0</v>
      </c>
      <c r="U28" s="660">
        <f>SUMIFS(KB[NETTO],KB[TANGGAL],C28,KB[TYPE],"B")</f>
        <v>0</v>
      </c>
      <c r="V28" s="660">
        <f t="shared" si="20"/>
        <v>0</v>
      </c>
      <c r="W28" s="660">
        <f>SUMIFS(KB[TPOT],KB[TANGGAL],C28,KB[TYPE],"B")</f>
        <v>0</v>
      </c>
      <c r="X28" s="660">
        <f>SUMIFS(KB[NETTO2],KB[TANGGAL],C28,KB[TYPE],"B")</f>
        <v>0</v>
      </c>
      <c r="Y28" s="660">
        <f t="shared" si="21"/>
        <v>0</v>
      </c>
      <c r="Z28" s="660">
        <f>SUMIFS(KB[TBAYAR],KB[TANGGAL],C28,KB[TYPE],"B")</f>
        <v>0</v>
      </c>
      <c r="AA28" s="660">
        <f t="shared" si="22"/>
        <v>0</v>
      </c>
      <c r="AB28" s="660">
        <f t="shared" si="23"/>
        <v>0</v>
      </c>
      <c r="AC28" s="660">
        <f>SUMIFS(KB[TBAYAR2],KB[TANGGAL],C28,KB[TYPE],"B")</f>
        <v>0</v>
      </c>
      <c r="AD28" s="660">
        <f>SUMIFS(KB[POTPPH],KB[TANGGAL],C28,KB[TYPE],"B")</f>
        <v>0</v>
      </c>
      <c r="AE28" s="660">
        <f>SUMIFS(KB[TPEMBAYARAN],KB[TANGGAL],C28,KB[TYPE],"B")</f>
        <v>0</v>
      </c>
      <c r="AF28" s="660"/>
      <c r="AG28" s="659">
        <f>SUMIFS(KBS[BRUTO],KBS[TANGGAL],C28)</f>
        <v>0</v>
      </c>
      <c r="AH28" s="660">
        <f>SUMIFS(KBS[TARRA],KBS[TANGGAL],C28)</f>
        <v>0</v>
      </c>
      <c r="AI28" s="660">
        <f>SUMIFS(KBS[NETTO],KBS[TANGGAL],C28)</f>
        <v>0</v>
      </c>
      <c r="AJ28" s="660">
        <f t="shared" si="24"/>
        <v>0</v>
      </c>
      <c r="AK28" s="660">
        <f>SUMIFS(KBS[TPOT],KBS[TANGGAL],C28)</f>
        <v>0</v>
      </c>
      <c r="AL28" s="660">
        <f>SUMIFS(KBS[NETTO2],KBS[TANGGAL],C28)</f>
        <v>0</v>
      </c>
      <c r="AM28" s="660">
        <f t="shared" si="25"/>
        <v>0</v>
      </c>
      <c r="AN28" s="660">
        <f>SUMIFS(KBS[TBAYAR],KBS[TANGGAL],C28)</f>
        <v>0</v>
      </c>
      <c r="AO28" s="660">
        <f t="shared" si="26"/>
        <v>0</v>
      </c>
      <c r="AP28" s="660">
        <f t="shared" si="27"/>
        <v>0</v>
      </c>
      <c r="AQ28" s="660">
        <f>SUMIFS(KBS[TBAYAR2],KBS[TANGGAL],C28)</f>
        <v>0</v>
      </c>
      <c r="AR28" s="660">
        <f>SUMIFS(KBS[POTPPH],KBS[TANGGAL],C28)</f>
        <v>0</v>
      </c>
      <c r="AS28" s="660">
        <f>SUMIFS(KBS[TPEMBAYARAN],KBS[TANGGAL],C28)</f>
        <v>0</v>
      </c>
      <c r="AT28" s="660"/>
      <c r="AU28" s="659">
        <f>SUMIFS(KPR[BRUTO],KPR[TANGGAL],C28)</f>
        <v>0</v>
      </c>
      <c r="AV28" s="660">
        <f>SUMIFS(KPR[TARRA],KPR[TANGGAL],C28)</f>
        <v>0</v>
      </c>
      <c r="AW28" s="660">
        <f>SUMIFS(KPR[NETTO],KPR[TANGGAL],C28)</f>
        <v>0</v>
      </c>
      <c r="AX28" s="662">
        <f>SUMIFS(KPR[POTKRG],KPR[TANGGAL],C28)</f>
        <v>0</v>
      </c>
      <c r="AY28" s="660">
        <f>SUMIFS(KPR[TPOT1],KPR[TANGGAL],C28)</f>
        <v>0</v>
      </c>
      <c r="AZ28" s="662">
        <f>SUMIFS(KPR[POTAIR],KPR[TANGGAL],C28)</f>
        <v>0</v>
      </c>
      <c r="BA28" s="660">
        <f>SUMIFS(KPR[TPOT2],KPR[TANGGAL],C28)</f>
        <v>0</v>
      </c>
      <c r="BB28" s="660">
        <f>SUMIFS(KPR[NETTOA],KPR[TANGGAL],C28)</f>
        <v>0</v>
      </c>
      <c r="BC28" s="660">
        <f>SUMIFS(KPR[NETTOB],KPR[TANGGAL],C28)</f>
        <v>0</v>
      </c>
      <c r="BD28" s="660">
        <f t="shared" si="28"/>
        <v>0</v>
      </c>
      <c r="BE28" s="660">
        <f>SUMIFS(KPR[TOTAL],KPR[TANGGAL],C28)</f>
        <v>0</v>
      </c>
      <c r="BF28" s="662">
        <f t="shared" si="29"/>
        <v>0</v>
      </c>
      <c r="BG28" s="662">
        <f t="shared" si="30"/>
        <v>0</v>
      </c>
      <c r="BH28" s="660">
        <f>SUMIFS(KPR[TBAYAR2],KPR[TANGGAL],C28)</f>
        <v>0</v>
      </c>
      <c r="BI28" s="660">
        <f>SUMIFS(KPR[POTPPH],KPR[TANGGAL],C28)</f>
        <v>0</v>
      </c>
      <c r="BJ28" s="660">
        <f>SUMIFS(KPR[TPEMBAYARAN],KPR[TANGGAL],C28)</f>
        <v>0</v>
      </c>
      <c r="BK28" s="660"/>
      <c r="BL28" s="659">
        <f>SUMIFS(ARG[BRUTO],ARG[TANGGAL],C28)</f>
        <v>0</v>
      </c>
      <c r="BM28" s="659">
        <f>SUMIFS(ARG[TARRA],ARG[TANGGAL],C28)</f>
        <v>0</v>
      </c>
      <c r="BN28" s="659">
        <f>SUMIFS(ARG[NETTO1],ARG[TANGGAL],C28)</f>
        <v>0</v>
      </c>
      <c r="BO28" s="659">
        <f>SUMIFS(ARG[POTKARUNG],ARG[TANGGAL],C28)</f>
        <v>0</v>
      </c>
      <c r="BP28" s="659">
        <f>SUMIFS(ARG[TPOT1],ARG[TANGGAL],C28)</f>
        <v>0</v>
      </c>
      <c r="BQ28" s="659">
        <f>SUMIFS(ARG[NETTO2],ARG[TANGGAL],C28)</f>
        <v>0</v>
      </c>
      <c r="BR28" s="659">
        <f>SUMIFS(ARG[MC],ARG[TANGGAL],C28)</f>
        <v>0</v>
      </c>
      <c r="BS28" s="659">
        <f>SUMIFS(ARG[DC],ARG[TANGGAL],C28)</f>
        <v>0</v>
      </c>
      <c r="BT28" s="659">
        <f>SUMIFS(ARG[DC2],ARG[TANGGAL],C28)</f>
        <v>0</v>
      </c>
      <c r="BU28" s="659">
        <f>SUMIFS(ARG[NETTO3],ARG[TANGGAL],C28)</f>
        <v>0</v>
      </c>
      <c r="BV28" s="660">
        <f t="shared" si="31"/>
        <v>0</v>
      </c>
      <c r="BW28" s="659">
        <f>SUMIFS(ARG[TBAYAR1],ARG[TANGGAL],C28)</f>
        <v>0</v>
      </c>
      <c r="BX28" s="663">
        <f t="shared" si="32"/>
        <v>0</v>
      </c>
      <c r="BY28" s="663">
        <f t="shared" si="33"/>
        <v>0</v>
      </c>
      <c r="BZ28" s="659">
        <f>SUMIFS(ARG[TBAYAR2],ARG[TANGGAL],C28)</f>
        <v>0</v>
      </c>
      <c r="CA28" s="659">
        <f>SUMIFS(ARG[POTPPH],ARG[TANGGAL],C28)</f>
        <v>0</v>
      </c>
      <c r="CB28" s="659">
        <f>SUMIFS(ARG[TPEMBAYARAN],ARG[TANGGAL],C28)</f>
        <v>0</v>
      </c>
      <c r="CC28" s="616"/>
      <c r="CD28" s="575">
        <v>0</v>
      </c>
      <c r="CE28" s="348">
        <v>0</v>
      </c>
      <c r="CF28" s="348">
        <v>0</v>
      </c>
      <c r="CG28" s="348">
        <v>0</v>
      </c>
      <c r="CH28" s="348">
        <v>0</v>
      </c>
      <c r="CI28" s="348">
        <v>0</v>
      </c>
      <c r="CJ28" s="348">
        <v>0</v>
      </c>
      <c r="CK28" s="348">
        <v>0</v>
      </c>
      <c r="CL28" s="348">
        <v>0</v>
      </c>
      <c r="CM28" s="348">
        <v>0</v>
      </c>
      <c r="CN28" s="348">
        <v>0</v>
      </c>
      <c r="CO28" s="348">
        <v>0</v>
      </c>
      <c r="CP28" s="348">
        <v>0</v>
      </c>
      <c r="CQ28" s="576"/>
      <c r="CR28" s="348">
        <v>0</v>
      </c>
      <c r="CS28" s="348">
        <v>0</v>
      </c>
      <c r="CT28" s="348">
        <v>0</v>
      </c>
      <c r="CU28" s="348">
        <v>0</v>
      </c>
      <c r="CV28" s="348">
        <v>0</v>
      </c>
      <c r="CW28" s="348">
        <v>0</v>
      </c>
      <c r="CX28" s="348">
        <v>0</v>
      </c>
      <c r="CY28" s="348">
        <v>0</v>
      </c>
      <c r="CZ28" s="348">
        <v>0</v>
      </c>
      <c r="DA28" s="348">
        <v>0</v>
      </c>
      <c r="DB28" s="348">
        <v>0</v>
      </c>
      <c r="DC28" s="348">
        <v>0</v>
      </c>
      <c r="DD28" s="348">
        <v>0</v>
      </c>
      <c r="DE28" s="576"/>
      <c r="DF28" s="576"/>
      <c r="DG28" s="348"/>
      <c r="DH28" s="348"/>
      <c r="DI28" s="348"/>
      <c r="DJ28" s="348"/>
      <c r="DK28" s="348"/>
      <c r="DL28" s="348"/>
      <c r="DM28" s="348"/>
      <c r="DN28" s="348"/>
      <c r="DO28" s="348"/>
      <c r="DP28" s="348"/>
      <c r="DQ28" s="348"/>
      <c r="DR28" s="576"/>
      <c r="DS28" s="348"/>
      <c r="DT28" s="348"/>
      <c r="DU28" s="348"/>
      <c r="DV28" s="348"/>
      <c r="DW28" s="348"/>
      <c r="DX28" s="348"/>
      <c r="DY28" s="348"/>
      <c r="DZ28" s="348"/>
      <c r="EA28" s="576"/>
      <c r="EB28" s="348"/>
      <c r="EC28" s="348"/>
      <c r="ED28" s="348"/>
      <c r="EE28" s="348"/>
      <c r="EF28" s="348"/>
      <c r="EG28" s="348"/>
      <c r="EH28" s="348"/>
      <c r="EI28" s="348"/>
      <c r="EJ28" s="348"/>
      <c r="EK28" s="348"/>
      <c r="EL28" s="348"/>
      <c r="EM28" s="348"/>
      <c r="EN28" s="348"/>
      <c r="EO28" s="348"/>
      <c r="EP28" s="348"/>
      <c r="EQ28" s="348"/>
      <c r="ER28" s="348"/>
      <c r="ES28" s="348"/>
      <c r="ET28" s="348"/>
      <c r="EU28" s="348"/>
      <c r="EV28" s="348"/>
      <c r="EW28" s="348"/>
      <c r="EX28" s="348"/>
      <c r="EY28" s="348"/>
      <c r="EZ28" s="348"/>
      <c r="FA28" s="348"/>
      <c r="FB28" s="348"/>
      <c r="FC28" s="348"/>
      <c r="FD28" s="348"/>
      <c r="FE28" s="348"/>
      <c r="FF28" s="348"/>
      <c r="FG28" s="350"/>
      <c r="FH28" s="350"/>
      <c r="FI28" s="350"/>
      <c r="FJ28" s="350"/>
      <c r="FK28" s="350"/>
      <c r="FL28" s="350"/>
      <c r="FM28" s="350"/>
      <c r="FN28" s="350"/>
      <c r="FO28" s="350"/>
      <c r="FP28" s="350"/>
      <c r="FQ28" s="350"/>
      <c r="FR28" s="350"/>
      <c r="FS28" s="348"/>
      <c r="FT28" s="348"/>
      <c r="FU28" s="356"/>
      <c r="FV28" s="353"/>
      <c r="FW28" s="353"/>
      <c r="FX28" s="354"/>
      <c r="FY28" s="353"/>
      <c r="FZ28" s="353"/>
      <c r="GA28" s="348"/>
      <c r="GB28" s="353"/>
      <c r="GC28" s="355"/>
      <c r="GD28" s="348"/>
      <c r="GE28" s="348"/>
      <c r="GF28" s="348"/>
      <c r="GG28" s="348"/>
      <c r="GH28" s="353"/>
      <c r="GI28" s="354"/>
      <c r="GJ28" s="354"/>
      <c r="GK28" s="354"/>
      <c r="GL28" s="354"/>
    </row>
    <row r="29" spans="2:194" s="349" customFormat="1" ht="30" customHeight="1">
      <c r="B29" s="557">
        <f t="shared" si="34"/>
        <v>21</v>
      </c>
      <c r="C29" s="645">
        <f t="shared" si="0"/>
        <v>43911</v>
      </c>
      <c r="D29" s="607"/>
      <c r="E29" s="659">
        <f>SUMIFS(KB[BRUTO],KB[TANGGAL],C29,KB[TYPE],"A")</f>
        <v>46670</v>
      </c>
      <c r="F29" s="660">
        <f>SUMIFS(KB[TARRA],KB[TANGGAL],C29,KB[TYPE],"A")</f>
        <v>16670</v>
      </c>
      <c r="G29" s="660">
        <f>SUMIFS(KB[NETTO],KB[TANGGAL],C29,KB[TYPE],"A")</f>
        <v>30000</v>
      </c>
      <c r="H29" s="660">
        <f t="shared" si="16"/>
        <v>5</v>
      </c>
      <c r="I29" s="660">
        <f>SUMIFS(KB[TPOT],KB[TANGGAL],C29,KB[TYPE],"A")</f>
        <v>1500</v>
      </c>
      <c r="J29" s="660">
        <f>SUMIFS(KB[NETTO2],KB[TANGGAL],C29,KB[TYPE],"A")</f>
        <v>28500</v>
      </c>
      <c r="K29" s="660">
        <f t="shared" si="17"/>
        <v>2900</v>
      </c>
      <c r="L29" s="660">
        <f>SUMIFS(KB[TBAYAR],KB[TANGGAL],C29,KB[TYPE],"A")</f>
        <v>82650000</v>
      </c>
      <c r="M29" s="660">
        <f t="shared" si="18"/>
        <v>14.57</v>
      </c>
      <c r="N29" s="660">
        <f t="shared" si="19"/>
        <v>2914.5700350877191</v>
      </c>
      <c r="O29" s="660">
        <f>SUMIFS(KB[TBAYAR2],KB[TANGGAL],C29,KB[TYPE],"A")</f>
        <v>83065246</v>
      </c>
      <c r="P29" s="660">
        <f>SUMIFS(KB[POTPPH],KB[TANGGAL],C29,KB[TYPE],"A")</f>
        <v>415327</v>
      </c>
      <c r="Q29" s="660">
        <f>SUMIFS(KB[TPEMBAYARAN],KB[TANGGAL],C29,KB[TYPE],"A")</f>
        <v>82649919</v>
      </c>
      <c r="R29" s="660"/>
      <c r="S29" s="659">
        <f>SUMIFS(KB[BRUTO],KB[TANGGAL],C29,KB[TYPE],"B")</f>
        <v>0</v>
      </c>
      <c r="T29" s="660">
        <f>SUMIFS(KB[TARRA],KB[TANGGAL],C29,KB[TYPE],"B")</f>
        <v>0</v>
      </c>
      <c r="U29" s="660">
        <f>SUMIFS(KB[NETTO],KB[TANGGAL],C29,KB[TYPE],"B")</f>
        <v>0</v>
      </c>
      <c r="V29" s="660">
        <f t="shared" si="20"/>
        <v>0</v>
      </c>
      <c r="W29" s="660">
        <f>SUMIFS(KB[TPOT],KB[TANGGAL],C29,KB[TYPE],"B")</f>
        <v>0</v>
      </c>
      <c r="X29" s="660">
        <f>SUMIFS(KB[NETTO2],KB[TANGGAL],C29,KB[TYPE],"B")</f>
        <v>0</v>
      </c>
      <c r="Y29" s="660">
        <f t="shared" si="21"/>
        <v>0</v>
      </c>
      <c r="Z29" s="660">
        <f>SUMIFS(KB[TBAYAR],KB[TANGGAL],C29,KB[TYPE],"B")</f>
        <v>0</v>
      </c>
      <c r="AA29" s="660">
        <f t="shared" si="22"/>
        <v>0</v>
      </c>
      <c r="AB29" s="660">
        <f t="shared" si="23"/>
        <v>0</v>
      </c>
      <c r="AC29" s="660">
        <f>SUMIFS(KB[TBAYAR2],KB[TANGGAL],C29,KB[TYPE],"B")</f>
        <v>0</v>
      </c>
      <c r="AD29" s="660">
        <f>SUMIFS(KB[POTPPH],KB[TANGGAL],C29,KB[TYPE],"B")</f>
        <v>0</v>
      </c>
      <c r="AE29" s="660">
        <f>SUMIFS(KB[TPEMBAYARAN],KB[TANGGAL],C29,KB[TYPE],"B")</f>
        <v>0</v>
      </c>
      <c r="AF29" s="660"/>
      <c r="AG29" s="659">
        <f>SUMIFS(KBS[BRUTO],KBS[TANGGAL],C29)</f>
        <v>0</v>
      </c>
      <c r="AH29" s="660">
        <f>SUMIFS(KBS[TARRA],KBS[TANGGAL],C29)</f>
        <v>0</v>
      </c>
      <c r="AI29" s="660">
        <f>SUMIFS(KBS[NETTO],KBS[TANGGAL],C29)</f>
        <v>0</v>
      </c>
      <c r="AJ29" s="660">
        <f t="shared" si="24"/>
        <v>0</v>
      </c>
      <c r="AK29" s="660">
        <f>SUMIFS(KBS[TPOT],KBS[TANGGAL],C29)</f>
        <v>0</v>
      </c>
      <c r="AL29" s="660">
        <f>SUMIFS(KBS[NETTO2],KBS[TANGGAL],C29)</f>
        <v>0</v>
      </c>
      <c r="AM29" s="660">
        <f t="shared" si="25"/>
        <v>0</v>
      </c>
      <c r="AN29" s="660">
        <f>SUMIFS(KBS[TBAYAR],KBS[TANGGAL],C29)</f>
        <v>0</v>
      </c>
      <c r="AO29" s="660">
        <f t="shared" si="26"/>
        <v>0</v>
      </c>
      <c r="AP29" s="660">
        <f t="shared" si="27"/>
        <v>0</v>
      </c>
      <c r="AQ29" s="660">
        <f>SUMIFS(KBS[TBAYAR2],KBS[TANGGAL],C29)</f>
        <v>0</v>
      </c>
      <c r="AR29" s="660">
        <f>SUMIFS(KBS[POTPPH],KBS[TANGGAL],C29)</f>
        <v>0</v>
      </c>
      <c r="AS29" s="660">
        <f>SUMIFS(KBS[TPEMBAYARAN],KBS[TANGGAL],C29)</f>
        <v>0</v>
      </c>
      <c r="AT29" s="660"/>
      <c r="AU29" s="659">
        <f>SUMIFS(KPR[BRUTO],KPR[TANGGAL],C29)</f>
        <v>0</v>
      </c>
      <c r="AV29" s="660">
        <f>SUMIFS(KPR[TARRA],KPR[TANGGAL],C29)</f>
        <v>0</v>
      </c>
      <c r="AW29" s="660">
        <f>SUMIFS(KPR[NETTO],KPR[TANGGAL],C29)</f>
        <v>0</v>
      </c>
      <c r="AX29" s="662">
        <f>SUMIFS(KPR[POTKRG],KPR[TANGGAL],C29)</f>
        <v>0</v>
      </c>
      <c r="AY29" s="660">
        <f>SUMIFS(KPR[TPOT1],KPR[TANGGAL],C29)</f>
        <v>0</v>
      </c>
      <c r="AZ29" s="662">
        <f>SUMIFS(KPR[POTAIR],KPR[TANGGAL],C29)</f>
        <v>0</v>
      </c>
      <c r="BA29" s="660">
        <f>SUMIFS(KPR[TPOT2],KPR[TANGGAL],C29)</f>
        <v>0</v>
      </c>
      <c r="BB29" s="660">
        <f>SUMIFS(KPR[NETTOA],KPR[TANGGAL],C29)</f>
        <v>0</v>
      </c>
      <c r="BC29" s="660">
        <f>SUMIFS(KPR[NETTOB],KPR[TANGGAL],C29)</f>
        <v>0</v>
      </c>
      <c r="BD29" s="660">
        <f t="shared" si="28"/>
        <v>0</v>
      </c>
      <c r="BE29" s="660">
        <f>SUMIFS(KPR[TOTAL],KPR[TANGGAL],C29)</f>
        <v>0</v>
      </c>
      <c r="BF29" s="662">
        <f t="shared" si="29"/>
        <v>0</v>
      </c>
      <c r="BG29" s="662">
        <f t="shared" si="30"/>
        <v>0</v>
      </c>
      <c r="BH29" s="660">
        <f>SUMIFS(KPR[TBAYAR2],KPR[TANGGAL],C29)</f>
        <v>0</v>
      </c>
      <c r="BI29" s="660">
        <f>SUMIFS(KPR[POTPPH],KPR[TANGGAL],C29)</f>
        <v>0</v>
      </c>
      <c r="BJ29" s="660">
        <f>SUMIFS(KPR[TPEMBAYARAN],KPR[TANGGAL],C29)</f>
        <v>0</v>
      </c>
      <c r="BK29" s="660"/>
      <c r="BL29" s="659">
        <f>SUMIFS(ARG[BRUTO],ARG[TANGGAL],C29)</f>
        <v>0</v>
      </c>
      <c r="BM29" s="659">
        <f>SUMIFS(ARG[TARRA],ARG[TANGGAL],C29)</f>
        <v>0</v>
      </c>
      <c r="BN29" s="659">
        <f>SUMIFS(ARG[NETTO1],ARG[TANGGAL],C29)</f>
        <v>0</v>
      </c>
      <c r="BO29" s="659">
        <f>SUMIFS(ARG[POTKARUNG],ARG[TANGGAL],C29)</f>
        <v>0</v>
      </c>
      <c r="BP29" s="659">
        <f>SUMIFS(ARG[TPOT1],ARG[TANGGAL],C29)</f>
        <v>0</v>
      </c>
      <c r="BQ29" s="659">
        <f>SUMIFS(ARG[NETTO2],ARG[TANGGAL],C29)</f>
        <v>0</v>
      </c>
      <c r="BR29" s="659">
        <f>SUMIFS(ARG[MC],ARG[TANGGAL],C29)</f>
        <v>0</v>
      </c>
      <c r="BS29" s="659">
        <f>SUMIFS(ARG[DC],ARG[TANGGAL],C29)</f>
        <v>0</v>
      </c>
      <c r="BT29" s="659">
        <f>SUMIFS(ARG[DC2],ARG[TANGGAL],C29)</f>
        <v>0</v>
      </c>
      <c r="BU29" s="659">
        <f>SUMIFS(ARG[NETTO3],ARG[TANGGAL],C29)</f>
        <v>0</v>
      </c>
      <c r="BV29" s="660">
        <f t="shared" si="31"/>
        <v>0</v>
      </c>
      <c r="BW29" s="659">
        <f>SUMIFS(ARG[TBAYAR1],ARG[TANGGAL],C29)</f>
        <v>0</v>
      </c>
      <c r="BX29" s="663">
        <f t="shared" si="32"/>
        <v>0</v>
      </c>
      <c r="BY29" s="663">
        <f t="shared" si="33"/>
        <v>0</v>
      </c>
      <c r="BZ29" s="659">
        <f>SUMIFS(ARG[TBAYAR2],ARG[TANGGAL],C29)</f>
        <v>0</v>
      </c>
      <c r="CA29" s="659">
        <f>SUMIFS(ARG[POTPPH],ARG[TANGGAL],C29)</f>
        <v>0</v>
      </c>
      <c r="CB29" s="659">
        <f>SUMIFS(ARG[TPEMBAYARAN],ARG[TANGGAL],C29)</f>
        <v>0</v>
      </c>
      <c r="CC29" s="616"/>
      <c r="CD29" s="575">
        <v>0</v>
      </c>
      <c r="CE29" s="348">
        <v>0</v>
      </c>
      <c r="CF29" s="348">
        <v>0</v>
      </c>
      <c r="CG29" s="348">
        <v>0</v>
      </c>
      <c r="CH29" s="348">
        <v>0</v>
      </c>
      <c r="CI29" s="348">
        <v>0</v>
      </c>
      <c r="CJ29" s="348">
        <v>0</v>
      </c>
      <c r="CK29" s="348">
        <v>0</v>
      </c>
      <c r="CL29" s="348">
        <v>0</v>
      </c>
      <c r="CM29" s="348">
        <v>0</v>
      </c>
      <c r="CN29" s="348">
        <v>0</v>
      </c>
      <c r="CO29" s="348">
        <v>0</v>
      </c>
      <c r="CP29" s="348">
        <v>0</v>
      </c>
      <c r="CQ29" s="576"/>
      <c r="CR29" s="348">
        <v>0</v>
      </c>
      <c r="CS29" s="348">
        <v>0</v>
      </c>
      <c r="CT29" s="348">
        <v>0</v>
      </c>
      <c r="CU29" s="348">
        <v>0</v>
      </c>
      <c r="CV29" s="348">
        <v>0</v>
      </c>
      <c r="CW29" s="348">
        <v>0</v>
      </c>
      <c r="CX29" s="348">
        <v>0</v>
      </c>
      <c r="CY29" s="348">
        <v>0</v>
      </c>
      <c r="CZ29" s="348">
        <v>0</v>
      </c>
      <c r="DA29" s="348">
        <v>0</v>
      </c>
      <c r="DB29" s="348">
        <v>0</v>
      </c>
      <c r="DC29" s="348">
        <v>0</v>
      </c>
      <c r="DD29" s="348">
        <v>0</v>
      </c>
      <c r="DE29" s="576"/>
      <c r="DF29" s="576"/>
      <c r="DG29" s="348"/>
      <c r="DH29" s="348"/>
      <c r="DI29" s="348"/>
      <c r="DJ29" s="348"/>
      <c r="DK29" s="348"/>
      <c r="DL29" s="348"/>
      <c r="DM29" s="348"/>
      <c r="DN29" s="348"/>
      <c r="DO29" s="348"/>
      <c r="DP29" s="348"/>
      <c r="DQ29" s="348"/>
      <c r="DR29" s="576"/>
      <c r="DS29" s="348"/>
      <c r="DT29" s="348"/>
      <c r="DU29" s="348"/>
      <c r="DV29" s="348"/>
      <c r="DW29" s="348"/>
      <c r="DX29" s="348"/>
      <c r="DY29" s="348"/>
      <c r="DZ29" s="348"/>
      <c r="EA29" s="576"/>
      <c r="EB29" s="348"/>
      <c r="EC29" s="348"/>
      <c r="ED29" s="348"/>
      <c r="EE29" s="348"/>
      <c r="EF29" s="348"/>
      <c r="EG29" s="348"/>
      <c r="EH29" s="348"/>
      <c r="EI29" s="348"/>
      <c r="EJ29" s="348"/>
      <c r="EK29" s="348"/>
      <c r="EL29" s="348"/>
      <c r="EM29" s="348"/>
      <c r="EN29" s="348"/>
      <c r="EO29" s="348"/>
      <c r="EP29" s="348"/>
      <c r="EQ29" s="348"/>
      <c r="ER29" s="348"/>
      <c r="ES29" s="348"/>
      <c r="ET29" s="348"/>
      <c r="EU29" s="348"/>
      <c r="EV29" s="348"/>
      <c r="EW29" s="348"/>
      <c r="EX29" s="348"/>
      <c r="EY29" s="348"/>
      <c r="EZ29" s="348"/>
      <c r="FA29" s="348"/>
      <c r="FB29" s="348"/>
      <c r="FC29" s="348"/>
      <c r="FD29" s="348"/>
      <c r="FE29" s="348"/>
      <c r="FF29" s="348"/>
      <c r="FG29" s="350"/>
      <c r="FH29" s="350"/>
      <c r="FI29" s="350"/>
      <c r="FJ29" s="350"/>
      <c r="FK29" s="350"/>
      <c r="FL29" s="350"/>
      <c r="FM29" s="350"/>
      <c r="FN29" s="350"/>
      <c r="FO29" s="350"/>
      <c r="FP29" s="350"/>
      <c r="FQ29" s="350"/>
      <c r="FR29" s="350"/>
      <c r="FS29" s="348"/>
      <c r="FT29" s="348"/>
      <c r="FU29" s="356"/>
      <c r="FV29" s="353"/>
      <c r="FW29" s="353"/>
      <c r="FX29" s="354"/>
      <c r="FY29" s="353"/>
      <c r="FZ29" s="353"/>
      <c r="GA29" s="348"/>
      <c r="GB29" s="353"/>
      <c r="GC29" s="359"/>
      <c r="GD29" s="348"/>
      <c r="GE29" s="348"/>
      <c r="GF29" s="348"/>
      <c r="GG29" s="348"/>
      <c r="GH29" s="353"/>
      <c r="GI29" s="354"/>
      <c r="GJ29" s="354"/>
      <c r="GK29" s="354"/>
      <c r="GL29" s="354"/>
    </row>
    <row r="30" spans="2:194" s="349" customFormat="1" ht="30" customHeight="1">
      <c r="B30" s="557">
        <f t="shared" si="34"/>
        <v>22</v>
      </c>
      <c r="C30" s="645">
        <f t="shared" si="0"/>
        <v>43912</v>
      </c>
      <c r="D30" s="607"/>
      <c r="E30" s="659">
        <f>SUMIFS(KB[BRUTO],KB[TANGGAL],C30,KB[TYPE],"A")</f>
        <v>0</v>
      </c>
      <c r="F30" s="660">
        <f>SUMIFS(KB[TARRA],KB[TANGGAL],C30,KB[TYPE],"A")</f>
        <v>0</v>
      </c>
      <c r="G30" s="660">
        <f>SUMIFS(KB[NETTO],KB[TANGGAL],C30,KB[TYPE],"A")</f>
        <v>0</v>
      </c>
      <c r="H30" s="660">
        <f t="shared" si="16"/>
        <v>0</v>
      </c>
      <c r="I30" s="660">
        <f>SUMIFS(KB[TPOT],KB[TANGGAL],C30,KB[TYPE],"A")</f>
        <v>0</v>
      </c>
      <c r="J30" s="660">
        <f>SUMIFS(KB[NETTO2],KB[TANGGAL],C30,KB[TYPE],"A")</f>
        <v>0</v>
      </c>
      <c r="K30" s="660">
        <f t="shared" si="17"/>
        <v>0</v>
      </c>
      <c r="L30" s="660">
        <f>SUMIFS(KB[TBAYAR],KB[TANGGAL],C30,KB[TYPE],"A")</f>
        <v>0</v>
      </c>
      <c r="M30" s="660">
        <f t="shared" si="18"/>
        <v>0</v>
      </c>
      <c r="N30" s="660">
        <f t="shared" si="19"/>
        <v>0</v>
      </c>
      <c r="O30" s="660">
        <f>SUMIFS(KB[TBAYAR2],KB[TANGGAL],C30,KB[TYPE],"A")</f>
        <v>0</v>
      </c>
      <c r="P30" s="660">
        <f>SUMIFS(KB[POTPPH],KB[TANGGAL],C30,KB[TYPE],"A")</f>
        <v>0</v>
      </c>
      <c r="Q30" s="660">
        <f>SUMIFS(KB[TPEMBAYARAN],KB[TANGGAL],C30,KB[TYPE],"A")</f>
        <v>0</v>
      </c>
      <c r="R30" s="660"/>
      <c r="S30" s="659">
        <f>SUMIFS(KB[BRUTO],KB[TANGGAL],C30,KB[TYPE],"B")</f>
        <v>0</v>
      </c>
      <c r="T30" s="660">
        <f>SUMIFS(KB[TARRA],KB[TANGGAL],C30,KB[TYPE],"B")</f>
        <v>0</v>
      </c>
      <c r="U30" s="660">
        <f>SUMIFS(KB[NETTO],KB[TANGGAL],C30,KB[TYPE],"B")</f>
        <v>0</v>
      </c>
      <c r="V30" s="660">
        <f t="shared" si="20"/>
        <v>0</v>
      </c>
      <c r="W30" s="660">
        <f>SUMIFS(KB[TPOT],KB[TANGGAL],C30,KB[TYPE],"B")</f>
        <v>0</v>
      </c>
      <c r="X30" s="660">
        <f>SUMIFS(KB[NETTO2],KB[TANGGAL],C30,KB[TYPE],"B")</f>
        <v>0</v>
      </c>
      <c r="Y30" s="660">
        <f t="shared" si="21"/>
        <v>0</v>
      </c>
      <c r="Z30" s="660">
        <f>SUMIFS(KB[TBAYAR],KB[TANGGAL],C30,KB[TYPE],"B")</f>
        <v>0</v>
      </c>
      <c r="AA30" s="660">
        <f t="shared" si="22"/>
        <v>0</v>
      </c>
      <c r="AB30" s="660">
        <f t="shared" si="23"/>
        <v>0</v>
      </c>
      <c r="AC30" s="660">
        <f>SUMIFS(KB[TBAYAR2],KB[TANGGAL],C30,KB[TYPE],"B")</f>
        <v>0</v>
      </c>
      <c r="AD30" s="660">
        <f>SUMIFS(KB[POTPPH],KB[TANGGAL],C30,KB[TYPE],"B")</f>
        <v>0</v>
      </c>
      <c r="AE30" s="660">
        <f>SUMIFS(KB[TPEMBAYARAN],KB[TANGGAL],C30,KB[TYPE],"B")</f>
        <v>0</v>
      </c>
      <c r="AF30" s="660"/>
      <c r="AG30" s="659">
        <f>SUMIFS(KBS[BRUTO],KBS[TANGGAL],C30)</f>
        <v>0</v>
      </c>
      <c r="AH30" s="660">
        <f>SUMIFS(KBS[TARRA],KBS[TANGGAL],C30)</f>
        <v>0</v>
      </c>
      <c r="AI30" s="660">
        <f>SUMIFS(KBS[NETTO],KBS[TANGGAL],C30)</f>
        <v>0</v>
      </c>
      <c r="AJ30" s="660">
        <f t="shared" si="24"/>
        <v>0</v>
      </c>
      <c r="AK30" s="660">
        <f>SUMIFS(KBS[TPOT],KBS[TANGGAL],C30)</f>
        <v>0</v>
      </c>
      <c r="AL30" s="660">
        <f>SUMIFS(KBS[NETTO2],KBS[TANGGAL],C30)</f>
        <v>0</v>
      </c>
      <c r="AM30" s="660">
        <f t="shared" si="25"/>
        <v>0</v>
      </c>
      <c r="AN30" s="660">
        <f>SUMIFS(KBS[TBAYAR],KBS[TANGGAL],C30)</f>
        <v>0</v>
      </c>
      <c r="AO30" s="660">
        <f t="shared" si="26"/>
        <v>0</v>
      </c>
      <c r="AP30" s="660">
        <f t="shared" si="27"/>
        <v>0</v>
      </c>
      <c r="AQ30" s="660">
        <f>SUMIFS(KBS[TBAYAR2],KBS[TANGGAL],C30)</f>
        <v>0</v>
      </c>
      <c r="AR30" s="660">
        <f>SUMIFS(KBS[POTPPH],KBS[TANGGAL],C30)</f>
        <v>0</v>
      </c>
      <c r="AS30" s="660">
        <f>SUMIFS(KBS[TPEMBAYARAN],KBS[TANGGAL],C30)</f>
        <v>0</v>
      </c>
      <c r="AT30" s="660"/>
      <c r="AU30" s="659">
        <f>SUMIFS(KPR[BRUTO],KPR[TANGGAL],C30)</f>
        <v>0</v>
      </c>
      <c r="AV30" s="660">
        <f>SUMIFS(KPR[TARRA],KPR[TANGGAL],C30)</f>
        <v>0</v>
      </c>
      <c r="AW30" s="660">
        <f>SUMIFS(KPR[NETTO],KPR[TANGGAL],C30)</f>
        <v>0</v>
      </c>
      <c r="AX30" s="662">
        <f>SUMIFS(KPR[POTKRG],KPR[TANGGAL],C30)</f>
        <v>0</v>
      </c>
      <c r="AY30" s="660">
        <f>SUMIFS(KPR[TPOT1],KPR[TANGGAL],C30)</f>
        <v>0</v>
      </c>
      <c r="AZ30" s="662">
        <f>SUMIFS(KPR[POTAIR],KPR[TANGGAL],C30)</f>
        <v>0</v>
      </c>
      <c r="BA30" s="660">
        <f>SUMIFS(KPR[TPOT2],KPR[TANGGAL],C30)</f>
        <v>0</v>
      </c>
      <c r="BB30" s="660">
        <f>SUMIFS(KPR[NETTOA],KPR[TANGGAL],C30)</f>
        <v>0</v>
      </c>
      <c r="BC30" s="660">
        <f>SUMIFS(KPR[NETTOB],KPR[TANGGAL],C30)</f>
        <v>0</v>
      </c>
      <c r="BD30" s="660">
        <f t="shared" si="28"/>
        <v>0</v>
      </c>
      <c r="BE30" s="660">
        <f>SUMIFS(KPR[TOTAL],KPR[TANGGAL],C30)</f>
        <v>0</v>
      </c>
      <c r="BF30" s="662">
        <f t="shared" si="29"/>
        <v>0</v>
      </c>
      <c r="BG30" s="662">
        <f t="shared" si="30"/>
        <v>0</v>
      </c>
      <c r="BH30" s="660">
        <f>SUMIFS(KPR[TBAYAR2],KPR[TANGGAL],C30)</f>
        <v>0</v>
      </c>
      <c r="BI30" s="660">
        <f>SUMIFS(KPR[POTPPH],KPR[TANGGAL],C30)</f>
        <v>0</v>
      </c>
      <c r="BJ30" s="660">
        <f>SUMIFS(KPR[TPEMBAYARAN],KPR[TANGGAL],C30)</f>
        <v>0</v>
      </c>
      <c r="BK30" s="660"/>
      <c r="BL30" s="659">
        <f>SUMIFS(ARG[BRUTO],ARG[TANGGAL],C30)</f>
        <v>0</v>
      </c>
      <c r="BM30" s="659">
        <f>SUMIFS(ARG[TARRA],ARG[TANGGAL],C30)</f>
        <v>0</v>
      </c>
      <c r="BN30" s="659">
        <f>SUMIFS(ARG[NETTO1],ARG[TANGGAL],C30)</f>
        <v>0</v>
      </c>
      <c r="BO30" s="659">
        <f>SUMIFS(ARG[POTKARUNG],ARG[TANGGAL],C30)</f>
        <v>0</v>
      </c>
      <c r="BP30" s="659">
        <f>SUMIFS(ARG[TPOT1],ARG[TANGGAL],C30)</f>
        <v>0</v>
      </c>
      <c r="BQ30" s="659">
        <f>SUMIFS(ARG[NETTO2],ARG[TANGGAL],C30)</f>
        <v>0</v>
      </c>
      <c r="BR30" s="659">
        <f>SUMIFS(ARG[MC],ARG[TANGGAL],C30)</f>
        <v>0</v>
      </c>
      <c r="BS30" s="659">
        <f>SUMIFS(ARG[DC],ARG[TANGGAL],C30)</f>
        <v>0</v>
      </c>
      <c r="BT30" s="659">
        <f>SUMIFS(ARG[DC2],ARG[TANGGAL],C30)</f>
        <v>0</v>
      </c>
      <c r="BU30" s="659">
        <f>SUMIFS(ARG[NETTO3],ARG[TANGGAL],C30)</f>
        <v>0</v>
      </c>
      <c r="BV30" s="660">
        <f t="shared" si="31"/>
        <v>0</v>
      </c>
      <c r="BW30" s="659">
        <f>SUMIFS(ARG[TBAYAR1],ARG[TANGGAL],C30)</f>
        <v>0</v>
      </c>
      <c r="BX30" s="663">
        <f t="shared" si="32"/>
        <v>0</v>
      </c>
      <c r="BY30" s="663">
        <f t="shared" si="33"/>
        <v>0</v>
      </c>
      <c r="BZ30" s="659">
        <f>SUMIFS(ARG[TBAYAR2],ARG[TANGGAL],C30)</f>
        <v>0</v>
      </c>
      <c r="CA30" s="659">
        <f>SUMIFS(ARG[POTPPH],ARG[TANGGAL],C30)</f>
        <v>0</v>
      </c>
      <c r="CB30" s="659">
        <f>SUMIFS(ARG[TPEMBAYARAN],ARG[TANGGAL],C30)</f>
        <v>0</v>
      </c>
      <c r="CC30" s="616"/>
      <c r="CD30" s="575">
        <v>0</v>
      </c>
      <c r="CE30" s="348">
        <v>0</v>
      </c>
      <c r="CF30" s="348">
        <v>0</v>
      </c>
      <c r="CG30" s="348">
        <v>0</v>
      </c>
      <c r="CH30" s="348">
        <v>0</v>
      </c>
      <c r="CI30" s="348">
        <v>0</v>
      </c>
      <c r="CJ30" s="348">
        <v>0</v>
      </c>
      <c r="CK30" s="348">
        <v>0</v>
      </c>
      <c r="CL30" s="348">
        <v>0</v>
      </c>
      <c r="CM30" s="348">
        <v>0</v>
      </c>
      <c r="CN30" s="348">
        <v>0</v>
      </c>
      <c r="CO30" s="348">
        <v>0</v>
      </c>
      <c r="CP30" s="348">
        <v>0</v>
      </c>
      <c r="CQ30" s="576"/>
      <c r="CR30" s="348">
        <v>0</v>
      </c>
      <c r="CS30" s="348">
        <v>0</v>
      </c>
      <c r="CT30" s="348">
        <v>0</v>
      </c>
      <c r="CU30" s="348">
        <v>0</v>
      </c>
      <c r="CV30" s="348">
        <v>0</v>
      </c>
      <c r="CW30" s="348">
        <v>0</v>
      </c>
      <c r="CX30" s="348">
        <v>0</v>
      </c>
      <c r="CY30" s="348">
        <v>0</v>
      </c>
      <c r="CZ30" s="348">
        <v>0</v>
      </c>
      <c r="DA30" s="348">
        <v>0</v>
      </c>
      <c r="DB30" s="348">
        <v>0</v>
      </c>
      <c r="DC30" s="348">
        <v>0</v>
      </c>
      <c r="DD30" s="348">
        <v>0</v>
      </c>
      <c r="DE30" s="576"/>
      <c r="DF30" s="576"/>
      <c r="DG30" s="348"/>
      <c r="DH30" s="348"/>
      <c r="DI30" s="348"/>
      <c r="DJ30" s="348"/>
      <c r="DK30" s="348"/>
      <c r="DL30" s="348"/>
      <c r="DM30" s="348"/>
      <c r="DN30" s="348"/>
      <c r="DO30" s="348"/>
      <c r="DP30" s="348"/>
      <c r="DQ30" s="348"/>
      <c r="DR30" s="576"/>
      <c r="DS30" s="348"/>
      <c r="DT30" s="348"/>
      <c r="DU30" s="348"/>
      <c r="DV30" s="348"/>
      <c r="DW30" s="348"/>
      <c r="DX30" s="348"/>
      <c r="DY30" s="348"/>
      <c r="DZ30" s="348"/>
      <c r="EA30" s="576"/>
      <c r="EB30" s="348"/>
      <c r="EC30" s="348"/>
      <c r="ED30" s="348"/>
      <c r="EE30" s="348"/>
      <c r="EF30" s="348"/>
      <c r="EG30" s="348"/>
      <c r="EH30" s="348"/>
      <c r="EI30" s="348"/>
      <c r="EJ30" s="348"/>
      <c r="EK30" s="348"/>
      <c r="EL30" s="348"/>
      <c r="EM30" s="348"/>
      <c r="EN30" s="348"/>
      <c r="EO30" s="348"/>
      <c r="EP30" s="348"/>
      <c r="EQ30" s="348"/>
      <c r="ER30" s="348"/>
      <c r="ES30" s="348"/>
      <c r="ET30" s="348"/>
      <c r="EU30" s="348"/>
      <c r="EV30" s="348"/>
      <c r="EW30" s="348"/>
      <c r="EX30" s="348"/>
      <c r="EY30" s="348"/>
      <c r="EZ30" s="348"/>
      <c r="FA30" s="348"/>
      <c r="FB30" s="348"/>
      <c r="FC30" s="348"/>
      <c r="FD30" s="348"/>
      <c r="FE30" s="348"/>
      <c r="FF30" s="348"/>
      <c r="FG30" s="350"/>
      <c r="FH30" s="350"/>
      <c r="FI30" s="350"/>
      <c r="FJ30" s="350"/>
      <c r="FK30" s="350"/>
      <c r="FL30" s="350"/>
      <c r="FM30" s="350"/>
      <c r="FN30" s="350"/>
      <c r="FO30" s="350"/>
      <c r="FP30" s="350"/>
      <c r="FQ30" s="350"/>
      <c r="FR30" s="350"/>
      <c r="FS30" s="348"/>
      <c r="FT30" s="348"/>
      <c r="FU30" s="356"/>
      <c r="FV30" s="353"/>
      <c r="FW30" s="353"/>
      <c r="FX30" s="354"/>
      <c r="FY30" s="353"/>
      <c r="FZ30" s="353"/>
      <c r="GA30" s="348"/>
      <c r="GB30" s="353"/>
      <c r="GC30" s="348"/>
      <c r="GD30" s="348"/>
      <c r="GE30" s="348"/>
      <c r="GF30" s="348"/>
      <c r="GG30" s="348"/>
      <c r="GH30" s="353"/>
      <c r="GI30" s="354"/>
      <c r="GJ30" s="354"/>
      <c r="GK30" s="354"/>
      <c r="GL30" s="354"/>
    </row>
    <row r="31" spans="2:194" s="349" customFormat="1" ht="30" customHeight="1">
      <c r="B31" s="557">
        <f t="shared" si="34"/>
        <v>23</v>
      </c>
      <c r="C31" s="645">
        <f t="shared" si="0"/>
        <v>43913</v>
      </c>
      <c r="D31" s="607"/>
      <c r="E31" s="659">
        <f>SUMIFS(KB[BRUTO],KB[TANGGAL],C31,KB[TYPE],"A")</f>
        <v>323400</v>
      </c>
      <c r="F31" s="660">
        <f>SUMIFS(KB[TARRA],KB[TANGGAL],C31,KB[TYPE],"A")</f>
        <v>147720</v>
      </c>
      <c r="G31" s="660">
        <f>SUMIFS(KB[NETTO],KB[TANGGAL],C31,KB[TYPE],"A")</f>
        <v>175680</v>
      </c>
      <c r="H31" s="660">
        <f t="shared" si="16"/>
        <v>5.8275842440801471</v>
      </c>
      <c r="I31" s="660">
        <f>SUMIFS(KB[TPOT],KB[TANGGAL],C31,KB[TYPE],"A")</f>
        <v>10237.900000000001</v>
      </c>
      <c r="J31" s="660">
        <f>SUMIFS(KB[NETTO2],KB[TANGGAL],C31,KB[TYPE],"A")</f>
        <v>165442.09999999998</v>
      </c>
      <c r="K31" s="660">
        <f t="shared" si="17"/>
        <v>3116.9745185777988</v>
      </c>
      <c r="L31" s="660">
        <f>SUMIFS(KB[TBAYAR],KB[TANGGAL],C31,KB[TYPE],"A")</f>
        <v>515678810</v>
      </c>
      <c r="M31" s="660">
        <f t="shared" si="18"/>
        <v>15.66</v>
      </c>
      <c r="N31" s="660">
        <f t="shared" si="19"/>
        <v>3132.6370555015928</v>
      </c>
      <c r="O31" s="660">
        <f>SUMIFS(KB[TBAYAR2],KB[TANGGAL],C31,KB[TYPE],"A")</f>
        <v>518270053</v>
      </c>
      <c r="P31" s="660">
        <f>SUMIFS(KB[POTPPH],KB[TANGGAL],C31,KB[TYPE],"A")</f>
        <v>2591350</v>
      </c>
      <c r="Q31" s="660">
        <f>SUMIFS(KB[TPEMBAYARAN],KB[TANGGAL],C31,KB[TYPE],"A")</f>
        <v>515678703</v>
      </c>
      <c r="R31" s="660"/>
      <c r="S31" s="659">
        <f>SUMIFS(KB[BRUTO],KB[TANGGAL],C31,KB[TYPE],"B")</f>
        <v>0</v>
      </c>
      <c r="T31" s="660">
        <f>SUMIFS(KB[TARRA],KB[TANGGAL],C31,KB[TYPE],"B")</f>
        <v>0</v>
      </c>
      <c r="U31" s="660">
        <f>SUMIFS(KB[NETTO],KB[TANGGAL],C31,KB[TYPE],"B")</f>
        <v>0</v>
      </c>
      <c r="V31" s="660">
        <f t="shared" si="20"/>
        <v>0</v>
      </c>
      <c r="W31" s="660">
        <f>SUMIFS(KB[TPOT],KB[TANGGAL],C31,KB[TYPE],"B")</f>
        <v>0</v>
      </c>
      <c r="X31" s="660">
        <f>SUMIFS(KB[NETTO2],KB[TANGGAL],C31,KB[TYPE],"B")</f>
        <v>0</v>
      </c>
      <c r="Y31" s="660">
        <f t="shared" si="21"/>
        <v>0</v>
      </c>
      <c r="Z31" s="660">
        <f>SUMIFS(KB[TBAYAR],KB[TANGGAL],C31,KB[TYPE],"B")</f>
        <v>0</v>
      </c>
      <c r="AA31" s="660">
        <f t="shared" si="22"/>
        <v>0</v>
      </c>
      <c r="AB31" s="660">
        <f t="shared" si="23"/>
        <v>0</v>
      </c>
      <c r="AC31" s="660">
        <f>SUMIFS(KB[TBAYAR2],KB[TANGGAL],C31,KB[TYPE],"B")</f>
        <v>0</v>
      </c>
      <c r="AD31" s="660">
        <f>SUMIFS(KB[POTPPH],KB[TANGGAL],C31,KB[TYPE],"B")</f>
        <v>0</v>
      </c>
      <c r="AE31" s="660">
        <f>SUMIFS(KB[TPEMBAYARAN],KB[TANGGAL],C31,KB[TYPE],"B")</f>
        <v>0</v>
      </c>
      <c r="AF31" s="660"/>
      <c r="AG31" s="659">
        <f>SUMIFS(KBS[BRUTO],KBS[TANGGAL],C31)</f>
        <v>0</v>
      </c>
      <c r="AH31" s="660">
        <f>SUMIFS(KBS[TARRA],KBS[TANGGAL],C31)</f>
        <v>0</v>
      </c>
      <c r="AI31" s="660">
        <f>SUMIFS(KBS[NETTO],KBS[TANGGAL],C31)</f>
        <v>0</v>
      </c>
      <c r="AJ31" s="660">
        <f t="shared" si="24"/>
        <v>0</v>
      </c>
      <c r="AK31" s="660">
        <f>SUMIFS(KBS[TPOT],KBS[TANGGAL],C31)</f>
        <v>0</v>
      </c>
      <c r="AL31" s="660">
        <f>SUMIFS(KBS[NETTO2],KBS[TANGGAL],C31)</f>
        <v>0</v>
      </c>
      <c r="AM31" s="660">
        <f t="shared" si="25"/>
        <v>0</v>
      </c>
      <c r="AN31" s="660">
        <f>SUMIFS(KBS[TBAYAR],KBS[TANGGAL],C31)</f>
        <v>0</v>
      </c>
      <c r="AO31" s="660">
        <f t="shared" si="26"/>
        <v>0</v>
      </c>
      <c r="AP31" s="660">
        <f t="shared" si="27"/>
        <v>0</v>
      </c>
      <c r="AQ31" s="660">
        <f>SUMIFS(KBS[TBAYAR2],KBS[TANGGAL],C31)</f>
        <v>0</v>
      </c>
      <c r="AR31" s="660">
        <f>SUMIFS(KBS[POTPPH],KBS[TANGGAL],C31)</f>
        <v>0</v>
      </c>
      <c r="AS31" s="660">
        <f>SUMIFS(KBS[TPEMBAYARAN],KBS[TANGGAL],C31)</f>
        <v>0</v>
      </c>
      <c r="AT31" s="660"/>
      <c r="AU31" s="659">
        <f>SUMIFS(KPR[BRUTO],KPR[TANGGAL],C31)</f>
        <v>0</v>
      </c>
      <c r="AV31" s="660">
        <f>SUMIFS(KPR[TARRA],KPR[TANGGAL],C31)</f>
        <v>0</v>
      </c>
      <c r="AW31" s="660">
        <f>SUMIFS(KPR[NETTO],KPR[TANGGAL],C31)</f>
        <v>0</v>
      </c>
      <c r="AX31" s="662">
        <f>SUMIFS(KPR[POTKRG],KPR[TANGGAL],C31)</f>
        <v>0</v>
      </c>
      <c r="AY31" s="660">
        <f>SUMIFS(KPR[TPOT1],KPR[TANGGAL],C31)</f>
        <v>0</v>
      </c>
      <c r="AZ31" s="662">
        <f>SUMIFS(KPR[POTAIR],KPR[TANGGAL],C31)</f>
        <v>0</v>
      </c>
      <c r="BA31" s="660">
        <f>SUMIFS(KPR[TPOT2],KPR[TANGGAL],C31)</f>
        <v>0</v>
      </c>
      <c r="BB31" s="660">
        <f>SUMIFS(KPR[NETTOA],KPR[TANGGAL],C31)</f>
        <v>0</v>
      </c>
      <c r="BC31" s="660">
        <f>SUMIFS(KPR[NETTOB],KPR[TANGGAL],C31)</f>
        <v>0</v>
      </c>
      <c r="BD31" s="660">
        <f t="shared" si="28"/>
        <v>0</v>
      </c>
      <c r="BE31" s="660">
        <f>SUMIFS(KPR[TOTAL],KPR[TANGGAL],C31)</f>
        <v>0</v>
      </c>
      <c r="BF31" s="662">
        <f t="shared" si="29"/>
        <v>0</v>
      </c>
      <c r="BG31" s="662">
        <f t="shared" si="30"/>
        <v>0</v>
      </c>
      <c r="BH31" s="660">
        <f>SUMIFS(KPR[TBAYAR2],KPR[TANGGAL],C31)</f>
        <v>0</v>
      </c>
      <c r="BI31" s="660">
        <f>SUMIFS(KPR[POTPPH],KPR[TANGGAL],C31)</f>
        <v>0</v>
      </c>
      <c r="BJ31" s="660">
        <f>SUMIFS(KPR[TPEMBAYARAN],KPR[TANGGAL],C31)</f>
        <v>0</v>
      </c>
      <c r="BK31" s="660"/>
      <c r="BL31" s="659">
        <f>SUMIFS(ARG[BRUTO],ARG[TANGGAL],C31)</f>
        <v>0</v>
      </c>
      <c r="BM31" s="659">
        <f>SUMIFS(ARG[TARRA],ARG[TANGGAL],C31)</f>
        <v>0</v>
      </c>
      <c r="BN31" s="659">
        <f>SUMIFS(ARG[NETTO1],ARG[TANGGAL],C31)</f>
        <v>0</v>
      </c>
      <c r="BO31" s="659">
        <f>SUMIFS(ARG[POTKARUNG],ARG[TANGGAL],C31)</f>
        <v>0</v>
      </c>
      <c r="BP31" s="659">
        <f>SUMIFS(ARG[TPOT1],ARG[TANGGAL],C31)</f>
        <v>0</v>
      </c>
      <c r="BQ31" s="659">
        <f>SUMIFS(ARG[NETTO2],ARG[TANGGAL],C31)</f>
        <v>0</v>
      </c>
      <c r="BR31" s="659">
        <f>SUMIFS(ARG[MC],ARG[TANGGAL],C31)</f>
        <v>0</v>
      </c>
      <c r="BS31" s="659">
        <f>SUMIFS(ARG[DC],ARG[TANGGAL],C31)</f>
        <v>0</v>
      </c>
      <c r="BT31" s="659">
        <f>SUMIFS(ARG[DC2],ARG[TANGGAL],C31)</f>
        <v>0</v>
      </c>
      <c r="BU31" s="659">
        <f>SUMIFS(ARG[NETTO3],ARG[TANGGAL],C31)</f>
        <v>0</v>
      </c>
      <c r="BV31" s="660">
        <f t="shared" si="31"/>
        <v>0</v>
      </c>
      <c r="BW31" s="659">
        <f>SUMIFS(ARG[TBAYAR1],ARG[TANGGAL],C31)</f>
        <v>0</v>
      </c>
      <c r="BX31" s="663">
        <f t="shared" si="32"/>
        <v>0</v>
      </c>
      <c r="BY31" s="663">
        <f t="shared" si="33"/>
        <v>0</v>
      </c>
      <c r="BZ31" s="659">
        <f>SUMIFS(ARG[TBAYAR2],ARG[TANGGAL],C31)</f>
        <v>0</v>
      </c>
      <c r="CA31" s="659">
        <f>SUMIFS(ARG[POTPPH],ARG[TANGGAL],C31)</f>
        <v>0</v>
      </c>
      <c r="CB31" s="659">
        <f>SUMIFS(ARG[TPEMBAYARAN],ARG[TANGGAL],C31)</f>
        <v>0</v>
      </c>
      <c r="CC31" s="616"/>
      <c r="CD31" s="575">
        <v>0</v>
      </c>
      <c r="CE31" s="348">
        <v>0</v>
      </c>
      <c r="CF31" s="348">
        <v>0</v>
      </c>
      <c r="CG31" s="348">
        <v>0</v>
      </c>
      <c r="CH31" s="348">
        <v>0</v>
      </c>
      <c r="CI31" s="348">
        <v>0</v>
      </c>
      <c r="CJ31" s="348">
        <v>0</v>
      </c>
      <c r="CK31" s="348">
        <v>0</v>
      </c>
      <c r="CL31" s="348">
        <v>0</v>
      </c>
      <c r="CM31" s="348">
        <v>0</v>
      </c>
      <c r="CN31" s="348">
        <v>0</v>
      </c>
      <c r="CO31" s="348">
        <v>0</v>
      </c>
      <c r="CP31" s="348">
        <v>0</v>
      </c>
      <c r="CQ31" s="576"/>
      <c r="CR31" s="348">
        <v>0</v>
      </c>
      <c r="CS31" s="348">
        <v>0</v>
      </c>
      <c r="CT31" s="348">
        <v>0</v>
      </c>
      <c r="CU31" s="348">
        <v>0</v>
      </c>
      <c r="CV31" s="348">
        <v>0</v>
      </c>
      <c r="CW31" s="348">
        <v>0</v>
      </c>
      <c r="CX31" s="348">
        <v>0</v>
      </c>
      <c r="CY31" s="348">
        <v>0</v>
      </c>
      <c r="CZ31" s="348">
        <v>0</v>
      </c>
      <c r="DA31" s="348">
        <v>0</v>
      </c>
      <c r="DB31" s="348">
        <v>0</v>
      </c>
      <c r="DC31" s="348">
        <v>0</v>
      </c>
      <c r="DD31" s="348">
        <v>0</v>
      </c>
      <c r="DE31" s="576"/>
      <c r="DF31" s="576"/>
      <c r="DG31" s="348"/>
      <c r="DH31" s="348"/>
      <c r="DI31" s="348"/>
      <c r="DJ31" s="348"/>
      <c r="DK31" s="348"/>
      <c r="DL31" s="348"/>
      <c r="DM31" s="348"/>
      <c r="DN31" s="348"/>
      <c r="DO31" s="348"/>
      <c r="DP31" s="348"/>
      <c r="DQ31" s="348"/>
      <c r="DR31" s="576"/>
      <c r="DS31" s="348"/>
      <c r="DT31" s="348"/>
      <c r="DU31" s="348"/>
      <c r="DV31" s="348"/>
      <c r="DW31" s="348"/>
      <c r="DX31" s="348"/>
      <c r="DY31" s="348"/>
      <c r="DZ31" s="348"/>
      <c r="EA31" s="576"/>
      <c r="EB31" s="348"/>
      <c r="EC31" s="348"/>
      <c r="ED31" s="348"/>
      <c r="EE31" s="348"/>
      <c r="EF31" s="348"/>
      <c r="EG31" s="348"/>
      <c r="EH31" s="348"/>
      <c r="EI31" s="348"/>
      <c r="EJ31" s="348"/>
      <c r="EK31" s="348"/>
      <c r="EL31" s="348"/>
      <c r="EM31" s="348"/>
      <c r="EN31" s="348"/>
      <c r="EO31" s="348"/>
      <c r="EP31" s="348"/>
      <c r="EQ31" s="348"/>
      <c r="ER31" s="348"/>
      <c r="ES31" s="348"/>
      <c r="ET31" s="348"/>
      <c r="EU31" s="348"/>
      <c r="EV31" s="348"/>
      <c r="EW31" s="348"/>
      <c r="EX31" s="348"/>
      <c r="EY31" s="348"/>
      <c r="EZ31" s="348"/>
      <c r="FA31" s="348"/>
      <c r="FB31" s="348"/>
      <c r="FC31" s="348"/>
      <c r="FD31" s="348"/>
      <c r="FE31" s="348"/>
      <c r="FF31" s="348"/>
      <c r="FG31" s="350"/>
      <c r="FH31" s="350"/>
      <c r="FI31" s="350"/>
      <c r="FJ31" s="350"/>
      <c r="FK31" s="350"/>
      <c r="FL31" s="350"/>
      <c r="FM31" s="350"/>
      <c r="FN31" s="350"/>
      <c r="FO31" s="350"/>
      <c r="FP31" s="350"/>
      <c r="FQ31" s="350"/>
      <c r="FR31" s="350"/>
      <c r="FS31" s="348"/>
      <c r="FT31" s="348"/>
      <c r="FU31" s="356"/>
      <c r="FV31" s="353"/>
      <c r="FW31" s="353"/>
      <c r="FX31" s="354"/>
      <c r="FY31" s="353"/>
      <c r="FZ31" s="353"/>
      <c r="GA31" s="348"/>
      <c r="GB31" s="353"/>
      <c r="GC31" s="348"/>
      <c r="GD31" s="348"/>
      <c r="GE31" s="348"/>
      <c r="GF31" s="348"/>
      <c r="GG31" s="348"/>
      <c r="GH31" s="353"/>
      <c r="GI31" s="354"/>
      <c r="GJ31" s="354"/>
      <c r="GK31" s="354"/>
      <c r="GL31" s="354"/>
    </row>
    <row r="32" spans="2:194" s="349" customFormat="1" ht="30" customHeight="1">
      <c r="B32" s="557">
        <f t="shared" si="34"/>
        <v>24</v>
      </c>
      <c r="C32" s="645">
        <f t="shared" si="0"/>
        <v>43914</v>
      </c>
      <c r="D32" s="607"/>
      <c r="E32" s="659">
        <f>SUMIFS(KB[BRUTO],KB[TANGGAL],C32,KB[TYPE],"A")</f>
        <v>300660</v>
      </c>
      <c r="F32" s="660">
        <f>SUMIFS(KB[TARRA],KB[TANGGAL],C32,KB[TYPE],"A")</f>
        <v>141520</v>
      </c>
      <c r="G32" s="660">
        <f>SUMIFS(KB[NETTO],KB[TANGGAL],C32,KB[TYPE],"A")</f>
        <v>159140</v>
      </c>
      <c r="H32" s="660">
        <f t="shared" si="16"/>
        <v>5.8616312680658531</v>
      </c>
      <c r="I32" s="660">
        <f>SUMIFS(KB[TPOT],KB[TANGGAL],C32,KB[TYPE],"A")</f>
        <v>9328.1999999999989</v>
      </c>
      <c r="J32" s="660">
        <f>SUMIFS(KB[NETTO2],KB[TANGGAL],C32,KB[TYPE],"A")</f>
        <v>149811.80000000002</v>
      </c>
      <c r="K32" s="660">
        <f t="shared" si="17"/>
        <v>3119.4050134902586</v>
      </c>
      <c r="L32" s="660">
        <f>SUMIFS(KB[TBAYAR],KB[TANGGAL],C32,KB[TYPE],"A")</f>
        <v>467323680</v>
      </c>
      <c r="M32" s="660">
        <f t="shared" si="18"/>
        <v>15.68</v>
      </c>
      <c r="N32" s="660">
        <f t="shared" si="19"/>
        <v>3135.0793662448482</v>
      </c>
      <c r="O32" s="660">
        <f>SUMIFS(KB[TBAYAR2],KB[TANGGAL],C32,KB[TYPE],"A")</f>
        <v>469671883</v>
      </c>
      <c r="P32" s="660">
        <f>SUMIFS(KB[POTPPH],KB[TANGGAL],C32,KB[TYPE],"A")</f>
        <v>2348361</v>
      </c>
      <c r="Q32" s="660">
        <f>SUMIFS(KB[TPEMBAYARAN],KB[TANGGAL],C32,KB[TYPE],"A")</f>
        <v>467323522</v>
      </c>
      <c r="R32" s="660"/>
      <c r="S32" s="659">
        <f>SUMIFS(KB[BRUTO],KB[TANGGAL],C32,KB[TYPE],"B")</f>
        <v>0</v>
      </c>
      <c r="T32" s="660">
        <f>SUMIFS(KB[TARRA],KB[TANGGAL],C32,KB[TYPE],"B")</f>
        <v>0</v>
      </c>
      <c r="U32" s="660">
        <f>SUMIFS(KB[NETTO],KB[TANGGAL],C32,KB[TYPE],"B")</f>
        <v>0</v>
      </c>
      <c r="V32" s="660">
        <f t="shared" si="20"/>
        <v>0</v>
      </c>
      <c r="W32" s="660">
        <f>SUMIFS(KB[TPOT],KB[TANGGAL],C32,KB[TYPE],"B")</f>
        <v>0</v>
      </c>
      <c r="X32" s="660">
        <f>SUMIFS(KB[NETTO2],KB[TANGGAL],C32,KB[TYPE],"B")</f>
        <v>0</v>
      </c>
      <c r="Y32" s="660">
        <f t="shared" si="21"/>
        <v>0</v>
      </c>
      <c r="Z32" s="660">
        <f>SUMIFS(KB[TBAYAR],KB[TANGGAL],C32,KB[TYPE],"B")</f>
        <v>0</v>
      </c>
      <c r="AA32" s="660">
        <f t="shared" si="22"/>
        <v>0</v>
      </c>
      <c r="AB32" s="660">
        <f t="shared" si="23"/>
        <v>0</v>
      </c>
      <c r="AC32" s="660">
        <f>SUMIFS(KB[TBAYAR2],KB[TANGGAL],C32,KB[TYPE],"B")</f>
        <v>0</v>
      </c>
      <c r="AD32" s="660">
        <f>SUMIFS(KB[POTPPH],KB[TANGGAL],C32,KB[TYPE],"B")</f>
        <v>0</v>
      </c>
      <c r="AE32" s="660">
        <f>SUMIFS(KB[TPEMBAYARAN],KB[TANGGAL],C32,KB[TYPE],"B")</f>
        <v>0</v>
      </c>
      <c r="AF32" s="660"/>
      <c r="AG32" s="659">
        <f>SUMIFS(KBS[BRUTO],KBS[TANGGAL],C32)</f>
        <v>0</v>
      </c>
      <c r="AH32" s="660">
        <f>SUMIFS(KBS[TARRA],KBS[TANGGAL],C32)</f>
        <v>0</v>
      </c>
      <c r="AI32" s="660">
        <f>SUMIFS(KBS[NETTO],KBS[TANGGAL],C32)</f>
        <v>0</v>
      </c>
      <c r="AJ32" s="660">
        <f t="shared" si="24"/>
        <v>0</v>
      </c>
      <c r="AK32" s="660">
        <f>SUMIFS(KBS[TPOT],KBS[TANGGAL],C32)</f>
        <v>0</v>
      </c>
      <c r="AL32" s="660">
        <f>SUMIFS(KBS[NETTO2],KBS[TANGGAL],C32)</f>
        <v>0</v>
      </c>
      <c r="AM32" s="660">
        <f t="shared" si="25"/>
        <v>0</v>
      </c>
      <c r="AN32" s="660">
        <f>SUMIFS(KBS[TBAYAR],KBS[TANGGAL],C32)</f>
        <v>0</v>
      </c>
      <c r="AO32" s="660">
        <f t="shared" si="26"/>
        <v>0</v>
      </c>
      <c r="AP32" s="660">
        <f t="shared" si="27"/>
        <v>0</v>
      </c>
      <c r="AQ32" s="660">
        <f>SUMIFS(KBS[TBAYAR2],KBS[TANGGAL],C32)</f>
        <v>0</v>
      </c>
      <c r="AR32" s="660">
        <f>SUMIFS(KBS[POTPPH],KBS[TANGGAL],C32)</f>
        <v>0</v>
      </c>
      <c r="AS32" s="660">
        <f>SUMIFS(KBS[TPEMBAYARAN],KBS[TANGGAL],C32)</f>
        <v>0</v>
      </c>
      <c r="AT32" s="660"/>
      <c r="AU32" s="659">
        <f>SUMIFS(KPR[BRUTO],KPR[TANGGAL],C32)</f>
        <v>0</v>
      </c>
      <c r="AV32" s="660">
        <f>SUMIFS(KPR[TARRA],KPR[TANGGAL],C32)</f>
        <v>0</v>
      </c>
      <c r="AW32" s="660">
        <f>SUMIFS(KPR[NETTO],KPR[TANGGAL],C32)</f>
        <v>0</v>
      </c>
      <c r="AX32" s="662">
        <f>SUMIFS(KPR[POTKRG],KPR[TANGGAL],C32)</f>
        <v>0</v>
      </c>
      <c r="AY32" s="660">
        <f>SUMIFS(KPR[TPOT1],KPR[TANGGAL],C32)</f>
        <v>0</v>
      </c>
      <c r="AZ32" s="662">
        <f>SUMIFS(KPR[POTAIR],KPR[TANGGAL],C32)</f>
        <v>0</v>
      </c>
      <c r="BA32" s="660">
        <f>SUMIFS(KPR[TPOT2],KPR[TANGGAL],C32)</f>
        <v>0</v>
      </c>
      <c r="BB32" s="660">
        <f>SUMIFS(KPR[NETTOA],KPR[TANGGAL],C32)</f>
        <v>0</v>
      </c>
      <c r="BC32" s="660">
        <f>SUMIFS(KPR[NETTOB],KPR[TANGGAL],C32)</f>
        <v>0</v>
      </c>
      <c r="BD32" s="660">
        <f t="shared" si="28"/>
        <v>0</v>
      </c>
      <c r="BE32" s="660">
        <f>SUMIFS(KPR[TOTAL],KPR[TANGGAL],C32)</f>
        <v>0</v>
      </c>
      <c r="BF32" s="662">
        <f t="shared" si="29"/>
        <v>0</v>
      </c>
      <c r="BG32" s="662">
        <f t="shared" si="30"/>
        <v>0</v>
      </c>
      <c r="BH32" s="660">
        <f>SUMIFS(KPR[TBAYAR2],KPR[TANGGAL],C32)</f>
        <v>0</v>
      </c>
      <c r="BI32" s="660">
        <f>SUMIFS(KPR[POTPPH],KPR[TANGGAL],C32)</f>
        <v>0</v>
      </c>
      <c r="BJ32" s="660">
        <f>SUMIFS(KPR[TPEMBAYARAN],KPR[TANGGAL],C32)</f>
        <v>0</v>
      </c>
      <c r="BK32" s="660"/>
      <c r="BL32" s="659">
        <f>SUMIFS(ARG[BRUTO],ARG[TANGGAL],C32)</f>
        <v>0</v>
      </c>
      <c r="BM32" s="659">
        <f>SUMIFS(ARG[TARRA],ARG[TANGGAL],C32)</f>
        <v>0</v>
      </c>
      <c r="BN32" s="659">
        <f>SUMIFS(ARG[NETTO1],ARG[TANGGAL],C32)</f>
        <v>0</v>
      </c>
      <c r="BO32" s="659">
        <f>SUMIFS(ARG[POTKARUNG],ARG[TANGGAL],C32)</f>
        <v>0</v>
      </c>
      <c r="BP32" s="659">
        <f>SUMIFS(ARG[TPOT1],ARG[TANGGAL],C32)</f>
        <v>0</v>
      </c>
      <c r="BQ32" s="659">
        <f>SUMIFS(ARG[NETTO2],ARG[TANGGAL],C32)</f>
        <v>0</v>
      </c>
      <c r="BR32" s="659">
        <f>SUMIFS(ARG[MC],ARG[TANGGAL],C32)</f>
        <v>0</v>
      </c>
      <c r="BS32" s="659">
        <f>SUMIFS(ARG[DC],ARG[TANGGAL],C32)</f>
        <v>0</v>
      </c>
      <c r="BT32" s="659">
        <f>SUMIFS(ARG[DC2],ARG[TANGGAL],C32)</f>
        <v>0</v>
      </c>
      <c r="BU32" s="659">
        <f>SUMIFS(ARG[NETTO3],ARG[TANGGAL],C32)</f>
        <v>0</v>
      </c>
      <c r="BV32" s="660">
        <f t="shared" si="31"/>
        <v>0</v>
      </c>
      <c r="BW32" s="659">
        <f>SUMIFS(ARG[TBAYAR1],ARG[TANGGAL],C32)</f>
        <v>0</v>
      </c>
      <c r="BX32" s="663">
        <f t="shared" si="32"/>
        <v>0</v>
      </c>
      <c r="BY32" s="663">
        <f t="shared" si="33"/>
        <v>0</v>
      </c>
      <c r="BZ32" s="659">
        <f>SUMIFS(ARG[TBAYAR2],ARG[TANGGAL],C32)</f>
        <v>0</v>
      </c>
      <c r="CA32" s="659">
        <f>SUMIFS(ARG[POTPPH],ARG[TANGGAL],C32)</f>
        <v>0</v>
      </c>
      <c r="CB32" s="659">
        <f>SUMIFS(ARG[TPEMBAYARAN],ARG[TANGGAL],C32)</f>
        <v>0</v>
      </c>
      <c r="CC32" s="616"/>
      <c r="CD32" s="575"/>
      <c r="CE32" s="348"/>
      <c r="CF32" s="348"/>
      <c r="CG32" s="348"/>
      <c r="CH32" s="348"/>
      <c r="CI32" s="348"/>
      <c r="CJ32" s="348"/>
      <c r="CK32" s="348"/>
      <c r="CL32" s="348"/>
      <c r="CM32" s="348"/>
      <c r="CN32" s="348"/>
      <c r="CO32" s="348"/>
      <c r="CP32" s="348"/>
      <c r="CQ32" s="576"/>
      <c r="CR32" s="348">
        <v>0</v>
      </c>
      <c r="CS32" s="348">
        <v>0</v>
      </c>
      <c r="CT32" s="348">
        <v>0</v>
      </c>
      <c r="CU32" s="348">
        <v>0</v>
      </c>
      <c r="CV32" s="348">
        <v>0</v>
      </c>
      <c r="CW32" s="348">
        <v>0</v>
      </c>
      <c r="CX32" s="348">
        <v>0</v>
      </c>
      <c r="CY32" s="348">
        <v>0</v>
      </c>
      <c r="CZ32" s="348">
        <v>0</v>
      </c>
      <c r="DA32" s="348">
        <v>0</v>
      </c>
      <c r="DB32" s="348">
        <v>0</v>
      </c>
      <c r="DC32" s="348">
        <v>0</v>
      </c>
      <c r="DD32" s="348">
        <v>0</v>
      </c>
      <c r="DE32" s="576"/>
      <c r="DF32" s="576"/>
      <c r="DG32" s="348"/>
      <c r="DH32" s="348"/>
      <c r="DI32" s="348"/>
      <c r="DJ32" s="348"/>
      <c r="DK32" s="348"/>
      <c r="DL32" s="348"/>
      <c r="DM32" s="348"/>
      <c r="DN32" s="348"/>
      <c r="DO32" s="348"/>
      <c r="DP32" s="348"/>
      <c r="DQ32" s="348"/>
      <c r="DR32" s="576"/>
      <c r="DS32" s="348"/>
      <c r="DT32" s="348"/>
      <c r="DU32" s="348"/>
      <c r="DV32" s="348"/>
      <c r="DW32" s="348"/>
      <c r="DX32" s="348"/>
      <c r="DY32" s="348"/>
      <c r="DZ32" s="348"/>
      <c r="EA32" s="576"/>
      <c r="EB32" s="348"/>
      <c r="EC32" s="348"/>
      <c r="ED32" s="348"/>
      <c r="EE32" s="348"/>
      <c r="EF32" s="348"/>
      <c r="EG32" s="348"/>
      <c r="EH32" s="348"/>
      <c r="EI32" s="348"/>
      <c r="EJ32" s="348"/>
      <c r="EK32" s="348"/>
      <c r="EL32" s="348"/>
      <c r="EM32" s="348"/>
      <c r="EN32" s="348"/>
      <c r="EO32" s="348"/>
      <c r="EP32" s="348"/>
      <c r="EQ32" s="348"/>
      <c r="ER32" s="348"/>
      <c r="ES32" s="348"/>
      <c r="ET32" s="348"/>
      <c r="EU32" s="348"/>
      <c r="EV32" s="348"/>
      <c r="EW32" s="348"/>
      <c r="EX32" s="348"/>
      <c r="EY32" s="348"/>
      <c r="EZ32" s="348"/>
      <c r="FA32" s="348"/>
      <c r="FB32" s="348"/>
      <c r="FC32" s="348"/>
      <c r="FD32" s="348"/>
      <c r="FE32" s="348"/>
      <c r="FF32" s="348"/>
      <c r="FG32" s="350"/>
      <c r="FH32" s="350"/>
      <c r="FI32" s="350"/>
      <c r="FJ32" s="350"/>
      <c r="FK32" s="350"/>
      <c r="FL32" s="350"/>
      <c r="FM32" s="350"/>
      <c r="FN32" s="350"/>
      <c r="FO32" s="350"/>
      <c r="FP32" s="350"/>
      <c r="FQ32" s="350"/>
      <c r="FR32" s="350"/>
      <c r="FS32" s="348"/>
      <c r="FT32" s="348"/>
      <c r="FU32" s="356"/>
      <c r="FV32" s="353"/>
      <c r="FW32" s="353"/>
      <c r="FX32" s="354"/>
      <c r="FY32" s="353"/>
      <c r="FZ32" s="353"/>
      <c r="GA32" s="348"/>
      <c r="GB32" s="353"/>
      <c r="GC32" s="348"/>
      <c r="GD32" s="348"/>
      <c r="GE32" s="348"/>
      <c r="GF32" s="348"/>
      <c r="GG32" s="348"/>
      <c r="GH32" s="353"/>
      <c r="GI32" s="354"/>
      <c r="GJ32" s="353"/>
      <c r="GK32" s="355"/>
      <c r="GL32" s="353"/>
    </row>
    <row r="33" spans="1:194" s="349" customFormat="1" ht="30" customHeight="1">
      <c r="B33" s="557">
        <f t="shared" si="34"/>
        <v>25</v>
      </c>
      <c r="C33" s="645">
        <f t="shared" si="0"/>
        <v>43915</v>
      </c>
      <c r="D33" s="607"/>
      <c r="E33" s="659">
        <f>SUMIFS(KB[BRUTO],KB[TANGGAL],C33,KB[TYPE],"A")</f>
        <v>0</v>
      </c>
      <c r="F33" s="660">
        <f>SUMIFS(KB[TARRA],KB[TANGGAL],C33,KB[TYPE],"A")</f>
        <v>0</v>
      </c>
      <c r="G33" s="660">
        <f>SUMIFS(KB[NETTO],KB[TANGGAL],C33,KB[TYPE],"A")</f>
        <v>0</v>
      </c>
      <c r="H33" s="660">
        <f t="shared" si="16"/>
        <v>0</v>
      </c>
      <c r="I33" s="660">
        <f>SUMIFS(KB[TPOT],KB[TANGGAL],C33,KB[TYPE],"A")</f>
        <v>0</v>
      </c>
      <c r="J33" s="660">
        <f>SUMIFS(KB[NETTO2],KB[TANGGAL],C33,KB[TYPE],"A")</f>
        <v>0</v>
      </c>
      <c r="K33" s="660">
        <f t="shared" si="17"/>
        <v>0</v>
      </c>
      <c r="L33" s="660">
        <f>SUMIFS(KB[TBAYAR],KB[TANGGAL],C33,KB[TYPE],"A")</f>
        <v>0</v>
      </c>
      <c r="M33" s="660">
        <f t="shared" si="18"/>
        <v>0</v>
      </c>
      <c r="N33" s="660">
        <f t="shared" si="19"/>
        <v>0</v>
      </c>
      <c r="O33" s="660">
        <f>SUMIFS(KB[TBAYAR2],KB[TANGGAL],C33,KB[TYPE],"A")</f>
        <v>0</v>
      </c>
      <c r="P33" s="660">
        <f>SUMIFS(KB[POTPPH],KB[TANGGAL],C33,KB[TYPE],"A")</f>
        <v>0</v>
      </c>
      <c r="Q33" s="660">
        <f>SUMIFS(KB[TPEMBAYARAN],KB[TANGGAL],C33,KB[TYPE],"A")</f>
        <v>0</v>
      </c>
      <c r="R33" s="660"/>
      <c r="S33" s="659">
        <f>SUMIFS(KB[BRUTO],KB[TANGGAL],C33,KB[TYPE],"B")</f>
        <v>0</v>
      </c>
      <c r="T33" s="660">
        <f>SUMIFS(KB[TARRA],KB[TANGGAL],C33,KB[TYPE],"B")</f>
        <v>0</v>
      </c>
      <c r="U33" s="660">
        <f>SUMIFS(KB[NETTO],KB[TANGGAL],C33,KB[TYPE],"B")</f>
        <v>0</v>
      </c>
      <c r="V33" s="660">
        <f t="shared" si="20"/>
        <v>0</v>
      </c>
      <c r="W33" s="660">
        <f>SUMIFS(KB[TPOT],KB[TANGGAL],C33,KB[TYPE],"B")</f>
        <v>0</v>
      </c>
      <c r="X33" s="660">
        <f>SUMIFS(KB[NETTO2],KB[TANGGAL],C33,KB[TYPE],"B")</f>
        <v>0</v>
      </c>
      <c r="Y33" s="660">
        <f t="shared" si="21"/>
        <v>0</v>
      </c>
      <c r="Z33" s="660">
        <f>SUMIFS(KB[TBAYAR],KB[TANGGAL],C33,KB[TYPE],"B")</f>
        <v>0</v>
      </c>
      <c r="AA33" s="660">
        <f t="shared" si="22"/>
        <v>0</v>
      </c>
      <c r="AB33" s="660">
        <f t="shared" si="23"/>
        <v>0</v>
      </c>
      <c r="AC33" s="660">
        <f>SUMIFS(KB[TBAYAR2],KB[TANGGAL],C33,KB[TYPE],"B")</f>
        <v>0</v>
      </c>
      <c r="AD33" s="660">
        <f>SUMIFS(KB[POTPPH],KB[TANGGAL],C33,KB[TYPE],"B")</f>
        <v>0</v>
      </c>
      <c r="AE33" s="660">
        <f>SUMIFS(KB[TPEMBAYARAN],KB[TANGGAL],C33,KB[TYPE],"B")</f>
        <v>0</v>
      </c>
      <c r="AF33" s="660"/>
      <c r="AG33" s="659">
        <f>SUMIFS(KBS[BRUTO],KBS[TANGGAL],C33)</f>
        <v>0</v>
      </c>
      <c r="AH33" s="660">
        <f>SUMIFS(KBS[TARRA],KBS[TANGGAL],C33)</f>
        <v>0</v>
      </c>
      <c r="AI33" s="660">
        <f>SUMIFS(KBS[NETTO],KBS[TANGGAL],C33)</f>
        <v>0</v>
      </c>
      <c r="AJ33" s="660">
        <f t="shared" si="24"/>
        <v>0</v>
      </c>
      <c r="AK33" s="660">
        <f>SUMIFS(KBS[TPOT],KBS[TANGGAL],C33)</f>
        <v>0</v>
      </c>
      <c r="AL33" s="660">
        <f>SUMIFS(KBS[NETTO2],KBS[TANGGAL],C33)</f>
        <v>0</v>
      </c>
      <c r="AM33" s="660">
        <f t="shared" si="25"/>
        <v>0</v>
      </c>
      <c r="AN33" s="660">
        <f>SUMIFS(KBS[TBAYAR],KBS[TANGGAL],C33)</f>
        <v>0</v>
      </c>
      <c r="AO33" s="660">
        <f t="shared" si="26"/>
        <v>0</v>
      </c>
      <c r="AP33" s="660">
        <f t="shared" si="27"/>
        <v>0</v>
      </c>
      <c r="AQ33" s="660">
        <f>SUMIFS(KBS[TBAYAR2],KBS[TANGGAL],C33)</f>
        <v>0</v>
      </c>
      <c r="AR33" s="660">
        <f>SUMIFS(KBS[POTPPH],KBS[TANGGAL],C33)</f>
        <v>0</v>
      </c>
      <c r="AS33" s="660">
        <f>SUMIFS(KBS[TPEMBAYARAN],KBS[TANGGAL],C33)</f>
        <v>0</v>
      </c>
      <c r="AT33" s="660"/>
      <c r="AU33" s="659">
        <f>SUMIFS(KPR[BRUTO],KPR[TANGGAL],C33)</f>
        <v>0</v>
      </c>
      <c r="AV33" s="660">
        <f>SUMIFS(KPR[TARRA],KPR[TANGGAL],C33)</f>
        <v>0</v>
      </c>
      <c r="AW33" s="660">
        <f>SUMIFS(KPR[NETTO],KPR[TANGGAL],C33)</f>
        <v>0</v>
      </c>
      <c r="AX33" s="662">
        <f>SUMIFS(KPR[POTKRG],KPR[TANGGAL],C33)</f>
        <v>0</v>
      </c>
      <c r="AY33" s="660">
        <f>SUMIFS(KPR[TPOT1],KPR[TANGGAL],C33)</f>
        <v>0</v>
      </c>
      <c r="AZ33" s="662">
        <f>SUMIFS(KPR[POTAIR],KPR[TANGGAL],C33)</f>
        <v>0</v>
      </c>
      <c r="BA33" s="660">
        <f>SUMIFS(KPR[TPOT2],KPR[TANGGAL],C33)</f>
        <v>0</v>
      </c>
      <c r="BB33" s="660">
        <f>SUMIFS(KPR[NETTOA],KPR[TANGGAL],C33)</f>
        <v>0</v>
      </c>
      <c r="BC33" s="660">
        <f>SUMIFS(KPR[NETTOB],KPR[TANGGAL],C33)</f>
        <v>0</v>
      </c>
      <c r="BD33" s="660">
        <f t="shared" si="28"/>
        <v>0</v>
      </c>
      <c r="BE33" s="660">
        <f>SUMIFS(KPR[TOTAL],KPR[TANGGAL],C33)</f>
        <v>0</v>
      </c>
      <c r="BF33" s="662">
        <f t="shared" si="29"/>
        <v>0</v>
      </c>
      <c r="BG33" s="662">
        <f t="shared" si="30"/>
        <v>0</v>
      </c>
      <c r="BH33" s="660">
        <f>SUMIFS(KPR[TBAYAR2],KPR[TANGGAL],C33)</f>
        <v>0</v>
      </c>
      <c r="BI33" s="660">
        <f>SUMIFS(KPR[POTPPH],KPR[TANGGAL],C33)</f>
        <v>0</v>
      </c>
      <c r="BJ33" s="660">
        <f>SUMIFS(KPR[TPEMBAYARAN],KPR[TANGGAL],C33)</f>
        <v>0</v>
      </c>
      <c r="BK33" s="660"/>
      <c r="BL33" s="659">
        <f>SUMIFS(ARG[BRUTO],ARG[TANGGAL],C33)</f>
        <v>0</v>
      </c>
      <c r="BM33" s="659">
        <f>SUMIFS(ARG[TARRA],ARG[TANGGAL],C33)</f>
        <v>0</v>
      </c>
      <c r="BN33" s="659">
        <f>SUMIFS(ARG[NETTO1],ARG[TANGGAL],C33)</f>
        <v>0</v>
      </c>
      <c r="BO33" s="659">
        <f>SUMIFS(ARG[POTKARUNG],ARG[TANGGAL],C33)</f>
        <v>0</v>
      </c>
      <c r="BP33" s="659">
        <f>SUMIFS(ARG[TPOT1],ARG[TANGGAL],C33)</f>
        <v>0</v>
      </c>
      <c r="BQ33" s="659">
        <f>SUMIFS(ARG[NETTO2],ARG[TANGGAL],C33)</f>
        <v>0</v>
      </c>
      <c r="BR33" s="659">
        <f>SUMIFS(ARG[MC],ARG[TANGGAL],C33)</f>
        <v>0</v>
      </c>
      <c r="BS33" s="659">
        <f>SUMIFS(ARG[DC],ARG[TANGGAL],C33)</f>
        <v>0</v>
      </c>
      <c r="BT33" s="659">
        <f>SUMIFS(ARG[DC2],ARG[TANGGAL],C33)</f>
        <v>0</v>
      </c>
      <c r="BU33" s="659">
        <f>SUMIFS(ARG[NETTO3],ARG[TANGGAL],C33)</f>
        <v>0</v>
      </c>
      <c r="BV33" s="660">
        <f t="shared" si="31"/>
        <v>0</v>
      </c>
      <c r="BW33" s="659">
        <f>SUMIFS(ARG[TBAYAR1],ARG[TANGGAL],C33)</f>
        <v>0</v>
      </c>
      <c r="BX33" s="663">
        <f t="shared" si="32"/>
        <v>0</v>
      </c>
      <c r="BY33" s="663">
        <f t="shared" si="33"/>
        <v>0</v>
      </c>
      <c r="BZ33" s="659">
        <f>SUMIFS(ARG[TBAYAR2],ARG[TANGGAL],C33)</f>
        <v>0</v>
      </c>
      <c r="CA33" s="659">
        <f>SUMIFS(ARG[POTPPH],ARG[TANGGAL],C33)</f>
        <v>0</v>
      </c>
      <c r="CB33" s="659">
        <f>SUMIFS(ARG[TPEMBAYARAN],ARG[TANGGAL],C33)</f>
        <v>0</v>
      </c>
      <c r="CC33" s="616"/>
      <c r="CD33" s="575">
        <v>0</v>
      </c>
      <c r="CE33" s="348">
        <v>0</v>
      </c>
      <c r="CF33" s="348">
        <v>0</v>
      </c>
      <c r="CG33" s="348">
        <v>0</v>
      </c>
      <c r="CH33" s="348">
        <v>0</v>
      </c>
      <c r="CI33" s="348">
        <v>0</v>
      </c>
      <c r="CJ33" s="348">
        <v>0</v>
      </c>
      <c r="CK33" s="348">
        <v>0</v>
      </c>
      <c r="CL33" s="348">
        <v>0</v>
      </c>
      <c r="CM33" s="348">
        <v>0</v>
      </c>
      <c r="CN33" s="348">
        <v>0</v>
      </c>
      <c r="CO33" s="348">
        <v>0</v>
      </c>
      <c r="CP33" s="348">
        <v>0</v>
      </c>
      <c r="CQ33" s="576"/>
      <c r="CR33" s="348">
        <v>0</v>
      </c>
      <c r="CS33" s="348">
        <v>0</v>
      </c>
      <c r="CT33" s="348">
        <v>0</v>
      </c>
      <c r="CU33" s="348">
        <v>0</v>
      </c>
      <c r="CV33" s="348">
        <v>0</v>
      </c>
      <c r="CW33" s="348">
        <v>0</v>
      </c>
      <c r="CX33" s="348">
        <v>0</v>
      </c>
      <c r="CY33" s="348">
        <v>0</v>
      </c>
      <c r="CZ33" s="348">
        <v>0</v>
      </c>
      <c r="DA33" s="348">
        <v>0</v>
      </c>
      <c r="DB33" s="348">
        <v>0</v>
      </c>
      <c r="DC33" s="348">
        <v>0</v>
      </c>
      <c r="DD33" s="348">
        <v>0</v>
      </c>
      <c r="DE33" s="576"/>
      <c r="DF33" s="576"/>
      <c r="DG33" s="348"/>
      <c r="DH33" s="348"/>
      <c r="DI33" s="348"/>
      <c r="DJ33" s="348"/>
      <c r="DK33" s="348"/>
      <c r="DL33" s="348"/>
      <c r="DM33" s="348"/>
      <c r="DN33" s="348"/>
      <c r="DO33" s="348"/>
      <c r="DP33" s="348"/>
      <c r="DQ33" s="348"/>
      <c r="DR33" s="576"/>
      <c r="DS33" s="348"/>
      <c r="DT33" s="348"/>
      <c r="DU33" s="348"/>
      <c r="DV33" s="348"/>
      <c r="DW33" s="348"/>
      <c r="DX33" s="348"/>
      <c r="DY33" s="348"/>
      <c r="DZ33" s="348"/>
      <c r="EA33" s="576"/>
      <c r="EB33" s="348"/>
      <c r="EC33" s="348"/>
      <c r="ED33" s="348"/>
      <c r="EE33" s="348"/>
      <c r="EF33" s="348"/>
      <c r="EG33" s="348"/>
      <c r="EH33" s="348"/>
      <c r="EI33" s="348"/>
      <c r="EJ33" s="348"/>
      <c r="EK33" s="348"/>
      <c r="EL33" s="348"/>
      <c r="EM33" s="348"/>
      <c r="EN33" s="348"/>
      <c r="EO33" s="348"/>
      <c r="EP33" s="348"/>
      <c r="EQ33" s="348"/>
      <c r="ER33" s="348"/>
      <c r="ES33" s="348"/>
      <c r="ET33" s="348"/>
      <c r="EU33" s="348"/>
      <c r="EV33" s="348"/>
      <c r="EW33" s="348"/>
      <c r="EX33" s="348"/>
      <c r="EY33" s="348"/>
      <c r="EZ33" s="348"/>
      <c r="FA33" s="348"/>
      <c r="FB33" s="348"/>
      <c r="FC33" s="348"/>
      <c r="FD33" s="348"/>
      <c r="FE33" s="348"/>
      <c r="FF33" s="348"/>
      <c r="FG33" s="350"/>
      <c r="FH33" s="350"/>
      <c r="FI33" s="350"/>
      <c r="FJ33" s="350"/>
      <c r="FK33" s="350"/>
      <c r="FL33" s="350"/>
      <c r="FM33" s="350"/>
      <c r="FN33" s="350"/>
      <c r="FO33" s="350"/>
      <c r="FP33" s="350"/>
      <c r="FQ33" s="350"/>
      <c r="FR33" s="350"/>
      <c r="FS33" s="348"/>
      <c r="FT33" s="348"/>
      <c r="FU33" s="356"/>
      <c r="FV33" s="353"/>
      <c r="FW33" s="353"/>
      <c r="FX33" s="354"/>
      <c r="FY33" s="353"/>
      <c r="FZ33" s="353"/>
      <c r="GA33" s="348"/>
      <c r="GB33" s="353"/>
      <c r="GC33" s="348"/>
      <c r="GD33" s="348"/>
      <c r="GE33" s="348"/>
      <c r="GF33" s="348"/>
      <c r="GG33" s="348"/>
      <c r="GH33" s="353"/>
      <c r="GI33" s="354"/>
      <c r="GJ33" s="353"/>
      <c r="GK33" s="355"/>
      <c r="GL33" s="353"/>
    </row>
    <row r="34" spans="1:194" s="349" customFormat="1" ht="30" customHeight="1">
      <c r="B34" s="557">
        <f t="shared" si="34"/>
        <v>26</v>
      </c>
      <c r="C34" s="645">
        <f t="shared" si="0"/>
        <v>43916</v>
      </c>
      <c r="D34" s="607"/>
      <c r="E34" s="659">
        <f>SUMIFS(KB[BRUTO],KB[TANGGAL],C34,KB[TYPE],"A")</f>
        <v>145380</v>
      </c>
      <c r="F34" s="660">
        <f>SUMIFS(KB[TARRA],KB[TANGGAL],C34,KB[TYPE],"A")</f>
        <v>65390</v>
      </c>
      <c r="G34" s="660">
        <f>SUMIFS(KB[NETTO],KB[TANGGAL],C34,KB[TYPE],"A")</f>
        <v>79990</v>
      </c>
      <c r="H34" s="660">
        <f t="shared" si="16"/>
        <v>5.7455931991498934</v>
      </c>
      <c r="I34" s="660">
        <f>SUMIFS(KB[TPOT],KB[TANGGAL],C34,KB[TYPE],"A")</f>
        <v>4595.8999999999996</v>
      </c>
      <c r="J34" s="660">
        <f>SUMIFS(KB[NETTO2],KB[TANGGAL],C34,KB[TYPE],"A")</f>
        <v>75394.100000000006</v>
      </c>
      <c r="K34" s="660">
        <f t="shared" si="17"/>
        <v>3010.9742008990092</v>
      </c>
      <c r="L34" s="660">
        <f>SUMIFS(KB[TBAYAR],KB[TANGGAL],C34,KB[TYPE],"A")</f>
        <v>227009690</v>
      </c>
      <c r="M34" s="660">
        <f t="shared" si="18"/>
        <v>15.13</v>
      </c>
      <c r="N34" s="660">
        <f t="shared" si="19"/>
        <v>3026.1042840222244</v>
      </c>
      <c r="O34" s="660">
        <f>SUMIFS(KB[TBAYAR2],KB[TANGGAL],C34,KB[TYPE],"A")</f>
        <v>228150409</v>
      </c>
      <c r="P34" s="660">
        <f>SUMIFS(KB[POTPPH],KB[TANGGAL],C34,KB[TYPE],"A")</f>
        <v>1140753</v>
      </c>
      <c r="Q34" s="660">
        <f>SUMIFS(KB[TPEMBAYARAN],KB[TANGGAL],C34,KB[TYPE],"A")</f>
        <v>227009656</v>
      </c>
      <c r="R34" s="660"/>
      <c r="S34" s="659">
        <f>SUMIFS(KB[BRUTO],KB[TANGGAL],C34,KB[TYPE],"B")</f>
        <v>0</v>
      </c>
      <c r="T34" s="660">
        <f>SUMIFS(KB[TARRA],KB[TANGGAL],C34,KB[TYPE],"B")</f>
        <v>0</v>
      </c>
      <c r="U34" s="660">
        <f>SUMIFS(KB[NETTO],KB[TANGGAL],C34,KB[TYPE],"B")</f>
        <v>0</v>
      </c>
      <c r="V34" s="660">
        <f t="shared" si="20"/>
        <v>0</v>
      </c>
      <c r="W34" s="660">
        <f>SUMIFS(KB[TPOT],KB[TANGGAL],C34,KB[TYPE],"B")</f>
        <v>0</v>
      </c>
      <c r="X34" s="660">
        <f>SUMIFS(KB[NETTO2],KB[TANGGAL],C34,KB[TYPE],"B")</f>
        <v>0</v>
      </c>
      <c r="Y34" s="660">
        <f t="shared" si="21"/>
        <v>0</v>
      </c>
      <c r="Z34" s="660">
        <f>SUMIFS(KB[TBAYAR],KB[TANGGAL],C34,KB[TYPE],"B")</f>
        <v>0</v>
      </c>
      <c r="AA34" s="660">
        <f t="shared" si="22"/>
        <v>0</v>
      </c>
      <c r="AB34" s="660">
        <f t="shared" si="23"/>
        <v>0</v>
      </c>
      <c r="AC34" s="660">
        <f>SUMIFS(KB[TBAYAR2],KB[TANGGAL],C34,KB[TYPE],"B")</f>
        <v>0</v>
      </c>
      <c r="AD34" s="660">
        <f>SUMIFS(KB[POTPPH],KB[TANGGAL],C34,KB[TYPE],"B")</f>
        <v>0</v>
      </c>
      <c r="AE34" s="660">
        <f>SUMIFS(KB[TPEMBAYARAN],KB[TANGGAL],C34,KB[TYPE],"B")</f>
        <v>0</v>
      </c>
      <c r="AF34" s="660"/>
      <c r="AG34" s="659">
        <f>SUMIFS(KBS[BRUTO],KBS[TANGGAL],C34)</f>
        <v>0</v>
      </c>
      <c r="AH34" s="660">
        <f>SUMIFS(KBS[TARRA],KBS[TANGGAL],C34)</f>
        <v>0</v>
      </c>
      <c r="AI34" s="660">
        <f>SUMIFS(KBS[NETTO],KBS[TANGGAL],C34)</f>
        <v>0</v>
      </c>
      <c r="AJ34" s="660">
        <f t="shared" si="24"/>
        <v>0</v>
      </c>
      <c r="AK34" s="660">
        <f>SUMIFS(KBS[TPOT],KBS[TANGGAL],C34)</f>
        <v>0</v>
      </c>
      <c r="AL34" s="660">
        <f>SUMIFS(KBS[NETTO2],KBS[TANGGAL],C34)</f>
        <v>0</v>
      </c>
      <c r="AM34" s="660">
        <f t="shared" si="25"/>
        <v>0</v>
      </c>
      <c r="AN34" s="660">
        <f>SUMIFS(KBS[TBAYAR],KBS[TANGGAL],C34)</f>
        <v>0</v>
      </c>
      <c r="AO34" s="660">
        <f t="shared" si="26"/>
        <v>0</v>
      </c>
      <c r="AP34" s="660">
        <f t="shared" si="27"/>
        <v>0</v>
      </c>
      <c r="AQ34" s="660">
        <f>SUMIFS(KBS[TBAYAR2],KBS[TANGGAL],C34)</f>
        <v>0</v>
      </c>
      <c r="AR34" s="660">
        <f>SUMIFS(KBS[POTPPH],KBS[TANGGAL],C34)</f>
        <v>0</v>
      </c>
      <c r="AS34" s="660">
        <f>SUMIFS(KBS[TPEMBAYARAN],KBS[TANGGAL],C34)</f>
        <v>0</v>
      </c>
      <c r="AT34" s="660"/>
      <c r="AU34" s="659">
        <f>SUMIFS(KPR[BRUTO],KPR[TANGGAL],C34)</f>
        <v>0</v>
      </c>
      <c r="AV34" s="660">
        <f>SUMIFS(KPR[TARRA],KPR[TANGGAL],C34)</f>
        <v>0</v>
      </c>
      <c r="AW34" s="660">
        <f>SUMIFS(KPR[NETTO],KPR[TANGGAL],C34)</f>
        <v>0</v>
      </c>
      <c r="AX34" s="662">
        <f>SUMIFS(KPR[POTKRG],KPR[TANGGAL],C34)</f>
        <v>0</v>
      </c>
      <c r="AY34" s="660">
        <f>SUMIFS(KPR[TPOT1],KPR[TANGGAL],C34)</f>
        <v>0</v>
      </c>
      <c r="AZ34" s="662">
        <f>SUMIFS(KPR[POTAIR],KPR[TANGGAL],C34)</f>
        <v>0</v>
      </c>
      <c r="BA34" s="660">
        <f>SUMIFS(KPR[TPOT2],KPR[TANGGAL],C34)</f>
        <v>0</v>
      </c>
      <c r="BB34" s="660">
        <f>SUMIFS(KPR[NETTOA],KPR[TANGGAL],C34)</f>
        <v>0</v>
      </c>
      <c r="BC34" s="660">
        <f>SUMIFS(KPR[NETTOB],KPR[TANGGAL],C34)</f>
        <v>0</v>
      </c>
      <c r="BD34" s="660">
        <f t="shared" si="28"/>
        <v>0</v>
      </c>
      <c r="BE34" s="660">
        <f>SUMIFS(KPR[TOTAL],KPR[TANGGAL],C34)</f>
        <v>0</v>
      </c>
      <c r="BF34" s="662">
        <f t="shared" si="29"/>
        <v>0</v>
      </c>
      <c r="BG34" s="662">
        <f t="shared" si="30"/>
        <v>0</v>
      </c>
      <c r="BH34" s="660">
        <f>SUMIFS(KPR[TBAYAR2],KPR[TANGGAL],C34)</f>
        <v>0</v>
      </c>
      <c r="BI34" s="660">
        <f>SUMIFS(KPR[POTPPH],KPR[TANGGAL],C34)</f>
        <v>0</v>
      </c>
      <c r="BJ34" s="660">
        <f>SUMIFS(KPR[TPEMBAYARAN],KPR[TANGGAL],C34)</f>
        <v>0</v>
      </c>
      <c r="BK34" s="660"/>
      <c r="BL34" s="659">
        <f>SUMIFS(ARG[BRUTO],ARG[TANGGAL],C34)</f>
        <v>0</v>
      </c>
      <c r="BM34" s="659">
        <f>SUMIFS(ARG[TARRA],ARG[TANGGAL],C34)</f>
        <v>0</v>
      </c>
      <c r="BN34" s="659">
        <f>SUMIFS(ARG[NETTO1],ARG[TANGGAL],C34)</f>
        <v>0</v>
      </c>
      <c r="BO34" s="659">
        <f>SUMIFS(ARG[POTKARUNG],ARG[TANGGAL],C34)</f>
        <v>0</v>
      </c>
      <c r="BP34" s="659">
        <f>SUMIFS(ARG[TPOT1],ARG[TANGGAL],C34)</f>
        <v>0</v>
      </c>
      <c r="BQ34" s="659">
        <f>SUMIFS(ARG[NETTO2],ARG[TANGGAL],C34)</f>
        <v>0</v>
      </c>
      <c r="BR34" s="659">
        <f>SUMIFS(ARG[MC],ARG[TANGGAL],C34)</f>
        <v>0</v>
      </c>
      <c r="BS34" s="659">
        <f>SUMIFS(ARG[DC],ARG[TANGGAL],C34)</f>
        <v>0</v>
      </c>
      <c r="BT34" s="659">
        <f>SUMIFS(ARG[DC2],ARG[TANGGAL],C34)</f>
        <v>0</v>
      </c>
      <c r="BU34" s="659">
        <f>SUMIFS(ARG[NETTO3],ARG[TANGGAL],C34)</f>
        <v>0</v>
      </c>
      <c r="BV34" s="660">
        <f t="shared" si="31"/>
        <v>0</v>
      </c>
      <c r="BW34" s="659">
        <f>SUMIFS(ARG[TBAYAR1],ARG[TANGGAL],C34)</f>
        <v>0</v>
      </c>
      <c r="BX34" s="663">
        <f t="shared" si="32"/>
        <v>0</v>
      </c>
      <c r="BY34" s="663">
        <f t="shared" si="33"/>
        <v>0</v>
      </c>
      <c r="BZ34" s="659">
        <f>SUMIFS(ARG[TBAYAR2],ARG[TANGGAL],C34)</f>
        <v>0</v>
      </c>
      <c r="CA34" s="659">
        <f>SUMIFS(ARG[POTPPH],ARG[TANGGAL],C34)</f>
        <v>0</v>
      </c>
      <c r="CB34" s="659">
        <f>SUMIFS(ARG[TPEMBAYARAN],ARG[TANGGAL],C34)</f>
        <v>0</v>
      </c>
      <c r="CC34" s="616"/>
      <c r="CD34" s="575">
        <v>0</v>
      </c>
      <c r="CE34" s="348">
        <v>0</v>
      </c>
      <c r="CF34" s="348">
        <v>0</v>
      </c>
      <c r="CG34" s="348">
        <v>0</v>
      </c>
      <c r="CH34" s="348">
        <v>0</v>
      </c>
      <c r="CI34" s="348">
        <v>0</v>
      </c>
      <c r="CJ34" s="348">
        <v>0</v>
      </c>
      <c r="CK34" s="348">
        <v>0</v>
      </c>
      <c r="CL34" s="348">
        <v>0</v>
      </c>
      <c r="CM34" s="348">
        <v>0</v>
      </c>
      <c r="CN34" s="348">
        <v>0</v>
      </c>
      <c r="CO34" s="348">
        <v>0</v>
      </c>
      <c r="CP34" s="348">
        <v>0</v>
      </c>
      <c r="CQ34" s="576"/>
      <c r="CR34" s="348">
        <v>0</v>
      </c>
      <c r="CS34" s="348">
        <v>0</v>
      </c>
      <c r="CT34" s="348">
        <v>0</v>
      </c>
      <c r="CU34" s="348">
        <v>0</v>
      </c>
      <c r="CV34" s="348">
        <v>0</v>
      </c>
      <c r="CW34" s="348">
        <v>0</v>
      </c>
      <c r="CX34" s="348">
        <v>0</v>
      </c>
      <c r="CY34" s="348">
        <v>0</v>
      </c>
      <c r="CZ34" s="348">
        <v>0</v>
      </c>
      <c r="DA34" s="348">
        <v>0</v>
      </c>
      <c r="DB34" s="348">
        <v>0</v>
      </c>
      <c r="DC34" s="348">
        <v>0</v>
      </c>
      <c r="DD34" s="348">
        <v>0</v>
      </c>
      <c r="DE34" s="576"/>
      <c r="DF34" s="576"/>
      <c r="DG34" s="348"/>
      <c r="DH34" s="348"/>
      <c r="DI34" s="348"/>
      <c r="DJ34" s="348"/>
      <c r="DK34" s="348"/>
      <c r="DL34" s="348"/>
      <c r="DM34" s="348"/>
      <c r="DN34" s="348"/>
      <c r="DO34" s="348"/>
      <c r="DP34" s="348"/>
      <c r="DQ34" s="348"/>
      <c r="DR34" s="576"/>
      <c r="DS34" s="348"/>
      <c r="DT34" s="348"/>
      <c r="DU34" s="348"/>
      <c r="DV34" s="348"/>
      <c r="DW34" s="348"/>
      <c r="DX34" s="348"/>
      <c r="DY34" s="348"/>
      <c r="DZ34" s="348"/>
      <c r="EA34" s="576"/>
      <c r="EB34" s="348"/>
      <c r="EC34" s="348"/>
      <c r="ED34" s="348"/>
      <c r="EE34" s="348"/>
      <c r="EF34" s="348"/>
      <c r="EG34" s="348"/>
      <c r="EH34" s="348"/>
      <c r="EI34" s="348"/>
      <c r="EJ34" s="348"/>
      <c r="EK34" s="348"/>
      <c r="EL34" s="348"/>
      <c r="EM34" s="348"/>
      <c r="EN34" s="348"/>
      <c r="EO34" s="348"/>
      <c r="EP34" s="348"/>
      <c r="EQ34" s="348"/>
      <c r="ER34" s="348"/>
      <c r="ES34" s="348"/>
      <c r="ET34" s="348"/>
      <c r="EU34" s="348"/>
      <c r="EV34" s="348"/>
      <c r="EW34" s="348"/>
      <c r="EX34" s="348"/>
      <c r="EY34" s="348"/>
      <c r="EZ34" s="348"/>
      <c r="FA34" s="348"/>
      <c r="FB34" s="348"/>
      <c r="FC34" s="348"/>
      <c r="FD34" s="348"/>
      <c r="FE34" s="348"/>
      <c r="FF34" s="348"/>
      <c r="FG34" s="350"/>
      <c r="FH34" s="350"/>
      <c r="FI34" s="350"/>
      <c r="FJ34" s="350"/>
      <c r="FK34" s="350"/>
      <c r="FL34" s="350"/>
      <c r="FM34" s="350"/>
      <c r="FN34" s="350"/>
      <c r="FO34" s="350"/>
      <c r="FP34" s="350"/>
      <c r="FQ34" s="350"/>
      <c r="FR34" s="350"/>
      <c r="FS34" s="348"/>
      <c r="FT34" s="348"/>
      <c r="FU34" s="356"/>
      <c r="FV34" s="353"/>
      <c r="FW34" s="353"/>
      <c r="FX34" s="354"/>
      <c r="FY34" s="353"/>
      <c r="FZ34" s="348"/>
      <c r="GA34" s="348"/>
      <c r="GB34" s="353"/>
      <c r="GC34" s="348"/>
      <c r="GD34" s="348"/>
      <c r="GE34" s="348"/>
      <c r="GF34" s="348"/>
      <c r="GG34" s="348"/>
      <c r="GH34" s="353"/>
      <c r="GI34" s="354"/>
      <c r="GJ34" s="348"/>
      <c r="GK34" s="355"/>
      <c r="GL34" s="353"/>
    </row>
    <row r="35" spans="1:194" s="349" customFormat="1" ht="30" customHeight="1">
      <c r="B35" s="557">
        <f t="shared" si="34"/>
        <v>27</v>
      </c>
      <c r="C35" s="645">
        <f t="shared" si="0"/>
        <v>43917</v>
      </c>
      <c r="D35" s="607"/>
      <c r="E35" s="659">
        <f>SUMIFS(KB[BRUTO],KB[TANGGAL],C35,KB[TYPE],"A")</f>
        <v>42730</v>
      </c>
      <c r="F35" s="660">
        <f>SUMIFS(KB[TARRA],KB[TANGGAL],C35,KB[TYPE],"A")</f>
        <v>18320</v>
      </c>
      <c r="G35" s="660">
        <f>SUMIFS(KB[NETTO],KB[TANGGAL],C35,KB[TYPE],"A")</f>
        <v>24410</v>
      </c>
      <c r="H35" s="660">
        <f t="shared" si="16"/>
        <v>5.2126177795985251</v>
      </c>
      <c r="I35" s="660">
        <f>SUMIFS(KB[TPOT],KB[TANGGAL],C35,KB[TYPE],"A")</f>
        <v>1272.3999999999999</v>
      </c>
      <c r="J35" s="660">
        <f>SUMIFS(KB[NETTO2],KB[TANGGAL],C35,KB[TYPE],"A")</f>
        <v>23137.600000000002</v>
      </c>
      <c r="K35" s="660">
        <f t="shared" si="17"/>
        <v>2810.5425800428739</v>
      </c>
      <c r="L35" s="660">
        <f>SUMIFS(KB[TBAYAR],KB[TANGGAL],C35,KB[TYPE],"A")</f>
        <v>65029210</v>
      </c>
      <c r="M35" s="660">
        <f t="shared" si="18"/>
        <v>14.12</v>
      </c>
      <c r="N35" s="660">
        <f t="shared" si="19"/>
        <v>2824.6653066869508</v>
      </c>
      <c r="O35" s="660">
        <f>SUMIFS(KB[TBAYAR2],KB[TANGGAL],C35,KB[TYPE],"A")</f>
        <v>65355976</v>
      </c>
      <c r="P35" s="660">
        <f>SUMIFS(KB[POTPPH],KB[TANGGAL],C35,KB[TYPE],"A")</f>
        <v>326779</v>
      </c>
      <c r="Q35" s="660">
        <f>SUMIFS(KB[TPEMBAYARAN],KB[TANGGAL],C35,KB[TYPE],"A")</f>
        <v>65029197</v>
      </c>
      <c r="R35" s="660"/>
      <c r="S35" s="659">
        <f>SUMIFS(KB[BRUTO],KB[TANGGAL],C35,KB[TYPE],"B")</f>
        <v>0</v>
      </c>
      <c r="T35" s="660">
        <f>SUMIFS(KB[TARRA],KB[TANGGAL],C35,KB[TYPE],"B")</f>
        <v>0</v>
      </c>
      <c r="U35" s="660">
        <f>SUMIFS(KB[NETTO],KB[TANGGAL],C35,KB[TYPE],"B")</f>
        <v>0</v>
      </c>
      <c r="V35" s="660">
        <f t="shared" si="20"/>
        <v>0</v>
      </c>
      <c r="W35" s="660">
        <f>SUMIFS(KB[TPOT],KB[TANGGAL],C35,KB[TYPE],"B")</f>
        <v>0</v>
      </c>
      <c r="X35" s="660">
        <f>SUMIFS(KB[NETTO2],KB[TANGGAL],C35,KB[TYPE],"B")</f>
        <v>0</v>
      </c>
      <c r="Y35" s="660">
        <f t="shared" si="21"/>
        <v>0</v>
      </c>
      <c r="Z35" s="660">
        <f>SUMIFS(KB[TBAYAR],KB[TANGGAL],C35,KB[TYPE],"B")</f>
        <v>0</v>
      </c>
      <c r="AA35" s="660">
        <f t="shared" si="22"/>
        <v>0</v>
      </c>
      <c r="AB35" s="660">
        <f t="shared" si="23"/>
        <v>0</v>
      </c>
      <c r="AC35" s="660">
        <f>SUMIFS(KB[TBAYAR2],KB[TANGGAL],C35,KB[TYPE],"B")</f>
        <v>0</v>
      </c>
      <c r="AD35" s="660">
        <f>SUMIFS(KB[POTPPH],KB[TANGGAL],C35,KB[TYPE],"B")</f>
        <v>0</v>
      </c>
      <c r="AE35" s="660">
        <f>SUMIFS(KB[TPEMBAYARAN],KB[TANGGAL],C35,KB[TYPE],"B")</f>
        <v>0</v>
      </c>
      <c r="AF35" s="660"/>
      <c r="AG35" s="659">
        <f>SUMIFS(KBS[BRUTO],KBS[TANGGAL],C35)</f>
        <v>0</v>
      </c>
      <c r="AH35" s="660">
        <f>SUMIFS(KBS[TARRA],KBS[TANGGAL],C35)</f>
        <v>0</v>
      </c>
      <c r="AI35" s="660">
        <f>SUMIFS(KBS[NETTO],KBS[TANGGAL],C35)</f>
        <v>0</v>
      </c>
      <c r="AJ35" s="660">
        <f t="shared" si="24"/>
        <v>0</v>
      </c>
      <c r="AK35" s="660">
        <f>SUMIFS(KBS[TPOT],KBS[TANGGAL],C35)</f>
        <v>0</v>
      </c>
      <c r="AL35" s="660">
        <f>SUMIFS(KBS[NETTO2],KBS[TANGGAL],C35)</f>
        <v>0</v>
      </c>
      <c r="AM35" s="660">
        <f t="shared" si="25"/>
        <v>0</v>
      </c>
      <c r="AN35" s="660">
        <f>SUMIFS(KBS[TBAYAR],KBS[TANGGAL],C35)</f>
        <v>0</v>
      </c>
      <c r="AO35" s="660">
        <f t="shared" si="26"/>
        <v>0</v>
      </c>
      <c r="AP35" s="660">
        <f t="shared" si="27"/>
        <v>0</v>
      </c>
      <c r="AQ35" s="660">
        <f>SUMIFS(KBS[TBAYAR2],KBS[TANGGAL],C35)</f>
        <v>0</v>
      </c>
      <c r="AR35" s="660">
        <f>SUMIFS(KBS[POTPPH],KBS[TANGGAL],C35)</f>
        <v>0</v>
      </c>
      <c r="AS35" s="660">
        <f>SUMIFS(KBS[TPEMBAYARAN],KBS[TANGGAL],C35)</f>
        <v>0</v>
      </c>
      <c r="AT35" s="660"/>
      <c r="AU35" s="659">
        <f>SUMIFS(KPR[BRUTO],KPR[TANGGAL],C35)</f>
        <v>0</v>
      </c>
      <c r="AV35" s="660">
        <f>SUMIFS(KPR[TARRA],KPR[TANGGAL],C35)</f>
        <v>0</v>
      </c>
      <c r="AW35" s="660">
        <f>SUMIFS(KPR[NETTO],KPR[TANGGAL],C35)</f>
        <v>0</v>
      </c>
      <c r="AX35" s="662">
        <f>SUMIFS(KPR[POTKRG],KPR[TANGGAL],C35)</f>
        <v>0</v>
      </c>
      <c r="AY35" s="660">
        <f>SUMIFS(KPR[TPOT1],KPR[TANGGAL],C35)</f>
        <v>0</v>
      </c>
      <c r="AZ35" s="662">
        <f>SUMIFS(KPR[POTAIR],KPR[TANGGAL],C35)</f>
        <v>0</v>
      </c>
      <c r="BA35" s="660">
        <f>SUMIFS(KPR[TPOT2],KPR[TANGGAL],C35)</f>
        <v>0</v>
      </c>
      <c r="BB35" s="660">
        <f>SUMIFS(KPR[NETTOA],KPR[TANGGAL],C35)</f>
        <v>0</v>
      </c>
      <c r="BC35" s="660">
        <f>SUMIFS(KPR[NETTOB],KPR[TANGGAL],C35)</f>
        <v>0</v>
      </c>
      <c r="BD35" s="660">
        <f t="shared" si="28"/>
        <v>0</v>
      </c>
      <c r="BE35" s="660">
        <f>SUMIFS(KPR[TOTAL],KPR[TANGGAL],C35)</f>
        <v>0</v>
      </c>
      <c r="BF35" s="662">
        <f t="shared" si="29"/>
        <v>0</v>
      </c>
      <c r="BG35" s="662">
        <f t="shared" si="30"/>
        <v>0</v>
      </c>
      <c r="BH35" s="660">
        <f>SUMIFS(KPR[TBAYAR2],KPR[TANGGAL],C35)</f>
        <v>0</v>
      </c>
      <c r="BI35" s="660">
        <f>SUMIFS(KPR[POTPPH],KPR[TANGGAL],C35)</f>
        <v>0</v>
      </c>
      <c r="BJ35" s="660">
        <f>SUMIFS(KPR[TPEMBAYARAN],KPR[TANGGAL],C35)</f>
        <v>0</v>
      </c>
      <c r="BK35" s="660"/>
      <c r="BL35" s="659">
        <f>SUMIFS(ARG[BRUTO],ARG[TANGGAL],C35)</f>
        <v>0</v>
      </c>
      <c r="BM35" s="659">
        <f>SUMIFS(ARG[TARRA],ARG[TANGGAL],C35)</f>
        <v>0</v>
      </c>
      <c r="BN35" s="659">
        <f>SUMIFS(ARG[NETTO1],ARG[TANGGAL],C35)</f>
        <v>0</v>
      </c>
      <c r="BO35" s="659">
        <f>SUMIFS(ARG[POTKARUNG],ARG[TANGGAL],C35)</f>
        <v>0</v>
      </c>
      <c r="BP35" s="659">
        <f>SUMIFS(ARG[TPOT1],ARG[TANGGAL],C35)</f>
        <v>0</v>
      </c>
      <c r="BQ35" s="659">
        <f>SUMIFS(ARG[NETTO2],ARG[TANGGAL],C35)</f>
        <v>0</v>
      </c>
      <c r="BR35" s="659">
        <f>SUMIFS(ARG[MC],ARG[TANGGAL],C35)</f>
        <v>0</v>
      </c>
      <c r="BS35" s="659">
        <f>SUMIFS(ARG[DC],ARG[TANGGAL],C35)</f>
        <v>0</v>
      </c>
      <c r="BT35" s="659">
        <f>SUMIFS(ARG[DC2],ARG[TANGGAL],C35)</f>
        <v>0</v>
      </c>
      <c r="BU35" s="659">
        <f>SUMIFS(ARG[NETTO3],ARG[TANGGAL],C35)</f>
        <v>0</v>
      </c>
      <c r="BV35" s="660">
        <f t="shared" si="31"/>
        <v>0</v>
      </c>
      <c r="BW35" s="659">
        <f>SUMIFS(ARG[TBAYAR1],ARG[TANGGAL],C35)</f>
        <v>0</v>
      </c>
      <c r="BX35" s="663">
        <f t="shared" si="32"/>
        <v>0</v>
      </c>
      <c r="BY35" s="663">
        <f t="shared" si="33"/>
        <v>0</v>
      </c>
      <c r="BZ35" s="659">
        <f>SUMIFS(ARG[TBAYAR2],ARG[TANGGAL],C35)</f>
        <v>0</v>
      </c>
      <c r="CA35" s="659">
        <f>SUMIFS(ARG[POTPPH],ARG[TANGGAL],C35)</f>
        <v>0</v>
      </c>
      <c r="CB35" s="659">
        <f>SUMIFS(ARG[TPEMBAYARAN],ARG[TANGGAL],C35)</f>
        <v>0</v>
      </c>
      <c r="CC35" s="616"/>
      <c r="CD35" s="575">
        <v>0</v>
      </c>
      <c r="CE35" s="348">
        <v>0</v>
      </c>
      <c r="CF35" s="348">
        <v>0</v>
      </c>
      <c r="CG35" s="348">
        <v>0</v>
      </c>
      <c r="CH35" s="348">
        <v>0</v>
      </c>
      <c r="CI35" s="348">
        <v>0</v>
      </c>
      <c r="CJ35" s="348">
        <v>0</v>
      </c>
      <c r="CK35" s="348">
        <v>0</v>
      </c>
      <c r="CL35" s="348">
        <v>0</v>
      </c>
      <c r="CM35" s="348">
        <v>0</v>
      </c>
      <c r="CN35" s="348">
        <v>0</v>
      </c>
      <c r="CO35" s="348">
        <v>0</v>
      </c>
      <c r="CP35" s="348">
        <v>0</v>
      </c>
      <c r="CQ35" s="576"/>
      <c r="CR35" s="348">
        <v>0</v>
      </c>
      <c r="CS35" s="348">
        <v>0</v>
      </c>
      <c r="CT35" s="348">
        <v>0</v>
      </c>
      <c r="CU35" s="348">
        <v>0</v>
      </c>
      <c r="CV35" s="348">
        <v>0</v>
      </c>
      <c r="CW35" s="348">
        <v>0</v>
      </c>
      <c r="CX35" s="348">
        <v>0</v>
      </c>
      <c r="CY35" s="348">
        <v>0</v>
      </c>
      <c r="CZ35" s="348">
        <v>0</v>
      </c>
      <c r="DA35" s="348">
        <v>0</v>
      </c>
      <c r="DB35" s="348">
        <v>0</v>
      </c>
      <c r="DC35" s="348">
        <v>0</v>
      </c>
      <c r="DD35" s="348">
        <v>0</v>
      </c>
      <c r="DE35" s="576"/>
      <c r="DF35" s="576"/>
      <c r="DG35" s="348"/>
      <c r="DH35" s="348"/>
      <c r="DI35" s="348"/>
      <c r="DJ35" s="348"/>
      <c r="DK35" s="348"/>
      <c r="DL35" s="348"/>
      <c r="DM35" s="348"/>
      <c r="DN35" s="348"/>
      <c r="DO35" s="348"/>
      <c r="DP35" s="348"/>
      <c r="DQ35" s="348"/>
      <c r="DR35" s="576"/>
      <c r="DS35" s="348"/>
      <c r="DT35" s="348"/>
      <c r="DU35" s="348"/>
      <c r="DV35" s="348"/>
      <c r="DW35" s="348"/>
      <c r="DX35" s="348"/>
      <c r="DY35" s="348"/>
      <c r="DZ35" s="348"/>
      <c r="EA35" s="576"/>
      <c r="EB35" s="348"/>
      <c r="EC35" s="348"/>
      <c r="ED35" s="348"/>
      <c r="EE35" s="348"/>
      <c r="EF35" s="348"/>
      <c r="EG35" s="348"/>
      <c r="EH35" s="348"/>
      <c r="EI35" s="348"/>
      <c r="EJ35" s="348"/>
      <c r="EK35" s="348"/>
      <c r="EL35" s="348"/>
      <c r="EM35" s="348"/>
      <c r="EN35" s="348"/>
      <c r="EO35" s="348"/>
      <c r="EP35" s="348"/>
      <c r="EQ35" s="348"/>
      <c r="ER35" s="348"/>
      <c r="ES35" s="348"/>
      <c r="ET35" s="348"/>
      <c r="EU35" s="348"/>
      <c r="EV35" s="348"/>
      <c r="EW35" s="348"/>
      <c r="EX35" s="348"/>
      <c r="EY35" s="348"/>
      <c r="EZ35" s="348"/>
      <c r="FA35" s="348"/>
      <c r="FB35" s="348"/>
      <c r="FC35" s="348"/>
      <c r="FD35" s="348"/>
      <c r="FE35" s="348"/>
      <c r="FF35" s="348"/>
      <c r="FG35" s="350"/>
      <c r="FH35" s="350"/>
      <c r="FI35" s="350"/>
      <c r="FJ35" s="350"/>
      <c r="FK35" s="350"/>
      <c r="FL35" s="350"/>
      <c r="FM35" s="350"/>
      <c r="FN35" s="350"/>
      <c r="FO35" s="350"/>
      <c r="FP35" s="350"/>
      <c r="FQ35" s="350"/>
      <c r="FR35" s="350"/>
      <c r="FS35" s="348"/>
      <c r="FT35" s="348"/>
      <c r="FU35" s="356"/>
      <c r="FV35" s="353"/>
      <c r="FW35" s="353"/>
      <c r="FX35" s="354"/>
      <c r="FY35" s="353"/>
      <c r="FZ35" s="353"/>
      <c r="GA35" s="348"/>
      <c r="GB35" s="353"/>
      <c r="GC35" s="348"/>
      <c r="GD35" s="348"/>
      <c r="GE35" s="348"/>
      <c r="GF35" s="348"/>
      <c r="GG35" s="348"/>
      <c r="GH35" s="353"/>
      <c r="GI35" s="354"/>
      <c r="GJ35" s="353"/>
      <c r="GK35" s="355"/>
      <c r="GL35" s="353"/>
    </row>
    <row r="36" spans="1:194" s="349" customFormat="1" ht="30" customHeight="1">
      <c r="B36" s="557">
        <f t="shared" si="34"/>
        <v>28</v>
      </c>
      <c r="C36" s="645">
        <f t="shared" si="0"/>
        <v>43918</v>
      </c>
      <c r="D36" s="607"/>
      <c r="E36" s="659">
        <f>SUMIFS(KB[BRUTO],KB[TANGGAL],C36,KB[TYPE],"A")</f>
        <v>76870</v>
      </c>
      <c r="F36" s="660">
        <f>SUMIFS(KB[TARRA],KB[TANGGAL],C36,KB[TYPE],"A")</f>
        <v>32110</v>
      </c>
      <c r="G36" s="660">
        <f>SUMIFS(KB[NETTO],KB[TANGGAL],C36,KB[TYPE],"A")</f>
        <v>44760</v>
      </c>
      <c r="H36" s="660">
        <f t="shared" si="16"/>
        <v>5.0880250223413759</v>
      </c>
      <c r="I36" s="660">
        <f>SUMIFS(KB[TPOT],KB[TANGGAL],C36,KB[TYPE],"A")</f>
        <v>2277.4</v>
      </c>
      <c r="J36" s="660">
        <f>SUMIFS(KB[NETTO2],KB[TANGGAL],C36,KB[TYPE],"A")</f>
        <v>42482.6</v>
      </c>
      <c r="K36" s="660">
        <f t="shared" si="17"/>
        <v>2811.4253835688023</v>
      </c>
      <c r="L36" s="660">
        <f>SUMIFS(KB[TBAYAR],KB[TANGGAL],C36,KB[TYPE],"A")</f>
        <v>119436660</v>
      </c>
      <c r="M36" s="660">
        <f t="shared" si="18"/>
        <v>14.13</v>
      </c>
      <c r="N36" s="660">
        <f t="shared" si="19"/>
        <v>2825.5525320954935</v>
      </c>
      <c r="O36" s="660">
        <f>SUMIFS(KB[TBAYAR2],KB[TANGGAL],C36,KB[TYPE],"A")</f>
        <v>120036818</v>
      </c>
      <c r="P36" s="660">
        <f>SUMIFS(KB[POTPPH],KB[TANGGAL],C36,KB[TYPE],"A")</f>
        <v>600184</v>
      </c>
      <c r="Q36" s="660">
        <f>SUMIFS(KB[TPEMBAYARAN],KB[TANGGAL],C36,KB[TYPE],"A")</f>
        <v>119436634</v>
      </c>
      <c r="R36" s="660"/>
      <c r="S36" s="659">
        <f>SUMIFS(KB[BRUTO],KB[TANGGAL],C36,KB[TYPE],"B")</f>
        <v>0</v>
      </c>
      <c r="T36" s="660">
        <f>SUMIFS(KB[TARRA],KB[TANGGAL],C36,KB[TYPE],"B")</f>
        <v>0</v>
      </c>
      <c r="U36" s="660">
        <f>SUMIFS(KB[NETTO],KB[TANGGAL],C36,KB[TYPE],"B")</f>
        <v>0</v>
      </c>
      <c r="V36" s="660">
        <f t="shared" si="20"/>
        <v>0</v>
      </c>
      <c r="W36" s="660">
        <f>SUMIFS(KB[TPOT],KB[TANGGAL],C36,KB[TYPE],"B")</f>
        <v>0</v>
      </c>
      <c r="X36" s="660">
        <f>SUMIFS(KB[NETTO2],KB[TANGGAL],C36,KB[TYPE],"B")</f>
        <v>0</v>
      </c>
      <c r="Y36" s="660">
        <f t="shared" si="21"/>
        <v>0</v>
      </c>
      <c r="Z36" s="660">
        <f>SUMIFS(KB[TBAYAR],KB[TANGGAL],C36,KB[TYPE],"B")</f>
        <v>0</v>
      </c>
      <c r="AA36" s="660">
        <f t="shared" si="22"/>
        <v>0</v>
      </c>
      <c r="AB36" s="660">
        <f t="shared" si="23"/>
        <v>0</v>
      </c>
      <c r="AC36" s="660">
        <f>SUMIFS(KB[TBAYAR2],KB[TANGGAL],C36,KB[TYPE],"B")</f>
        <v>0</v>
      </c>
      <c r="AD36" s="660">
        <f>SUMIFS(KB[POTPPH],KB[TANGGAL],C36,KB[TYPE],"B")</f>
        <v>0</v>
      </c>
      <c r="AE36" s="660">
        <f>SUMIFS(KB[TPEMBAYARAN],KB[TANGGAL],C36,KB[TYPE],"B")</f>
        <v>0</v>
      </c>
      <c r="AF36" s="660"/>
      <c r="AG36" s="659">
        <f>SUMIFS(KBS[BRUTO],KBS[TANGGAL],C36)</f>
        <v>0</v>
      </c>
      <c r="AH36" s="660">
        <f>SUMIFS(KBS[TARRA],KBS[TANGGAL],C36)</f>
        <v>0</v>
      </c>
      <c r="AI36" s="660">
        <f>SUMIFS(KBS[NETTO],KBS[TANGGAL],C36)</f>
        <v>0</v>
      </c>
      <c r="AJ36" s="660">
        <f t="shared" si="24"/>
        <v>0</v>
      </c>
      <c r="AK36" s="660">
        <f>SUMIFS(KBS[TPOT],KBS[TANGGAL],C36)</f>
        <v>0</v>
      </c>
      <c r="AL36" s="660">
        <f>SUMIFS(KBS[NETTO2],KBS[TANGGAL],C36)</f>
        <v>0</v>
      </c>
      <c r="AM36" s="660">
        <f t="shared" si="25"/>
        <v>0</v>
      </c>
      <c r="AN36" s="660">
        <f>SUMIFS(KBS[TBAYAR],KBS[TANGGAL],C36)</f>
        <v>0</v>
      </c>
      <c r="AO36" s="660">
        <f t="shared" si="26"/>
        <v>0</v>
      </c>
      <c r="AP36" s="660">
        <f t="shared" si="27"/>
        <v>0</v>
      </c>
      <c r="AQ36" s="660">
        <f>SUMIFS(KBS[TBAYAR2],KBS[TANGGAL],C36)</f>
        <v>0</v>
      </c>
      <c r="AR36" s="660">
        <f>SUMIFS(KBS[POTPPH],KBS[TANGGAL],C36)</f>
        <v>0</v>
      </c>
      <c r="AS36" s="660">
        <f>SUMIFS(KBS[TPEMBAYARAN],KBS[TANGGAL],C36)</f>
        <v>0</v>
      </c>
      <c r="AT36" s="660"/>
      <c r="AU36" s="659">
        <f>SUMIFS(KPR[BRUTO],KPR[TANGGAL],C36)</f>
        <v>0</v>
      </c>
      <c r="AV36" s="660">
        <f>SUMIFS(KPR[TARRA],KPR[TANGGAL],C36)</f>
        <v>0</v>
      </c>
      <c r="AW36" s="660">
        <f>SUMIFS(KPR[NETTO],KPR[TANGGAL],C36)</f>
        <v>0</v>
      </c>
      <c r="AX36" s="662">
        <f>SUMIFS(KPR[POTKRG],KPR[TANGGAL],C36)</f>
        <v>0</v>
      </c>
      <c r="AY36" s="660">
        <f>SUMIFS(KPR[TPOT1],KPR[TANGGAL],C36)</f>
        <v>0</v>
      </c>
      <c r="AZ36" s="662">
        <f>SUMIFS(KPR[POTAIR],KPR[TANGGAL],C36)</f>
        <v>0</v>
      </c>
      <c r="BA36" s="660">
        <f>SUMIFS(KPR[TPOT2],KPR[TANGGAL],C36)</f>
        <v>0</v>
      </c>
      <c r="BB36" s="660">
        <f>SUMIFS(KPR[NETTOA],KPR[TANGGAL],C36)</f>
        <v>0</v>
      </c>
      <c r="BC36" s="660">
        <f>SUMIFS(KPR[NETTOB],KPR[TANGGAL],C36)</f>
        <v>0</v>
      </c>
      <c r="BD36" s="660">
        <f t="shared" si="28"/>
        <v>0</v>
      </c>
      <c r="BE36" s="660">
        <f>SUMIFS(KPR[TOTAL],KPR[TANGGAL],C36)</f>
        <v>0</v>
      </c>
      <c r="BF36" s="662">
        <f t="shared" si="29"/>
        <v>0</v>
      </c>
      <c r="BG36" s="662">
        <f t="shared" si="30"/>
        <v>0</v>
      </c>
      <c r="BH36" s="660">
        <f>SUMIFS(KPR[TBAYAR2],KPR[TANGGAL],C36)</f>
        <v>0</v>
      </c>
      <c r="BI36" s="660">
        <f>SUMIFS(KPR[POTPPH],KPR[TANGGAL],C36)</f>
        <v>0</v>
      </c>
      <c r="BJ36" s="660">
        <f>SUMIFS(KPR[TPEMBAYARAN],KPR[TANGGAL],C36)</f>
        <v>0</v>
      </c>
      <c r="BK36" s="660"/>
      <c r="BL36" s="659">
        <f>SUMIFS(ARG[BRUTO],ARG[TANGGAL],C36)</f>
        <v>0</v>
      </c>
      <c r="BM36" s="659">
        <f>SUMIFS(ARG[TARRA],ARG[TANGGAL],C36)</f>
        <v>0</v>
      </c>
      <c r="BN36" s="659">
        <f>SUMIFS(ARG[NETTO1],ARG[TANGGAL],C36)</f>
        <v>0</v>
      </c>
      <c r="BO36" s="659">
        <f>SUMIFS(ARG[POTKARUNG],ARG[TANGGAL],C36)</f>
        <v>0</v>
      </c>
      <c r="BP36" s="659">
        <f>SUMIFS(ARG[TPOT1],ARG[TANGGAL],C36)</f>
        <v>0</v>
      </c>
      <c r="BQ36" s="659">
        <f>SUMIFS(ARG[NETTO2],ARG[TANGGAL],C36)</f>
        <v>0</v>
      </c>
      <c r="BR36" s="659">
        <f>SUMIFS(ARG[MC],ARG[TANGGAL],C36)</f>
        <v>0</v>
      </c>
      <c r="BS36" s="659">
        <f>SUMIFS(ARG[DC],ARG[TANGGAL],C36)</f>
        <v>0</v>
      </c>
      <c r="BT36" s="659">
        <f>SUMIFS(ARG[DC2],ARG[TANGGAL],C36)</f>
        <v>0</v>
      </c>
      <c r="BU36" s="659">
        <f>SUMIFS(ARG[NETTO3],ARG[TANGGAL],C36)</f>
        <v>0</v>
      </c>
      <c r="BV36" s="660">
        <f t="shared" si="31"/>
        <v>0</v>
      </c>
      <c r="BW36" s="659">
        <f>SUMIFS(ARG[TBAYAR1],ARG[TANGGAL],C36)</f>
        <v>0</v>
      </c>
      <c r="BX36" s="663">
        <f t="shared" si="32"/>
        <v>0</v>
      </c>
      <c r="BY36" s="663">
        <f t="shared" si="33"/>
        <v>0</v>
      </c>
      <c r="BZ36" s="659">
        <f>SUMIFS(ARG[TBAYAR2],ARG[TANGGAL],C36)</f>
        <v>0</v>
      </c>
      <c r="CA36" s="659">
        <f>SUMIFS(ARG[POTPPH],ARG[TANGGAL],C36)</f>
        <v>0</v>
      </c>
      <c r="CB36" s="659">
        <f>SUMIFS(ARG[TPEMBAYARAN],ARG[TANGGAL],C36)</f>
        <v>0</v>
      </c>
      <c r="CC36" s="616"/>
      <c r="CD36" s="575"/>
      <c r="CE36" s="348"/>
      <c r="CF36" s="348"/>
      <c r="CG36" s="348"/>
      <c r="CH36" s="348"/>
      <c r="CI36" s="348"/>
      <c r="CJ36" s="348"/>
      <c r="CK36" s="348"/>
      <c r="CL36" s="348"/>
      <c r="CM36" s="348"/>
      <c r="CN36" s="348"/>
      <c r="CO36" s="348"/>
      <c r="CP36" s="348"/>
      <c r="CQ36" s="576"/>
      <c r="CR36" s="348">
        <v>0</v>
      </c>
      <c r="CS36" s="348">
        <v>0</v>
      </c>
      <c r="CT36" s="348">
        <v>0</v>
      </c>
      <c r="CU36" s="348">
        <v>0</v>
      </c>
      <c r="CV36" s="348">
        <v>0</v>
      </c>
      <c r="CW36" s="348">
        <v>0</v>
      </c>
      <c r="CX36" s="348">
        <v>0</v>
      </c>
      <c r="CY36" s="348">
        <v>0</v>
      </c>
      <c r="CZ36" s="348">
        <v>0</v>
      </c>
      <c r="DA36" s="348">
        <v>0</v>
      </c>
      <c r="DB36" s="348">
        <v>0</v>
      </c>
      <c r="DC36" s="348">
        <v>0</v>
      </c>
      <c r="DD36" s="348">
        <v>0</v>
      </c>
      <c r="DE36" s="576"/>
      <c r="DF36" s="576"/>
      <c r="DG36" s="348"/>
      <c r="DH36" s="348"/>
      <c r="DI36" s="348"/>
      <c r="DJ36" s="348"/>
      <c r="DK36" s="348"/>
      <c r="DL36" s="348"/>
      <c r="DM36" s="348"/>
      <c r="DN36" s="348"/>
      <c r="DO36" s="348"/>
      <c r="DP36" s="348"/>
      <c r="DQ36" s="348"/>
      <c r="DR36" s="576"/>
      <c r="DS36" s="348"/>
      <c r="DT36" s="348"/>
      <c r="DU36" s="348"/>
      <c r="DV36" s="348"/>
      <c r="DW36" s="348"/>
      <c r="DX36" s="348"/>
      <c r="DY36" s="348"/>
      <c r="DZ36" s="348"/>
      <c r="EA36" s="576"/>
      <c r="EB36" s="348"/>
      <c r="EC36" s="348"/>
      <c r="ED36" s="348"/>
      <c r="EE36" s="348"/>
      <c r="EF36" s="348"/>
      <c r="EG36" s="348"/>
      <c r="EH36" s="348"/>
      <c r="EI36" s="348"/>
      <c r="EJ36" s="348"/>
      <c r="EK36" s="348"/>
      <c r="EL36" s="348"/>
      <c r="EM36" s="348"/>
      <c r="EN36" s="348"/>
      <c r="EO36" s="348"/>
      <c r="EP36" s="348"/>
      <c r="EQ36" s="348"/>
      <c r="ER36" s="348"/>
      <c r="ES36" s="348"/>
      <c r="ET36" s="348"/>
      <c r="EU36" s="348"/>
      <c r="EV36" s="348"/>
      <c r="EW36" s="348"/>
      <c r="EX36" s="348"/>
      <c r="EY36" s="348"/>
      <c r="EZ36" s="348"/>
      <c r="FA36" s="348"/>
      <c r="FB36" s="348"/>
      <c r="FC36" s="348"/>
      <c r="FD36" s="348"/>
      <c r="FE36" s="348"/>
      <c r="FF36" s="348"/>
      <c r="FG36" s="350"/>
      <c r="FH36" s="350"/>
      <c r="FI36" s="350"/>
      <c r="FJ36" s="350"/>
      <c r="FK36" s="350"/>
      <c r="FL36" s="350"/>
      <c r="FM36" s="350"/>
      <c r="FN36" s="350"/>
      <c r="FO36" s="350"/>
      <c r="FP36" s="350"/>
      <c r="FQ36" s="350"/>
      <c r="FR36" s="350"/>
      <c r="FS36" s="348"/>
      <c r="FT36" s="348"/>
      <c r="FU36" s="356"/>
      <c r="FV36" s="354"/>
      <c r="FW36" s="353"/>
      <c r="FX36" s="354"/>
      <c r="FY36" s="353"/>
      <c r="FZ36" s="353"/>
      <c r="GA36" s="348"/>
      <c r="GB36" s="353"/>
      <c r="GC36" s="348"/>
      <c r="GD36" s="348"/>
      <c r="GE36" s="348"/>
      <c r="GF36" s="348"/>
      <c r="GG36" s="348"/>
      <c r="GH36" s="353"/>
      <c r="GI36" s="353"/>
      <c r="GJ36" s="353"/>
      <c r="GK36" s="355"/>
      <c r="GL36" s="353"/>
    </row>
    <row r="37" spans="1:194" s="349" customFormat="1" ht="30" customHeight="1">
      <c r="B37" s="557">
        <f t="shared" si="34"/>
        <v>29</v>
      </c>
      <c r="C37" s="645">
        <f>IFERROR(IF(MONTH(DATE(YEAR(C36),MONTH(C36),DAY(C36)+1))&gt;MONTH(C9),"-",C36+1),"-")</f>
        <v>43919</v>
      </c>
      <c r="D37" s="607"/>
      <c r="E37" s="659">
        <f>SUMIFS(KB[BRUTO],KB[TANGGAL],C37,KB[TYPE],"A")</f>
        <v>0</v>
      </c>
      <c r="F37" s="660">
        <f>SUMIFS(KB[TARRA],KB[TANGGAL],C37,KB[TYPE],"A")</f>
        <v>0</v>
      </c>
      <c r="G37" s="660">
        <f>SUMIFS(KB[NETTO],KB[TANGGAL],C37,KB[TYPE],"A")</f>
        <v>0</v>
      </c>
      <c r="H37" s="660">
        <f t="shared" si="16"/>
        <v>0</v>
      </c>
      <c r="I37" s="660">
        <f>SUMIFS(KB[TPOT],KB[TANGGAL],C37,KB[TYPE],"A")</f>
        <v>0</v>
      </c>
      <c r="J37" s="660">
        <f>SUMIFS(KB[NETTO2],KB[TANGGAL],C37,KB[TYPE],"A")</f>
        <v>0</v>
      </c>
      <c r="K37" s="660">
        <f t="shared" si="17"/>
        <v>0</v>
      </c>
      <c r="L37" s="660">
        <f>SUMIFS(KB[TBAYAR],KB[TANGGAL],C37,KB[TYPE],"A")</f>
        <v>0</v>
      </c>
      <c r="M37" s="660">
        <f t="shared" si="18"/>
        <v>0</v>
      </c>
      <c r="N37" s="660">
        <f t="shared" si="19"/>
        <v>0</v>
      </c>
      <c r="O37" s="660">
        <f>SUMIFS(KB[TBAYAR2],KB[TANGGAL],C37,KB[TYPE],"A")</f>
        <v>0</v>
      </c>
      <c r="P37" s="660">
        <f>SUMIFS(KB[POTPPH],KB[TANGGAL],C37,KB[TYPE],"A")</f>
        <v>0</v>
      </c>
      <c r="Q37" s="660">
        <f>SUMIFS(KB[TPEMBAYARAN],KB[TANGGAL],C37,KB[TYPE],"A")</f>
        <v>0</v>
      </c>
      <c r="R37" s="660"/>
      <c r="S37" s="659">
        <f>SUMIFS(KB[BRUTO],KB[TANGGAL],C37,KB[TYPE],"B")</f>
        <v>0</v>
      </c>
      <c r="T37" s="660">
        <f>SUMIFS(KB[TARRA],KB[TANGGAL],C37,KB[TYPE],"B")</f>
        <v>0</v>
      </c>
      <c r="U37" s="660">
        <f>SUMIFS(KB[NETTO],KB[TANGGAL],C37,KB[TYPE],"B")</f>
        <v>0</v>
      </c>
      <c r="V37" s="660">
        <f t="shared" si="20"/>
        <v>0</v>
      </c>
      <c r="W37" s="660">
        <f>SUMIFS(KB[TPOT],KB[TANGGAL],C37,KB[TYPE],"B")</f>
        <v>0</v>
      </c>
      <c r="X37" s="660">
        <f>SUMIFS(KB[NETTO2],KB[TANGGAL],C37,KB[TYPE],"B")</f>
        <v>0</v>
      </c>
      <c r="Y37" s="660">
        <f t="shared" si="21"/>
        <v>0</v>
      </c>
      <c r="Z37" s="660">
        <f>SUMIFS(KB[TBAYAR],KB[TANGGAL],C37,KB[TYPE],"B")</f>
        <v>0</v>
      </c>
      <c r="AA37" s="660">
        <f t="shared" si="22"/>
        <v>0</v>
      </c>
      <c r="AB37" s="660">
        <f t="shared" si="23"/>
        <v>0</v>
      </c>
      <c r="AC37" s="660">
        <f>SUMIFS(KB[TBAYAR2],KB[TANGGAL],C37,KB[TYPE],"B")</f>
        <v>0</v>
      </c>
      <c r="AD37" s="660">
        <f>SUMIFS(KB[POTPPH],KB[TANGGAL],C37,KB[TYPE],"B")</f>
        <v>0</v>
      </c>
      <c r="AE37" s="660">
        <f>SUMIFS(KB[TPEMBAYARAN],KB[TANGGAL],C37,KB[TYPE],"B")</f>
        <v>0</v>
      </c>
      <c r="AF37" s="659"/>
      <c r="AG37" s="659">
        <f>SUMIFS(KBS[BRUTO],KBS[TANGGAL],C37)</f>
        <v>0</v>
      </c>
      <c r="AH37" s="660">
        <f>SUMIFS(KBS[TARRA],KBS[TANGGAL],C37)</f>
        <v>0</v>
      </c>
      <c r="AI37" s="660">
        <f>SUMIFS(KBS[NETTO],KBS[TANGGAL],C37)</f>
        <v>0</v>
      </c>
      <c r="AJ37" s="660">
        <f t="shared" si="24"/>
        <v>0</v>
      </c>
      <c r="AK37" s="660">
        <f>SUMIFS(KBS[TPOT],KBS[TANGGAL],C37)</f>
        <v>0</v>
      </c>
      <c r="AL37" s="660">
        <f>SUMIFS(KBS[NETTO2],KBS[TANGGAL],C37)</f>
        <v>0</v>
      </c>
      <c r="AM37" s="660">
        <f t="shared" si="25"/>
        <v>0</v>
      </c>
      <c r="AN37" s="660">
        <f>SUMIFS(KBS[TBAYAR],KBS[TANGGAL],C37)</f>
        <v>0</v>
      </c>
      <c r="AO37" s="660">
        <f t="shared" si="26"/>
        <v>0</v>
      </c>
      <c r="AP37" s="660">
        <f t="shared" si="27"/>
        <v>0</v>
      </c>
      <c r="AQ37" s="660">
        <f>SUMIFS(KBS[TBAYAR2],KBS[TANGGAL],C37)</f>
        <v>0</v>
      </c>
      <c r="AR37" s="660">
        <f>SUMIFS(KBS[POTPPH],KBS[TANGGAL],C37)</f>
        <v>0</v>
      </c>
      <c r="AS37" s="660">
        <f>SUMIFS(KBS[TPEMBAYARAN],KBS[TANGGAL],C37)</f>
        <v>0</v>
      </c>
      <c r="AT37" s="660"/>
      <c r="AU37" s="659">
        <f>SUMIFS(KPR[BRUTO],KPR[TANGGAL],C37)</f>
        <v>0</v>
      </c>
      <c r="AV37" s="660">
        <f>SUMIFS(KPR[TARRA],KPR[TANGGAL],C37)</f>
        <v>0</v>
      </c>
      <c r="AW37" s="660">
        <f>SUMIFS(KPR[NETTO],KPR[TANGGAL],C37)</f>
        <v>0</v>
      </c>
      <c r="AX37" s="662">
        <f>SUMIFS(KPR[POTKRG],KPR[TANGGAL],C37)</f>
        <v>0</v>
      </c>
      <c r="AY37" s="660">
        <f>SUMIFS(KPR[TPOT1],KPR[TANGGAL],C37)</f>
        <v>0</v>
      </c>
      <c r="AZ37" s="662">
        <f>SUMIFS(KPR[POTAIR],KPR[TANGGAL],C37)</f>
        <v>0</v>
      </c>
      <c r="BA37" s="660">
        <f>SUMIFS(KPR[TPOT2],KPR[TANGGAL],C37)</f>
        <v>0</v>
      </c>
      <c r="BB37" s="660">
        <f>SUMIFS(KPR[NETTOA],KPR[TANGGAL],C37)</f>
        <v>0</v>
      </c>
      <c r="BC37" s="660">
        <f>SUMIFS(KPR[NETTOB],KPR[TANGGAL],C37)</f>
        <v>0</v>
      </c>
      <c r="BD37" s="660">
        <f t="shared" si="28"/>
        <v>0</v>
      </c>
      <c r="BE37" s="660">
        <f>SUMIFS(KPR[TOTAL],KPR[TANGGAL],C37)</f>
        <v>0</v>
      </c>
      <c r="BF37" s="662">
        <f t="shared" si="29"/>
        <v>0</v>
      </c>
      <c r="BG37" s="662">
        <f t="shared" si="30"/>
        <v>0</v>
      </c>
      <c r="BH37" s="660">
        <f>SUMIFS(KPR[TBAYAR2],KPR[TANGGAL],C37)</f>
        <v>0</v>
      </c>
      <c r="BI37" s="660">
        <f>SUMIFS(KPR[POTPPH],KPR[TANGGAL],C37)</f>
        <v>0</v>
      </c>
      <c r="BJ37" s="660">
        <f>SUMIFS(KPR[TPEMBAYARAN],KPR[TANGGAL],C37)</f>
        <v>0</v>
      </c>
      <c r="BK37" s="660"/>
      <c r="BL37" s="659">
        <f>SUMIFS(ARG[BRUTO],ARG[TANGGAL],C37)</f>
        <v>0</v>
      </c>
      <c r="BM37" s="659">
        <f>SUMIFS(ARG[TARRA],ARG[TANGGAL],C37)</f>
        <v>0</v>
      </c>
      <c r="BN37" s="659">
        <f>SUMIFS(ARG[NETTO1],ARG[TANGGAL],C37)</f>
        <v>0</v>
      </c>
      <c r="BO37" s="659">
        <f>SUMIFS(ARG[POTKARUNG],ARG[TANGGAL],C37)</f>
        <v>0</v>
      </c>
      <c r="BP37" s="659">
        <f>SUMIFS(ARG[TPOT1],ARG[TANGGAL],C37)</f>
        <v>0</v>
      </c>
      <c r="BQ37" s="659">
        <f>SUMIFS(ARG[NETTO2],ARG[TANGGAL],C37)</f>
        <v>0</v>
      </c>
      <c r="BR37" s="659">
        <f>SUMIFS(ARG[MC],ARG[TANGGAL],C37)</f>
        <v>0</v>
      </c>
      <c r="BS37" s="659">
        <f>SUMIFS(ARG[DC],ARG[TANGGAL],C37)</f>
        <v>0</v>
      </c>
      <c r="BT37" s="659">
        <f>SUMIFS(ARG[DC2],ARG[TANGGAL],C37)</f>
        <v>0</v>
      </c>
      <c r="BU37" s="659">
        <f>SUMIFS(ARG[NETTO3],ARG[TANGGAL],C37)</f>
        <v>0</v>
      </c>
      <c r="BV37" s="660">
        <f t="shared" si="31"/>
        <v>0</v>
      </c>
      <c r="BW37" s="659">
        <f>SUMIFS(ARG[TBAYAR1],ARG[TANGGAL],C37)</f>
        <v>0</v>
      </c>
      <c r="BX37" s="663">
        <f t="shared" si="32"/>
        <v>0</v>
      </c>
      <c r="BY37" s="663">
        <f t="shared" si="33"/>
        <v>0</v>
      </c>
      <c r="BZ37" s="659">
        <f>SUMIFS(ARG[TBAYAR2],ARG[TANGGAL],C37)</f>
        <v>0</v>
      </c>
      <c r="CA37" s="659">
        <f>SUMIFS(ARG[POTPPH],ARG[TANGGAL],C37)</f>
        <v>0</v>
      </c>
      <c r="CB37" s="659">
        <f>SUMIFS(ARG[TPEMBAYARAN],ARG[TANGGAL],C37)</f>
        <v>0</v>
      </c>
      <c r="CC37" s="616"/>
      <c r="CD37" s="575"/>
      <c r="CE37" s="348"/>
      <c r="CF37" s="348"/>
      <c r="CG37" s="348"/>
      <c r="CH37" s="348"/>
      <c r="CI37" s="348"/>
      <c r="CJ37" s="348"/>
      <c r="CK37" s="348"/>
      <c r="CL37" s="348"/>
      <c r="CM37" s="348"/>
      <c r="CN37" s="348"/>
      <c r="CO37" s="348"/>
      <c r="CP37" s="348"/>
      <c r="CQ37" s="576"/>
      <c r="CR37" s="348">
        <v>0</v>
      </c>
      <c r="CS37" s="348">
        <v>0</v>
      </c>
      <c r="CT37" s="348">
        <v>0</v>
      </c>
      <c r="CU37" s="348">
        <v>0</v>
      </c>
      <c r="CV37" s="348">
        <v>0</v>
      </c>
      <c r="CW37" s="348">
        <v>0</v>
      </c>
      <c r="CX37" s="348">
        <v>0</v>
      </c>
      <c r="CY37" s="348">
        <v>0</v>
      </c>
      <c r="CZ37" s="348">
        <v>0</v>
      </c>
      <c r="DA37" s="348">
        <v>0</v>
      </c>
      <c r="DB37" s="348">
        <v>0</v>
      </c>
      <c r="DC37" s="348">
        <v>0</v>
      </c>
      <c r="DD37" s="348">
        <v>0</v>
      </c>
      <c r="DE37" s="576"/>
      <c r="DF37" s="575"/>
      <c r="DG37" s="360"/>
      <c r="DH37" s="360"/>
      <c r="DI37" s="360"/>
      <c r="DJ37" s="360"/>
      <c r="DK37" s="360"/>
      <c r="DL37" s="360"/>
      <c r="DM37" s="360"/>
      <c r="DN37" s="360"/>
      <c r="DO37" s="360"/>
      <c r="DP37" s="360"/>
      <c r="DQ37" s="360"/>
      <c r="DR37" s="592"/>
      <c r="DS37" s="360"/>
      <c r="DT37" s="360"/>
      <c r="DU37" s="360"/>
      <c r="DV37" s="360"/>
      <c r="DW37" s="360"/>
      <c r="DX37" s="360"/>
      <c r="DY37" s="360"/>
      <c r="DZ37" s="360"/>
      <c r="EA37" s="592"/>
      <c r="EB37" s="360"/>
      <c r="EC37" s="360"/>
      <c r="ED37" s="360"/>
      <c r="EE37" s="360"/>
      <c r="EF37" s="360"/>
      <c r="EG37" s="360"/>
      <c r="EH37" s="360"/>
      <c r="EI37" s="360"/>
      <c r="EJ37" s="348"/>
      <c r="EK37" s="348"/>
      <c r="EL37" s="348"/>
      <c r="EM37" s="348"/>
      <c r="EN37" s="348"/>
      <c r="EO37" s="348"/>
      <c r="EP37" s="348"/>
      <c r="EQ37" s="348"/>
      <c r="ER37" s="348"/>
      <c r="ES37" s="348"/>
      <c r="ET37" s="348"/>
      <c r="EU37" s="348"/>
      <c r="EV37" s="348"/>
      <c r="EW37" s="348"/>
      <c r="EX37" s="348"/>
      <c r="EY37" s="348"/>
      <c r="EZ37" s="348"/>
      <c r="FA37" s="348"/>
      <c r="FB37" s="348"/>
      <c r="FC37" s="348"/>
      <c r="FD37" s="348"/>
      <c r="FE37" s="348"/>
      <c r="FF37" s="348"/>
      <c r="FG37" s="350"/>
      <c r="FH37" s="350"/>
      <c r="FI37" s="350"/>
      <c r="FJ37" s="350"/>
      <c r="FK37" s="350"/>
      <c r="FL37" s="350"/>
      <c r="FM37" s="350"/>
      <c r="FN37" s="350"/>
      <c r="FO37" s="350"/>
      <c r="FP37" s="350"/>
      <c r="FQ37" s="350"/>
      <c r="FR37" s="350"/>
      <c r="FS37" s="348"/>
      <c r="FT37" s="348"/>
      <c r="FU37" s="356"/>
      <c r="FV37" s="354"/>
      <c r="FW37" s="353"/>
      <c r="FX37" s="354"/>
      <c r="FY37" s="353"/>
      <c r="FZ37" s="353"/>
      <c r="GA37" s="348"/>
      <c r="GB37" s="353"/>
      <c r="GC37" s="348"/>
      <c r="GD37" s="348"/>
      <c r="GE37" s="360"/>
      <c r="GF37" s="348"/>
      <c r="GG37" s="360"/>
      <c r="GH37" s="353"/>
      <c r="GI37" s="353"/>
      <c r="GJ37" s="348"/>
      <c r="GK37" s="361"/>
      <c r="GL37" s="353"/>
    </row>
    <row r="38" spans="1:194" s="349" customFormat="1" ht="30" customHeight="1">
      <c r="B38" s="557">
        <f t="shared" si="34"/>
        <v>30</v>
      </c>
      <c r="C38" s="645">
        <f t="shared" ref="C38:C39" si="35">IFERROR(IF(MONTH(DATE(YEAR(C37),MONTH(C37),DAY(C37)+1))&gt;MONTH(C10),"-",C37+1),"-")</f>
        <v>43920</v>
      </c>
      <c r="D38" s="607"/>
      <c r="E38" s="659">
        <f>SUMIFS(KB[BRUTO],KB[TANGGAL],C38,KB[TYPE],"A")</f>
        <v>182870</v>
      </c>
      <c r="F38" s="660">
        <f>SUMIFS(KB[TARRA],KB[TANGGAL],C38,KB[TYPE],"A")</f>
        <v>85650</v>
      </c>
      <c r="G38" s="660">
        <f>SUMIFS(KB[NETTO],KB[TANGGAL],C38,KB[TYPE],"A")</f>
        <v>97220</v>
      </c>
      <c r="H38" s="660">
        <f t="shared" si="16"/>
        <v>5.3731742439827199</v>
      </c>
      <c r="I38" s="660">
        <f>SUMIFS(KB[TPOT],KB[TANGGAL],C38,KB[TYPE],"A")</f>
        <v>5223.8</v>
      </c>
      <c r="J38" s="660">
        <f>SUMIFS(KB[NETTO2],KB[TANGGAL],C38,KB[TYPE],"A")</f>
        <v>91996.199999999983</v>
      </c>
      <c r="K38" s="660">
        <f t="shared" si="17"/>
        <v>2828.3578560853607</v>
      </c>
      <c r="L38" s="660">
        <f>SUMIFS(KB[TBAYAR],KB[TANGGAL],C38,KB[TYPE],"A")</f>
        <v>260198175</v>
      </c>
      <c r="M38" s="660">
        <f t="shared" si="18"/>
        <v>14.21</v>
      </c>
      <c r="N38" s="660">
        <f t="shared" si="19"/>
        <v>2842.569649615963</v>
      </c>
      <c r="O38" s="660">
        <f>SUMIFS(KB[TBAYAR2],KB[TANGGAL],C38,KB[TYPE],"A")</f>
        <v>261505606</v>
      </c>
      <c r="P38" s="660">
        <f>SUMIFS(KB[POTPPH],KB[TANGGAL],C38,KB[TYPE],"A")</f>
        <v>1307527</v>
      </c>
      <c r="Q38" s="660">
        <f>SUMIFS(KB[TPEMBAYARAN],KB[TANGGAL],C38,KB[TYPE],"A")</f>
        <v>260198079</v>
      </c>
      <c r="R38" s="660"/>
      <c r="S38" s="659">
        <f>SUMIFS(KB[BRUTO],KB[TANGGAL],C38,KB[TYPE],"B")</f>
        <v>0</v>
      </c>
      <c r="T38" s="660">
        <f>SUMIFS(KB[TARRA],KB[TANGGAL],C38,KB[TYPE],"B")</f>
        <v>0</v>
      </c>
      <c r="U38" s="660">
        <f>SUMIFS(KB[NETTO],KB[TANGGAL],C38,KB[TYPE],"B")</f>
        <v>0</v>
      </c>
      <c r="V38" s="660">
        <f t="shared" si="20"/>
        <v>0</v>
      </c>
      <c r="W38" s="660">
        <f>SUMIFS(KB[TPOT],KB[TANGGAL],C38,KB[TYPE],"B")</f>
        <v>0</v>
      </c>
      <c r="X38" s="660">
        <f>SUMIFS(KB[NETTO2],KB[TANGGAL],C38,KB[TYPE],"B")</f>
        <v>0</v>
      </c>
      <c r="Y38" s="660">
        <f t="shared" si="21"/>
        <v>0</v>
      </c>
      <c r="Z38" s="660">
        <f>SUMIFS(KB[TBAYAR],KB[TANGGAL],C38,KB[TYPE],"B")</f>
        <v>0</v>
      </c>
      <c r="AA38" s="660">
        <f t="shared" si="22"/>
        <v>0</v>
      </c>
      <c r="AB38" s="660">
        <f t="shared" si="23"/>
        <v>0</v>
      </c>
      <c r="AC38" s="660">
        <f>SUMIFS(KB[TBAYAR2],KB[TANGGAL],C38,KB[TYPE],"B")</f>
        <v>0</v>
      </c>
      <c r="AD38" s="660">
        <f>SUMIFS(KB[POTPPH],KB[TANGGAL],C38,KB[TYPE],"B")</f>
        <v>0</v>
      </c>
      <c r="AE38" s="660">
        <f>SUMIFS(KB[TPEMBAYARAN],KB[TANGGAL],C38,KB[TYPE],"B")</f>
        <v>0</v>
      </c>
      <c r="AF38" s="660"/>
      <c r="AG38" s="659">
        <f>SUMIFS(KBS[BRUTO],KBS[TANGGAL],C38)</f>
        <v>0</v>
      </c>
      <c r="AH38" s="660">
        <f>SUMIFS(KBS[TARRA],KBS[TANGGAL],C38)</f>
        <v>0</v>
      </c>
      <c r="AI38" s="660">
        <f>SUMIFS(KBS[NETTO],KBS[TANGGAL],C38)</f>
        <v>0</v>
      </c>
      <c r="AJ38" s="660">
        <f t="shared" si="24"/>
        <v>0</v>
      </c>
      <c r="AK38" s="660">
        <f>SUMIFS(KBS[TPOT],KBS[TANGGAL],C38)</f>
        <v>0</v>
      </c>
      <c r="AL38" s="660">
        <f>SUMIFS(KBS[NETTO2],KBS[TANGGAL],C38)</f>
        <v>0</v>
      </c>
      <c r="AM38" s="660">
        <f t="shared" si="25"/>
        <v>0</v>
      </c>
      <c r="AN38" s="660">
        <f>SUMIFS(KBS[TBAYAR],KBS[TANGGAL],C38)</f>
        <v>0</v>
      </c>
      <c r="AO38" s="660">
        <f t="shared" si="26"/>
        <v>0</v>
      </c>
      <c r="AP38" s="660">
        <f t="shared" si="27"/>
        <v>0</v>
      </c>
      <c r="AQ38" s="660">
        <f>SUMIFS(KBS[TBAYAR2],KBS[TANGGAL],C38)</f>
        <v>0</v>
      </c>
      <c r="AR38" s="660">
        <f>SUMIFS(KBS[POTPPH],KBS[TANGGAL],C38)</f>
        <v>0</v>
      </c>
      <c r="AS38" s="660">
        <f>SUMIFS(KBS[TPEMBAYARAN],KBS[TANGGAL],C38)</f>
        <v>0</v>
      </c>
      <c r="AT38" s="660"/>
      <c r="AU38" s="659">
        <f>SUMIFS(KPR[BRUTO],KPR[TANGGAL],C38)</f>
        <v>0</v>
      </c>
      <c r="AV38" s="660">
        <f>SUMIFS(KPR[TARRA],KPR[TANGGAL],C38)</f>
        <v>0</v>
      </c>
      <c r="AW38" s="660">
        <f>SUMIFS(KPR[NETTO],KPR[TANGGAL],C38)</f>
        <v>0</v>
      </c>
      <c r="AX38" s="662">
        <f>SUMIFS(KPR[POTKRG],KPR[TANGGAL],C38)</f>
        <v>0</v>
      </c>
      <c r="AY38" s="660">
        <f>SUMIFS(KPR[TPOT1],KPR[TANGGAL],C38)</f>
        <v>0</v>
      </c>
      <c r="AZ38" s="662">
        <f>SUMIFS(KPR[POTAIR],KPR[TANGGAL],C38)</f>
        <v>0</v>
      </c>
      <c r="BA38" s="660">
        <f>SUMIFS(KPR[TPOT2],KPR[TANGGAL],C38)</f>
        <v>0</v>
      </c>
      <c r="BB38" s="660">
        <f>SUMIFS(KPR[NETTOA],KPR[TANGGAL],C38)</f>
        <v>0</v>
      </c>
      <c r="BC38" s="660">
        <f>SUMIFS(KPR[NETTOB],KPR[TANGGAL],C38)</f>
        <v>0</v>
      </c>
      <c r="BD38" s="660">
        <f t="shared" si="28"/>
        <v>0</v>
      </c>
      <c r="BE38" s="660">
        <f>SUMIFS(KPR[TOTAL],KPR[TANGGAL],C38)</f>
        <v>0</v>
      </c>
      <c r="BF38" s="662">
        <f t="shared" si="29"/>
        <v>0</v>
      </c>
      <c r="BG38" s="662">
        <f t="shared" si="30"/>
        <v>0</v>
      </c>
      <c r="BH38" s="660">
        <f>SUMIFS(KPR[TBAYAR2],KPR[TANGGAL],C38)</f>
        <v>0</v>
      </c>
      <c r="BI38" s="660">
        <f>SUMIFS(KPR[POTPPH],KPR[TANGGAL],C38)</f>
        <v>0</v>
      </c>
      <c r="BJ38" s="660">
        <f>SUMIFS(KPR[TPEMBAYARAN],KPR[TANGGAL],C38)</f>
        <v>0</v>
      </c>
      <c r="BK38" s="660"/>
      <c r="BL38" s="659">
        <f>SUMIFS(ARG[BRUTO],ARG[TANGGAL],C38)</f>
        <v>0</v>
      </c>
      <c r="BM38" s="659">
        <f>SUMIFS(ARG[TARRA],ARG[TANGGAL],C38)</f>
        <v>0</v>
      </c>
      <c r="BN38" s="659">
        <f>SUMIFS(ARG[NETTO1],ARG[TANGGAL],C38)</f>
        <v>0</v>
      </c>
      <c r="BO38" s="659">
        <f>SUMIFS(ARG[POTKARUNG],ARG[TANGGAL],C38)</f>
        <v>0</v>
      </c>
      <c r="BP38" s="659">
        <f>SUMIFS(ARG[TPOT1],ARG[TANGGAL],C38)</f>
        <v>0</v>
      </c>
      <c r="BQ38" s="659">
        <f>SUMIFS(ARG[NETTO2],ARG[TANGGAL],C38)</f>
        <v>0</v>
      </c>
      <c r="BR38" s="659">
        <f>SUMIFS(ARG[MC],ARG[TANGGAL],C38)</f>
        <v>0</v>
      </c>
      <c r="BS38" s="659">
        <f>SUMIFS(ARG[DC],ARG[TANGGAL],C38)</f>
        <v>0</v>
      </c>
      <c r="BT38" s="659">
        <f>SUMIFS(ARG[DC2],ARG[TANGGAL],C38)</f>
        <v>0</v>
      </c>
      <c r="BU38" s="659">
        <f>SUMIFS(ARG[NETTO3],ARG[TANGGAL],C38)</f>
        <v>0</v>
      </c>
      <c r="BV38" s="660">
        <f t="shared" si="31"/>
        <v>0</v>
      </c>
      <c r="BW38" s="659">
        <f>SUMIFS(ARG[TBAYAR1],ARG[TANGGAL],C38)</f>
        <v>0</v>
      </c>
      <c r="BX38" s="663">
        <f t="shared" si="32"/>
        <v>0</v>
      </c>
      <c r="BY38" s="663">
        <f t="shared" si="33"/>
        <v>0</v>
      </c>
      <c r="BZ38" s="659">
        <f>SUMIFS(ARG[TBAYAR2],ARG[TANGGAL],C38)</f>
        <v>0</v>
      </c>
      <c r="CA38" s="659">
        <f>SUMIFS(ARG[POTPPH],ARG[TANGGAL],C38)</f>
        <v>0</v>
      </c>
      <c r="CB38" s="659">
        <f>SUMIFS(ARG[TPEMBAYARAN],ARG[TANGGAL],C38)</f>
        <v>0</v>
      </c>
      <c r="CC38" s="616"/>
      <c r="CD38" s="575">
        <v>0</v>
      </c>
      <c r="CE38" s="348">
        <v>0</v>
      </c>
      <c r="CF38" s="348">
        <v>0</v>
      </c>
      <c r="CG38" s="348">
        <v>0</v>
      </c>
      <c r="CH38" s="348">
        <v>0</v>
      </c>
      <c r="CI38" s="348">
        <v>0</v>
      </c>
      <c r="CJ38" s="348">
        <v>0</v>
      </c>
      <c r="CK38" s="348">
        <v>0</v>
      </c>
      <c r="CL38" s="348">
        <v>0</v>
      </c>
      <c r="CM38" s="348">
        <v>0</v>
      </c>
      <c r="CN38" s="348">
        <v>0</v>
      </c>
      <c r="CO38" s="348">
        <v>0</v>
      </c>
      <c r="CP38" s="348">
        <v>0</v>
      </c>
      <c r="CQ38" s="576"/>
      <c r="CR38" s="348">
        <v>0</v>
      </c>
      <c r="CS38" s="348">
        <v>0</v>
      </c>
      <c r="CT38" s="348">
        <v>0</v>
      </c>
      <c r="CU38" s="348">
        <v>0</v>
      </c>
      <c r="CV38" s="348">
        <v>0</v>
      </c>
      <c r="CW38" s="348">
        <v>0</v>
      </c>
      <c r="CX38" s="348">
        <v>0</v>
      </c>
      <c r="CY38" s="348">
        <v>0</v>
      </c>
      <c r="CZ38" s="348">
        <v>0</v>
      </c>
      <c r="DA38" s="348">
        <v>0</v>
      </c>
      <c r="DB38" s="348">
        <v>0</v>
      </c>
      <c r="DC38" s="348">
        <v>0</v>
      </c>
      <c r="DD38" s="348">
        <v>0</v>
      </c>
      <c r="DE38" s="576"/>
      <c r="DF38" s="576"/>
      <c r="DG38" s="348"/>
      <c r="DH38" s="348"/>
      <c r="DI38" s="348"/>
      <c r="DJ38" s="348"/>
      <c r="DK38" s="348"/>
      <c r="DL38" s="348"/>
      <c r="DM38" s="348"/>
      <c r="DN38" s="348"/>
      <c r="DO38" s="348"/>
      <c r="DP38" s="348"/>
      <c r="DQ38" s="348"/>
      <c r="DR38" s="576"/>
      <c r="DS38" s="348"/>
      <c r="DT38" s="348"/>
      <c r="DU38" s="348"/>
      <c r="DV38" s="348"/>
      <c r="DW38" s="348"/>
      <c r="DX38" s="348"/>
      <c r="DY38" s="348"/>
      <c r="DZ38" s="348"/>
      <c r="EA38" s="576"/>
      <c r="EB38" s="348"/>
      <c r="EC38" s="348"/>
      <c r="ED38" s="348"/>
      <c r="EE38" s="348"/>
      <c r="EF38" s="348"/>
      <c r="EG38" s="348"/>
      <c r="EH38" s="348"/>
      <c r="EI38" s="348"/>
      <c r="EJ38" s="348"/>
      <c r="EK38" s="348"/>
      <c r="EL38" s="348"/>
      <c r="EM38" s="348"/>
      <c r="EN38" s="348"/>
      <c r="EO38" s="348"/>
      <c r="EP38" s="348"/>
      <c r="EQ38" s="348"/>
      <c r="ER38" s="348"/>
      <c r="ES38" s="348"/>
      <c r="ET38" s="348"/>
      <c r="EU38" s="348"/>
      <c r="EV38" s="348"/>
      <c r="EW38" s="348"/>
      <c r="EX38" s="348"/>
      <c r="EY38" s="348"/>
      <c r="EZ38" s="348"/>
      <c r="FA38" s="348"/>
      <c r="FB38" s="348"/>
      <c r="FC38" s="348"/>
      <c r="FD38" s="348"/>
      <c r="FE38" s="348"/>
      <c r="FF38" s="348"/>
      <c r="FG38" s="350"/>
      <c r="FH38" s="350"/>
      <c r="FI38" s="350"/>
      <c r="FJ38" s="350"/>
      <c r="FK38" s="350"/>
      <c r="FL38" s="350"/>
      <c r="FM38" s="350"/>
      <c r="FN38" s="350"/>
      <c r="FO38" s="350"/>
      <c r="FP38" s="350"/>
      <c r="FQ38" s="350"/>
      <c r="FR38" s="350"/>
      <c r="FS38" s="348"/>
      <c r="FT38" s="348"/>
      <c r="FU38" s="356"/>
      <c r="FV38" s="353"/>
      <c r="FW38" s="353"/>
      <c r="FX38" s="354"/>
      <c r="FY38" s="353"/>
      <c r="FZ38" s="353"/>
      <c r="GA38" s="348"/>
      <c r="GB38" s="353"/>
      <c r="GC38" s="348"/>
      <c r="GD38" s="348"/>
      <c r="GE38" s="362"/>
      <c r="GF38" s="348"/>
      <c r="GG38" s="362"/>
      <c r="GH38" s="353"/>
      <c r="GI38" s="353"/>
      <c r="GJ38" s="353"/>
      <c r="GK38" s="363"/>
      <c r="GL38" s="353"/>
    </row>
    <row r="39" spans="1:194" s="349" customFormat="1" ht="30" customHeight="1">
      <c r="B39" s="557">
        <f t="shared" si="34"/>
        <v>31</v>
      </c>
      <c r="C39" s="645">
        <f t="shared" si="35"/>
        <v>43921</v>
      </c>
      <c r="D39" s="607"/>
      <c r="E39" s="659">
        <f>SUMIFS(KB[BRUTO],KB[TANGGAL],C39,KB[TYPE],"A")</f>
        <v>0</v>
      </c>
      <c r="F39" s="660">
        <f>SUMIFS(KB[TARRA],KB[TANGGAL],C39,KB[TYPE],"A")</f>
        <v>0</v>
      </c>
      <c r="G39" s="660">
        <f>SUMIFS(KB[NETTO],KB[TANGGAL],C39,KB[TYPE],"A")</f>
        <v>0</v>
      </c>
      <c r="H39" s="660">
        <f t="shared" si="16"/>
        <v>0</v>
      </c>
      <c r="I39" s="660">
        <f>SUMIFS(KB[TPOT],KB[TANGGAL],C39,KB[TYPE],"A")</f>
        <v>0</v>
      </c>
      <c r="J39" s="660">
        <f>SUMIFS(KB[NETTO2],KB[TANGGAL],C39,KB[TYPE],"A")</f>
        <v>0</v>
      </c>
      <c r="K39" s="660">
        <f t="shared" si="17"/>
        <v>0</v>
      </c>
      <c r="L39" s="660">
        <f>SUMIFS(KB[TBAYAR],KB[TANGGAL],C39,KB[TYPE],"A")</f>
        <v>0</v>
      </c>
      <c r="M39" s="660">
        <f t="shared" si="18"/>
        <v>0</v>
      </c>
      <c r="N39" s="660">
        <f t="shared" si="19"/>
        <v>0</v>
      </c>
      <c r="O39" s="660">
        <f>SUMIFS(KB[TBAYAR2],KB[TANGGAL],C39,KB[TYPE],"A")</f>
        <v>0</v>
      </c>
      <c r="P39" s="660">
        <f>SUMIFS(KB[POTPPH],KB[TANGGAL],C39,KB[TYPE],"A")</f>
        <v>0</v>
      </c>
      <c r="Q39" s="660">
        <f>SUMIFS(KB[TPEMBAYARAN],KB[TANGGAL],C39,KB[TYPE],"A")</f>
        <v>0</v>
      </c>
      <c r="R39" s="660"/>
      <c r="S39" s="659">
        <f>SUMIFS(KB[BRUTO],KB[TANGGAL],C39,KB[TYPE],"B")</f>
        <v>0</v>
      </c>
      <c r="T39" s="660">
        <f>SUMIFS(KB[TARRA],KB[TANGGAL],C39,KB[TYPE],"B")</f>
        <v>0</v>
      </c>
      <c r="U39" s="660">
        <f>SUMIFS(KB[NETTO],KB[TANGGAL],C39,KB[TYPE],"B")</f>
        <v>0</v>
      </c>
      <c r="V39" s="660">
        <f t="shared" si="20"/>
        <v>0</v>
      </c>
      <c r="W39" s="660">
        <f>SUMIFS(KB[TPOT],KB[TANGGAL],C39,KB[TYPE],"B")</f>
        <v>0</v>
      </c>
      <c r="X39" s="660">
        <f>SUMIFS(KB[NETTO2],KB[TANGGAL],C39,KB[TYPE],"B")</f>
        <v>0</v>
      </c>
      <c r="Y39" s="660">
        <f t="shared" si="21"/>
        <v>0</v>
      </c>
      <c r="Z39" s="660">
        <f>SUMIFS(KB[TBAYAR],KB[TANGGAL],C39,KB[TYPE],"B")</f>
        <v>0</v>
      </c>
      <c r="AA39" s="660">
        <f t="shared" si="22"/>
        <v>0</v>
      </c>
      <c r="AB39" s="660">
        <f t="shared" si="23"/>
        <v>0</v>
      </c>
      <c r="AC39" s="660">
        <f>SUMIFS(KB[TBAYAR2],KB[TANGGAL],C39,KB[TYPE],"B")</f>
        <v>0</v>
      </c>
      <c r="AD39" s="660">
        <f>SUMIFS(KB[POTPPH],KB[TANGGAL],C39,KB[TYPE],"B")</f>
        <v>0</v>
      </c>
      <c r="AE39" s="660">
        <f>SUMIFS(KB[TPEMBAYARAN],KB[TANGGAL],C39,KB[TYPE],"B")</f>
        <v>0</v>
      </c>
      <c r="AF39" s="665"/>
      <c r="AG39" s="659">
        <f>SUMIFS(KBS[BRUTO],KBS[TANGGAL],C39)</f>
        <v>0</v>
      </c>
      <c r="AH39" s="660">
        <f>SUMIFS(KBS[TARRA],KBS[TANGGAL],C39)</f>
        <v>0</v>
      </c>
      <c r="AI39" s="660">
        <f>SUMIFS(KBS[NETTO],KBS[TANGGAL],C39)</f>
        <v>0</v>
      </c>
      <c r="AJ39" s="660">
        <f t="shared" si="24"/>
        <v>0</v>
      </c>
      <c r="AK39" s="660">
        <f>SUMIFS(KBS[TPOT],KBS[TANGGAL],C39)</f>
        <v>0</v>
      </c>
      <c r="AL39" s="660">
        <f>SUMIFS(KBS[NETTO2],KBS[TANGGAL],C39)</f>
        <v>0</v>
      </c>
      <c r="AM39" s="660">
        <f t="shared" si="25"/>
        <v>0</v>
      </c>
      <c r="AN39" s="660">
        <f>SUMIFS(KBS[TBAYAR],KBS[TANGGAL],C39)</f>
        <v>0</v>
      </c>
      <c r="AO39" s="660">
        <f t="shared" si="26"/>
        <v>0</v>
      </c>
      <c r="AP39" s="660">
        <f t="shared" si="27"/>
        <v>0</v>
      </c>
      <c r="AQ39" s="660">
        <f>SUMIFS(KBS[TBAYAR2],KBS[TANGGAL],C39)</f>
        <v>0</v>
      </c>
      <c r="AR39" s="660">
        <f>SUMIFS(KBS[POTPPH],KBS[TANGGAL],C39)</f>
        <v>0</v>
      </c>
      <c r="AS39" s="660">
        <f>SUMIFS(KBS[TPEMBAYARAN],KBS[TANGGAL],C39)</f>
        <v>0</v>
      </c>
      <c r="AT39" s="660"/>
      <c r="AU39" s="659">
        <f>SUMIFS(KPR[BRUTO],KPR[TANGGAL],C39)</f>
        <v>0</v>
      </c>
      <c r="AV39" s="660">
        <f>SUMIFS(KPR[TARRA],KPR[TANGGAL],C39)</f>
        <v>0</v>
      </c>
      <c r="AW39" s="660">
        <f>SUMIFS(KPR[NETTO],KPR[TANGGAL],C39)</f>
        <v>0</v>
      </c>
      <c r="AX39" s="662">
        <f>SUMIFS(KPR[POTKRG],KPR[TANGGAL],C39)</f>
        <v>0</v>
      </c>
      <c r="AY39" s="660">
        <f>SUMIFS(KPR[TPOT1],KPR[TANGGAL],C39)</f>
        <v>0</v>
      </c>
      <c r="AZ39" s="662">
        <f>SUMIFS(KPR[POTAIR],KPR[TANGGAL],C39)</f>
        <v>0</v>
      </c>
      <c r="BA39" s="660">
        <f>SUMIFS(KPR[TPOT2],KPR[TANGGAL],C39)</f>
        <v>0</v>
      </c>
      <c r="BB39" s="660">
        <f>SUMIFS(KPR[NETTOA],KPR[TANGGAL],C39)</f>
        <v>0</v>
      </c>
      <c r="BC39" s="660">
        <f>SUMIFS(KPR[NETTOB],KPR[TANGGAL],C39)</f>
        <v>0</v>
      </c>
      <c r="BD39" s="660">
        <f t="shared" si="28"/>
        <v>0</v>
      </c>
      <c r="BE39" s="660">
        <f>SUMIFS(KPR[TOTAL],KPR[TANGGAL],C39)</f>
        <v>0</v>
      </c>
      <c r="BF39" s="662">
        <f t="shared" si="29"/>
        <v>0</v>
      </c>
      <c r="BG39" s="662">
        <f t="shared" si="30"/>
        <v>0</v>
      </c>
      <c r="BH39" s="660">
        <f>SUMIFS(KPR[TBAYAR2],KPR[TANGGAL],C39)</f>
        <v>0</v>
      </c>
      <c r="BI39" s="660">
        <f>SUMIFS(KPR[POTPPH],KPR[TANGGAL],C39)</f>
        <v>0</v>
      </c>
      <c r="BJ39" s="660">
        <f>SUMIFS(KPR[TPEMBAYARAN],KPR[TANGGAL],C39)</f>
        <v>0</v>
      </c>
      <c r="BK39" s="659"/>
      <c r="BL39" s="659">
        <f>SUMIFS(ARG[BRUTO],ARG[TANGGAL],C39)</f>
        <v>0</v>
      </c>
      <c r="BM39" s="659">
        <f>SUMIFS(ARG[TARRA],ARG[TANGGAL],C39)</f>
        <v>0</v>
      </c>
      <c r="BN39" s="659">
        <f>SUMIFS(ARG[NETTO1],ARG[TANGGAL],C39)</f>
        <v>0</v>
      </c>
      <c r="BO39" s="659">
        <f>SUMIFS(ARG[POTKARUNG],ARG[TANGGAL],C39)</f>
        <v>0</v>
      </c>
      <c r="BP39" s="659">
        <f>SUMIFS(ARG[TPOT1],ARG[TANGGAL],C39)</f>
        <v>0</v>
      </c>
      <c r="BQ39" s="659">
        <f>SUMIFS(ARG[NETTO2],ARG[TANGGAL],C39)</f>
        <v>0</v>
      </c>
      <c r="BR39" s="659">
        <f>SUMIFS(ARG[MC],ARG[TANGGAL],C39)</f>
        <v>0</v>
      </c>
      <c r="BS39" s="659">
        <f>SUMIFS(ARG[DC],ARG[TANGGAL],C39)</f>
        <v>0</v>
      </c>
      <c r="BT39" s="659">
        <f>SUMIFS(ARG[DC2],ARG[TANGGAL],C39)</f>
        <v>0</v>
      </c>
      <c r="BU39" s="659">
        <f>SUMIFS(ARG[NETTO3],ARG[TANGGAL],C39)</f>
        <v>0</v>
      </c>
      <c r="BV39" s="660">
        <f t="shared" si="31"/>
        <v>0</v>
      </c>
      <c r="BW39" s="659">
        <f>SUMIFS(ARG[TBAYAR1],ARG[TANGGAL],C39)</f>
        <v>0</v>
      </c>
      <c r="BX39" s="663">
        <f t="shared" si="32"/>
        <v>0</v>
      </c>
      <c r="BY39" s="663">
        <f t="shared" si="33"/>
        <v>0</v>
      </c>
      <c r="BZ39" s="659">
        <f>SUMIFS(ARG[TBAYAR2],ARG[TANGGAL],C39)</f>
        <v>0</v>
      </c>
      <c r="CA39" s="659">
        <f>SUMIFS(ARG[POTPPH],ARG[TANGGAL],C39)</f>
        <v>0</v>
      </c>
      <c r="CB39" s="659">
        <f>SUMIFS(ARG[TPEMBAYARAN],ARG[TANGGAL],C39)</f>
        <v>0</v>
      </c>
      <c r="CC39" s="617"/>
      <c r="CD39" s="588"/>
      <c r="CE39" s="361"/>
      <c r="CF39" s="361"/>
      <c r="CG39" s="361"/>
      <c r="CH39" s="361"/>
      <c r="CI39" s="361"/>
      <c r="CJ39" s="361"/>
      <c r="CK39" s="361"/>
      <c r="CL39" s="361"/>
      <c r="CM39" s="361"/>
      <c r="CN39" s="361"/>
      <c r="CO39" s="361"/>
      <c r="CP39" s="361"/>
      <c r="CQ39" s="588"/>
      <c r="CR39" s="355">
        <v>0</v>
      </c>
      <c r="CS39" s="355">
        <v>0</v>
      </c>
      <c r="CT39" s="355">
        <v>0</v>
      </c>
      <c r="CU39" s="355">
        <v>0</v>
      </c>
      <c r="CV39" s="355">
        <v>0</v>
      </c>
      <c r="CW39" s="355">
        <v>0</v>
      </c>
      <c r="CX39" s="355">
        <v>0</v>
      </c>
      <c r="CY39" s="355">
        <v>0</v>
      </c>
      <c r="CZ39" s="355">
        <v>0</v>
      </c>
      <c r="DA39" s="355">
        <v>0</v>
      </c>
      <c r="DB39" s="355">
        <v>0</v>
      </c>
      <c r="DC39" s="355">
        <v>0</v>
      </c>
      <c r="DD39" s="355">
        <v>0</v>
      </c>
      <c r="DE39" s="594"/>
      <c r="DF39" s="588"/>
      <c r="DG39" s="558"/>
      <c r="DH39" s="558"/>
      <c r="DI39" s="558"/>
      <c r="DJ39" s="558"/>
      <c r="DK39" s="558"/>
      <c r="DL39" s="558"/>
      <c r="DM39" s="558"/>
      <c r="DN39" s="558"/>
      <c r="DO39" s="558"/>
      <c r="DP39" s="558"/>
      <c r="DQ39" s="558"/>
      <c r="DR39" s="599"/>
      <c r="DS39" s="559"/>
      <c r="DT39" s="559"/>
      <c r="DU39" s="559"/>
      <c r="DV39" s="559"/>
      <c r="DW39" s="559"/>
      <c r="DX39" s="559"/>
      <c r="DY39" s="559"/>
      <c r="DZ39" s="559"/>
      <c r="EA39" s="596"/>
      <c r="EB39" s="559"/>
      <c r="EC39" s="559"/>
      <c r="ED39" s="559"/>
      <c r="EE39" s="559"/>
      <c r="EF39" s="559"/>
      <c r="EG39" s="559"/>
      <c r="EH39" s="559"/>
      <c r="EI39" s="559"/>
      <c r="EJ39" s="355"/>
      <c r="EK39" s="355"/>
      <c r="EL39" s="355"/>
      <c r="EM39" s="355"/>
      <c r="EN39" s="355"/>
      <c r="EO39" s="355"/>
      <c r="EP39" s="355"/>
      <c r="EQ39" s="355"/>
      <c r="ER39" s="355"/>
      <c r="ES39" s="355"/>
      <c r="ET39" s="355"/>
      <c r="EU39" s="355"/>
      <c r="EV39" s="355"/>
      <c r="EW39" s="355"/>
      <c r="EX39" s="355"/>
      <c r="EY39" s="355"/>
      <c r="EZ39" s="355"/>
      <c r="FA39" s="355"/>
      <c r="FB39" s="355"/>
      <c r="FC39" s="355"/>
      <c r="FD39" s="355"/>
      <c r="FE39" s="355"/>
      <c r="FF39" s="355"/>
      <c r="FG39" s="355"/>
      <c r="FH39" s="355"/>
      <c r="FI39" s="355"/>
      <c r="FJ39" s="355"/>
      <c r="FK39" s="355"/>
      <c r="FL39" s="355"/>
      <c r="FM39" s="355"/>
      <c r="FN39" s="355"/>
      <c r="FO39" s="355"/>
      <c r="FP39" s="355"/>
      <c r="FQ39" s="355"/>
      <c r="FR39" s="355"/>
      <c r="FS39" s="560"/>
      <c r="FT39" s="364"/>
      <c r="FU39" s="356"/>
      <c r="FV39" s="353"/>
      <c r="FW39" s="364"/>
      <c r="FX39" s="353"/>
      <c r="FY39" s="353"/>
      <c r="FZ39" s="364"/>
      <c r="GA39" s="558"/>
      <c r="GB39" s="348"/>
      <c r="GC39" s="558"/>
      <c r="GD39" s="558"/>
      <c r="GE39" s="558"/>
      <c r="GF39" s="348"/>
      <c r="GG39" s="560"/>
      <c r="GH39" s="353"/>
      <c r="GI39" s="353"/>
      <c r="GJ39" s="364"/>
      <c r="GK39" s="560"/>
      <c r="GL39" s="364"/>
    </row>
    <row r="40" spans="1:194" ht="9.9499999999999993" customHeight="1" thickBot="1">
      <c r="B40" s="648"/>
      <c r="C40" s="649"/>
      <c r="D40" s="650"/>
      <c r="E40" s="651"/>
      <c r="F40" s="651"/>
      <c r="G40" s="651"/>
      <c r="H40" s="651"/>
      <c r="I40" s="651"/>
      <c r="J40" s="651"/>
      <c r="K40" s="651"/>
      <c r="L40" s="651"/>
      <c r="M40" s="652"/>
      <c r="N40" s="652"/>
      <c r="O40" s="651"/>
      <c r="P40" s="652"/>
      <c r="Q40" s="652"/>
      <c r="R40" s="652"/>
      <c r="S40" s="651"/>
      <c r="T40" s="651"/>
      <c r="U40" s="651"/>
      <c r="V40" s="651"/>
      <c r="W40" s="651"/>
      <c r="X40" s="651"/>
      <c r="Y40" s="651"/>
      <c r="Z40" s="651"/>
      <c r="AA40" s="652"/>
      <c r="AB40" s="652"/>
      <c r="AC40" s="651"/>
      <c r="AD40" s="652"/>
      <c r="AE40" s="652"/>
      <c r="AF40" s="653"/>
      <c r="AG40" s="653"/>
      <c r="AH40" s="653"/>
      <c r="AI40" s="653"/>
      <c r="AJ40" s="653"/>
      <c r="AK40" s="653"/>
      <c r="AL40" s="653"/>
      <c r="AM40" s="653"/>
      <c r="AN40" s="653"/>
      <c r="AO40" s="653"/>
      <c r="AP40" s="653"/>
      <c r="AQ40" s="653"/>
      <c r="AR40" s="653"/>
      <c r="AS40" s="653"/>
      <c r="AT40" s="652"/>
      <c r="AU40" s="652"/>
      <c r="AV40" s="652"/>
      <c r="AW40" s="652"/>
      <c r="AX40" s="652"/>
      <c r="AY40" s="652"/>
      <c r="AZ40" s="652"/>
      <c r="BA40" s="652"/>
      <c r="BB40" s="652"/>
      <c r="BC40" s="652"/>
      <c r="BD40" s="652"/>
      <c r="BE40" s="652"/>
      <c r="BF40" s="652"/>
      <c r="BG40" s="652"/>
      <c r="BH40" s="652"/>
      <c r="BI40" s="652"/>
      <c r="BJ40" s="652"/>
      <c r="BK40" s="652"/>
      <c r="BL40" s="654"/>
      <c r="BM40" s="654"/>
      <c r="BN40" s="654"/>
      <c r="BO40" s="654"/>
      <c r="BP40" s="654"/>
      <c r="BQ40" s="654"/>
      <c r="BR40" s="654"/>
      <c r="BS40" s="654"/>
      <c r="BT40" s="654"/>
      <c r="BU40" s="654"/>
      <c r="BV40" s="654"/>
      <c r="BW40" s="654"/>
      <c r="BX40" s="654"/>
      <c r="BY40" s="654"/>
      <c r="BZ40" s="654"/>
      <c r="CA40" s="654"/>
      <c r="CB40" s="654"/>
      <c r="CC40" s="618"/>
      <c r="CD40" s="582"/>
      <c r="CE40" s="367"/>
      <c r="CF40" s="367"/>
      <c r="CG40" s="367"/>
      <c r="CH40" s="367"/>
      <c r="CI40" s="367"/>
      <c r="CJ40" s="367"/>
      <c r="CK40" s="367"/>
      <c r="CL40" s="367"/>
      <c r="CM40" s="367"/>
      <c r="CN40" s="367"/>
      <c r="CO40" s="367"/>
      <c r="CP40" s="367"/>
      <c r="CQ40" s="577"/>
      <c r="CR40" s="365"/>
      <c r="CS40" s="366"/>
      <c r="CT40" s="366"/>
      <c r="CU40" s="366"/>
      <c r="CV40" s="366"/>
      <c r="CW40" s="366"/>
      <c r="CX40" s="366"/>
      <c r="CY40" s="366"/>
      <c r="CZ40" s="367"/>
      <c r="DA40" s="367"/>
      <c r="DB40" s="366"/>
      <c r="DC40" s="367"/>
      <c r="DD40" s="367"/>
      <c r="DE40" s="582"/>
      <c r="DF40" s="589"/>
      <c r="DG40" s="368"/>
      <c r="DH40" s="368"/>
      <c r="DI40" s="368"/>
      <c r="DJ40" s="368"/>
      <c r="DK40" s="368"/>
      <c r="DL40" s="368"/>
      <c r="DM40" s="368"/>
      <c r="DN40" s="368"/>
      <c r="DO40" s="368"/>
      <c r="DP40" s="368"/>
      <c r="DQ40" s="368"/>
      <c r="DR40" s="597"/>
      <c r="DS40" s="368"/>
      <c r="DT40" s="368"/>
      <c r="DU40" s="368"/>
      <c r="DV40" s="368"/>
      <c r="DW40" s="368"/>
      <c r="DX40" s="368"/>
      <c r="DY40" s="368"/>
      <c r="DZ40" s="368"/>
      <c r="EA40" s="597"/>
      <c r="EB40" s="368"/>
      <c r="EC40" s="368"/>
      <c r="ED40" s="368"/>
      <c r="EE40" s="368"/>
      <c r="EF40" s="368"/>
      <c r="EG40" s="368"/>
      <c r="EH40" s="368"/>
      <c r="EI40" s="368"/>
      <c r="EJ40" s="369"/>
      <c r="EK40" s="369"/>
      <c r="EL40" s="369"/>
      <c r="EM40" s="369"/>
      <c r="EN40" s="369"/>
      <c r="EO40" s="369"/>
      <c r="EP40" s="369"/>
      <c r="EQ40" s="369"/>
      <c r="ER40" s="369"/>
      <c r="ES40" s="369"/>
      <c r="ET40" s="369"/>
      <c r="EU40" s="367"/>
      <c r="EV40" s="367"/>
      <c r="EW40" s="367"/>
      <c r="EX40" s="367"/>
      <c r="EY40" s="367"/>
      <c r="EZ40" s="367"/>
      <c r="FA40" s="368"/>
      <c r="FB40" s="368"/>
      <c r="FC40" s="368"/>
      <c r="FD40" s="368"/>
      <c r="FE40" s="368"/>
      <c r="FF40" s="368"/>
      <c r="FG40" s="368"/>
      <c r="FH40" s="368"/>
      <c r="FI40" s="368"/>
      <c r="FJ40" s="368"/>
      <c r="FK40" s="368"/>
      <c r="FL40" s="368"/>
      <c r="FM40" s="368"/>
      <c r="FN40" s="368"/>
      <c r="FO40" s="368"/>
      <c r="FP40" s="368"/>
      <c r="FQ40" s="368"/>
      <c r="FR40" s="368"/>
      <c r="FS40" s="370"/>
      <c r="FT40" s="355"/>
      <c r="FU40" s="370"/>
      <c r="FV40" s="370"/>
      <c r="FW40" s="370"/>
      <c r="FX40" s="370"/>
      <c r="FY40" s="370"/>
      <c r="FZ40" s="370"/>
      <c r="GA40" s="370"/>
      <c r="GB40" s="370"/>
      <c r="GC40" s="370"/>
      <c r="GD40" s="370"/>
      <c r="GE40" s="370"/>
      <c r="GF40" s="370"/>
      <c r="GG40" s="370"/>
      <c r="GH40" s="370"/>
      <c r="GI40" s="370"/>
      <c r="GJ40" s="370"/>
      <c r="GK40" s="370"/>
      <c r="GL40" s="370"/>
    </row>
    <row r="41" spans="1:194" ht="43.5" customHeight="1" thickTop="1">
      <c r="B41" s="646"/>
      <c r="C41" s="647" t="s">
        <v>68</v>
      </c>
      <c r="D41" s="647"/>
      <c r="E41" s="655">
        <f>SUM(E9:E40)</f>
        <v>3380370</v>
      </c>
      <c r="F41" s="655">
        <f>SUM(F9:F40)</f>
        <v>1500120</v>
      </c>
      <c r="G41" s="655">
        <f>SUM(G9:G40)</f>
        <v>1880250</v>
      </c>
      <c r="H41" s="655">
        <f>I41/G41%</f>
        <v>5.5136816912644582</v>
      </c>
      <c r="I41" s="655">
        <f>SUM(I9:I40)</f>
        <v>103670.99999999997</v>
      </c>
      <c r="J41" s="655">
        <f>SUM(J9:J40)</f>
        <v>1776579.0000000005</v>
      </c>
      <c r="K41" s="655">
        <f>L41/J41</f>
        <v>2979.3271112627126</v>
      </c>
      <c r="L41" s="655">
        <f>SUM(L9:L40)</f>
        <v>5293009980</v>
      </c>
      <c r="M41" s="655"/>
      <c r="N41" s="655">
        <f>+O41/J41</f>
        <v>2994.2970827641207</v>
      </c>
      <c r="O41" s="655">
        <f t="shared" ref="O41:U41" si="36">SUM(O9:O40)</f>
        <v>5319605317</v>
      </c>
      <c r="P41" s="655">
        <f t="shared" si="36"/>
        <v>26598032</v>
      </c>
      <c r="Q41" s="655">
        <f t="shared" si="36"/>
        <v>5293007285</v>
      </c>
      <c r="R41" s="655"/>
      <c r="S41" s="655">
        <f>SUM(S9:S40)</f>
        <v>0</v>
      </c>
      <c r="T41" s="655">
        <f t="shared" si="36"/>
        <v>0</v>
      </c>
      <c r="U41" s="655">
        <f t="shared" si="36"/>
        <v>0</v>
      </c>
      <c r="V41" s="655" t="e">
        <f>W41/U41%</f>
        <v>#DIV/0!</v>
      </c>
      <c r="W41" s="655">
        <f>SUM(W9:W40)</f>
        <v>0</v>
      </c>
      <c r="X41" s="655">
        <f>SUM(X9:X40)</f>
        <v>0</v>
      </c>
      <c r="Y41" s="655" t="e">
        <f>Z41/X41</f>
        <v>#DIV/0!</v>
      </c>
      <c r="Z41" s="655">
        <f>SUM(Z9:Z40)</f>
        <v>0</v>
      </c>
      <c r="AA41" s="655"/>
      <c r="AB41" s="655" t="e">
        <f>+AC41/X41</f>
        <v>#DIV/0!</v>
      </c>
      <c r="AC41" s="655">
        <f t="shared" ref="AC41:CH41" si="37">SUM(AC9:AC40)</f>
        <v>0</v>
      </c>
      <c r="AD41" s="655">
        <f t="shared" si="37"/>
        <v>0</v>
      </c>
      <c r="AE41" s="655">
        <f>SUM(AE9:AE40)</f>
        <v>0</v>
      </c>
      <c r="AF41" s="655"/>
      <c r="AG41" s="655">
        <f t="shared" ref="AG41:AL41" si="38">SUM(AG9:AG40)</f>
        <v>0</v>
      </c>
      <c r="AH41" s="655">
        <f t="shared" si="38"/>
        <v>0</v>
      </c>
      <c r="AI41" s="655">
        <f t="shared" si="38"/>
        <v>0</v>
      </c>
      <c r="AJ41" s="655">
        <f t="shared" si="38"/>
        <v>0</v>
      </c>
      <c r="AK41" s="655">
        <f t="shared" si="38"/>
        <v>0</v>
      </c>
      <c r="AL41" s="655">
        <f t="shared" si="38"/>
        <v>0</v>
      </c>
      <c r="AM41" s="655" t="e">
        <f>+AN41/AL41</f>
        <v>#DIV/0!</v>
      </c>
      <c r="AN41" s="655">
        <f t="shared" ref="AN41:AS41" si="39">SUM(AN9:AN40)</f>
        <v>0</v>
      </c>
      <c r="AO41" s="655">
        <f t="shared" si="39"/>
        <v>0</v>
      </c>
      <c r="AP41" s="655">
        <f t="shared" si="39"/>
        <v>0</v>
      </c>
      <c r="AQ41" s="655">
        <f t="shared" si="39"/>
        <v>0</v>
      </c>
      <c r="AR41" s="655">
        <f t="shared" si="39"/>
        <v>0</v>
      </c>
      <c r="AS41" s="655">
        <f t="shared" si="39"/>
        <v>0</v>
      </c>
      <c r="AT41" s="655"/>
      <c r="AU41" s="655">
        <f>SUM(AU9:AU40)</f>
        <v>0</v>
      </c>
      <c r="AV41" s="655">
        <f>SUM(AV9:AV40)</f>
        <v>0</v>
      </c>
      <c r="AW41" s="655">
        <f>SUM(AW9:AW40)</f>
        <v>0</v>
      </c>
      <c r="AX41" s="655">
        <f>SUM(AX9:AX40)</f>
        <v>0</v>
      </c>
      <c r="AY41" s="655">
        <f>SUM(AY9:AY40)</f>
        <v>0</v>
      </c>
      <c r="AZ41" s="655" t="e">
        <f>+BA41/BC41%</f>
        <v>#DIV/0!</v>
      </c>
      <c r="BA41" s="655">
        <f>SUM(BA9:BA40)</f>
        <v>0</v>
      </c>
      <c r="BB41" s="655">
        <f>SUM(BB9:BB40)</f>
        <v>0</v>
      </c>
      <c r="BC41" s="655">
        <f>SUM(BC9:BC40)</f>
        <v>0</v>
      </c>
      <c r="BD41" s="655" t="e">
        <f>+BE41/BC41</f>
        <v>#DIV/0!</v>
      </c>
      <c r="BE41" s="655">
        <f t="shared" ref="BE41:BJ41" si="40">SUM(BE9:BE40)</f>
        <v>0</v>
      </c>
      <c r="BF41" s="655">
        <f t="shared" si="40"/>
        <v>0</v>
      </c>
      <c r="BG41" s="655">
        <f t="shared" si="40"/>
        <v>0</v>
      </c>
      <c r="BH41" s="655">
        <f t="shared" si="40"/>
        <v>0</v>
      </c>
      <c r="BI41" s="655">
        <f t="shared" si="40"/>
        <v>0</v>
      </c>
      <c r="BJ41" s="655">
        <f t="shared" si="40"/>
        <v>0</v>
      </c>
      <c r="BK41" s="655"/>
      <c r="BL41" s="655">
        <f t="shared" ref="BL41:BQ41" si="41">SUM(BL9:BL40)</f>
        <v>0</v>
      </c>
      <c r="BM41" s="655">
        <f t="shared" si="41"/>
        <v>0</v>
      </c>
      <c r="BN41" s="655">
        <f t="shared" si="41"/>
        <v>0</v>
      </c>
      <c r="BO41" s="655">
        <f t="shared" si="41"/>
        <v>0</v>
      </c>
      <c r="BP41" s="655">
        <f t="shared" si="41"/>
        <v>0</v>
      </c>
      <c r="BQ41" s="655">
        <f t="shared" si="41"/>
        <v>0</v>
      </c>
      <c r="BR41" s="655">
        <f>SUM(BR9:BR40)/2</f>
        <v>0</v>
      </c>
      <c r="BS41" s="655">
        <f>SUM(BS9:BS40)</f>
        <v>0</v>
      </c>
      <c r="BT41" s="655">
        <f>SUM(BT9:BT40)</f>
        <v>0</v>
      </c>
      <c r="BU41" s="655">
        <f>SUM(BU9:BU40)</f>
        <v>0</v>
      </c>
      <c r="BV41" s="655" t="e">
        <f>BW41/BU41</f>
        <v>#DIV/0!</v>
      </c>
      <c r="BW41" s="655">
        <f>SUM(BW9:BW40)</f>
        <v>0</v>
      </c>
      <c r="BX41" s="655"/>
      <c r="BY41" s="655"/>
      <c r="BZ41" s="655"/>
      <c r="CA41" s="655"/>
      <c r="CB41" s="655"/>
      <c r="CC41" s="619"/>
      <c r="CD41" s="613">
        <f t="shared" si="37"/>
        <v>82326207</v>
      </c>
      <c r="CE41" s="371">
        <f t="shared" si="37"/>
        <v>411632</v>
      </c>
      <c r="CF41" s="371">
        <f t="shared" si="37"/>
        <v>81914575</v>
      </c>
      <c r="CG41" s="371">
        <f t="shared" si="37"/>
        <v>0</v>
      </c>
      <c r="CH41" s="371">
        <f t="shared" si="37"/>
        <v>0</v>
      </c>
      <c r="CI41" s="371" t="e">
        <f>+CJ41/CL41%</f>
        <v>#DIV/0!</v>
      </c>
      <c r="CJ41" s="371">
        <f>SUM(CJ9:CJ40)</f>
        <v>0</v>
      </c>
      <c r="CK41" s="371">
        <f>SUM(CK9:CK40)</f>
        <v>0</v>
      </c>
      <c r="CL41" s="371">
        <f>SUM(CL9:CL40)</f>
        <v>0</v>
      </c>
      <c r="CM41" s="371" t="e">
        <f>+CN41/CL41</f>
        <v>#DIV/0!</v>
      </c>
      <c r="CN41" s="371">
        <f t="shared" ref="CN41:CT41" si="42">SUM(CN9:CN40)</f>
        <v>0</v>
      </c>
      <c r="CO41" s="371">
        <f t="shared" si="42"/>
        <v>0</v>
      </c>
      <c r="CP41" s="371">
        <f t="shared" si="42"/>
        <v>0</v>
      </c>
      <c r="CQ41" s="578"/>
      <c r="CR41" s="371">
        <f t="shared" si="42"/>
        <v>0</v>
      </c>
      <c r="CS41" s="371">
        <f t="shared" si="42"/>
        <v>0</v>
      </c>
      <c r="CT41" s="371">
        <f t="shared" si="42"/>
        <v>0</v>
      </c>
      <c r="CU41" s="371" t="e">
        <f>CV41/CT41%</f>
        <v>#DIV/0!</v>
      </c>
      <c r="CV41" s="371">
        <f>SUM(CV9:CV40)</f>
        <v>0</v>
      </c>
      <c r="CW41" s="371">
        <f>SUM(CW9:CW40)</f>
        <v>0</v>
      </c>
      <c r="CX41" s="371" t="e">
        <f>CY41/CW41</f>
        <v>#DIV/0!</v>
      </c>
      <c r="CY41" s="371">
        <f>SUM(CY9:CY40)</f>
        <v>0</v>
      </c>
      <c r="CZ41" s="371"/>
      <c r="DA41" s="371" t="e">
        <f>+DB41/CW41</f>
        <v>#DIV/0!</v>
      </c>
      <c r="DB41" s="371">
        <f t="shared" ref="DB41:DD41" si="43">SUM(DB9:DB40)</f>
        <v>0</v>
      </c>
      <c r="DC41" s="371">
        <f t="shared" si="43"/>
        <v>0</v>
      </c>
      <c r="DD41" s="371">
        <f t="shared" si="43"/>
        <v>0</v>
      </c>
      <c r="DE41" s="578"/>
      <c r="DF41" s="578"/>
      <c r="DG41" s="371">
        <f t="shared" ref="DG41:DL41" si="44">SUM(DG9:DG40)</f>
        <v>3060020</v>
      </c>
      <c r="DH41" s="371">
        <f t="shared" si="44"/>
        <v>979620</v>
      </c>
      <c r="DI41" s="371">
        <f t="shared" si="44"/>
        <v>2080400</v>
      </c>
      <c r="DJ41" s="371">
        <f t="shared" si="44"/>
        <v>0</v>
      </c>
      <c r="DK41" s="371">
        <f t="shared" si="44"/>
        <v>3010</v>
      </c>
      <c r="DL41" s="371">
        <f t="shared" si="44"/>
        <v>2077390</v>
      </c>
      <c r="DM41" s="371">
        <f>DN41/DL41</f>
        <v>582.81093102402531</v>
      </c>
      <c r="DN41" s="371">
        <f t="shared" ref="DN41:EI41" si="45">SUM(DN9:DN40)</f>
        <v>1210725600</v>
      </c>
      <c r="DO41" s="371">
        <f t="shared" si="45"/>
        <v>0</v>
      </c>
      <c r="DP41" s="371">
        <f t="shared" si="45"/>
        <v>0</v>
      </c>
      <c r="DQ41" s="371">
        <f t="shared" si="45"/>
        <v>1210725600</v>
      </c>
      <c r="DR41" s="578"/>
      <c r="DS41" s="371">
        <f t="shared" si="45"/>
        <v>0</v>
      </c>
      <c r="DT41" s="371">
        <f t="shared" si="45"/>
        <v>0</v>
      </c>
      <c r="DU41" s="371">
        <f t="shared" si="45"/>
        <v>0</v>
      </c>
      <c r="DV41" s="371">
        <f t="shared" si="45"/>
        <v>0</v>
      </c>
      <c r="DW41" s="371">
        <f t="shared" si="45"/>
        <v>0</v>
      </c>
      <c r="DX41" s="371">
        <f t="shared" si="45"/>
        <v>0</v>
      </c>
      <c r="DY41" s="371">
        <f t="shared" si="45"/>
        <v>0</v>
      </c>
      <c r="DZ41" s="371">
        <f t="shared" si="45"/>
        <v>0</v>
      </c>
      <c r="EA41" s="578"/>
      <c r="EB41" s="371">
        <f t="shared" si="45"/>
        <v>0</v>
      </c>
      <c r="EC41" s="371">
        <f t="shared" si="45"/>
        <v>0</v>
      </c>
      <c r="ED41" s="371">
        <f t="shared" si="45"/>
        <v>0</v>
      </c>
      <c r="EE41" s="371">
        <f t="shared" si="45"/>
        <v>0</v>
      </c>
      <c r="EF41" s="371">
        <f t="shared" si="45"/>
        <v>0</v>
      </c>
      <c r="EG41" s="371">
        <f t="shared" si="45"/>
        <v>0</v>
      </c>
      <c r="EH41" s="371">
        <f t="shared" si="45"/>
        <v>0</v>
      </c>
      <c r="EI41" s="371">
        <f t="shared" si="45"/>
        <v>0</v>
      </c>
      <c r="EJ41" s="371">
        <f t="shared" ref="EJ41:FL41" si="46">SUM(EJ9:EJ40)</f>
        <v>0</v>
      </c>
      <c r="EK41" s="371">
        <f t="shared" si="46"/>
        <v>0</v>
      </c>
      <c r="EL41" s="371">
        <f t="shared" si="46"/>
        <v>0</v>
      </c>
      <c r="EM41" s="371">
        <f t="shared" si="46"/>
        <v>0</v>
      </c>
      <c r="EN41" s="371">
        <f t="shared" si="46"/>
        <v>0</v>
      </c>
      <c r="EO41" s="371">
        <f t="shared" si="46"/>
        <v>0</v>
      </c>
      <c r="EP41" s="371">
        <f t="shared" si="46"/>
        <v>0</v>
      </c>
      <c r="EQ41" s="371">
        <f t="shared" si="46"/>
        <v>0</v>
      </c>
      <c r="ER41" s="371">
        <f t="shared" si="46"/>
        <v>0</v>
      </c>
      <c r="ES41" s="371">
        <f t="shared" si="46"/>
        <v>0</v>
      </c>
      <c r="ET41" s="371">
        <f t="shared" si="46"/>
        <v>0</v>
      </c>
      <c r="EU41" s="371">
        <f t="shared" si="46"/>
        <v>0</v>
      </c>
      <c r="EV41" s="371">
        <f t="shared" si="46"/>
        <v>0</v>
      </c>
      <c r="EW41" s="371">
        <f t="shared" si="46"/>
        <v>0</v>
      </c>
      <c r="EX41" s="371">
        <f t="shared" si="46"/>
        <v>0</v>
      </c>
      <c r="EY41" s="371">
        <f t="shared" si="46"/>
        <v>0</v>
      </c>
      <c r="EZ41" s="371">
        <f t="shared" si="46"/>
        <v>0</v>
      </c>
      <c r="FA41" s="371">
        <f t="shared" si="46"/>
        <v>0</v>
      </c>
      <c r="FB41" s="371">
        <f t="shared" si="46"/>
        <v>0</v>
      </c>
      <c r="FC41" s="371">
        <f t="shared" si="46"/>
        <v>0</v>
      </c>
      <c r="FD41" s="371">
        <f t="shared" si="46"/>
        <v>0</v>
      </c>
      <c r="FE41" s="371">
        <f t="shared" si="46"/>
        <v>0</v>
      </c>
      <c r="FF41" s="371">
        <f t="shared" si="46"/>
        <v>0</v>
      </c>
      <c r="FG41" s="371">
        <f t="shared" si="46"/>
        <v>0</v>
      </c>
      <c r="FH41" s="371">
        <f t="shared" si="46"/>
        <v>0</v>
      </c>
      <c r="FI41" s="371">
        <f t="shared" si="46"/>
        <v>0</v>
      </c>
      <c r="FJ41" s="371">
        <f t="shared" si="46"/>
        <v>0</v>
      </c>
      <c r="FK41" s="371">
        <f t="shared" si="46"/>
        <v>0</v>
      </c>
      <c r="FL41" s="371">
        <f t="shared" si="46"/>
        <v>0</v>
      </c>
      <c r="FM41" s="371" t="e">
        <f>FN41/FL41</f>
        <v>#DIV/0!</v>
      </c>
      <c r="FN41" s="371">
        <f t="shared" ref="FN41:GL41" si="47">SUM(FN9:FN40)</f>
        <v>0</v>
      </c>
      <c r="FO41" s="371">
        <f t="shared" si="47"/>
        <v>0</v>
      </c>
      <c r="FP41" s="371">
        <f t="shared" si="47"/>
        <v>0</v>
      </c>
      <c r="FQ41" s="371">
        <f t="shared" si="47"/>
        <v>0</v>
      </c>
      <c r="FR41" s="371">
        <f>SUM(FR9:FR40)</f>
        <v>0</v>
      </c>
      <c r="FS41" s="372">
        <f t="shared" si="47"/>
        <v>11460</v>
      </c>
      <c r="FT41" s="372">
        <f>SUM(FT9:FT40)</f>
        <v>16570</v>
      </c>
      <c r="FU41" s="372">
        <f t="shared" si="47"/>
        <v>45100</v>
      </c>
      <c r="FV41" s="372">
        <f t="shared" si="47"/>
        <v>13790</v>
      </c>
      <c r="FW41" s="372">
        <f t="shared" si="47"/>
        <v>0</v>
      </c>
      <c r="FX41" s="372">
        <f t="shared" si="47"/>
        <v>14710</v>
      </c>
      <c r="FY41" s="372">
        <f t="shared" si="47"/>
        <v>0</v>
      </c>
      <c r="FZ41" s="372">
        <f t="shared" si="47"/>
        <v>96580</v>
      </c>
      <c r="GA41" s="372">
        <f t="shared" si="47"/>
        <v>672510</v>
      </c>
      <c r="GB41" s="372">
        <f t="shared" si="47"/>
        <v>0</v>
      </c>
      <c r="GC41" s="372">
        <f t="shared" si="47"/>
        <v>361220</v>
      </c>
      <c r="GD41" s="372">
        <f t="shared" si="47"/>
        <v>779090</v>
      </c>
      <c r="GE41" s="372">
        <f t="shared" si="47"/>
        <v>0</v>
      </c>
      <c r="GF41" s="372">
        <f>SUM(GF9:GF40)</f>
        <v>976140</v>
      </c>
      <c r="GG41" s="372">
        <f t="shared" si="47"/>
        <v>0</v>
      </c>
      <c r="GH41" s="372">
        <f t="shared" si="47"/>
        <v>213700</v>
      </c>
      <c r="GI41" s="372">
        <f t="shared" si="47"/>
        <v>59900</v>
      </c>
      <c r="GJ41" s="372">
        <f t="shared" si="47"/>
        <v>15510</v>
      </c>
      <c r="GK41" s="372">
        <f t="shared" si="47"/>
        <v>0</v>
      </c>
      <c r="GL41" s="372">
        <f t="shared" si="47"/>
        <v>0</v>
      </c>
    </row>
    <row r="42" spans="1:194">
      <c r="AU42" s="373"/>
      <c r="AV42" s="373"/>
      <c r="AW42" s="373"/>
      <c r="AX42" s="373"/>
      <c r="AY42" s="373"/>
      <c r="AZ42" s="373"/>
      <c r="BA42" s="373"/>
      <c r="BB42" s="373"/>
      <c r="BC42" s="373"/>
      <c r="BD42" s="373"/>
      <c r="BE42" s="373"/>
      <c r="BF42" s="373"/>
      <c r="BG42" s="373"/>
      <c r="BH42" s="373"/>
      <c r="BI42" s="374"/>
      <c r="BJ42" s="374"/>
      <c r="BK42" s="608"/>
      <c r="FZ42" s="375"/>
      <c r="GA42" s="375"/>
      <c r="GB42" s="243"/>
      <c r="GC42" s="243"/>
      <c r="GD42" s="243"/>
      <c r="GE42" s="243"/>
      <c r="GF42" s="243"/>
    </row>
    <row r="43" spans="1:194" s="376" customFormat="1" ht="31.5" customHeight="1">
      <c r="A43" s="376" t="s">
        <v>11</v>
      </c>
      <c r="B43" s="782" t="str">
        <f>UPPER("DATA KELAPA PERMINGGU BULAN : "&amp;TEXT(DATE(H2,H3,1),"MMMM YYYY"))</f>
        <v>DATA KELAPA PERMINGGU BULAN : MARCH 2020</v>
      </c>
      <c r="C43" s="782"/>
      <c r="D43" s="782"/>
      <c r="E43" s="782"/>
      <c r="F43" s="782"/>
      <c r="G43" s="782"/>
      <c r="H43" s="782"/>
      <c r="I43" s="782"/>
      <c r="J43" s="782"/>
      <c r="K43" s="782"/>
      <c r="L43" s="782"/>
      <c r="M43" s="782"/>
      <c r="N43" s="782"/>
      <c r="O43" s="782"/>
      <c r="P43" s="782"/>
      <c r="Q43" s="782"/>
      <c r="R43" s="377"/>
      <c r="AT43" s="377"/>
      <c r="AU43" s="380"/>
      <c r="AV43" s="380"/>
      <c r="AW43" s="380"/>
      <c r="AX43" s="380"/>
      <c r="AY43" s="380"/>
      <c r="AZ43" s="380"/>
      <c r="BA43" s="380"/>
      <c r="BB43" s="380"/>
      <c r="BC43" s="380"/>
      <c r="BD43" s="380"/>
      <c r="BE43" s="380"/>
      <c r="BF43" s="380"/>
      <c r="BG43" s="380"/>
      <c r="BH43" s="380"/>
      <c r="BI43" s="380"/>
      <c r="BJ43" s="380"/>
      <c r="BK43" s="380"/>
      <c r="BL43" s="381"/>
      <c r="BM43" s="381"/>
      <c r="BN43" s="381"/>
      <c r="BO43" s="381"/>
      <c r="BP43" s="381"/>
      <c r="BQ43" s="381"/>
      <c r="BR43" s="381"/>
      <c r="BS43" s="381"/>
      <c r="BT43" s="381"/>
      <c r="BU43" s="381"/>
      <c r="BV43" s="381"/>
      <c r="BW43" s="381"/>
      <c r="BX43" s="381"/>
      <c r="BY43" s="381"/>
      <c r="BZ43" s="381"/>
      <c r="CA43" s="381"/>
      <c r="CB43" s="381"/>
      <c r="CC43" s="609"/>
      <c r="CD43" s="378"/>
      <c r="CE43" s="378"/>
      <c r="CF43" s="379"/>
      <c r="CG43" s="379"/>
      <c r="CH43" s="379"/>
      <c r="CI43" s="379"/>
      <c r="CJ43" s="379"/>
      <c r="CK43" s="379"/>
      <c r="CL43" s="379"/>
      <c r="CM43" s="379"/>
      <c r="CN43" s="379"/>
      <c r="CO43" s="379"/>
      <c r="CP43" s="379"/>
      <c r="CQ43" s="379"/>
      <c r="CW43" s="377"/>
      <c r="DF43" s="601"/>
      <c r="DQ43" s="377"/>
      <c r="DY43" s="377"/>
      <c r="EG43" s="377"/>
      <c r="FS43"/>
      <c r="FT43"/>
      <c r="FU43"/>
      <c r="FV43"/>
      <c r="FW43"/>
      <c r="FX43"/>
      <c r="FY43"/>
      <c r="FZ43" s="375"/>
      <c r="GA43" s="375"/>
      <c r="GB43"/>
      <c r="GC43"/>
      <c r="GD43"/>
      <c r="GE43"/>
      <c r="GF43"/>
      <c r="GG43"/>
      <c r="GH43"/>
      <c r="GI43"/>
      <c r="GJ43"/>
      <c r="GK43"/>
      <c r="GL43"/>
    </row>
    <row r="44" spans="1:194">
      <c r="E44" s="382"/>
      <c r="F44" s="382"/>
      <c r="G44" s="382"/>
      <c r="H44" s="382"/>
      <c r="I44" s="382"/>
      <c r="J44" s="380"/>
      <c r="K44" s="382"/>
      <c r="L44" s="382"/>
      <c r="M44" s="382"/>
      <c r="N44" s="382"/>
      <c r="O44" s="382"/>
      <c r="P44" s="382"/>
      <c r="Q44" s="382"/>
      <c r="R44" s="380"/>
      <c r="S44" s="382"/>
      <c r="T44" s="382"/>
      <c r="U44" s="382"/>
      <c r="V44" s="382"/>
      <c r="W44" s="382"/>
      <c r="X44" s="382"/>
      <c r="Y44" s="382"/>
      <c r="Z44" s="382"/>
      <c r="AA44" s="382"/>
      <c r="AB44" s="382"/>
      <c r="AC44" s="382"/>
      <c r="AD44" s="382"/>
      <c r="AE44" s="382"/>
      <c r="AG44" s="376"/>
      <c r="AH44" s="376"/>
      <c r="AI44" s="376"/>
      <c r="AJ44" s="376"/>
      <c r="AK44" s="376"/>
      <c r="AL44" s="376"/>
      <c r="AM44" s="376"/>
      <c r="AN44" s="376"/>
      <c r="AO44" s="376"/>
      <c r="AP44" s="376"/>
      <c r="AQ44" s="376"/>
      <c r="AR44" s="376"/>
      <c r="AS44" s="376"/>
      <c r="AT44" s="380"/>
      <c r="AU44" s="383"/>
      <c r="AV44" s="383"/>
      <c r="AW44" s="384"/>
      <c r="AX44" s="384"/>
      <c r="AY44" s="384"/>
      <c r="AZ44" s="384"/>
      <c r="BA44" s="384"/>
      <c r="BB44" s="384"/>
      <c r="BC44" s="384"/>
      <c r="BD44" s="384"/>
      <c r="BE44" s="384"/>
      <c r="BF44" s="384"/>
      <c r="BG44" s="384"/>
      <c r="BH44" s="384"/>
      <c r="BI44" s="384"/>
      <c r="BJ44" s="384"/>
      <c r="BK44" s="384"/>
      <c r="BL44" s="385"/>
      <c r="BM44" s="385"/>
      <c r="BN44" s="385"/>
      <c r="BO44" s="385"/>
      <c r="BP44" s="385"/>
      <c r="BQ44" s="385"/>
      <c r="BR44" s="385"/>
      <c r="BS44" s="385"/>
      <c r="BT44" s="385"/>
      <c r="BU44" s="385"/>
      <c r="BV44" s="385"/>
      <c r="BW44" s="385"/>
      <c r="BX44" s="385"/>
      <c r="BY44" s="385"/>
      <c r="BZ44" s="385"/>
      <c r="CA44" s="385"/>
      <c r="CB44" s="385"/>
      <c r="CC44" s="610"/>
      <c r="CD44" s="383"/>
      <c r="CE44" s="383"/>
      <c r="CF44" s="384"/>
      <c r="CG44" s="384"/>
      <c r="CH44" s="384"/>
      <c r="CI44" s="384"/>
      <c r="CJ44" s="384"/>
      <c r="CK44" s="384"/>
      <c r="CL44" s="384"/>
      <c r="CM44" s="384"/>
      <c r="CN44" s="384"/>
      <c r="CO44" s="384"/>
      <c r="CP44" s="384"/>
      <c r="CQ44" s="384"/>
      <c r="CR44" s="382"/>
      <c r="CS44" s="382"/>
      <c r="CT44" s="382"/>
      <c r="CU44" s="382"/>
      <c r="CV44" s="382"/>
      <c r="CW44" s="380"/>
      <c r="CX44" s="382"/>
      <c r="CY44" s="382"/>
      <c r="CZ44" s="382"/>
      <c r="DA44" s="382"/>
      <c r="DB44" s="382"/>
      <c r="DC44" s="382"/>
      <c r="DD44" s="382"/>
      <c r="DE44" s="382"/>
      <c r="DF44" s="386"/>
      <c r="DG44" s="385"/>
      <c r="DH44" s="385"/>
      <c r="DI44" s="385"/>
      <c r="DJ44" s="385"/>
      <c r="DK44" s="385"/>
      <c r="DL44" s="385"/>
      <c r="DM44" s="385"/>
      <c r="DN44" s="385"/>
      <c r="DO44" s="385"/>
      <c r="DP44" s="385"/>
      <c r="DQ44" s="386"/>
      <c r="DR44" s="385"/>
      <c r="FG44" s="385"/>
      <c r="FH44" s="385"/>
      <c r="FI44" s="385"/>
      <c r="FJ44" s="385"/>
      <c r="FK44" s="385"/>
      <c r="FL44" s="385"/>
      <c r="FM44" s="385"/>
      <c r="FN44" s="385"/>
      <c r="FO44" s="385"/>
      <c r="FP44" s="385"/>
      <c r="FQ44" s="385"/>
      <c r="FR44" s="385"/>
    </row>
    <row r="45" spans="1:194" s="744" customFormat="1">
      <c r="A45" s="723"/>
      <c r="B45" s="1133" t="s">
        <v>112</v>
      </c>
      <c r="C45" s="1133" t="s">
        <v>106</v>
      </c>
      <c r="D45" s="604"/>
      <c r="E45" s="1136" t="s">
        <v>337</v>
      </c>
      <c r="F45" s="1137"/>
      <c r="G45" s="1137"/>
      <c r="H45" s="1137"/>
      <c r="I45" s="1137"/>
      <c r="J45" s="1138"/>
      <c r="K45" s="297"/>
      <c r="L45" s="297"/>
      <c r="M45" s="297"/>
      <c r="N45" s="297"/>
      <c r="O45" s="297"/>
      <c r="P45" s="735"/>
      <c r="Q45" s="735"/>
      <c r="R45" s="579"/>
      <c r="S45" s="1139" t="s">
        <v>338</v>
      </c>
      <c r="T45" s="1140"/>
      <c r="U45" s="1140"/>
      <c r="V45" s="1140"/>
      <c r="W45" s="1140"/>
      <c r="X45" s="1140"/>
      <c r="Y45" s="1140"/>
      <c r="Z45" s="1140"/>
      <c r="AA45" s="1140"/>
      <c r="AB45" s="1140"/>
      <c r="AC45" s="1140"/>
      <c r="AD45" s="1140"/>
      <c r="AE45" s="1140"/>
      <c r="AF45" s="740"/>
      <c r="AG45" s="741"/>
      <c r="AH45" s="741"/>
      <c r="AI45" s="741"/>
      <c r="AJ45" s="741"/>
      <c r="AK45" s="741"/>
      <c r="AL45" s="741"/>
      <c r="AM45" s="741"/>
      <c r="AN45" s="741"/>
      <c r="AO45" s="741"/>
      <c r="AP45" s="741"/>
      <c r="AQ45" s="741"/>
      <c r="AR45" s="741"/>
      <c r="AS45" s="741"/>
      <c r="AT45" s="740"/>
      <c r="AU45" s="740"/>
      <c r="AV45" s="740"/>
      <c r="AW45" s="740"/>
      <c r="AX45" s="740"/>
      <c r="AY45" s="740"/>
      <c r="AZ45" s="740"/>
      <c r="BA45" s="740"/>
      <c r="BB45" s="740"/>
      <c r="BC45" s="740"/>
      <c r="BD45" s="740"/>
      <c r="BE45" s="740"/>
      <c r="BF45" s="740"/>
      <c r="BG45" s="740"/>
      <c r="BH45" s="740"/>
      <c r="BI45" s="740"/>
      <c r="BJ45" s="740"/>
      <c r="BK45" s="740"/>
      <c r="BL45" s="741"/>
      <c r="BM45" s="741"/>
      <c r="BN45" s="741"/>
      <c r="BO45" s="741"/>
      <c r="BP45" s="741"/>
      <c r="BQ45" s="741"/>
      <c r="BR45" s="741"/>
      <c r="BS45" s="741"/>
      <c r="BT45" s="741"/>
      <c r="BU45" s="741"/>
      <c r="BV45" s="741"/>
      <c r="BW45" s="741"/>
      <c r="BX45" s="741"/>
      <c r="BY45" s="741"/>
      <c r="BZ45" s="741"/>
      <c r="CA45" s="741"/>
      <c r="CB45" s="741"/>
      <c r="CC45" s="740"/>
      <c r="CD45" s="740"/>
      <c r="CE45" s="740"/>
      <c r="CF45" s="740"/>
      <c r="CG45" s="740"/>
      <c r="CH45" s="740"/>
      <c r="CI45" s="740"/>
      <c r="CJ45" s="740"/>
      <c r="CK45" s="740"/>
      <c r="CL45" s="740"/>
      <c r="CM45" s="740"/>
      <c r="CN45" s="740"/>
      <c r="CO45" s="740"/>
      <c r="CP45" s="740"/>
      <c r="CQ45" s="740"/>
      <c r="CR45" s="740"/>
      <c r="CS45" s="740"/>
      <c r="CT45" s="740"/>
      <c r="CU45" s="740"/>
      <c r="CV45" s="740"/>
      <c r="CW45" s="740"/>
      <c r="CX45" s="740"/>
      <c r="CY45" s="740"/>
      <c r="CZ45" s="740"/>
      <c r="DA45" s="740"/>
      <c r="DB45" s="740"/>
      <c r="DC45" s="740"/>
      <c r="DD45" s="740"/>
      <c r="DE45" s="740"/>
      <c r="DF45" s="740"/>
      <c r="DG45" s="740"/>
      <c r="DH45" s="740"/>
      <c r="DI45" s="740"/>
      <c r="DJ45" s="740"/>
      <c r="DK45" s="740"/>
      <c r="DL45" s="740"/>
      <c r="DM45" s="740"/>
      <c r="DN45" s="740"/>
      <c r="DO45" s="740"/>
      <c r="DP45" s="740"/>
      <c r="DQ45" s="740"/>
      <c r="DR45" s="740"/>
      <c r="DS45" s="740"/>
      <c r="DT45" s="740"/>
      <c r="DU45" s="740"/>
      <c r="DV45" s="740"/>
      <c r="DW45" s="740"/>
      <c r="DX45" s="740"/>
      <c r="DY45" s="740"/>
      <c r="DZ45" s="740"/>
      <c r="EA45" s="740"/>
      <c r="EB45" s="740"/>
      <c r="EC45" s="740"/>
      <c r="ED45" s="740"/>
      <c r="EE45" s="740"/>
      <c r="EF45" s="740"/>
      <c r="EG45" s="740"/>
      <c r="EH45" s="740"/>
      <c r="EI45" s="740"/>
      <c r="EJ45" s="741"/>
      <c r="EK45" s="741"/>
      <c r="EL45" s="741"/>
      <c r="EM45" s="741"/>
      <c r="EN45" s="741"/>
      <c r="EO45" s="741"/>
      <c r="EP45" s="741"/>
      <c r="EQ45" s="741"/>
      <c r="ER45" s="741"/>
      <c r="ES45" s="741"/>
      <c r="ET45" s="741"/>
      <c r="EU45" s="740"/>
      <c r="EV45" s="740"/>
      <c r="EW45" s="740"/>
      <c r="EX45" s="740"/>
      <c r="EY45" s="740"/>
      <c r="EZ45" s="740"/>
      <c r="FA45" s="742"/>
      <c r="FB45" s="742"/>
      <c r="FC45" s="742"/>
      <c r="FD45" s="742"/>
      <c r="FE45" s="742"/>
      <c r="FF45" s="742"/>
      <c r="FG45" s="740"/>
      <c r="FH45" s="740"/>
      <c r="FI45" s="740"/>
      <c r="FJ45" s="740"/>
      <c r="FK45" s="740"/>
      <c r="FL45" s="740"/>
      <c r="FM45" s="740"/>
      <c r="FN45" s="740"/>
      <c r="FO45" s="740"/>
      <c r="FP45" s="740"/>
      <c r="FQ45" s="740"/>
      <c r="FR45" s="740"/>
      <c r="FS45" s="743"/>
      <c r="FT45" s="743"/>
      <c r="FU45" s="743"/>
      <c r="FV45" s="743"/>
      <c r="FW45" s="743"/>
      <c r="FX45" s="743"/>
      <c r="FY45" s="743"/>
      <c r="FZ45" s="743"/>
      <c r="GA45" s="743"/>
      <c r="GB45" s="743"/>
      <c r="GC45" s="743"/>
      <c r="GD45" s="743"/>
      <c r="GE45" s="743"/>
      <c r="GF45" s="743"/>
      <c r="GG45" s="743"/>
      <c r="GH45" s="743"/>
      <c r="GI45" s="743"/>
      <c r="GJ45" s="743"/>
      <c r="GK45" s="743"/>
      <c r="GL45" s="743"/>
    </row>
    <row r="46" spans="1:194" s="744" customFormat="1">
      <c r="A46" s="723"/>
      <c r="B46" s="1134"/>
      <c r="C46" s="1134"/>
      <c r="D46" s="605"/>
      <c r="E46" s="1106" t="s">
        <v>362</v>
      </c>
      <c r="F46" s="1108" t="s">
        <v>363</v>
      </c>
      <c r="G46" s="1110" t="s">
        <v>364</v>
      </c>
      <c r="H46" s="1112" t="s">
        <v>365</v>
      </c>
      <c r="I46" s="1113"/>
      <c r="J46" s="1110" t="s">
        <v>366</v>
      </c>
      <c r="K46" s="1100" t="s">
        <v>367</v>
      </c>
      <c r="L46" s="1100" t="s">
        <v>368</v>
      </c>
      <c r="M46" s="1114" t="s">
        <v>369</v>
      </c>
      <c r="N46" s="1102" t="s">
        <v>370</v>
      </c>
      <c r="O46" s="301" t="s">
        <v>68</v>
      </c>
      <c r="P46" s="1100" t="s">
        <v>371</v>
      </c>
      <c r="Q46" s="302" t="s">
        <v>68</v>
      </c>
      <c r="R46" s="302"/>
      <c r="S46" s="1106" t="s">
        <v>362</v>
      </c>
      <c r="T46" s="1108" t="s">
        <v>363</v>
      </c>
      <c r="U46" s="1110" t="s">
        <v>364</v>
      </c>
      <c r="V46" s="1112" t="s">
        <v>365</v>
      </c>
      <c r="W46" s="1113"/>
      <c r="X46" s="1110" t="s">
        <v>366</v>
      </c>
      <c r="Y46" s="1100" t="s">
        <v>367</v>
      </c>
      <c r="Z46" s="1100" t="s">
        <v>368</v>
      </c>
      <c r="AA46" s="1114" t="s">
        <v>369</v>
      </c>
      <c r="AB46" s="1102" t="s">
        <v>370</v>
      </c>
      <c r="AC46" s="301" t="s">
        <v>68</v>
      </c>
      <c r="AD46" s="1100" t="s">
        <v>371</v>
      </c>
      <c r="AE46" s="302" t="s">
        <v>68</v>
      </c>
      <c r="AF46" s="745"/>
      <c r="AG46" s="745"/>
      <c r="AH46" s="745"/>
      <c r="AI46" s="745"/>
      <c r="AJ46" s="746"/>
      <c r="AK46" s="746"/>
      <c r="AL46" s="745"/>
      <c r="AM46" s="745"/>
      <c r="AN46" s="745"/>
      <c r="AO46" s="745"/>
      <c r="AP46" s="745"/>
      <c r="AQ46" s="745"/>
      <c r="AR46" s="745"/>
      <c r="AS46" s="745"/>
      <c r="AT46" s="745"/>
      <c r="AU46" s="747"/>
      <c r="AV46" s="747"/>
      <c r="AW46" s="747"/>
      <c r="AX46" s="747"/>
      <c r="AY46" s="747"/>
      <c r="AZ46" s="747"/>
      <c r="BA46" s="747"/>
      <c r="BB46" s="747"/>
      <c r="BC46" s="747"/>
      <c r="BD46" s="747"/>
      <c r="BE46" s="747"/>
      <c r="BF46" s="748"/>
      <c r="BG46" s="749"/>
      <c r="BH46" s="750"/>
      <c r="BI46" s="751"/>
      <c r="BJ46" s="747"/>
      <c r="BK46" s="747"/>
      <c r="BL46" s="745"/>
      <c r="BM46" s="745"/>
      <c r="BN46" s="745"/>
      <c r="BO46" s="752"/>
      <c r="BP46" s="752"/>
      <c r="BQ46" s="745"/>
      <c r="BR46" s="745"/>
      <c r="BS46" s="753"/>
      <c r="BT46" s="753"/>
      <c r="BU46" s="745"/>
      <c r="BV46" s="745"/>
      <c r="BW46" s="745"/>
      <c r="BX46" s="748"/>
      <c r="BY46" s="748"/>
      <c r="BZ46" s="748"/>
      <c r="CA46" s="748"/>
      <c r="CB46" s="748"/>
      <c r="CC46" s="745"/>
      <c r="CD46" s="754"/>
      <c r="CE46" s="754"/>
      <c r="CF46" s="754"/>
      <c r="CG46" s="754"/>
      <c r="CH46" s="754"/>
      <c r="CI46" s="750"/>
      <c r="CJ46" s="750"/>
      <c r="CK46" s="750"/>
      <c r="CL46" s="748"/>
      <c r="CM46" s="749"/>
      <c r="CN46" s="750"/>
      <c r="CO46" s="751"/>
      <c r="CP46" s="755"/>
      <c r="CQ46" s="755"/>
      <c r="CR46" s="745"/>
      <c r="CS46" s="745"/>
      <c r="CT46" s="745"/>
      <c r="CU46" s="746"/>
      <c r="CV46" s="746"/>
      <c r="CW46" s="745"/>
      <c r="CX46" s="745"/>
      <c r="CY46" s="745"/>
      <c r="CZ46" s="756"/>
      <c r="DA46" s="757"/>
      <c r="DB46" s="750"/>
      <c r="DC46" s="745"/>
      <c r="DD46" s="745"/>
      <c r="DE46" s="745"/>
      <c r="DF46" s="745"/>
      <c r="DG46" s="745"/>
      <c r="DH46" s="745"/>
      <c r="DI46" s="745"/>
      <c r="DJ46" s="746"/>
      <c r="DK46" s="746"/>
      <c r="DL46" s="745"/>
      <c r="DM46" s="745"/>
      <c r="DN46" s="745"/>
      <c r="DO46" s="745"/>
      <c r="DP46" s="745"/>
      <c r="DQ46" s="745"/>
      <c r="DR46" s="745"/>
      <c r="DS46" s="745"/>
      <c r="DT46" s="745"/>
      <c r="DU46" s="745"/>
      <c r="DV46" s="752"/>
      <c r="DW46" s="752"/>
      <c r="DX46" s="745"/>
      <c r="DY46" s="745"/>
      <c r="DZ46" s="745"/>
      <c r="EA46" s="745"/>
      <c r="EB46" s="745"/>
      <c r="EC46" s="745"/>
      <c r="ED46" s="745"/>
      <c r="EE46" s="746"/>
      <c r="EF46" s="746"/>
      <c r="EG46" s="745"/>
      <c r="EH46" s="745"/>
      <c r="EI46" s="745"/>
      <c r="EJ46" s="746"/>
      <c r="EK46" s="746"/>
      <c r="EL46" s="746"/>
      <c r="EM46" s="746"/>
      <c r="EN46" s="746"/>
      <c r="EO46" s="746"/>
      <c r="EP46" s="746"/>
      <c r="EQ46" s="746"/>
      <c r="ER46" s="746"/>
      <c r="ES46" s="746"/>
      <c r="ET46" s="746"/>
      <c r="EU46" s="745"/>
      <c r="EV46" s="745"/>
      <c r="EW46" s="745"/>
      <c r="EX46" s="746"/>
      <c r="EY46" s="746"/>
      <c r="EZ46" s="745"/>
      <c r="FA46" s="758"/>
      <c r="FB46" s="759"/>
      <c r="FC46" s="759"/>
      <c r="FD46" s="760"/>
      <c r="FE46" s="761"/>
      <c r="FF46" s="761"/>
      <c r="FG46" s="745"/>
      <c r="FH46" s="745"/>
      <c r="FI46" s="745"/>
      <c r="FJ46" s="746"/>
      <c r="FK46" s="746"/>
      <c r="FL46" s="745"/>
      <c r="FM46" s="745"/>
      <c r="FN46" s="745"/>
      <c r="FO46" s="745"/>
      <c r="FP46" s="745"/>
      <c r="FQ46" s="745"/>
      <c r="FR46" s="745"/>
      <c r="FS46" s="743"/>
      <c r="FT46" s="743"/>
      <c r="FU46" s="743"/>
      <c r="FV46" s="743"/>
      <c r="FW46" s="743"/>
      <c r="FX46" s="743"/>
      <c r="FY46" s="743"/>
      <c r="FZ46" s="743"/>
      <c r="GA46" s="743"/>
      <c r="GB46" s="743"/>
      <c r="GC46" s="743"/>
      <c r="GD46" s="743"/>
      <c r="GE46" s="743"/>
      <c r="GF46" s="743"/>
      <c r="GG46" s="743"/>
      <c r="GH46" s="743"/>
      <c r="GI46" s="743"/>
      <c r="GJ46" s="743"/>
      <c r="GK46" s="743"/>
      <c r="GL46" s="743"/>
    </row>
    <row r="47" spans="1:194" s="744" customFormat="1" ht="26.25" thickBot="1">
      <c r="A47" s="723"/>
      <c r="B47" s="1135"/>
      <c r="C47" s="1135"/>
      <c r="D47" s="606"/>
      <c r="E47" s="1148"/>
      <c r="F47" s="1149"/>
      <c r="G47" s="1150"/>
      <c r="H47" s="624" t="s">
        <v>402</v>
      </c>
      <c r="I47" s="625" t="s">
        <v>46</v>
      </c>
      <c r="J47" s="1150"/>
      <c r="K47" s="1101"/>
      <c r="L47" s="1101"/>
      <c r="M47" s="1115"/>
      <c r="N47" s="1116"/>
      <c r="O47" s="316" t="s">
        <v>403</v>
      </c>
      <c r="P47" s="1101"/>
      <c r="Q47" s="535" t="s">
        <v>404</v>
      </c>
      <c r="R47" s="535"/>
      <c r="S47" s="1148"/>
      <c r="T47" s="1149"/>
      <c r="U47" s="1150"/>
      <c r="V47" s="624" t="s">
        <v>402</v>
      </c>
      <c r="W47" s="625" t="s">
        <v>46</v>
      </c>
      <c r="X47" s="1150"/>
      <c r="Y47" s="1101"/>
      <c r="Z47" s="1101"/>
      <c r="AA47" s="1115"/>
      <c r="AB47" s="1116"/>
      <c r="AC47" s="316" t="s">
        <v>403</v>
      </c>
      <c r="AD47" s="1101"/>
      <c r="AE47" s="535" t="s">
        <v>404</v>
      </c>
      <c r="AF47" s="745"/>
      <c r="AG47" s="745"/>
      <c r="AH47" s="745"/>
      <c r="AI47" s="745"/>
      <c r="AJ47" s="745"/>
      <c r="AK47" s="745"/>
      <c r="AL47" s="745"/>
      <c r="AM47" s="745"/>
      <c r="AN47" s="745"/>
      <c r="AO47" s="745"/>
      <c r="AP47" s="745"/>
      <c r="AQ47" s="745"/>
      <c r="AR47" s="745"/>
      <c r="AS47" s="745"/>
      <c r="AT47" s="745"/>
      <c r="AU47" s="747"/>
      <c r="AV47" s="747"/>
      <c r="AW47" s="747"/>
      <c r="AX47" s="747"/>
      <c r="AY47" s="747"/>
      <c r="AZ47" s="747"/>
      <c r="BA47" s="747"/>
      <c r="BB47" s="747"/>
      <c r="BC47" s="747"/>
      <c r="BD47" s="747"/>
      <c r="BE47" s="747"/>
      <c r="BF47" s="748"/>
      <c r="BG47" s="749"/>
      <c r="BH47" s="750"/>
      <c r="BI47" s="751"/>
      <c r="BJ47" s="747"/>
      <c r="BK47" s="747"/>
      <c r="BL47" s="745"/>
      <c r="BM47" s="745"/>
      <c r="BN47" s="745"/>
      <c r="BO47" s="754"/>
      <c r="BP47" s="754"/>
      <c r="BQ47" s="745"/>
      <c r="BR47" s="745"/>
      <c r="BS47" s="762"/>
      <c r="BT47" s="762"/>
      <c r="BU47" s="745"/>
      <c r="BV47" s="745"/>
      <c r="BW47" s="745"/>
      <c r="BX47" s="748"/>
      <c r="BY47" s="748"/>
      <c r="BZ47" s="748"/>
      <c r="CA47" s="748"/>
      <c r="CB47" s="748"/>
      <c r="CC47" s="745"/>
      <c r="CD47" s="754"/>
      <c r="CE47" s="754"/>
      <c r="CF47" s="754"/>
      <c r="CG47" s="754"/>
      <c r="CH47" s="754"/>
      <c r="CI47" s="750"/>
      <c r="CJ47" s="750"/>
      <c r="CK47" s="750"/>
      <c r="CL47" s="748"/>
      <c r="CM47" s="749"/>
      <c r="CN47" s="750"/>
      <c r="CO47" s="751"/>
      <c r="CP47" s="755"/>
      <c r="CQ47" s="755"/>
      <c r="CR47" s="745"/>
      <c r="CS47" s="745"/>
      <c r="CT47" s="745"/>
      <c r="CU47" s="745"/>
      <c r="CV47" s="745"/>
      <c r="CW47" s="745"/>
      <c r="CX47" s="745"/>
      <c r="CY47" s="745"/>
      <c r="CZ47" s="756"/>
      <c r="DA47" s="757"/>
      <c r="DB47" s="750"/>
      <c r="DC47" s="745"/>
      <c r="DD47" s="745"/>
      <c r="DE47" s="745"/>
      <c r="DF47" s="745"/>
      <c r="DG47" s="745"/>
      <c r="DH47" s="745"/>
      <c r="DI47" s="745"/>
      <c r="DJ47" s="763"/>
      <c r="DK47" s="764"/>
      <c r="DL47" s="745"/>
      <c r="DM47" s="745"/>
      <c r="DN47" s="745"/>
      <c r="DO47" s="745"/>
      <c r="DP47" s="745"/>
      <c r="DQ47" s="745"/>
      <c r="DR47" s="745"/>
      <c r="DS47" s="745"/>
      <c r="DT47" s="745"/>
      <c r="DU47" s="745"/>
      <c r="DV47" s="754"/>
      <c r="DW47" s="754"/>
      <c r="DX47" s="745"/>
      <c r="DY47" s="745"/>
      <c r="DZ47" s="745"/>
      <c r="EA47" s="745"/>
      <c r="EB47" s="745"/>
      <c r="EC47" s="745"/>
      <c r="ED47" s="745"/>
      <c r="EE47" s="745"/>
      <c r="EF47" s="745"/>
      <c r="EG47" s="745"/>
      <c r="EH47" s="745"/>
      <c r="EI47" s="745"/>
      <c r="EJ47" s="746"/>
      <c r="EK47" s="746"/>
      <c r="EL47" s="746"/>
      <c r="EM47" s="746"/>
      <c r="EN47" s="746"/>
      <c r="EO47" s="746"/>
      <c r="EP47" s="746"/>
      <c r="EQ47" s="746"/>
      <c r="ER47" s="746"/>
      <c r="ES47" s="746"/>
      <c r="ET47" s="746"/>
      <c r="EU47" s="745"/>
      <c r="EV47" s="745"/>
      <c r="EW47" s="745"/>
      <c r="EX47" s="745"/>
      <c r="EY47" s="745"/>
      <c r="EZ47" s="745"/>
      <c r="FA47" s="765"/>
      <c r="FB47" s="765"/>
      <c r="FC47" s="765"/>
      <c r="FD47" s="765"/>
      <c r="FE47" s="765"/>
      <c r="FF47" s="765"/>
      <c r="FG47" s="745"/>
      <c r="FH47" s="745"/>
      <c r="FI47" s="745"/>
      <c r="FJ47" s="763"/>
      <c r="FK47" s="764"/>
      <c r="FL47" s="745"/>
      <c r="FM47" s="745"/>
      <c r="FN47" s="745"/>
      <c r="FO47" s="745"/>
      <c r="FP47" s="745"/>
      <c r="FQ47" s="745"/>
      <c r="FR47" s="745"/>
      <c r="FS47" s="743"/>
      <c r="FT47" s="743"/>
      <c r="FU47" s="743"/>
      <c r="FV47" s="743"/>
      <c r="FW47" s="743"/>
      <c r="FX47" s="743"/>
      <c r="FY47" s="743"/>
      <c r="FZ47" s="743"/>
      <c r="GA47" s="743"/>
      <c r="GB47" s="743"/>
      <c r="GC47" s="743"/>
      <c r="GD47" s="743"/>
      <c r="GE47" s="743"/>
      <c r="GF47" s="743"/>
      <c r="GG47" s="743"/>
      <c r="GH47" s="743"/>
      <c r="GI47" s="743"/>
      <c r="GJ47" s="743"/>
      <c r="GK47" s="743"/>
      <c r="GL47" s="743"/>
    </row>
    <row r="48" spans="1:194" s="744" customFormat="1" ht="9.9499999999999993" customHeight="1">
      <c r="A48" s="33"/>
      <c r="B48" s="561"/>
      <c r="C48" s="644"/>
      <c r="D48" s="532"/>
      <c r="E48" s="630"/>
      <c r="F48" s="630"/>
      <c r="G48" s="630"/>
      <c r="H48" s="631"/>
      <c r="I48" s="630"/>
      <c r="J48" s="630"/>
      <c r="K48" s="630"/>
      <c r="L48" s="630"/>
      <c r="M48" s="632"/>
      <c r="N48" s="633"/>
      <c r="O48" s="634"/>
      <c r="P48" s="630"/>
      <c r="Q48" s="630"/>
      <c r="R48" s="630"/>
      <c r="S48" s="630"/>
      <c r="T48" s="630"/>
      <c r="U48" s="630"/>
      <c r="V48" s="631"/>
      <c r="W48" s="630"/>
      <c r="X48" s="630"/>
      <c r="Y48" s="630"/>
      <c r="Z48" s="630"/>
      <c r="AA48" s="632"/>
      <c r="AB48" s="633"/>
      <c r="AC48" s="634"/>
      <c r="AD48" s="630"/>
      <c r="AE48" s="736"/>
      <c r="AF48" s="745"/>
      <c r="AG48" s="745"/>
      <c r="AH48" s="745"/>
      <c r="AI48" s="745"/>
      <c r="AJ48" s="745"/>
      <c r="AK48" s="745"/>
      <c r="AL48" s="745"/>
      <c r="AM48" s="745"/>
      <c r="AN48" s="745"/>
      <c r="AO48" s="745"/>
      <c r="AP48" s="745"/>
      <c r="AQ48" s="745"/>
      <c r="AR48" s="745"/>
      <c r="AS48" s="745"/>
      <c r="AT48" s="745"/>
      <c r="AU48" s="747"/>
      <c r="AV48" s="747"/>
      <c r="AW48" s="747"/>
      <c r="AX48" s="747"/>
      <c r="AY48" s="747"/>
      <c r="AZ48" s="747"/>
      <c r="BA48" s="747"/>
      <c r="BB48" s="747"/>
      <c r="BC48" s="747"/>
      <c r="BD48" s="747"/>
      <c r="BE48" s="747"/>
      <c r="BF48" s="748"/>
      <c r="BG48" s="749"/>
      <c r="BH48" s="750"/>
      <c r="BI48" s="751"/>
      <c r="BJ48" s="747"/>
      <c r="BK48" s="747"/>
      <c r="BL48" s="745"/>
      <c r="BM48" s="745"/>
      <c r="BN48" s="745"/>
      <c r="BO48" s="754"/>
      <c r="BP48" s="754"/>
      <c r="BQ48" s="745"/>
      <c r="BR48" s="745"/>
      <c r="BS48" s="762"/>
      <c r="BT48" s="762"/>
      <c r="BU48" s="745"/>
      <c r="BV48" s="745"/>
      <c r="BW48" s="745"/>
      <c r="BX48" s="745"/>
      <c r="BY48" s="745"/>
      <c r="BZ48" s="745"/>
      <c r="CA48" s="745"/>
      <c r="CB48" s="745"/>
      <c r="CC48" s="745"/>
      <c r="CD48" s="754"/>
      <c r="CE48" s="754"/>
      <c r="CF48" s="754"/>
      <c r="CG48" s="754"/>
      <c r="CH48" s="754"/>
      <c r="CI48" s="750"/>
      <c r="CJ48" s="750"/>
      <c r="CK48" s="750"/>
      <c r="CL48" s="748"/>
      <c r="CM48" s="749"/>
      <c r="CN48" s="750"/>
      <c r="CO48" s="751"/>
      <c r="CP48" s="755"/>
      <c r="CQ48" s="755"/>
      <c r="CR48" s="745"/>
      <c r="CS48" s="745"/>
      <c r="CT48" s="745"/>
      <c r="CU48" s="745"/>
      <c r="CV48" s="745"/>
      <c r="CW48" s="745"/>
      <c r="CX48" s="745"/>
      <c r="CY48" s="745"/>
      <c r="CZ48" s="756"/>
      <c r="DA48" s="757"/>
      <c r="DB48" s="750"/>
      <c r="DC48" s="745"/>
      <c r="DD48" s="745"/>
      <c r="DE48" s="745"/>
      <c r="DF48" s="745"/>
      <c r="DG48" s="745"/>
      <c r="DH48" s="745"/>
      <c r="DI48" s="745"/>
      <c r="DJ48" s="763"/>
      <c r="DK48" s="764"/>
      <c r="DL48" s="745"/>
      <c r="DM48" s="745"/>
      <c r="DN48" s="745"/>
      <c r="DO48" s="745"/>
      <c r="DP48" s="745"/>
      <c r="DQ48" s="745"/>
      <c r="DR48" s="745"/>
      <c r="DS48" s="745"/>
      <c r="DT48" s="745"/>
      <c r="DU48" s="745"/>
      <c r="DV48" s="754"/>
      <c r="DW48" s="754"/>
      <c r="DX48" s="745"/>
      <c r="DY48" s="745"/>
      <c r="DZ48" s="745"/>
      <c r="EA48" s="745"/>
      <c r="EB48" s="745"/>
      <c r="EC48" s="745"/>
      <c r="ED48" s="745"/>
      <c r="EE48" s="745"/>
      <c r="EF48" s="745"/>
      <c r="EG48" s="745"/>
      <c r="EH48" s="745"/>
      <c r="EI48" s="745"/>
      <c r="EJ48" s="746"/>
      <c r="EK48" s="746"/>
      <c r="EL48" s="746"/>
      <c r="EM48" s="746"/>
      <c r="EN48" s="746"/>
      <c r="EO48" s="746"/>
      <c r="EP48" s="746"/>
      <c r="EQ48" s="746"/>
      <c r="ER48" s="746"/>
      <c r="ES48" s="746"/>
      <c r="ET48" s="746"/>
      <c r="EU48" s="745"/>
      <c r="EV48" s="745"/>
      <c r="EW48" s="745"/>
      <c r="EX48" s="745"/>
      <c r="EY48" s="745"/>
      <c r="EZ48" s="745"/>
      <c r="FA48" s="765"/>
      <c r="FB48" s="765"/>
      <c r="FC48" s="765"/>
      <c r="FD48" s="765"/>
      <c r="FE48" s="765"/>
      <c r="FF48" s="765"/>
      <c r="FG48" s="745"/>
      <c r="FH48" s="745"/>
      <c r="FI48" s="745"/>
      <c r="FJ48" s="763"/>
      <c r="FK48" s="764"/>
      <c r="FL48" s="745"/>
      <c r="FM48" s="745"/>
      <c r="FN48" s="745"/>
      <c r="FO48" s="745"/>
      <c r="FP48" s="745"/>
      <c r="FQ48" s="745"/>
      <c r="FR48" s="745"/>
      <c r="FS48" s="743"/>
      <c r="FT48" s="743"/>
      <c r="FU48" s="743"/>
      <c r="FV48" s="743"/>
      <c r="FW48" s="743"/>
      <c r="FX48" s="743"/>
      <c r="FY48" s="743"/>
      <c r="FZ48" s="743"/>
      <c r="GA48" s="743"/>
      <c r="GB48" s="743"/>
      <c r="GC48" s="743"/>
      <c r="GD48" s="743"/>
      <c r="GE48" s="743"/>
      <c r="GF48" s="743"/>
      <c r="GG48" s="743"/>
      <c r="GH48" s="743"/>
      <c r="GI48" s="743"/>
      <c r="GJ48" s="743"/>
      <c r="GK48" s="743"/>
      <c r="GL48" s="743"/>
    </row>
    <row r="49" spans="1:194" s="769" customFormat="1" ht="30" customHeight="1">
      <c r="A49" s="349"/>
      <c r="B49" s="557">
        <v>1</v>
      </c>
      <c r="C49" s="645">
        <f t="shared" ref="C49" si="48">DATE($H$2,$H$3,B49)</f>
        <v>43891</v>
      </c>
      <c r="D49" s="607">
        <f>C49+6</f>
        <v>43897</v>
      </c>
      <c r="E49" s="659">
        <f>SUMIFS(KB[BRUTO],KB[TANGGAL],"&gt;="&amp;C49,KB[TANGGAL],"&lt;="&amp;D49,KB[TYPE],"A")</f>
        <v>821760</v>
      </c>
      <c r="F49" s="660">
        <f>SUMIFS(KB[TARRA],KB[TANGGAL],"&gt;="&amp;C49,KB[TANGGAL],"&lt;="&amp;D49,KB[TYPE],"A")</f>
        <v>369380</v>
      </c>
      <c r="G49" s="660">
        <f>SUMIFS(KB[NETTO],KB[TANGGAL],"&gt;="&amp;C49,KB[TANGGAL],"&lt;="&amp;D49,KB[TYPE],"A")</f>
        <v>452380</v>
      </c>
      <c r="H49" s="660">
        <f t="shared" ref="H49" si="49">IFERROR(I49/G49%,0)</f>
        <v>5.522127415005083</v>
      </c>
      <c r="I49" s="660">
        <f>SUMIFS(KB[TPOT],KB[TANGGAL],"&gt;="&amp;C49,KB[TANGGAL],"&lt;="&amp;D49,KB[TYPE],"A")</f>
        <v>24980.999999999996</v>
      </c>
      <c r="J49" s="660">
        <f>SUMIFS(KB[NETTO2],KB[TANGGAL],"&gt;="&amp;C49,KB[TANGGAL],"&lt;="&amp;D49,KB[TYPE],"A")</f>
        <v>427399</v>
      </c>
      <c r="K49" s="660">
        <f t="shared" ref="K49" si="50">IFERROR(L49/J49,0)</f>
        <v>2956.5836607011247</v>
      </c>
      <c r="L49" s="660">
        <f>SUMIFS(KB[TBAYAR],KB[TANGGAL],"&gt;="&amp;C49,KB[TANGGAL],"&lt;="&amp;D49,KB[TYPE],"A")</f>
        <v>1263640900</v>
      </c>
      <c r="M49" s="660">
        <f t="shared" ref="M49" si="51">ROUND(K49*0.5025%,2)</f>
        <v>14.86</v>
      </c>
      <c r="N49" s="660">
        <f t="shared" ref="N49" si="52">IFERROR(O49/J49,0)</f>
        <v>2971.4388615789931</v>
      </c>
      <c r="O49" s="660">
        <f>SUMIFS(KB[TBAYAR2],KB[TANGGAL],"&gt;="&amp;C49,KB[TANGGAL],"&lt;="&amp;D49,KB[TYPE],"A")</f>
        <v>1269989998</v>
      </c>
      <c r="P49" s="660">
        <f>SUMIFS(KB[POTPPH],KB[TANGGAL],"&gt;="&amp;C49,KB[TANGGAL],"&lt;="&amp;D49,KB[TYPE],"A")</f>
        <v>6349952</v>
      </c>
      <c r="Q49" s="660">
        <f>SUMIFS(KB[TPEMBAYARAN],KB[TANGGAL],"&gt;="&amp;C49,KB[TANGGAL],"&lt;="&amp;D49,KB[TYPE],"A")</f>
        <v>1263640046</v>
      </c>
      <c r="R49" s="661"/>
      <c r="S49" s="659">
        <f>SUMIFS(KB[BRUTO],KB[TANGGAL],"&gt;="&amp;C49,KB[TANGGAL],"&lt;="&amp;D49,KB[TYPE],"B")</f>
        <v>0</v>
      </c>
      <c r="T49" s="660">
        <f>SUMIFS(KB[TARRA],KB[TANGGAL],"&gt;="&amp;C49,KB[TANGGAL],"&lt;="&amp;D49,KB[TYPE],"B")</f>
        <v>0</v>
      </c>
      <c r="U49" s="660">
        <f>SUMIFS(KB[NETTO],KB[TANGGAL],"&gt;="&amp;C49,KB[TANGGAL],"&lt;="&amp;D49,KB[TYPE],"B")</f>
        <v>0</v>
      </c>
      <c r="V49" s="660">
        <f t="shared" ref="V49" si="53">IFERROR(W49/U49%,0)</f>
        <v>0</v>
      </c>
      <c r="W49" s="660">
        <f>SUMIFS(KB[TPOT],KB[TANGGAL],"&gt;="&amp;C49,KB[TANGGAL],"&lt;="&amp;D49,KB[TYPE],"B")</f>
        <v>0</v>
      </c>
      <c r="X49" s="660">
        <f>SUMIFS(KB[NETTO2],KB[TANGGAL],"&gt;="&amp;C49,KB[TANGGAL],"&lt;="&amp;D49,KB[TYPE],"B")</f>
        <v>0</v>
      </c>
      <c r="Y49" s="660">
        <f t="shared" ref="Y49" si="54">IFERROR(Z49/X49,0)</f>
        <v>0</v>
      </c>
      <c r="Z49" s="660">
        <f>SUMIFS(KB[TBAYAR],KB[TANGGAL],"&gt;="&amp;C49,KB[TANGGAL],"&lt;="&amp;D49,KB[TYPE],"B")</f>
        <v>0</v>
      </c>
      <c r="AA49" s="660">
        <f t="shared" ref="AA49" si="55">ROUND(Y49*0.5025%,2)</f>
        <v>0</v>
      </c>
      <c r="AB49" s="660">
        <f t="shared" ref="AB49" si="56">IFERROR(AC49/X49,0)</f>
        <v>0</v>
      </c>
      <c r="AC49" s="660">
        <f>SUMIFS(KB[TBAYAR2],KB[TANGGAL],"&gt;="&amp;C49,KB[TANGGAL],"&lt;="&amp;D49,KB[TYPE],"B")</f>
        <v>0</v>
      </c>
      <c r="AD49" s="660">
        <f>SUMIFS(KB[POTPPH],KB[TANGGAL],"&gt;="&amp;C49,KB[TANGGAL],"&lt;="&amp;D49,KB[TYPE],"B")</f>
        <v>0</v>
      </c>
      <c r="AE49" s="737">
        <f>SUMIFS(KB[TPEMBAYARAN],KB[TANGGAL],"&gt;="&amp;C49,KB[TANGGAL],"&lt;="&amp;D49,KB[TYPE],"B")</f>
        <v>0</v>
      </c>
      <c r="AF49" s="766"/>
      <c r="AG49" s="766"/>
      <c r="AH49" s="767"/>
      <c r="AI49" s="767"/>
      <c r="AJ49" s="767"/>
      <c r="AK49" s="767"/>
      <c r="AL49" s="767"/>
      <c r="AM49" s="767"/>
      <c r="AN49" s="767"/>
      <c r="AO49" s="767"/>
      <c r="AP49" s="767"/>
      <c r="AQ49" s="767"/>
      <c r="AR49" s="767"/>
      <c r="AS49" s="767"/>
      <c r="AT49" s="766"/>
      <c r="AU49" s="766"/>
      <c r="AV49" s="767"/>
      <c r="AW49" s="767"/>
      <c r="AX49" s="767"/>
      <c r="AY49" s="767"/>
      <c r="AZ49" s="767"/>
      <c r="BA49" s="767"/>
      <c r="BB49" s="767"/>
      <c r="BC49" s="767"/>
      <c r="BD49" s="767"/>
      <c r="BE49" s="767"/>
      <c r="BF49" s="767"/>
      <c r="BG49" s="767"/>
      <c r="BH49" s="767"/>
      <c r="BI49" s="767"/>
      <c r="BJ49" s="767"/>
      <c r="BK49" s="766"/>
      <c r="BL49" s="766"/>
      <c r="BM49" s="766"/>
      <c r="BN49" s="766"/>
      <c r="BO49" s="766"/>
      <c r="BP49" s="766"/>
      <c r="BQ49" s="766"/>
      <c r="BR49" s="766"/>
      <c r="BS49" s="766"/>
      <c r="BT49" s="766"/>
      <c r="BU49" s="766"/>
      <c r="BV49" s="767"/>
      <c r="BW49" s="766"/>
      <c r="BX49" s="766"/>
      <c r="BY49" s="766"/>
      <c r="BZ49" s="766"/>
      <c r="CA49" s="766"/>
      <c r="CB49" s="766"/>
      <c r="CC49" s="768"/>
      <c r="CD49" s="768"/>
      <c r="CE49" s="768"/>
      <c r="CF49" s="768"/>
      <c r="CG49" s="768"/>
      <c r="CH49" s="768"/>
      <c r="CI49" s="768"/>
      <c r="CJ49" s="768"/>
      <c r="CK49" s="768"/>
      <c r="CL49" s="768"/>
      <c r="CM49" s="768"/>
      <c r="CN49" s="768"/>
      <c r="CO49" s="768"/>
      <c r="CP49" s="768"/>
      <c r="CQ49" s="768"/>
      <c r="CR49" s="768"/>
      <c r="CS49" s="768"/>
      <c r="CT49" s="768"/>
      <c r="CU49" s="768"/>
      <c r="CV49" s="768"/>
      <c r="CW49" s="768"/>
      <c r="CX49" s="768"/>
      <c r="CY49" s="768"/>
      <c r="CZ49" s="768"/>
      <c r="DA49" s="768"/>
      <c r="DB49" s="768"/>
      <c r="DC49" s="768"/>
      <c r="DD49" s="768"/>
      <c r="DE49" s="768"/>
      <c r="DF49" s="768"/>
      <c r="DG49" s="768"/>
      <c r="DH49" s="768"/>
      <c r="DI49" s="768"/>
      <c r="DJ49" s="768"/>
      <c r="DK49" s="768"/>
      <c r="DL49" s="768"/>
      <c r="DM49" s="768"/>
      <c r="DN49" s="768"/>
      <c r="DO49" s="768"/>
      <c r="DP49" s="768"/>
      <c r="DQ49" s="768"/>
      <c r="DR49" s="768"/>
      <c r="DS49" s="768"/>
      <c r="DT49" s="768"/>
      <c r="DU49" s="768"/>
      <c r="DV49" s="768"/>
      <c r="DW49" s="768"/>
      <c r="DX49" s="768"/>
      <c r="DY49" s="768"/>
      <c r="DZ49" s="768"/>
      <c r="EA49" s="768"/>
      <c r="EB49" s="768"/>
      <c r="EC49" s="768"/>
      <c r="ED49" s="768"/>
      <c r="EE49" s="768"/>
      <c r="EF49" s="768"/>
      <c r="EG49" s="768"/>
      <c r="EH49" s="768"/>
      <c r="EI49" s="768"/>
      <c r="EJ49" s="768"/>
      <c r="EK49" s="768"/>
      <c r="EL49" s="768"/>
      <c r="EM49" s="768"/>
      <c r="EN49" s="768"/>
      <c r="EO49" s="768"/>
      <c r="EP49" s="768"/>
      <c r="EQ49" s="768"/>
      <c r="ER49" s="768"/>
      <c r="ES49" s="768"/>
      <c r="ET49" s="768"/>
      <c r="EU49" s="768"/>
      <c r="EV49" s="768"/>
      <c r="EW49" s="768"/>
      <c r="EX49" s="768"/>
      <c r="EY49" s="768"/>
      <c r="EZ49" s="768"/>
      <c r="FA49" s="768"/>
      <c r="FB49" s="768"/>
      <c r="FC49" s="768"/>
      <c r="FD49" s="768"/>
      <c r="FE49" s="768"/>
      <c r="FF49" s="768"/>
      <c r="FG49" s="768"/>
      <c r="FH49" s="768"/>
      <c r="FI49" s="768"/>
      <c r="FJ49" s="768"/>
      <c r="FK49" s="768"/>
      <c r="FL49" s="768"/>
      <c r="FM49" s="768"/>
      <c r="FN49" s="768"/>
      <c r="FO49" s="768"/>
      <c r="FP49" s="768"/>
      <c r="FQ49" s="768"/>
      <c r="FR49" s="768"/>
      <c r="FS49" s="768"/>
      <c r="FT49" s="768"/>
      <c r="FU49" s="768"/>
      <c r="FV49" s="768"/>
      <c r="FW49" s="768"/>
      <c r="FX49" s="768"/>
      <c r="FY49" s="768"/>
      <c r="FZ49" s="768"/>
      <c r="GA49" s="768"/>
      <c r="GB49" s="768"/>
      <c r="GC49" s="768"/>
      <c r="GD49" s="768"/>
      <c r="GE49" s="768"/>
      <c r="GF49" s="768"/>
      <c r="GG49" s="768"/>
      <c r="GH49" s="768"/>
      <c r="GI49" s="768"/>
      <c r="GJ49" s="768"/>
      <c r="GK49" s="768"/>
      <c r="GL49" s="768"/>
    </row>
    <row r="50" spans="1:194" s="769" customFormat="1" ht="30" customHeight="1">
      <c r="A50" s="349"/>
      <c r="B50" s="557">
        <f>+B49+1</f>
        <v>2</v>
      </c>
      <c r="C50" s="645">
        <f>D49+1</f>
        <v>43898</v>
      </c>
      <c r="D50" s="607">
        <f>C50+6</f>
        <v>43904</v>
      </c>
      <c r="E50" s="659">
        <f>SUMIFS(KB[BRUTO],KB[TANGGAL],"&gt;="&amp;C50,KB[TANGGAL],"&lt;="&amp;D50,KB[TYPE],"A")</f>
        <v>1048160</v>
      </c>
      <c r="F50" s="660">
        <f>SUMIFS(KB[TARRA],KB[TANGGAL],"&gt;="&amp;C50,KB[TANGGAL],"&lt;="&amp;D50,KB[TYPE],"A")</f>
        <v>457170</v>
      </c>
      <c r="G50" s="660">
        <f>SUMIFS(KB[NETTO],KB[TANGGAL],"&gt;="&amp;C50,KB[TANGGAL],"&lt;="&amp;D50,KB[TYPE],"A")</f>
        <v>590990</v>
      </c>
      <c r="H50" s="660">
        <f t="shared" ref="H50:H53" si="57">IFERROR(I50/G50%,0)</f>
        <v>5.4962182101219996</v>
      </c>
      <c r="I50" s="660">
        <f>SUMIFS(KB[TPOT],KB[TANGGAL],"&gt;="&amp;C50,KB[TANGGAL],"&lt;="&amp;D50,KB[TYPE],"A")</f>
        <v>32482.100000000002</v>
      </c>
      <c r="J50" s="660">
        <f>SUMIFS(KB[NETTO2],KB[TANGGAL],"&gt;="&amp;C50,KB[TANGGAL],"&lt;="&amp;D50,KB[TYPE],"A")</f>
        <v>558507.89999999991</v>
      </c>
      <c r="K50" s="660">
        <f t="shared" ref="K50:K53" si="58">IFERROR(L50/J50,0)</f>
        <v>2984.4495216629884</v>
      </c>
      <c r="L50" s="660">
        <f>SUMIFS(KB[TBAYAR],KB[TANGGAL],"&gt;="&amp;C50,KB[TANGGAL],"&lt;="&amp;D50,KB[TYPE],"A")</f>
        <v>1666838635</v>
      </c>
      <c r="M50" s="660">
        <f t="shared" ref="M50:M53" si="59">ROUND(K50*0.5025%,2)</f>
        <v>15</v>
      </c>
      <c r="N50" s="660">
        <f t="shared" ref="N50:N53" si="60">IFERROR(O50/J50,0)</f>
        <v>2999.4451734702416</v>
      </c>
      <c r="O50" s="660">
        <f>SUMIFS(KB[TBAYAR2],KB[TANGGAL],"&gt;="&amp;C50,KB[TANGGAL],"&lt;="&amp;D50,KB[TYPE],"A")</f>
        <v>1675213825</v>
      </c>
      <c r="P50" s="660">
        <f>SUMIFS(KB[POTPPH],KB[TANGGAL],"&gt;="&amp;C50,KB[TANGGAL],"&lt;="&amp;D50,KB[TYPE],"A")</f>
        <v>8376072</v>
      </c>
      <c r="Q50" s="660">
        <f>SUMIFS(KB[TPEMBAYARAN],KB[TANGGAL],"&gt;="&amp;C50,KB[TANGGAL],"&lt;="&amp;D50,KB[TYPE],"A")</f>
        <v>1666837753</v>
      </c>
      <c r="R50" s="661"/>
      <c r="S50" s="659">
        <f>SUMIFS(KB[BRUTO],KB[TANGGAL],"&gt;="&amp;C50,KB[TANGGAL],"&lt;="&amp;D50,KB[TYPE],"B")</f>
        <v>0</v>
      </c>
      <c r="T50" s="660">
        <f>SUMIFS(KB[TARRA],KB[TANGGAL],"&gt;="&amp;C50,KB[TANGGAL],"&lt;="&amp;D50,KB[TYPE],"B")</f>
        <v>0</v>
      </c>
      <c r="U50" s="660">
        <f>SUMIFS(KB[NETTO],KB[TANGGAL],"&gt;="&amp;C50,KB[TANGGAL],"&lt;="&amp;D50,KB[TYPE],"B")</f>
        <v>0</v>
      </c>
      <c r="V50" s="660">
        <f t="shared" ref="V50:V53" si="61">IFERROR(W50/U50%,0)</f>
        <v>0</v>
      </c>
      <c r="W50" s="660">
        <f>SUMIFS(KB[TPOT],KB[TANGGAL],"&gt;="&amp;C50,KB[TANGGAL],"&lt;="&amp;D50,KB[TYPE],"B")</f>
        <v>0</v>
      </c>
      <c r="X50" s="660">
        <f>SUMIFS(KB[NETTO2],KB[TANGGAL],"&gt;="&amp;C50,KB[TANGGAL],"&lt;="&amp;D50,KB[TYPE],"B")</f>
        <v>0</v>
      </c>
      <c r="Y50" s="660">
        <f t="shared" ref="Y50:Y53" si="62">IFERROR(Z50/X50,0)</f>
        <v>0</v>
      </c>
      <c r="Z50" s="660">
        <f>SUMIFS(KB[TBAYAR],KB[TANGGAL],"&gt;="&amp;C50,KB[TANGGAL],"&lt;="&amp;D50,KB[TYPE],"B")</f>
        <v>0</v>
      </c>
      <c r="AA50" s="660">
        <f t="shared" ref="AA50:AA53" si="63">ROUND(Y50*0.5025%,2)</f>
        <v>0</v>
      </c>
      <c r="AB50" s="660">
        <f t="shared" ref="AB50:AB53" si="64">IFERROR(AC50/X50,0)</f>
        <v>0</v>
      </c>
      <c r="AC50" s="660">
        <f>SUMIFS(KB[TBAYAR2],KB[TANGGAL],"&gt;="&amp;C50,KB[TANGGAL],"&lt;="&amp;D50,KB[TYPE],"B")</f>
        <v>0</v>
      </c>
      <c r="AD50" s="660">
        <f>SUMIFS(KB[POTPPH],KB[TANGGAL],"&gt;="&amp;C50,KB[TANGGAL],"&lt;="&amp;D50,KB[TYPE],"B")</f>
        <v>0</v>
      </c>
      <c r="AE50" s="737">
        <f>SUMIFS(KB[TPEMBAYARAN],KB[TANGGAL],"&gt;="&amp;C50,KB[TANGGAL],"&lt;="&amp;D50,KB[TYPE],"B")</f>
        <v>0</v>
      </c>
      <c r="AF50" s="767"/>
      <c r="AG50" s="766"/>
      <c r="AH50" s="767"/>
      <c r="AI50" s="767"/>
      <c r="AJ50" s="767"/>
      <c r="AK50" s="767"/>
      <c r="AL50" s="767"/>
      <c r="AM50" s="767"/>
      <c r="AN50" s="767"/>
      <c r="AO50" s="767"/>
      <c r="AP50" s="767"/>
      <c r="AQ50" s="767"/>
      <c r="AR50" s="767"/>
      <c r="AS50" s="767"/>
      <c r="AT50" s="767"/>
      <c r="AU50" s="766"/>
      <c r="AV50" s="767"/>
      <c r="AW50" s="767"/>
      <c r="AX50" s="767"/>
      <c r="AY50" s="767"/>
      <c r="AZ50" s="767"/>
      <c r="BA50" s="767"/>
      <c r="BB50" s="767"/>
      <c r="BC50" s="767"/>
      <c r="BD50" s="767"/>
      <c r="BE50" s="767"/>
      <c r="BF50" s="767"/>
      <c r="BG50" s="767"/>
      <c r="BH50" s="767"/>
      <c r="BI50" s="767"/>
      <c r="BJ50" s="767"/>
      <c r="BK50" s="767"/>
      <c r="BL50" s="766"/>
      <c r="BM50" s="766"/>
      <c r="BN50" s="766"/>
      <c r="BO50" s="766"/>
      <c r="BP50" s="766"/>
      <c r="BQ50" s="766"/>
      <c r="BR50" s="766"/>
      <c r="BS50" s="766"/>
      <c r="BT50" s="766"/>
      <c r="BU50" s="766"/>
      <c r="BV50" s="767"/>
      <c r="BW50" s="766"/>
      <c r="BX50" s="766"/>
      <c r="BY50" s="766"/>
      <c r="BZ50" s="766"/>
      <c r="CA50" s="766"/>
      <c r="CB50" s="766"/>
      <c r="CC50" s="770"/>
      <c r="CD50" s="770"/>
      <c r="CE50" s="770"/>
      <c r="CF50" s="770"/>
      <c r="CG50" s="770"/>
      <c r="CH50" s="770"/>
      <c r="CI50" s="770"/>
      <c r="CJ50" s="770"/>
      <c r="CK50" s="770"/>
      <c r="CL50" s="770"/>
      <c r="CM50" s="770"/>
      <c r="CN50" s="770"/>
      <c r="CO50" s="770"/>
      <c r="CP50" s="770"/>
      <c r="CQ50" s="770"/>
      <c r="CR50" s="770"/>
      <c r="CS50" s="770"/>
      <c r="CT50" s="770"/>
      <c r="CU50" s="770"/>
      <c r="CV50" s="770"/>
      <c r="CW50" s="770"/>
      <c r="CX50" s="770"/>
      <c r="CY50" s="770"/>
      <c r="CZ50" s="770"/>
      <c r="DA50" s="770"/>
      <c r="DB50" s="770"/>
      <c r="DC50" s="770"/>
      <c r="DD50" s="770"/>
      <c r="DE50" s="770"/>
      <c r="DF50" s="770"/>
      <c r="DG50" s="771"/>
      <c r="DH50" s="771"/>
      <c r="DI50" s="771"/>
      <c r="DJ50" s="771"/>
      <c r="DK50" s="771"/>
      <c r="DL50" s="771"/>
      <c r="DM50" s="771"/>
      <c r="DN50" s="771"/>
      <c r="DO50" s="771"/>
      <c r="DP50" s="771"/>
      <c r="DQ50" s="771"/>
      <c r="DR50" s="771"/>
      <c r="DS50" s="770"/>
      <c r="DT50" s="770"/>
      <c r="DU50" s="770"/>
      <c r="DV50" s="770"/>
      <c r="DW50" s="770"/>
      <c r="DX50" s="770"/>
      <c r="DY50" s="770"/>
      <c r="DZ50" s="770"/>
      <c r="EA50" s="770"/>
      <c r="EB50" s="770"/>
      <c r="EC50" s="770"/>
      <c r="ED50" s="770"/>
      <c r="EE50" s="770"/>
      <c r="EF50" s="770"/>
      <c r="EG50" s="770"/>
      <c r="EH50" s="770"/>
      <c r="EI50" s="770"/>
      <c r="EJ50" s="770"/>
      <c r="EK50" s="770"/>
      <c r="EL50" s="770"/>
      <c r="EM50" s="770"/>
      <c r="EN50" s="770"/>
      <c r="EO50" s="770"/>
      <c r="EP50" s="770"/>
      <c r="EQ50" s="770"/>
      <c r="ER50" s="770"/>
      <c r="ES50" s="770"/>
      <c r="ET50" s="770"/>
      <c r="EU50" s="770"/>
      <c r="EV50" s="770"/>
      <c r="EW50" s="770"/>
      <c r="EX50" s="770"/>
      <c r="EY50" s="770"/>
      <c r="EZ50" s="770"/>
      <c r="FA50" s="770"/>
      <c r="FB50" s="770"/>
      <c r="FC50" s="770"/>
      <c r="FD50" s="770"/>
      <c r="FE50" s="770"/>
      <c r="FF50" s="770"/>
      <c r="FG50" s="770"/>
      <c r="FH50" s="770"/>
      <c r="FI50" s="770"/>
      <c r="FJ50" s="770"/>
      <c r="FK50" s="770"/>
      <c r="FL50" s="770"/>
      <c r="FM50" s="770"/>
      <c r="FN50" s="770"/>
      <c r="FO50" s="770"/>
      <c r="FP50" s="770"/>
      <c r="FQ50" s="770"/>
      <c r="FR50" s="770"/>
      <c r="FS50" s="770"/>
      <c r="FT50" s="770"/>
      <c r="FU50" s="770"/>
      <c r="FV50" s="770"/>
      <c r="FW50" s="770"/>
      <c r="FX50" s="770"/>
      <c r="FY50" s="770"/>
      <c r="FZ50" s="770"/>
      <c r="GA50" s="770"/>
      <c r="GB50" s="770"/>
      <c r="GC50" s="770"/>
      <c r="GD50" s="770"/>
      <c r="GE50" s="770"/>
      <c r="GF50" s="770"/>
      <c r="GG50" s="770"/>
      <c r="GH50" s="770"/>
      <c r="GI50" s="770"/>
      <c r="GJ50" s="770"/>
      <c r="GK50" s="770"/>
      <c r="GL50" s="770"/>
    </row>
    <row r="51" spans="1:194" s="769" customFormat="1" ht="30" customHeight="1">
      <c r="A51" s="349"/>
      <c r="B51" s="557">
        <f t="shared" ref="B51:B53" si="65">+B50+1</f>
        <v>3</v>
      </c>
      <c r="C51" s="645">
        <f t="shared" ref="C51:C53" si="66">D50+1</f>
        <v>43905</v>
      </c>
      <c r="D51" s="607">
        <f t="shared" ref="D51:D52" si="67">C51+6</f>
        <v>43911</v>
      </c>
      <c r="E51" s="659">
        <f>SUMIFS(KB[BRUTO],KB[TANGGAL],"&gt;="&amp;C51,KB[TANGGAL],"&lt;="&amp;D51,KB[TYPE],"A")</f>
        <v>438540</v>
      </c>
      <c r="F51" s="660">
        <f>SUMIFS(KB[TARRA],KB[TANGGAL],"&gt;="&amp;C51,KB[TANGGAL],"&lt;="&amp;D51,KB[TYPE],"A")</f>
        <v>182860</v>
      </c>
      <c r="G51" s="660">
        <f>SUMIFS(KB[NETTO],KB[TANGGAL],"&gt;="&amp;C51,KB[TANGGAL],"&lt;="&amp;D51,KB[TYPE],"A")</f>
        <v>255680</v>
      </c>
      <c r="H51" s="660">
        <f t="shared" si="57"/>
        <v>5.1909809136420524</v>
      </c>
      <c r="I51" s="660">
        <f>SUMIFS(KB[TPOT],KB[TANGGAL],"&gt;="&amp;C51,KB[TANGGAL],"&lt;="&amp;D51,KB[TYPE],"A")</f>
        <v>13272.300000000001</v>
      </c>
      <c r="J51" s="660">
        <f>SUMIFS(KB[NETTO2],KB[TANGGAL],"&gt;="&amp;C51,KB[TANGGAL],"&lt;="&amp;D51,KB[TYPE],"A")</f>
        <v>242407.69999999995</v>
      </c>
      <c r="K51" s="660">
        <f t="shared" si="58"/>
        <v>2920.0979176816581</v>
      </c>
      <c r="L51" s="660">
        <f>SUMIFS(KB[TBAYAR],KB[TANGGAL],"&gt;="&amp;C51,KB[TANGGAL],"&lt;="&amp;D51,KB[TYPE],"A")</f>
        <v>707854220</v>
      </c>
      <c r="M51" s="660">
        <f t="shared" si="59"/>
        <v>14.67</v>
      </c>
      <c r="N51" s="660">
        <f t="shared" si="60"/>
        <v>2934.7696009656465</v>
      </c>
      <c r="O51" s="660">
        <f>SUMIFS(KB[TBAYAR2],KB[TANGGAL],"&gt;="&amp;C51,KB[TANGGAL],"&lt;="&amp;D51,KB[TYPE],"A")</f>
        <v>711410749</v>
      </c>
      <c r="P51" s="660">
        <f>SUMIFS(KB[POTPPH],KB[TANGGAL],"&gt;="&amp;C51,KB[TANGGAL],"&lt;="&amp;D51,KB[TYPE],"A")</f>
        <v>3557054</v>
      </c>
      <c r="Q51" s="660">
        <f>SUMIFS(KB[TPEMBAYARAN],KB[TANGGAL],"&gt;="&amp;C51,KB[TANGGAL],"&lt;="&amp;D51,KB[TYPE],"A")</f>
        <v>707853695</v>
      </c>
      <c r="R51" s="661"/>
      <c r="S51" s="659">
        <f>SUMIFS(KB[BRUTO],KB[TANGGAL],"&gt;="&amp;C51,KB[TANGGAL],"&lt;="&amp;D51,KB[TYPE],"B")</f>
        <v>0</v>
      </c>
      <c r="T51" s="660">
        <f>SUMIFS(KB[TARRA],KB[TANGGAL],"&gt;="&amp;C51,KB[TANGGAL],"&lt;="&amp;D51,KB[TYPE],"B")</f>
        <v>0</v>
      </c>
      <c r="U51" s="660">
        <f>SUMIFS(KB[NETTO],KB[TANGGAL],"&gt;="&amp;C51,KB[TANGGAL],"&lt;="&amp;D51,KB[TYPE],"B")</f>
        <v>0</v>
      </c>
      <c r="V51" s="660">
        <f t="shared" si="61"/>
        <v>0</v>
      </c>
      <c r="W51" s="660">
        <f>SUMIFS(KB[TPOT],KB[TANGGAL],"&gt;="&amp;C51,KB[TANGGAL],"&lt;="&amp;D51,KB[TYPE],"B")</f>
        <v>0</v>
      </c>
      <c r="X51" s="660">
        <f>SUMIFS(KB[NETTO2],KB[TANGGAL],"&gt;="&amp;C51,KB[TANGGAL],"&lt;="&amp;D51,KB[TYPE],"B")</f>
        <v>0</v>
      </c>
      <c r="Y51" s="660">
        <f t="shared" si="62"/>
        <v>0</v>
      </c>
      <c r="Z51" s="660">
        <f>SUMIFS(KB[TBAYAR],KB[TANGGAL],"&gt;="&amp;C51,KB[TANGGAL],"&lt;="&amp;D51,KB[TYPE],"B")</f>
        <v>0</v>
      </c>
      <c r="AA51" s="660">
        <f t="shared" si="63"/>
        <v>0</v>
      </c>
      <c r="AB51" s="660">
        <f t="shared" si="64"/>
        <v>0</v>
      </c>
      <c r="AC51" s="660">
        <f>SUMIFS(KB[TBAYAR2],KB[TANGGAL],"&gt;="&amp;C51,KB[TANGGAL],"&lt;="&amp;D51,KB[TYPE],"B")</f>
        <v>0</v>
      </c>
      <c r="AD51" s="660">
        <f>SUMIFS(KB[POTPPH],KB[TANGGAL],"&gt;="&amp;C51,KB[TANGGAL],"&lt;="&amp;D51,KB[TYPE],"B")</f>
        <v>0</v>
      </c>
      <c r="AE51" s="737">
        <f>SUMIFS(KB[TPEMBAYARAN],KB[TANGGAL],"&gt;="&amp;C51,KB[TANGGAL],"&lt;="&amp;D51,KB[TYPE],"B")</f>
        <v>0</v>
      </c>
      <c r="AF51" s="767"/>
      <c r="AG51" s="766"/>
      <c r="AH51" s="767"/>
      <c r="AI51" s="767"/>
      <c r="AJ51" s="767"/>
      <c r="AK51" s="767"/>
      <c r="AL51" s="767"/>
      <c r="AM51" s="767"/>
      <c r="AN51" s="767"/>
      <c r="AO51" s="767"/>
      <c r="AP51" s="767"/>
      <c r="AQ51" s="767"/>
      <c r="AR51" s="767"/>
      <c r="AS51" s="767"/>
      <c r="AT51" s="767"/>
      <c r="AU51" s="766"/>
      <c r="AV51" s="767"/>
      <c r="AW51" s="767"/>
      <c r="AX51" s="767"/>
      <c r="AY51" s="767"/>
      <c r="AZ51" s="767"/>
      <c r="BA51" s="767"/>
      <c r="BB51" s="767"/>
      <c r="BC51" s="767"/>
      <c r="BD51" s="767"/>
      <c r="BE51" s="767"/>
      <c r="BF51" s="767"/>
      <c r="BG51" s="767"/>
      <c r="BH51" s="767"/>
      <c r="BI51" s="767"/>
      <c r="BJ51" s="767"/>
      <c r="BK51" s="767"/>
      <c r="BL51" s="766"/>
      <c r="BM51" s="766"/>
      <c r="BN51" s="766"/>
      <c r="BO51" s="766"/>
      <c r="BP51" s="766"/>
      <c r="BQ51" s="766"/>
      <c r="BR51" s="766"/>
      <c r="BS51" s="766"/>
      <c r="BT51" s="766"/>
      <c r="BU51" s="766"/>
      <c r="BV51" s="767"/>
      <c r="BW51" s="766"/>
      <c r="BX51" s="766"/>
      <c r="BY51" s="766"/>
      <c r="BZ51" s="766"/>
      <c r="CA51" s="766"/>
      <c r="CB51" s="766"/>
      <c r="CC51" s="770"/>
      <c r="CD51" s="770"/>
      <c r="CE51" s="770"/>
      <c r="CF51" s="770"/>
      <c r="CG51" s="770"/>
      <c r="CH51" s="770"/>
      <c r="CI51" s="770"/>
      <c r="CJ51" s="770"/>
      <c r="CK51" s="770"/>
      <c r="CL51" s="770"/>
      <c r="CM51" s="770"/>
      <c r="CN51" s="770"/>
      <c r="CO51" s="770"/>
      <c r="CP51" s="770"/>
      <c r="CQ51" s="770"/>
      <c r="CR51" s="770"/>
      <c r="CS51" s="770"/>
      <c r="CT51" s="770"/>
      <c r="CU51" s="770"/>
      <c r="CV51" s="770"/>
      <c r="CW51" s="770"/>
      <c r="CX51" s="770"/>
      <c r="CY51" s="770"/>
      <c r="CZ51" s="770"/>
      <c r="DA51" s="770"/>
      <c r="DB51" s="770"/>
      <c r="DC51" s="770"/>
      <c r="DD51" s="770"/>
      <c r="DE51" s="770"/>
      <c r="DF51" s="770"/>
      <c r="DG51" s="770"/>
      <c r="DH51" s="770"/>
      <c r="DI51" s="770"/>
      <c r="DJ51" s="770"/>
      <c r="DK51" s="770"/>
      <c r="DL51" s="770"/>
      <c r="DM51" s="770"/>
      <c r="DN51" s="770"/>
      <c r="DO51" s="770"/>
      <c r="DP51" s="770"/>
      <c r="DQ51" s="770"/>
      <c r="DR51" s="770"/>
      <c r="DS51" s="770"/>
      <c r="DT51" s="770"/>
      <c r="DU51" s="770"/>
      <c r="DV51" s="770"/>
      <c r="DW51" s="770"/>
      <c r="DX51" s="770"/>
      <c r="DY51" s="770"/>
      <c r="DZ51" s="770"/>
      <c r="EA51" s="770"/>
      <c r="EB51" s="770"/>
      <c r="EC51" s="770"/>
      <c r="ED51" s="770"/>
      <c r="EE51" s="770"/>
      <c r="EF51" s="770"/>
      <c r="EG51" s="770"/>
      <c r="EH51" s="770"/>
      <c r="EI51" s="770"/>
      <c r="EJ51" s="770"/>
      <c r="EK51" s="770"/>
      <c r="EL51" s="770"/>
      <c r="EM51" s="770"/>
      <c r="EN51" s="770"/>
      <c r="EO51" s="770"/>
      <c r="EP51" s="770"/>
      <c r="EQ51" s="770"/>
      <c r="ER51" s="770"/>
      <c r="ES51" s="770"/>
      <c r="ET51" s="770"/>
      <c r="EU51" s="770"/>
      <c r="EV51" s="770"/>
      <c r="EW51" s="770"/>
      <c r="EX51" s="770"/>
      <c r="EY51" s="770"/>
      <c r="EZ51" s="770"/>
      <c r="FA51" s="770"/>
      <c r="FB51" s="770"/>
      <c r="FC51" s="770"/>
      <c r="FD51" s="770"/>
      <c r="FE51" s="770"/>
      <c r="FF51" s="770"/>
      <c r="FG51" s="771"/>
      <c r="FH51" s="771"/>
      <c r="FI51" s="771"/>
      <c r="FJ51" s="771"/>
      <c r="FK51" s="771"/>
      <c r="FL51" s="771"/>
      <c r="FM51" s="771"/>
      <c r="FN51" s="771"/>
      <c r="FO51" s="771"/>
      <c r="FP51" s="771"/>
      <c r="FQ51" s="771"/>
      <c r="FR51" s="771"/>
      <c r="FS51" s="771"/>
      <c r="FT51" s="771"/>
      <c r="FU51" s="771"/>
      <c r="FV51" s="771"/>
      <c r="FW51" s="771"/>
      <c r="FX51" s="771"/>
      <c r="FY51" s="771"/>
      <c r="FZ51" s="771"/>
      <c r="GA51" s="771"/>
      <c r="GB51" s="771"/>
      <c r="GC51" s="771"/>
      <c r="GD51" s="771"/>
      <c r="GE51" s="771"/>
      <c r="GF51" s="771"/>
      <c r="GG51" s="771"/>
      <c r="GH51" s="771"/>
      <c r="GI51" s="771"/>
      <c r="GJ51" s="771"/>
      <c r="GK51" s="771"/>
      <c r="GL51" s="771"/>
    </row>
    <row r="52" spans="1:194" s="769" customFormat="1" ht="30" customHeight="1">
      <c r="A52" s="349"/>
      <c r="B52" s="557">
        <f t="shared" si="65"/>
        <v>4</v>
      </c>
      <c r="C52" s="645">
        <f t="shared" si="66"/>
        <v>43912</v>
      </c>
      <c r="D52" s="607">
        <f t="shared" si="67"/>
        <v>43918</v>
      </c>
      <c r="E52" s="659">
        <f>SUMIFS(KB[BRUTO],KB[TANGGAL],"&gt;="&amp;C52,KB[TANGGAL],"&lt;="&amp;D52,KB[TYPE],"A")</f>
        <v>889040</v>
      </c>
      <c r="F52" s="660">
        <f>SUMIFS(KB[TARRA],KB[TANGGAL],"&gt;="&amp;C52,KB[TANGGAL],"&lt;="&amp;D52,KB[TYPE],"A")</f>
        <v>405060</v>
      </c>
      <c r="G52" s="660">
        <f>SUMIFS(KB[NETTO],KB[TANGGAL],"&gt;="&amp;C52,KB[TANGGAL],"&lt;="&amp;D52,KB[TYPE],"A")</f>
        <v>483980</v>
      </c>
      <c r="H52" s="660">
        <f t="shared" si="57"/>
        <v>5.7258151163271203</v>
      </c>
      <c r="I52" s="660">
        <f>SUMIFS(KB[TPOT],KB[TANGGAL],"&gt;="&amp;C52,KB[TANGGAL],"&lt;="&amp;D52,KB[TYPE],"A")</f>
        <v>27711.8</v>
      </c>
      <c r="J52" s="660">
        <f>SUMIFS(KB[NETTO2],KB[TANGGAL],"&gt;="&amp;C52,KB[TANGGAL],"&lt;="&amp;D52,KB[TYPE],"A")</f>
        <v>456268.2</v>
      </c>
      <c r="K52" s="660">
        <f t="shared" si="58"/>
        <v>3056.268330775627</v>
      </c>
      <c r="L52" s="660">
        <f>SUMIFS(KB[TBAYAR],KB[TANGGAL],"&gt;="&amp;C52,KB[TANGGAL],"&lt;="&amp;D52,KB[TYPE],"A")</f>
        <v>1394478050</v>
      </c>
      <c r="M52" s="660">
        <f t="shared" si="59"/>
        <v>15.36</v>
      </c>
      <c r="N52" s="660">
        <f t="shared" si="60"/>
        <v>3071.6257214506732</v>
      </c>
      <c r="O52" s="660">
        <f>SUMIFS(KB[TBAYAR2],KB[TANGGAL],"&gt;="&amp;C52,KB[TANGGAL],"&lt;="&amp;D52,KB[TYPE],"A")</f>
        <v>1401485139</v>
      </c>
      <c r="P52" s="660">
        <f>SUMIFS(KB[POTPPH],KB[TANGGAL],"&gt;="&amp;C52,KB[TANGGAL],"&lt;="&amp;D52,KB[TYPE],"A")</f>
        <v>7007427</v>
      </c>
      <c r="Q52" s="660">
        <f>SUMIFS(KB[TPEMBAYARAN],KB[TANGGAL],"&gt;="&amp;C52,KB[TANGGAL],"&lt;="&amp;D52,KB[TYPE],"A")</f>
        <v>1394477712</v>
      </c>
      <c r="R52" s="661"/>
      <c r="S52" s="659">
        <f>SUMIFS(KB[BRUTO],KB[TANGGAL],"&gt;="&amp;C52,KB[TANGGAL],"&lt;="&amp;D52,KB[TYPE],"B")</f>
        <v>0</v>
      </c>
      <c r="T52" s="660">
        <f>SUMIFS(KB[TARRA],KB[TANGGAL],"&gt;="&amp;C52,KB[TANGGAL],"&lt;="&amp;D52,KB[TYPE],"B")</f>
        <v>0</v>
      </c>
      <c r="U52" s="660">
        <f>SUMIFS(KB[NETTO],KB[TANGGAL],"&gt;="&amp;C52,KB[TANGGAL],"&lt;="&amp;D52,KB[TYPE],"B")</f>
        <v>0</v>
      </c>
      <c r="V52" s="660">
        <f t="shared" si="61"/>
        <v>0</v>
      </c>
      <c r="W52" s="660">
        <f>SUMIFS(KB[TPOT],KB[TANGGAL],"&gt;="&amp;C52,KB[TANGGAL],"&lt;="&amp;D52,KB[TYPE],"B")</f>
        <v>0</v>
      </c>
      <c r="X52" s="660">
        <f>SUMIFS(KB[NETTO2],KB[TANGGAL],"&gt;="&amp;C52,KB[TANGGAL],"&lt;="&amp;D52,KB[TYPE],"B")</f>
        <v>0</v>
      </c>
      <c r="Y52" s="660">
        <f t="shared" si="62"/>
        <v>0</v>
      </c>
      <c r="Z52" s="660">
        <f>SUMIFS(KB[TBAYAR],KB[TANGGAL],"&gt;="&amp;C52,KB[TANGGAL],"&lt;="&amp;D52,KB[TYPE],"B")</f>
        <v>0</v>
      </c>
      <c r="AA52" s="660">
        <f t="shared" si="63"/>
        <v>0</v>
      </c>
      <c r="AB52" s="660">
        <f t="shared" si="64"/>
        <v>0</v>
      </c>
      <c r="AC52" s="660">
        <f>SUMIFS(KB[TBAYAR2],KB[TANGGAL],"&gt;="&amp;C52,KB[TANGGAL],"&lt;="&amp;D52,KB[TYPE],"B")</f>
        <v>0</v>
      </c>
      <c r="AD52" s="660">
        <f>SUMIFS(KB[POTPPH],KB[TANGGAL],"&gt;="&amp;C52,KB[TANGGAL],"&lt;="&amp;D52,KB[TYPE],"B")</f>
        <v>0</v>
      </c>
      <c r="AE52" s="737">
        <f>SUMIFS(KB[TPEMBAYARAN],KB[TANGGAL],"&gt;="&amp;C52,KB[TANGGAL],"&lt;="&amp;D52,KB[TYPE],"B")</f>
        <v>0</v>
      </c>
      <c r="AF52" s="767"/>
      <c r="AG52" s="766"/>
      <c r="AH52" s="767"/>
      <c r="AI52" s="767"/>
      <c r="AJ52" s="767"/>
      <c r="AK52" s="767"/>
      <c r="AL52" s="767"/>
      <c r="AM52" s="767"/>
      <c r="AN52" s="767"/>
      <c r="AO52" s="767"/>
      <c r="AP52" s="767"/>
      <c r="AQ52" s="767"/>
      <c r="AR52" s="767"/>
      <c r="AS52" s="767"/>
      <c r="AT52" s="767"/>
      <c r="AU52" s="766"/>
      <c r="AV52" s="767"/>
      <c r="AW52" s="767"/>
      <c r="AX52" s="767"/>
      <c r="AY52" s="767"/>
      <c r="AZ52" s="767"/>
      <c r="BA52" s="767"/>
      <c r="BB52" s="767"/>
      <c r="BC52" s="767"/>
      <c r="BD52" s="767"/>
      <c r="BE52" s="767"/>
      <c r="BF52" s="767"/>
      <c r="BG52" s="767"/>
      <c r="BH52" s="767"/>
      <c r="BI52" s="767"/>
      <c r="BJ52" s="767"/>
      <c r="BK52" s="767"/>
      <c r="BL52" s="766"/>
      <c r="BM52" s="766"/>
      <c r="BN52" s="766"/>
      <c r="BO52" s="766"/>
      <c r="BP52" s="766"/>
      <c r="BQ52" s="766"/>
      <c r="BR52" s="766"/>
      <c r="BS52" s="766"/>
      <c r="BT52" s="766"/>
      <c r="BU52" s="766"/>
      <c r="BV52" s="767"/>
      <c r="BW52" s="766"/>
      <c r="BX52" s="766"/>
      <c r="BY52" s="766"/>
      <c r="BZ52" s="766"/>
      <c r="CA52" s="766"/>
      <c r="CB52" s="766"/>
      <c r="CC52" s="770"/>
      <c r="CD52" s="770"/>
      <c r="CE52" s="770"/>
      <c r="CF52" s="770"/>
      <c r="CG52" s="770"/>
      <c r="CH52" s="770"/>
      <c r="CI52" s="770"/>
      <c r="CJ52" s="770"/>
      <c r="CK52" s="770"/>
      <c r="CL52" s="770"/>
      <c r="CM52" s="770"/>
      <c r="CN52" s="770"/>
      <c r="CO52" s="770"/>
      <c r="CP52" s="770"/>
      <c r="CQ52" s="770"/>
      <c r="CR52" s="772"/>
      <c r="CS52" s="772"/>
      <c r="CT52" s="772"/>
      <c r="CU52" s="772"/>
      <c r="CV52" s="772"/>
      <c r="CW52" s="772"/>
      <c r="CX52" s="772"/>
      <c r="CY52" s="772"/>
      <c r="CZ52" s="772"/>
      <c r="DA52" s="772"/>
      <c r="DB52" s="772"/>
      <c r="DC52" s="772"/>
      <c r="DD52" s="772"/>
      <c r="DE52" s="772"/>
      <c r="DF52" s="770"/>
      <c r="DG52" s="770"/>
      <c r="DH52" s="770"/>
      <c r="DI52" s="770"/>
      <c r="DJ52" s="770"/>
      <c r="DK52" s="770"/>
      <c r="DL52" s="770"/>
      <c r="DM52" s="770"/>
      <c r="DN52" s="770"/>
      <c r="DO52" s="770"/>
      <c r="DP52" s="770"/>
      <c r="DQ52" s="770"/>
      <c r="DR52" s="770"/>
      <c r="DS52" s="770"/>
      <c r="DT52" s="770"/>
      <c r="DU52" s="770"/>
      <c r="DV52" s="770"/>
      <c r="DW52" s="770"/>
      <c r="DX52" s="770"/>
      <c r="DY52" s="770"/>
      <c r="DZ52" s="770"/>
      <c r="EA52" s="770"/>
      <c r="EB52" s="770"/>
      <c r="EC52" s="770"/>
      <c r="ED52" s="770"/>
      <c r="EE52" s="770"/>
      <c r="EF52" s="770"/>
      <c r="EG52" s="770"/>
      <c r="EH52" s="770"/>
      <c r="EI52" s="770"/>
      <c r="EJ52" s="770"/>
      <c r="EK52" s="770"/>
      <c r="EL52" s="770"/>
      <c r="EM52" s="770"/>
      <c r="EN52" s="770"/>
      <c r="EO52" s="770"/>
      <c r="EP52" s="770"/>
      <c r="EQ52" s="770"/>
      <c r="ER52" s="770"/>
      <c r="ES52" s="770"/>
      <c r="ET52" s="770"/>
      <c r="EU52" s="770"/>
      <c r="EV52" s="770"/>
      <c r="EW52" s="770"/>
      <c r="EX52" s="770"/>
      <c r="EY52" s="770"/>
      <c r="EZ52" s="770"/>
      <c r="FA52" s="770"/>
      <c r="FB52" s="770"/>
      <c r="FC52" s="770"/>
      <c r="FD52" s="770"/>
      <c r="FE52" s="770"/>
      <c r="FF52" s="770"/>
      <c r="FG52" s="770"/>
      <c r="FH52" s="770"/>
      <c r="FI52" s="770"/>
      <c r="FJ52" s="770"/>
      <c r="FK52" s="770"/>
      <c r="FL52" s="770"/>
      <c r="FM52" s="770"/>
      <c r="FN52" s="770"/>
      <c r="FO52" s="770"/>
      <c r="FP52" s="770"/>
      <c r="FQ52" s="770"/>
      <c r="FR52" s="770"/>
      <c r="FS52" s="770"/>
      <c r="FT52" s="768"/>
      <c r="FU52" s="768"/>
      <c r="FV52" s="773"/>
      <c r="FW52" s="773"/>
      <c r="FX52" s="773"/>
      <c r="FY52" s="773"/>
      <c r="FZ52" s="773"/>
      <c r="GA52" s="773"/>
      <c r="GB52" s="773"/>
      <c r="GC52" s="770"/>
      <c r="GD52" s="770"/>
      <c r="GE52" s="770"/>
      <c r="GF52" s="770"/>
      <c r="GG52" s="770"/>
      <c r="GH52" s="773"/>
      <c r="GI52" s="774"/>
      <c r="GJ52" s="774"/>
      <c r="GK52" s="775"/>
      <c r="GL52" s="773"/>
    </row>
    <row r="53" spans="1:194" s="769" customFormat="1" ht="30" customHeight="1">
      <c r="A53" s="349"/>
      <c r="B53" s="557">
        <f t="shared" si="65"/>
        <v>5</v>
      </c>
      <c r="C53" s="645">
        <f t="shared" si="66"/>
        <v>43919</v>
      </c>
      <c r="D53" s="607">
        <f>IF(MONTH(C53+6)=MONTH(C53),C53+6,DATE(H2,H3+1,0))</f>
        <v>43921</v>
      </c>
      <c r="E53" s="659">
        <f>SUMIFS(KB[BRUTO],KB[TANGGAL],"&gt;="&amp;C53,KB[TANGGAL],"&lt;="&amp;D53,KB[TYPE],"A")</f>
        <v>182870</v>
      </c>
      <c r="F53" s="660">
        <f>SUMIFS(KB[TARRA],KB[TANGGAL],"&gt;="&amp;C53,KB[TANGGAL],"&lt;="&amp;D53,KB[TYPE],"A")</f>
        <v>85650</v>
      </c>
      <c r="G53" s="660">
        <f>SUMIFS(KB[NETTO],KB[TANGGAL],"&gt;="&amp;C53,KB[TANGGAL],"&lt;="&amp;D53,KB[TYPE],"A")</f>
        <v>97220</v>
      </c>
      <c r="H53" s="660">
        <f t="shared" si="57"/>
        <v>5.3731742439827199</v>
      </c>
      <c r="I53" s="660">
        <f>SUMIFS(KB[TPOT],KB[TANGGAL],"&gt;="&amp;C53,KB[TANGGAL],"&lt;="&amp;D53,KB[TYPE],"A")</f>
        <v>5223.8</v>
      </c>
      <c r="J53" s="660">
        <f>SUMIFS(KB[NETTO2],KB[TANGGAL],"&gt;="&amp;C53,KB[TANGGAL],"&lt;="&amp;D53,KB[TYPE],"A")</f>
        <v>91996.199999999983</v>
      </c>
      <c r="K53" s="660">
        <f t="shared" si="58"/>
        <v>2828.3578560853607</v>
      </c>
      <c r="L53" s="660">
        <f>SUMIFS(KB[TBAYAR],KB[TANGGAL],"&gt;="&amp;C53,KB[TANGGAL],"&lt;="&amp;D53,KB[TYPE],"A")</f>
        <v>260198175</v>
      </c>
      <c r="M53" s="660">
        <f t="shared" si="59"/>
        <v>14.21</v>
      </c>
      <c r="N53" s="660">
        <f t="shared" si="60"/>
        <v>2842.569649615963</v>
      </c>
      <c r="O53" s="660">
        <f>SUMIFS(KB[TBAYAR2],KB[TANGGAL],"&gt;="&amp;C53,KB[TANGGAL],"&lt;="&amp;D53,KB[TYPE],"A")</f>
        <v>261505606</v>
      </c>
      <c r="P53" s="660">
        <f>SUMIFS(KB[POTPPH],KB[TANGGAL],"&gt;="&amp;C53,KB[TANGGAL],"&lt;="&amp;D53,KB[TYPE],"A")</f>
        <v>1307527</v>
      </c>
      <c r="Q53" s="660">
        <f>SUMIFS(KB[TPEMBAYARAN],KB[TANGGAL],"&gt;="&amp;C53,KB[TANGGAL],"&lt;="&amp;D53,KB[TYPE],"A")</f>
        <v>260198079</v>
      </c>
      <c r="R53" s="661"/>
      <c r="S53" s="659">
        <f>SUMIFS(KB[BRUTO],KB[TANGGAL],"&gt;="&amp;C53,KB[TANGGAL],"&lt;="&amp;D53,KB[TYPE],"B")</f>
        <v>0</v>
      </c>
      <c r="T53" s="660">
        <f>SUMIFS(KB[TARRA],KB[TANGGAL],"&gt;="&amp;C53,KB[TANGGAL],"&lt;="&amp;D53,KB[TYPE],"B")</f>
        <v>0</v>
      </c>
      <c r="U53" s="660">
        <f>SUMIFS(KB[NETTO],KB[TANGGAL],"&gt;="&amp;C53,KB[TANGGAL],"&lt;="&amp;D53,KB[TYPE],"B")</f>
        <v>0</v>
      </c>
      <c r="V53" s="660">
        <f t="shared" si="61"/>
        <v>0</v>
      </c>
      <c r="W53" s="660">
        <f>SUMIFS(KB[TPOT],KB[TANGGAL],"&gt;="&amp;C53,KB[TANGGAL],"&lt;="&amp;D53,KB[TYPE],"B")</f>
        <v>0</v>
      </c>
      <c r="X53" s="660">
        <f>SUMIFS(KB[NETTO2],KB[TANGGAL],"&gt;="&amp;C53,KB[TANGGAL],"&lt;="&amp;D53,KB[TYPE],"B")</f>
        <v>0</v>
      </c>
      <c r="Y53" s="660">
        <f t="shared" si="62"/>
        <v>0</v>
      </c>
      <c r="Z53" s="660">
        <f>SUMIFS(KB[TBAYAR],KB[TANGGAL],"&gt;="&amp;C53,KB[TANGGAL],"&lt;="&amp;D53,KB[TYPE],"B")</f>
        <v>0</v>
      </c>
      <c r="AA53" s="660">
        <f t="shared" si="63"/>
        <v>0</v>
      </c>
      <c r="AB53" s="660">
        <f t="shared" si="64"/>
        <v>0</v>
      </c>
      <c r="AC53" s="660">
        <f>SUMIFS(KB[TBAYAR2],KB[TANGGAL],"&gt;="&amp;C53,KB[TANGGAL],"&lt;="&amp;D53,KB[TYPE],"B")</f>
        <v>0</v>
      </c>
      <c r="AD53" s="660">
        <f>SUMIFS(KB[POTPPH],KB[TANGGAL],"&gt;="&amp;C53,KB[TANGGAL],"&lt;="&amp;D53,KB[TYPE],"B")</f>
        <v>0</v>
      </c>
      <c r="AE53" s="737">
        <f>SUMIFS(KB[TPEMBAYARAN],KB[TANGGAL],"&gt;="&amp;C53,KB[TANGGAL],"&lt;="&amp;D53,KB[TYPE],"B")</f>
        <v>0</v>
      </c>
      <c r="AF53" s="767"/>
      <c r="AG53" s="766"/>
      <c r="AH53" s="767"/>
      <c r="AI53" s="767"/>
      <c r="AJ53" s="767"/>
      <c r="AK53" s="767"/>
      <c r="AL53" s="767"/>
      <c r="AM53" s="767"/>
      <c r="AN53" s="767"/>
      <c r="AO53" s="767"/>
      <c r="AP53" s="767"/>
      <c r="AQ53" s="767"/>
      <c r="AR53" s="767"/>
      <c r="AS53" s="767"/>
      <c r="AT53" s="767"/>
      <c r="AU53" s="766"/>
      <c r="AV53" s="767"/>
      <c r="AW53" s="767"/>
      <c r="AX53" s="767"/>
      <c r="AY53" s="767"/>
      <c r="AZ53" s="767"/>
      <c r="BA53" s="767"/>
      <c r="BB53" s="767"/>
      <c r="BC53" s="767"/>
      <c r="BD53" s="767"/>
      <c r="BE53" s="767"/>
      <c r="BF53" s="767"/>
      <c r="BG53" s="767"/>
      <c r="BH53" s="767"/>
      <c r="BI53" s="767"/>
      <c r="BJ53" s="767"/>
      <c r="BK53" s="767"/>
      <c r="BL53" s="766"/>
      <c r="BM53" s="766"/>
      <c r="BN53" s="766"/>
      <c r="BO53" s="766"/>
      <c r="BP53" s="766"/>
      <c r="BQ53" s="766"/>
      <c r="BR53" s="766"/>
      <c r="BS53" s="766"/>
      <c r="BT53" s="766"/>
      <c r="BU53" s="766"/>
      <c r="BV53" s="767"/>
      <c r="BW53" s="766"/>
      <c r="BX53" s="766"/>
      <c r="BY53" s="766"/>
      <c r="BZ53" s="766"/>
      <c r="CA53" s="766"/>
      <c r="CB53" s="766"/>
      <c r="CC53" s="770"/>
      <c r="CD53" s="770"/>
      <c r="CE53" s="770"/>
      <c r="CF53" s="770"/>
      <c r="CG53" s="770"/>
      <c r="CH53" s="770"/>
      <c r="CI53" s="770"/>
      <c r="CJ53" s="770"/>
      <c r="CK53" s="770"/>
      <c r="CL53" s="770"/>
      <c r="CM53" s="770"/>
      <c r="CN53" s="770"/>
      <c r="CO53" s="770"/>
      <c r="CP53" s="770"/>
      <c r="CQ53" s="770"/>
      <c r="CR53" s="770"/>
      <c r="CS53" s="770"/>
      <c r="CT53" s="770"/>
      <c r="CU53" s="770"/>
      <c r="CV53" s="770"/>
      <c r="CW53" s="770"/>
      <c r="CX53" s="770"/>
      <c r="CY53" s="770"/>
      <c r="CZ53" s="770"/>
      <c r="DA53" s="770"/>
      <c r="DB53" s="770"/>
      <c r="DC53" s="770"/>
      <c r="DD53" s="770"/>
      <c r="DE53" s="770"/>
      <c r="DF53" s="770"/>
      <c r="DG53" s="770"/>
      <c r="DH53" s="770"/>
      <c r="DI53" s="770"/>
      <c r="DJ53" s="770"/>
      <c r="DK53" s="770"/>
      <c r="DL53" s="770"/>
      <c r="DM53" s="770"/>
      <c r="DN53" s="770"/>
      <c r="DO53" s="770"/>
      <c r="DP53" s="770"/>
      <c r="DQ53" s="770"/>
      <c r="DR53" s="770"/>
      <c r="DS53" s="770"/>
      <c r="DT53" s="770"/>
      <c r="DU53" s="770"/>
      <c r="DV53" s="770"/>
      <c r="DW53" s="770"/>
      <c r="DX53" s="770"/>
      <c r="DY53" s="770"/>
      <c r="DZ53" s="770"/>
      <c r="EA53" s="770"/>
      <c r="EB53" s="770"/>
      <c r="EC53" s="770"/>
      <c r="ED53" s="770"/>
      <c r="EE53" s="770"/>
      <c r="EF53" s="770"/>
      <c r="EG53" s="770"/>
      <c r="EH53" s="770"/>
      <c r="EI53" s="770"/>
      <c r="EJ53" s="770"/>
      <c r="EK53" s="770"/>
      <c r="EL53" s="770"/>
      <c r="EM53" s="770"/>
      <c r="EN53" s="770"/>
      <c r="EO53" s="770"/>
      <c r="EP53" s="770"/>
      <c r="EQ53" s="770"/>
      <c r="ER53" s="770"/>
      <c r="ES53" s="770"/>
      <c r="ET53" s="770"/>
      <c r="EU53" s="770"/>
      <c r="EV53" s="770"/>
      <c r="EW53" s="770"/>
      <c r="EX53" s="770"/>
      <c r="EY53" s="770"/>
      <c r="EZ53" s="770"/>
      <c r="FA53" s="770"/>
      <c r="FB53" s="770"/>
      <c r="FC53" s="770"/>
      <c r="FD53" s="770"/>
      <c r="FE53" s="770"/>
      <c r="FF53" s="770"/>
      <c r="FG53" s="770"/>
      <c r="FH53" s="770"/>
      <c r="FI53" s="770"/>
      <c r="FJ53" s="770"/>
      <c r="FK53" s="770"/>
      <c r="FL53" s="770"/>
      <c r="FM53" s="770"/>
      <c r="FN53" s="770"/>
      <c r="FO53" s="770"/>
      <c r="FP53" s="770"/>
      <c r="FQ53" s="770"/>
      <c r="FR53" s="770"/>
      <c r="FS53" s="770"/>
      <c r="FT53" s="768"/>
      <c r="FU53" s="768"/>
      <c r="FV53" s="773"/>
      <c r="FW53" s="773"/>
      <c r="FX53" s="773"/>
      <c r="FY53" s="773"/>
      <c r="FZ53" s="773"/>
      <c r="GA53" s="773"/>
      <c r="GB53" s="773"/>
      <c r="GC53" s="770"/>
      <c r="GD53" s="770"/>
      <c r="GE53" s="770"/>
      <c r="GF53" s="770"/>
      <c r="GG53" s="770"/>
      <c r="GH53" s="773"/>
      <c r="GI53" s="774"/>
      <c r="GJ53" s="774"/>
      <c r="GK53" s="775"/>
      <c r="GL53" s="773"/>
    </row>
    <row r="54" spans="1:194" s="744" customFormat="1" ht="9.9499999999999993" customHeight="1" thickBot="1">
      <c r="A54" s="723"/>
      <c r="B54" s="648"/>
      <c r="C54" s="649"/>
      <c r="D54" s="650"/>
      <c r="E54" s="651"/>
      <c r="F54" s="651"/>
      <c r="G54" s="651"/>
      <c r="H54" s="651"/>
      <c r="I54" s="651"/>
      <c r="J54" s="651"/>
      <c r="K54" s="651"/>
      <c r="L54" s="651"/>
      <c r="M54" s="652"/>
      <c r="N54" s="652"/>
      <c r="O54" s="651"/>
      <c r="P54" s="652"/>
      <c r="Q54" s="652"/>
      <c r="R54" s="652"/>
      <c r="S54" s="651"/>
      <c r="T54" s="651"/>
      <c r="U54" s="651"/>
      <c r="V54" s="651"/>
      <c r="W54" s="651"/>
      <c r="X54" s="651"/>
      <c r="Y54" s="651"/>
      <c r="Z54" s="651"/>
      <c r="AA54" s="652"/>
      <c r="AB54" s="652"/>
      <c r="AC54" s="651"/>
      <c r="AD54" s="652"/>
      <c r="AE54" s="738"/>
      <c r="AF54" s="776"/>
      <c r="AG54" s="776"/>
      <c r="AH54" s="776"/>
      <c r="AI54" s="776"/>
      <c r="AJ54" s="776"/>
      <c r="AK54" s="776"/>
      <c r="AL54" s="776"/>
      <c r="AM54" s="776"/>
      <c r="AN54" s="776"/>
      <c r="AO54" s="776"/>
      <c r="AP54" s="776"/>
      <c r="AQ54" s="776"/>
      <c r="AR54" s="776"/>
      <c r="AS54" s="776"/>
      <c r="AT54" s="777"/>
      <c r="AU54" s="777"/>
      <c r="AV54" s="777"/>
      <c r="AW54" s="777"/>
      <c r="AX54" s="777"/>
      <c r="AY54" s="777"/>
      <c r="AZ54" s="777"/>
      <c r="BA54" s="777"/>
      <c r="BB54" s="777"/>
      <c r="BC54" s="777"/>
      <c r="BD54" s="777"/>
      <c r="BE54" s="777"/>
      <c r="BF54" s="777"/>
      <c r="BG54" s="777"/>
      <c r="BH54" s="777"/>
      <c r="BI54" s="777"/>
      <c r="BJ54" s="777"/>
      <c r="BK54" s="777"/>
      <c r="BL54" s="778"/>
      <c r="BM54" s="778"/>
      <c r="BN54" s="778"/>
      <c r="BO54" s="778"/>
      <c r="BP54" s="778"/>
      <c r="BQ54" s="778"/>
      <c r="BR54" s="778"/>
      <c r="BS54" s="778"/>
      <c r="BT54" s="778"/>
      <c r="BU54" s="778"/>
      <c r="BV54" s="778"/>
      <c r="BW54" s="778"/>
      <c r="BX54" s="778"/>
      <c r="BY54" s="778"/>
      <c r="BZ54" s="778"/>
      <c r="CA54" s="778"/>
      <c r="CB54" s="778"/>
      <c r="CC54" s="778"/>
      <c r="CD54" s="777"/>
      <c r="CE54" s="777"/>
      <c r="CF54" s="777"/>
      <c r="CG54" s="777"/>
      <c r="CH54" s="777"/>
      <c r="CI54" s="777"/>
      <c r="CJ54" s="777"/>
      <c r="CK54" s="777"/>
      <c r="CL54" s="777"/>
      <c r="CM54" s="777"/>
      <c r="CN54" s="777"/>
      <c r="CO54" s="777"/>
      <c r="CP54" s="777"/>
      <c r="CQ54" s="777"/>
      <c r="CR54" s="777"/>
      <c r="CS54" s="777"/>
      <c r="CT54" s="777"/>
      <c r="CU54" s="777"/>
      <c r="CV54" s="777"/>
      <c r="CW54" s="777"/>
      <c r="CX54" s="777"/>
      <c r="CY54" s="777"/>
      <c r="CZ54" s="777"/>
      <c r="DA54" s="777"/>
      <c r="DB54" s="777"/>
      <c r="DC54" s="777"/>
      <c r="DD54" s="777"/>
      <c r="DE54" s="777"/>
      <c r="DF54" s="778"/>
      <c r="DG54" s="776"/>
      <c r="DH54" s="776"/>
      <c r="DI54" s="776"/>
      <c r="DJ54" s="776"/>
      <c r="DK54" s="776"/>
      <c r="DL54" s="776"/>
      <c r="DM54" s="776"/>
      <c r="DN54" s="776"/>
      <c r="DO54" s="776"/>
      <c r="DP54" s="776"/>
      <c r="DQ54" s="776"/>
      <c r="DR54" s="776"/>
      <c r="DS54" s="776"/>
      <c r="DT54" s="776"/>
      <c r="DU54" s="776"/>
      <c r="DV54" s="776"/>
      <c r="DW54" s="776"/>
      <c r="DX54" s="776"/>
      <c r="DY54" s="776"/>
      <c r="DZ54" s="776"/>
      <c r="EA54" s="776"/>
      <c r="EB54" s="776"/>
      <c r="EC54" s="776"/>
      <c r="ED54" s="776"/>
      <c r="EE54" s="776"/>
      <c r="EF54" s="776"/>
      <c r="EG54" s="776"/>
      <c r="EH54" s="776"/>
      <c r="EI54" s="776"/>
      <c r="EJ54" s="776"/>
      <c r="EK54" s="776"/>
      <c r="EL54" s="776"/>
      <c r="EM54" s="776"/>
      <c r="EN54" s="776"/>
      <c r="EO54" s="776"/>
      <c r="EP54" s="776"/>
      <c r="EQ54" s="776"/>
      <c r="ER54" s="776"/>
      <c r="ES54" s="776"/>
      <c r="ET54" s="776"/>
      <c r="EU54" s="777"/>
      <c r="EV54" s="777"/>
      <c r="EW54" s="777"/>
      <c r="EX54" s="777"/>
      <c r="EY54" s="777"/>
      <c r="EZ54" s="777"/>
      <c r="FA54" s="776"/>
      <c r="FB54" s="776"/>
      <c r="FC54" s="776"/>
      <c r="FD54" s="776"/>
      <c r="FE54" s="776"/>
      <c r="FF54" s="776"/>
      <c r="FG54" s="776"/>
      <c r="FH54" s="776"/>
      <c r="FI54" s="776"/>
      <c r="FJ54" s="776"/>
      <c r="FK54" s="776"/>
      <c r="FL54" s="776"/>
      <c r="FM54" s="776"/>
      <c r="FN54" s="776"/>
      <c r="FO54" s="776"/>
      <c r="FP54" s="776"/>
      <c r="FQ54" s="776"/>
      <c r="FR54" s="776"/>
      <c r="FT54" s="775"/>
    </row>
    <row r="55" spans="1:194" s="744" customFormat="1" ht="43.5" customHeight="1" thickTop="1">
      <c r="A55" s="723"/>
      <c r="B55" s="646"/>
      <c r="C55" s="647" t="s">
        <v>68</v>
      </c>
      <c r="D55" s="647"/>
      <c r="E55" s="655">
        <f>SUM(E49:E54)</f>
        <v>3380370</v>
      </c>
      <c r="F55" s="655">
        <f>SUM(F49:F54)</f>
        <v>1500120</v>
      </c>
      <c r="G55" s="655">
        <f>SUM(G49:G54)</f>
        <v>1880250</v>
      </c>
      <c r="H55" s="655">
        <f>I55/G55%</f>
        <v>5.5136816912644599</v>
      </c>
      <c r="I55" s="655">
        <f>SUM(I49:I54)</f>
        <v>103671</v>
      </c>
      <c r="J55" s="655">
        <f>SUM(J49:J54)</f>
        <v>1776578.9999999998</v>
      </c>
      <c r="K55" s="655">
        <f>L55/J55</f>
        <v>2979.3271112627135</v>
      </c>
      <c r="L55" s="655">
        <f>SUM(L49:L54)</f>
        <v>5293009980</v>
      </c>
      <c r="M55" s="655"/>
      <c r="N55" s="655">
        <f>+O55/J55</f>
        <v>2994.2970827641216</v>
      </c>
      <c r="O55" s="655">
        <f>SUM(O49:O54)</f>
        <v>5319605317</v>
      </c>
      <c r="P55" s="655">
        <f>SUM(P49:P54)</f>
        <v>26598032</v>
      </c>
      <c r="Q55" s="655">
        <f>SUM(Q49:Q54)</f>
        <v>5293007285</v>
      </c>
      <c r="R55" s="655"/>
      <c r="S55" s="655">
        <f>SUM(S49:S54)</f>
        <v>0</v>
      </c>
      <c r="T55" s="655">
        <f>SUM(T49:T54)</f>
        <v>0</v>
      </c>
      <c r="U55" s="655">
        <f>SUM(U49:U54)</f>
        <v>0</v>
      </c>
      <c r="V55" s="655" t="e">
        <f>W55/U55%</f>
        <v>#DIV/0!</v>
      </c>
      <c r="W55" s="655">
        <f>SUM(W49:W54)</f>
        <v>0</v>
      </c>
      <c r="X55" s="655">
        <f>SUM(X49:X54)</f>
        <v>0</v>
      </c>
      <c r="Y55" s="655" t="e">
        <f>Z55/X55</f>
        <v>#DIV/0!</v>
      </c>
      <c r="Z55" s="655">
        <f>SUM(Z49:Z54)</f>
        <v>0</v>
      </c>
      <c r="AA55" s="655"/>
      <c r="AB55" s="655" t="e">
        <f>+AC55/X55</f>
        <v>#DIV/0!</v>
      </c>
      <c r="AC55" s="655">
        <f>SUM(AC49:AC54)</f>
        <v>0</v>
      </c>
      <c r="AD55" s="655">
        <f>SUM(AD49:AD54)</f>
        <v>0</v>
      </c>
      <c r="AE55" s="739">
        <f>SUM(AE49:AE54)</f>
        <v>0</v>
      </c>
      <c r="AF55" s="779"/>
      <c r="AG55" s="779"/>
      <c r="AH55" s="779"/>
      <c r="AI55" s="779"/>
      <c r="AJ55" s="779"/>
      <c r="AK55" s="779"/>
      <c r="AL55" s="779"/>
      <c r="AM55" s="779"/>
      <c r="AN55" s="779"/>
      <c r="AO55" s="779"/>
      <c r="AP55" s="779"/>
      <c r="AQ55" s="779"/>
      <c r="AR55" s="779"/>
      <c r="AS55" s="779"/>
      <c r="AT55" s="779"/>
      <c r="AU55" s="779"/>
      <c r="AV55" s="779"/>
      <c r="AW55" s="779"/>
      <c r="AX55" s="779"/>
      <c r="AY55" s="779"/>
      <c r="AZ55" s="779"/>
      <c r="BA55" s="779"/>
      <c r="BB55" s="779"/>
      <c r="BC55" s="779"/>
      <c r="BD55" s="779"/>
      <c r="BE55" s="779"/>
      <c r="BF55" s="779"/>
      <c r="BG55" s="779"/>
      <c r="BH55" s="779"/>
      <c r="BI55" s="779"/>
      <c r="BJ55" s="779"/>
      <c r="BK55" s="779"/>
      <c r="BL55" s="779"/>
      <c r="BM55" s="779"/>
      <c r="BN55" s="779"/>
      <c r="BO55" s="779"/>
      <c r="BP55" s="779"/>
      <c r="BQ55" s="779"/>
      <c r="BR55" s="779"/>
      <c r="BS55" s="779"/>
      <c r="BT55" s="779"/>
      <c r="BU55" s="779"/>
      <c r="BV55" s="779"/>
      <c r="BW55" s="779"/>
      <c r="BX55" s="779"/>
      <c r="BY55" s="779"/>
      <c r="BZ55" s="779"/>
      <c r="CA55" s="779"/>
      <c r="CB55" s="779"/>
      <c r="CC55" s="780"/>
      <c r="CD55" s="780"/>
      <c r="CE55" s="780"/>
      <c r="CF55" s="780"/>
      <c r="CG55" s="780"/>
      <c r="CH55" s="780"/>
      <c r="CI55" s="780"/>
      <c r="CJ55" s="780"/>
      <c r="CK55" s="780"/>
      <c r="CL55" s="780"/>
      <c r="CM55" s="780"/>
      <c r="CN55" s="780"/>
      <c r="CO55" s="780"/>
      <c r="CP55" s="780"/>
      <c r="CQ55" s="780"/>
      <c r="CR55" s="780"/>
      <c r="CS55" s="780"/>
      <c r="CT55" s="780"/>
      <c r="CU55" s="780"/>
      <c r="CV55" s="780"/>
      <c r="CW55" s="780"/>
      <c r="CX55" s="780"/>
      <c r="CY55" s="780"/>
      <c r="CZ55" s="780"/>
      <c r="DA55" s="780"/>
      <c r="DB55" s="780"/>
      <c r="DC55" s="780"/>
      <c r="DD55" s="780"/>
      <c r="DE55" s="780"/>
      <c r="DF55" s="780"/>
      <c r="DG55" s="780"/>
      <c r="DH55" s="780"/>
      <c r="DI55" s="780"/>
      <c r="DJ55" s="780"/>
      <c r="DK55" s="780"/>
      <c r="DL55" s="780"/>
      <c r="DM55" s="780"/>
      <c r="DN55" s="780"/>
      <c r="DO55" s="780"/>
      <c r="DP55" s="780"/>
      <c r="DQ55" s="780"/>
      <c r="DR55" s="780"/>
      <c r="DS55" s="780"/>
      <c r="DT55" s="780"/>
      <c r="DU55" s="780"/>
      <c r="DV55" s="780"/>
      <c r="DW55" s="780"/>
      <c r="DX55" s="780"/>
      <c r="DY55" s="780"/>
      <c r="DZ55" s="780"/>
      <c r="EA55" s="780"/>
      <c r="EB55" s="780"/>
      <c r="EC55" s="780"/>
      <c r="ED55" s="780"/>
      <c r="EE55" s="780"/>
      <c r="EF55" s="780"/>
      <c r="EG55" s="780"/>
      <c r="EH55" s="780"/>
      <c r="EI55" s="780"/>
      <c r="EJ55" s="780"/>
      <c r="EK55" s="780"/>
      <c r="EL55" s="780"/>
      <c r="EM55" s="780"/>
      <c r="EN55" s="780"/>
      <c r="EO55" s="780"/>
      <c r="EP55" s="780"/>
      <c r="EQ55" s="780"/>
      <c r="ER55" s="780"/>
      <c r="ES55" s="780"/>
      <c r="ET55" s="780"/>
      <c r="EU55" s="780"/>
      <c r="EV55" s="780"/>
      <c r="EW55" s="780"/>
      <c r="EX55" s="780"/>
      <c r="EY55" s="780"/>
      <c r="EZ55" s="780"/>
      <c r="FA55" s="780"/>
      <c r="FB55" s="780"/>
      <c r="FC55" s="780"/>
      <c r="FD55" s="780"/>
      <c r="FE55" s="780"/>
      <c r="FF55" s="780"/>
      <c r="FG55" s="780"/>
      <c r="FH55" s="780"/>
      <c r="FI55" s="780"/>
      <c r="FJ55" s="780"/>
      <c r="FK55" s="780"/>
      <c r="FL55" s="780"/>
      <c r="FM55" s="780"/>
      <c r="FN55" s="780"/>
      <c r="FO55" s="780"/>
      <c r="FP55" s="780"/>
      <c r="FQ55" s="780"/>
      <c r="FR55" s="780"/>
      <c r="FS55" s="781"/>
      <c r="FT55" s="781"/>
      <c r="FU55" s="781"/>
      <c r="FV55" s="781"/>
      <c r="FW55" s="781"/>
      <c r="FX55" s="781"/>
      <c r="FY55" s="781"/>
      <c r="FZ55" s="781"/>
      <c r="GA55" s="781"/>
      <c r="GB55" s="781"/>
      <c r="GC55" s="781"/>
      <c r="GD55" s="781"/>
      <c r="GE55" s="781"/>
      <c r="GF55" s="781"/>
      <c r="GG55" s="781"/>
      <c r="GH55" s="781"/>
      <c r="GI55" s="781"/>
      <c r="GJ55" s="781"/>
      <c r="GK55" s="781"/>
      <c r="GL55" s="781"/>
    </row>
    <row r="56" spans="1:194" s="744" customFormat="1">
      <c r="A56"/>
      <c r="B56"/>
      <c r="C56"/>
      <c r="D56"/>
      <c r="E56"/>
      <c r="F56"/>
      <c r="G56"/>
      <c r="H56"/>
      <c r="I56"/>
      <c r="J56" s="33"/>
      <c r="K56"/>
      <c r="L56"/>
      <c r="M56"/>
      <c r="N56"/>
      <c r="O56"/>
      <c r="P56"/>
      <c r="Q56"/>
      <c r="R56" s="33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194" s="744" customFormat="1">
      <c r="A57"/>
      <c r="B57"/>
      <c r="C57"/>
      <c r="D57"/>
      <c r="E57"/>
      <c r="F57"/>
      <c r="G57"/>
      <c r="H57"/>
      <c r="I57"/>
      <c r="J57" s="33"/>
      <c r="K57"/>
      <c r="L57"/>
      <c r="M57"/>
      <c r="N57"/>
      <c r="O57"/>
      <c r="P57"/>
      <c r="Q57"/>
      <c r="R57" s="33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194" s="744" customFormat="1">
      <c r="A58"/>
      <c r="B58"/>
      <c r="C58"/>
      <c r="D58"/>
      <c r="E58"/>
      <c r="F58"/>
      <c r="G58"/>
      <c r="H58"/>
      <c r="I58"/>
      <c r="J58" s="33"/>
      <c r="K58"/>
      <c r="L58"/>
      <c r="M58"/>
      <c r="N58"/>
      <c r="O58"/>
      <c r="P58"/>
      <c r="Q58"/>
      <c r="R58" s="33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194" s="744" customFormat="1">
      <c r="A59"/>
      <c r="B59"/>
      <c r="C59"/>
      <c r="D59"/>
      <c r="E59"/>
      <c r="F59"/>
      <c r="G59"/>
      <c r="H59"/>
      <c r="I59"/>
      <c r="J59" s="33"/>
      <c r="K59"/>
      <c r="L59"/>
      <c r="M59"/>
      <c r="N59"/>
      <c r="O59"/>
      <c r="P59"/>
      <c r="Q59"/>
      <c r="R59" s="33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194" s="744" customFormat="1">
      <c r="A60"/>
      <c r="B60"/>
      <c r="C60"/>
      <c r="D60"/>
      <c r="E60"/>
      <c r="F60"/>
      <c r="G60"/>
      <c r="H60"/>
      <c r="I60"/>
      <c r="J60" s="33"/>
      <c r="K60"/>
      <c r="L60"/>
      <c r="M60"/>
      <c r="N60"/>
      <c r="O60"/>
      <c r="P60"/>
      <c r="Q60"/>
      <c r="R60" s="33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194" s="744" customFormat="1">
      <c r="A61"/>
      <c r="B61"/>
      <c r="C61"/>
      <c r="D61"/>
      <c r="E61"/>
      <c r="F61"/>
      <c r="G61"/>
      <c r="H61"/>
      <c r="I61"/>
      <c r="J61" s="33"/>
      <c r="K61"/>
      <c r="L61"/>
      <c r="M61"/>
      <c r="N61"/>
      <c r="O61"/>
      <c r="P61"/>
      <c r="Q61"/>
      <c r="R61" s="33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194" s="744" customFormat="1">
      <c r="A62"/>
      <c r="B62"/>
      <c r="C62"/>
      <c r="D62"/>
      <c r="E62"/>
      <c r="F62"/>
      <c r="G62"/>
      <c r="H62"/>
      <c r="I62"/>
      <c r="J62" s="33"/>
      <c r="K62"/>
      <c r="L62"/>
      <c r="M62"/>
      <c r="N62"/>
      <c r="O62"/>
      <c r="P62"/>
      <c r="Q62"/>
      <c r="R62" s="33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194" s="744" customFormat="1">
      <c r="A63"/>
      <c r="B63"/>
      <c r="C63"/>
      <c r="D63"/>
      <c r="E63"/>
      <c r="F63"/>
      <c r="G63"/>
      <c r="H63"/>
      <c r="I63"/>
      <c r="J63" s="33"/>
      <c r="K63"/>
      <c r="L63"/>
      <c r="M63"/>
      <c r="N63"/>
      <c r="O63"/>
      <c r="P63"/>
      <c r="Q63"/>
      <c r="R63" s="3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194" s="744" customFormat="1">
      <c r="A64"/>
      <c r="B64"/>
      <c r="C64"/>
      <c r="D64"/>
      <c r="E64"/>
      <c r="F64"/>
      <c r="G64"/>
      <c r="H64"/>
      <c r="I64"/>
      <c r="J64" s="33"/>
      <c r="K64"/>
      <c r="L64"/>
      <c r="M64"/>
      <c r="N64"/>
      <c r="O64"/>
      <c r="P64"/>
      <c r="Q64"/>
      <c r="R64" s="33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95" s="744" customFormat="1">
      <c r="A65"/>
      <c r="B65"/>
      <c r="C65"/>
      <c r="D65"/>
      <c r="E65"/>
      <c r="F65"/>
      <c r="G65"/>
      <c r="H65"/>
      <c r="I65"/>
      <c r="J65" s="33"/>
      <c r="K65"/>
      <c r="L65"/>
      <c r="M65"/>
      <c r="N65"/>
      <c r="O65"/>
      <c r="P65"/>
      <c r="Q65"/>
      <c r="R65" s="33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95" s="744" customFormat="1">
      <c r="A66"/>
      <c r="B66"/>
      <c r="C66"/>
      <c r="D66"/>
      <c r="E66"/>
      <c r="F66"/>
      <c r="G66"/>
      <c r="H66"/>
      <c r="I66"/>
      <c r="J66" s="33"/>
      <c r="K66"/>
      <c r="L66"/>
      <c r="M66"/>
      <c r="N66"/>
      <c r="O66"/>
      <c r="P66"/>
      <c r="Q66"/>
      <c r="R66" s="33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95" s="744" customFormat="1">
      <c r="A67"/>
      <c r="B67"/>
      <c r="C67"/>
      <c r="D67"/>
      <c r="E67"/>
      <c r="F67"/>
      <c r="G67"/>
      <c r="H67"/>
      <c r="I67"/>
      <c r="J67" s="33"/>
      <c r="K67"/>
      <c r="L67"/>
      <c r="M67"/>
      <c r="N67"/>
      <c r="O67"/>
      <c r="P67"/>
      <c r="Q67"/>
      <c r="R67" s="33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95">
      <c r="AU68" s="375"/>
      <c r="AV68" s="375"/>
      <c r="AW68" s="375"/>
      <c r="AX68" s="375"/>
      <c r="AY68" s="375"/>
      <c r="AZ68" s="375"/>
      <c r="BA68" s="375"/>
      <c r="BB68" s="375"/>
      <c r="BC68" s="375"/>
      <c r="BD68" s="375"/>
      <c r="BE68" s="375"/>
      <c r="BF68" s="375"/>
      <c r="BG68" s="375"/>
      <c r="BH68" s="375"/>
      <c r="BI68" s="375"/>
      <c r="BJ68" s="375"/>
      <c r="BK68" s="387"/>
      <c r="CD68" s="375"/>
      <c r="CE68" s="375"/>
      <c r="CF68" s="375"/>
      <c r="CG68" s="375"/>
      <c r="CH68" s="375"/>
      <c r="CI68" s="375"/>
      <c r="CJ68" s="375"/>
      <c r="CK68" s="375"/>
      <c r="CL68" s="375"/>
      <c r="CM68" s="375"/>
      <c r="CN68" s="375"/>
      <c r="CO68" s="375"/>
      <c r="CP68" s="375"/>
      <c r="CQ68" s="387"/>
    </row>
    <row r="69" spans="1:95">
      <c r="AU69" s="375"/>
      <c r="AV69" s="375"/>
      <c r="AW69" s="375"/>
      <c r="AX69" s="375"/>
      <c r="AY69" s="375"/>
      <c r="AZ69" s="375"/>
      <c r="BA69" s="375"/>
      <c r="BB69" s="375"/>
      <c r="BC69" s="375"/>
      <c r="BD69" s="375"/>
      <c r="BE69" s="375"/>
      <c r="BF69" s="375"/>
      <c r="BG69" s="375"/>
      <c r="BH69" s="375"/>
      <c r="BI69" s="375"/>
      <c r="BJ69" s="375"/>
      <c r="BK69" s="387"/>
      <c r="CD69" s="375"/>
      <c r="CE69" s="375"/>
      <c r="CF69" s="375"/>
      <c r="CG69" s="375"/>
      <c r="CH69" s="375"/>
      <c r="CI69" s="375"/>
      <c r="CJ69" s="375"/>
      <c r="CK69" s="375"/>
      <c r="CL69" s="375"/>
      <c r="CM69" s="375"/>
      <c r="CN69" s="375"/>
      <c r="CO69" s="375"/>
      <c r="CP69" s="375"/>
      <c r="CQ69" s="387"/>
    </row>
    <row r="70" spans="1:95">
      <c r="AU70" s="375"/>
      <c r="AV70" s="375"/>
      <c r="AW70" s="375"/>
      <c r="AX70" s="375"/>
      <c r="AY70" s="375"/>
      <c r="AZ70" s="375"/>
      <c r="BA70" s="375"/>
      <c r="BB70" s="375"/>
      <c r="BC70" s="375"/>
      <c r="BD70" s="375"/>
      <c r="BE70" s="375"/>
      <c r="BF70" s="375"/>
      <c r="BG70" s="375"/>
      <c r="BH70" s="375"/>
      <c r="BI70" s="375"/>
      <c r="BJ70" s="375"/>
      <c r="BK70" s="387"/>
      <c r="CD70" s="375"/>
      <c r="CE70" s="375"/>
      <c r="CF70" s="375"/>
      <c r="CG70" s="375"/>
      <c r="CH70" s="375"/>
      <c r="CI70" s="375"/>
      <c r="CJ70" s="375"/>
      <c r="CK70" s="375"/>
      <c r="CL70" s="375"/>
      <c r="CM70" s="375"/>
      <c r="CN70" s="375"/>
      <c r="CO70" s="375"/>
      <c r="CP70" s="375"/>
      <c r="CQ70" s="387"/>
    </row>
    <row r="71" spans="1:95">
      <c r="AU71" s="375"/>
      <c r="AV71" s="375"/>
      <c r="AW71" s="375"/>
      <c r="AX71" s="375"/>
      <c r="AY71" s="375"/>
      <c r="AZ71" s="375"/>
      <c r="BA71" s="375"/>
      <c r="BB71" s="375"/>
      <c r="BC71" s="375"/>
      <c r="BD71" s="375"/>
      <c r="BE71" s="375"/>
      <c r="BF71" s="375"/>
      <c r="BG71" s="375"/>
      <c r="BH71" s="375"/>
      <c r="BI71" s="375"/>
      <c r="BJ71" s="375"/>
      <c r="BK71" s="387"/>
      <c r="CD71" s="375"/>
      <c r="CE71" s="375"/>
      <c r="CF71" s="375"/>
      <c r="CG71" s="375"/>
      <c r="CH71" s="375"/>
      <c r="CI71" s="375"/>
      <c r="CJ71" s="375"/>
      <c r="CK71" s="375"/>
      <c r="CL71" s="375"/>
      <c r="CM71" s="375"/>
      <c r="CN71" s="375"/>
      <c r="CO71" s="375"/>
      <c r="CP71" s="375"/>
      <c r="CQ71" s="387"/>
    </row>
  </sheetData>
  <mergeCells count="166">
    <mergeCell ref="B45:B47"/>
    <mergeCell ref="C45:C47"/>
    <mergeCell ref="E45:J45"/>
    <mergeCell ref="S45:AE45"/>
    <mergeCell ref="E46:E47"/>
    <mergeCell ref="F46:F47"/>
    <mergeCell ref="G46:G47"/>
    <mergeCell ref="H46:I46"/>
    <mergeCell ref="J46:J47"/>
    <mergeCell ref="K46:K47"/>
    <mergeCell ref="L46:L47"/>
    <mergeCell ref="M46:M47"/>
    <mergeCell ref="N46:N47"/>
    <mergeCell ref="P46:P47"/>
    <mergeCell ref="S46:S47"/>
    <mergeCell ref="T46:T47"/>
    <mergeCell ref="U46:U47"/>
    <mergeCell ref="V46:W46"/>
    <mergeCell ref="X46:X47"/>
    <mergeCell ref="Y46:Y47"/>
    <mergeCell ref="Z46:Z47"/>
    <mergeCell ref="AA46:AA47"/>
    <mergeCell ref="AB46:AB47"/>
    <mergeCell ref="AD46:AD47"/>
    <mergeCell ref="B5:B7"/>
    <mergeCell ref="AO6:AO7"/>
    <mergeCell ref="AP6:AP7"/>
    <mergeCell ref="AQ6:AQ7"/>
    <mergeCell ref="AR6:AR7"/>
    <mergeCell ref="EM6:EN6"/>
    <mergeCell ref="EU6:EU7"/>
    <mergeCell ref="AH6:AH7"/>
    <mergeCell ref="AI6:AI7"/>
    <mergeCell ref="AJ6:AK6"/>
    <mergeCell ref="AL6:AL7"/>
    <mergeCell ref="AM6:AM7"/>
    <mergeCell ref="AN6:AN7"/>
    <mergeCell ref="ED6:ED7"/>
    <mergeCell ref="EE6:EF6"/>
    <mergeCell ref="EG6:EG7"/>
    <mergeCell ref="EH6:EH7"/>
    <mergeCell ref="EI6:EI7"/>
    <mergeCell ref="AG6:AG7"/>
    <mergeCell ref="DV6:DW6"/>
    <mergeCell ref="DX6:DX7"/>
    <mergeCell ref="DY6:DY7"/>
    <mergeCell ref="DZ6:DZ7"/>
    <mergeCell ref="EB6:EB7"/>
    <mergeCell ref="EC6:EC7"/>
    <mergeCell ref="DO6:DO7"/>
    <mergeCell ref="DP6:DP7"/>
    <mergeCell ref="DQ6:DQ7"/>
    <mergeCell ref="DS6:DS7"/>
    <mergeCell ref="DT6:DT7"/>
    <mergeCell ref="DU6:DU7"/>
    <mergeCell ref="DH6:DH7"/>
    <mergeCell ref="DI6:DI7"/>
    <mergeCell ref="DJ6:DK6"/>
    <mergeCell ref="DL6:DL7"/>
    <mergeCell ref="DM6:DM7"/>
    <mergeCell ref="DN6:DN7"/>
    <mergeCell ref="DC6:DC7"/>
    <mergeCell ref="BR6:BR7"/>
    <mergeCell ref="BS6:BT6"/>
    <mergeCell ref="BU6:BU7"/>
    <mergeCell ref="BV6:BV7"/>
    <mergeCell ref="BW6:BW7"/>
    <mergeCell ref="DG6:DG7"/>
    <mergeCell ref="BI6:BI7"/>
    <mergeCell ref="BL6:BL7"/>
    <mergeCell ref="BM6:BM7"/>
    <mergeCell ref="BN6:BN7"/>
    <mergeCell ref="BO6:BP6"/>
    <mergeCell ref="BQ6:BQ7"/>
    <mergeCell ref="CX6:CX7"/>
    <mergeCell ref="CY6:CY7"/>
    <mergeCell ref="CZ6:CZ7"/>
    <mergeCell ref="DA6:DA7"/>
    <mergeCell ref="BX6:BX7"/>
    <mergeCell ref="BY6:BY7"/>
    <mergeCell ref="CA6:CA7"/>
    <mergeCell ref="BZ6:BZ7"/>
    <mergeCell ref="CB6:CB7"/>
    <mergeCell ref="GG5:GG7"/>
    <mergeCell ref="GH5:GH7"/>
    <mergeCell ref="GI5:GI7"/>
    <mergeCell ref="GJ5:GJ7"/>
    <mergeCell ref="GK5:GK7"/>
    <mergeCell ref="GL5:GL7"/>
    <mergeCell ref="FV5:FV7"/>
    <mergeCell ref="FZ5:FZ7"/>
    <mergeCell ref="GA5:GA7"/>
    <mergeCell ref="GB5:GB7"/>
    <mergeCell ref="GC5:GC7"/>
    <mergeCell ref="GD5:GD7"/>
    <mergeCell ref="EU5:EZ5"/>
    <mergeCell ref="FA5:FF5"/>
    <mergeCell ref="FG5:FR5"/>
    <mergeCell ref="FS5:FS7"/>
    <mergeCell ref="FT5:FT7"/>
    <mergeCell ref="FU5:FU7"/>
    <mergeCell ref="EV6:EV7"/>
    <mergeCell ref="EW6:EW7"/>
    <mergeCell ref="EX6:EY6"/>
    <mergeCell ref="EZ6:EZ7"/>
    <mergeCell ref="FR6:FR7"/>
    <mergeCell ref="FL6:FL7"/>
    <mergeCell ref="FM6:FM7"/>
    <mergeCell ref="FN6:FN7"/>
    <mergeCell ref="FO6:FO7"/>
    <mergeCell ref="FP6:FP7"/>
    <mergeCell ref="FQ6:FQ7"/>
    <mergeCell ref="FA6:FC6"/>
    <mergeCell ref="FD6:FF6"/>
    <mergeCell ref="FG6:FG7"/>
    <mergeCell ref="FH6:FH7"/>
    <mergeCell ref="FI6:FI7"/>
    <mergeCell ref="FJ6:FK6"/>
    <mergeCell ref="EB5:EI5"/>
    <mergeCell ref="AG5:AS5"/>
    <mergeCell ref="EJ5:ET5"/>
    <mergeCell ref="C5:C7"/>
    <mergeCell ref="E5:J5"/>
    <mergeCell ref="S5:AE5"/>
    <mergeCell ref="CD5:CP5"/>
    <mergeCell ref="CR5:CW5"/>
    <mergeCell ref="AU5:BG5"/>
    <mergeCell ref="E6:E7"/>
    <mergeCell ref="F6:F7"/>
    <mergeCell ref="G6:G7"/>
    <mergeCell ref="H6:I6"/>
    <mergeCell ref="S6:S7"/>
    <mergeCell ref="T6:T7"/>
    <mergeCell ref="U6:U7"/>
    <mergeCell ref="V6:W6"/>
    <mergeCell ref="X6:X7"/>
    <mergeCell ref="Y6:Y7"/>
    <mergeCell ref="J6:J7"/>
    <mergeCell ref="K6:K7"/>
    <mergeCell ref="L6:L7"/>
    <mergeCell ref="M6:M7"/>
    <mergeCell ref="N6:N7"/>
    <mergeCell ref="H2:I2"/>
    <mergeCell ref="H3:I3"/>
    <mergeCell ref="DG5:DQ5"/>
    <mergeCell ref="DS5:DZ5"/>
    <mergeCell ref="P6:P7"/>
    <mergeCell ref="CM6:CM7"/>
    <mergeCell ref="CO6:CO7"/>
    <mergeCell ref="CR6:CR7"/>
    <mergeCell ref="CS6:CS7"/>
    <mergeCell ref="CT6:CT7"/>
    <mergeCell ref="CU6:CV6"/>
    <mergeCell ref="Z6:Z7"/>
    <mergeCell ref="AA6:AA7"/>
    <mergeCell ref="AB6:AB7"/>
    <mergeCell ref="AD6:AD7"/>
    <mergeCell ref="CG6:CH6"/>
    <mergeCell ref="CL6:CL7"/>
    <mergeCell ref="AX6:AY6"/>
    <mergeCell ref="AZ6:BA6"/>
    <mergeCell ref="BB6:BB7"/>
    <mergeCell ref="BC6:BC7"/>
    <mergeCell ref="BF6:BF7"/>
    <mergeCell ref="BG6:BG7"/>
    <mergeCell ref="CW6:CW7"/>
  </mergeCells>
  <pageMargins left="0.05" right="0.05" top="0.05" bottom="0.05" header="0.3" footer="0.3"/>
  <pageSetup paperSize="5" scale="75" orientation="landscape" horizontalDpi="4294967293" verticalDpi="18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>
    <tabColor rgb="FF002060"/>
  </sheetPr>
  <dimension ref="B2:FN86"/>
  <sheetViews>
    <sheetView zoomScale="85" zoomScaleNormal="85" workbookViewId="0">
      <pane xSplit="4" ySplit="2" topLeftCell="E3" activePane="bottomRight" state="frozen"/>
      <selection activeCell="BE20" sqref="BE20"/>
      <selection pane="topRight" activeCell="BE20" sqref="BE20"/>
      <selection pane="bottomLeft" activeCell="BE20" sqref="BE20"/>
      <selection pane="bottomRight" activeCell="K13" sqref="K13"/>
    </sheetView>
  </sheetViews>
  <sheetFormatPr defaultRowHeight="12.75"/>
  <cols>
    <col min="1" max="1" width="3.5703125" style="443" customWidth="1"/>
    <col min="2" max="2" width="14.7109375" style="443" customWidth="1"/>
    <col min="3" max="3" width="14.28515625" style="443" bestFit="1" customWidth="1"/>
    <col min="4" max="4" width="14.5703125" style="443" customWidth="1"/>
    <col min="5" max="5" width="13.28515625" style="443" customWidth="1"/>
    <col min="6" max="6" width="11.7109375" style="443" customWidth="1"/>
    <col min="7" max="7" width="13.42578125" style="443" customWidth="1"/>
    <col min="8" max="8" width="13.7109375" style="443" customWidth="1"/>
    <col min="9" max="9" width="11.140625" style="443" customWidth="1"/>
    <col min="10" max="10" width="19.5703125" style="443" customWidth="1"/>
    <col min="11" max="11" width="16.140625" style="443" bestFit="1" customWidth="1"/>
    <col min="12" max="12" width="10.5703125" style="443" customWidth="1"/>
    <col min="13" max="13" width="19.5703125" style="443" customWidth="1"/>
    <col min="14" max="14" width="17" style="443" customWidth="1"/>
    <col min="15" max="15" width="18.85546875" style="443" customWidth="1"/>
    <col min="16" max="16" width="16.42578125" style="443" bestFit="1" customWidth="1"/>
    <col min="17" max="18" width="16.5703125" style="443" customWidth="1"/>
    <col min="19" max="19" width="2.7109375" style="501" customWidth="1"/>
    <col min="20" max="20" width="16.28515625" style="443" customWidth="1"/>
    <col min="21" max="21" width="22.28515625" style="443" bestFit="1" customWidth="1"/>
    <col min="22" max="22" width="20" style="443" bestFit="1" customWidth="1"/>
    <col min="23" max="256" width="9.140625" style="443"/>
    <col min="257" max="257" width="2.42578125" style="443" customWidth="1"/>
    <col min="258" max="258" width="9.140625" style="443"/>
    <col min="259" max="259" width="12" style="443" bestFit="1" customWidth="1"/>
    <col min="260" max="260" width="13" style="443" customWidth="1"/>
    <col min="261" max="261" width="11.7109375" style="443" bestFit="1" customWidth="1"/>
    <col min="262" max="262" width="11.7109375" style="443" customWidth="1"/>
    <col min="263" max="263" width="11.42578125" style="443" customWidth="1"/>
    <col min="264" max="264" width="12.7109375" style="443" bestFit="1" customWidth="1"/>
    <col min="265" max="265" width="11.140625" style="443" customWidth="1"/>
    <col min="266" max="266" width="15.85546875" style="443" customWidth="1"/>
    <col min="267" max="267" width="15.85546875" style="443" bestFit="1" customWidth="1"/>
    <col min="268" max="268" width="10.5703125" style="443" customWidth="1"/>
    <col min="269" max="269" width="16.42578125" style="443" customWidth="1"/>
    <col min="270" max="270" width="11.7109375" style="443" customWidth="1"/>
    <col min="271" max="271" width="16.28515625" style="443" customWidth="1"/>
    <col min="272" max="272" width="10.85546875" style="443" customWidth="1"/>
    <col min="273" max="274" width="16.5703125" style="443" customWidth="1"/>
    <col min="275" max="275" width="17" style="443" customWidth="1"/>
    <col min="276" max="276" width="16.28515625" style="443" customWidth="1"/>
    <col min="277" max="512" width="9.140625" style="443"/>
    <col min="513" max="513" width="2.42578125" style="443" customWidth="1"/>
    <col min="514" max="514" width="9.140625" style="443"/>
    <col min="515" max="515" width="12" style="443" bestFit="1" customWidth="1"/>
    <col min="516" max="516" width="13" style="443" customWidth="1"/>
    <col min="517" max="517" width="11.7109375" style="443" bestFit="1" customWidth="1"/>
    <col min="518" max="518" width="11.7109375" style="443" customWidth="1"/>
    <col min="519" max="519" width="11.42578125" style="443" customWidth="1"/>
    <col min="520" max="520" width="12.7109375" style="443" bestFit="1" customWidth="1"/>
    <col min="521" max="521" width="11.140625" style="443" customWidth="1"/>
    <col min="522" max="522" width="15.85546875" style="443" customWidth="1"/>
    <col min="523" max="523" width="15.85546875" style="443" bestFit="1" customWidth="1"/>
    <col min="524" max="524" width="10.5703125" style="443" customWidth="1"/>
    <col min="525" max="525" width="16.42578125" style="443" customWidth="1"/>
    <col min="526" max="526" width="11.7109375" style="443" customWidth="1"/>
    <col min="527" max="527" width="16.28515625" style="443" customWidth="1"/>
    <col min="528" max="528" width="10.85546875" style="443" customWidth="1"/>
    <col min="529" max="530" width="16.5703125" style="443" customWidth="1"/>
    <col min="531" max="531" width="17" style="443" customWidth="1"/>
    <col min="532" max="532" width="16.28515625" style="443" customWidth="1"/>
    <col min="533" max="768" width="9.140625" style="443"/>
    <col min="769" max="769" width="2.42578125" style="443" customWidth="1"/>
    <col min="770" max="770" width="9.140625" style="443"/>
    <col min="771" max="771" width="12" style="443" bestFit="1" customWidth="1"/>
    <col min="772" max="772" width="13" style="443" customWidth="1"/>
    <col min="773" max="773" width="11.7109375" style="443" bestFit="1" customWidth="1"/>
    <col min="774" max="774" width="11.7109375" style="443" customWidth="1"/>
    <col min="775" max="775" width="11.42578125" style="443" customWidth="1"/>
    <col min="776" max="776" width="12.7109375" style="443" bestFit="1" customWidth="1"/>
    <col min="777" max="777" width="11.140625" style="443" customWidth="1"/>
    <col min="778" max="778" width="15.85546875" style="443" customWidth="1"/>
    <col min="779" max="779" width="15.85546875" style="443" bestFit="1" customWidth="1"/>
    <col min="780" max="780" width="10.5703125" style="443" customWidth="1"/>
    <col min="781" max="781" width="16.42578125" style="443" customWidth="1"/>
    <col min="782" max="782" width="11.7109375" style="443" customWidth="1"/>
    <col min="783" max="783" width="16.28515625" style="443" customWidth="1"/>
    <col min="784" max="784" width="10.85546875" style="443" customWidth="1"/>
    <col min="785" max="786" width="16.5703125" style="443" customWidth="1"/>
    <col min="787" max="787" width="17" style="443" customWidth="1"/>
    <col min="788" max="788" width="16.28515625" style="443" customWidth="1"/>
    <col min="789" max="1024" width="9.140625" style="443"/>
    <col min="1025" max="1025" width="2.42578125" style="443" customWidth="1"/>
    <col min="1026" max="1026" width="9.140625" style="443"/>
    <col min="1027" max="1027" width="12" style="443" bestFit="1" customWidth="1"/>
    <col min="1028" max="1028" width="13" style="443" customWidth="1"/>
    <col min="1029" max="1029" width="11.7109375" style="443" bestFit="1" customWidth="1"/>
    <col min="1030" max="1030" width="11.7109375" style="443" customWidth="1"/>
    <col min="1031" max="1031" width="11.42578125" style="443" customWidth="1"/>
    <col min="1032" max="1032" width="12.7109375" style="443" bestFit="1" customWidth="1"/>
    <col min="1033" max="1033" width="11.140625" style="443" customWidth="1"/>
    <col min="1034" max="1034" width="15.85546875" style="443" customWidth="1"/>
    <col min="1035" max="1035" width="15.85546875" style="443" bestFit="1" customWidth="1"/>
    <col min="1036" max="1036" width="10.5703125" style="443" customWidth="1"/>
    <col min="1037" max="1037" width="16.42578125" style="443" customWidth="1"/>
    <col min="1038" max="1038" width="11.7109375" style="443" customWidth="1"/>
    <col min="1039" max="1039" width="16.28515625" style="443" customWidth="1"/>
    <col min="1040" max="1040" width="10.85546875" style="443" customWidth="1"/>
    <col min="1041" max="1042" width="16.5703125" style="443" customWidth="1"/>
    <col min="1043" max="1043" width="17" style="443" customWidth="1"/>
    <col min="1044" max="1044" width="16.28515625" style="443" customWidth="1"/>
    <col min="1045" max="1280" width="9.140625" style="443"/>
    <col min="1281" max="1281" width="2.42578125" style="443" customWidth="1"/>
    <col min="1282" max="1282" width="9.140625" style="443"/>
    <col min="1283" max="1283" width="12" style="443" bestFit="1" customWidth="1"/>
    <col min="1284" max="1284" width="13" style="443" customWidth="1"/>
    <col min="1285" max="1285" width="11.7109375" style="443" bestFit="1" customWidth="1"/>
    <col min="1286" max="1286" width="11.7109375" style="443" customWidth="1"/>
    <col min="1287" max="1287" width="11.42578125" style="443" customWidth="1"/>
    <col min="1288" max="1288" width="12.7109375" style="443" bestFit="1" customWidth="1"/>
    <col min="1289" max="1289" width="11.140625" style="443" customWidth="1"/>
    <col min="1290" max="1290" width="15.85546875" style="443" customWidth="1"/>
    <col min="1291" max="1291" width="15.85546875" style="443" bestFit="1" customWidth="1"/>
    <col min="1292" max="1292" width="10.5703125" style="443" customWidth="1"/>
    <col min="1293" max="1293" width="16.42578125" style="443" customWidth="1"/>
    <col min="1294" max="1294" width="11.7109375" style="443" customWidth="1"/>
    <col min="1295" max="1295" width="16.28515625" style="443" customWidth="1"/>
    <col min="1296" max="1296" width="10.85546875" style="443" customWidth="1"/>
    <col min="1297" max="1298" width="16.5703125" style="443" customWidth="1"/>
    <col min="1299" max="1299" width="17" style="443" customWidth="1"/>
    <col min="1300" max="1300" width="16.28515625" style="443" customWidth="1"/>
    <col min="1301" max="1536" width="9.140625" style="443"/>
    <col min="1537" max="1537" width="2.42578125" style="443" customWidth="1"/>
    <col min="1538" max="1538" width="9.140625" style="443"/>
    <col min="1539" max="1539" width="12" style="443" bestFit="1" customWidth="1"/>
    <col min="1540" max="1540" width="13" style="443" customWidth="1"/>
    <col min="1541" max="1541" width="11.7109375" style="443" bestFit="1" customWidth="1"/>
    <col min="1542" max="1542" width="11.7109375" style="443" customWidth="1"/>
    <col min="1543" max="1543" width="11.42578125" style="443" customWidth="1"/>
    <col min="1544" max="1544" width="12.7109375" style="443" bestFit="1" customWidth="1"/>
    <col min="1545" max="1545" width="11.140625" style="443" customWidth="1"/>
    <col min="1546" max="1546" width="15.85546875" style="443" customWidth="1"/>
    <col min="1547" max="1547" width="15.85546875" style="443" bestFit="1" customWidth="1"/>
    <col min="1548" max="1548" width="10.5703125" style="443" customWidth="1"/>
    <col min="1549" max="1549" width="16.42578125" style="443" customWidth="1"/>
    <col min="1550" max="1550" width="11.7109375" style="443" customWidth="1"/>
    <col min="1551" max="1551" width="16.28515625" style="443" customWidth="1"/>
    <col min="1552" max="1552" width="10.85546875" style="443" customWidth="1"/>
    <col min="1553" max="1554" width="16.5703125" style="443" customWidth="1"/>
    <col min="1555" max="1555" width="17" style="443" customWidth="1"/>
    <col min="1556" max="1556" width="16.28515625" style="443" customWidth="1"/>
    <col min="1557" max="1792" width="9.140625" style="443"/>
    <col min="1793" max="1793" width="2.42578125" style="443" customWidth="1"/>
    <col min="1794" max="1794" width="9.140625" style="443"/>
    <col min="1795" max="1795" width="12" style="443" bestFit="1" customWidth="1"/>
    <col min="1796" max="1796" width="13" style="443" customWidth="1"/>
    <col min="1797" max="1797" width="11.7109375" style="443" bestFit="1" customWidth="1"/>
    <col min="1798" max="1798" width="11.7109375" style="443" customWidth="1"/>
    <col min="1799" max="1799" width="11.42578125" style="443" customWidth="1"/>
    <col min="1800" max="1800" width="12.7109375" style="443" bestFit="1" customWidth="1"/>
    <col min="1801" max="1801" width="11.140625" style="443" customWidth="1"/>
    <col min="1802" max="1802" width="15.85546875" style="443" customWidth="1"/>
    <col min="1803" max="1803" width="15.85546875" style="443" bestFit="1" customWidth="1"/>
    <col min="1804" max="1804" width="10.5703125" style="443" customWidth="1"/>
    <col min="1805" max="1805" width="16.42578125" style="443" customWidth="1"/>
    <col min="1806" max="1806" width="11.7109375" style="443" customWidth="1"/>
    <col min="1807" max="1807" width="16.28515625" style="443" customWidth="1"/>
    <col min="1808" max="1808" width="10.85546875" style="443" customWidth="1"/>
    <col min="1809" max="1810" width="16.5703125" style="443" customWidth="1"/>
    <col min="1811" max="1811" width="17" style="443" customWidth="1"/>
    <col min="1812" max="1812" width="16.28515625" style="443" customWidth="1"/>
    <col min="1813" max="2048" width="9.140625" style="443"/>
    <col min="2049" max="2049" width="2.42578125" style="443" customWidth="1"/>
    <col min="2050" max="2050" width="9.140625" style="443"/>
    <col min="2051" max="2051" width="12" style="443" bestFit="1" customWidth="1"/>
    <col min="2052" max="2052" width="13" style="443" customWidth="1"/>
    <col min="2053" max="2053" width="11.7109375" style="443" bestFit="1" customWidth="1"/>
    <col min="2054" max="2054" width="11.7109375" style="443" customWidth="1"/>
    <col min="2055" max="2055" width="11.42578125" style="443" customWidth="1"/>
    <col min="2056" max="2056" width="12.7109375" style="443" bestFit="1" customWidth="1"/>
    <col min="2057" max="2057" width="11.140625" style="443" customWidth="1"/>
    <col min="2058" max="2058" width="15.85546875" style="443" customWidth="1"/>
    <col min="2059" max="2059" width="15.85546875" style="443" bestFit="1" customWidth="1"/>
    <col min="2060" max="2060" width="10.5703125" style="443" customWidth="1"/>
    <col min="2061" max="2061" width="16.42578125" style="443" customWidth="1"/>
    <col min="2062" max="2062" width="11.7109375" style="443" customWidth="1"/>
    <col min="2063" max="2063" width="16.28515625" style="443" customWidth="1"/>
    <col min="2064" max="2064" width="10.85546875" style="443" customWidth="1"/>
    <col min="2065" max="2066" width="16.5703125" style="443" customWidth="1"/>
    <col min="2067" max="2067" width="17" style="443" customWidth="1"/>
    <col min="2068" max="2068" width="16.28515625" style="443" customWidth="1"/>
    <col min="2069" max="2304" width="9.140625" style="443"/>
    <col min="2305" max="2305" width="2.42578125" style="443" customWidth="1"/>
    <col min="2306" max="2306" width="9.140625" style="443"/>
    <col min="2307" max="2307" width="12" style="443" bestFit="1" customWidth="1"/>
    <col min="2308" max="2308" width="13" style="443" customWidth="1"/>
    <col min="2309" max="2309" width="11.7109375" style="443" bestFit="1" customWidth="1"/>
    <col min="2310" max="2310" width="11.7109375" style="443" customWidth="1"/>
    <col min="2311" max="2311" width="11.42578125" style="443" customWidth="1"/>
    <col min="2312" max="2312" width="12.7109375" style="443" bestFit="1" customWidth="1"/>
    <col min="2313" max="2313" width="11.140625" style="443" customWidth="1"/>
    <col min="2314" max="2314" width="15.85546875" style="443" customWidth="1"/>
    <col min="2315" max="2315" width="15.85546875" style="443" bestFit="1" customWidth="1"/>
    <col min="2316" max="2316" width="10.5703125" style="443" customWidth="1"/>
    <col min="2317" max="2317" width="16.42578125" style="443" customWidth="1"/>
    <col min="2318" max="2318" width="11.7109375" style="443" customWidth="1"/>
    <col min="2319" max="2319" width="16.28515625" style="443" customWidth="1"/>
    <col min="2320" max="2320" width="10.85546875" style="443" customWidth="1"/>
    <col min="2321" max="2322" width="16.5703125" style="443" customWidth="1"/>
    <col min="2323" max="2323" width="17" style="443" customWidth="1"/>
    <col min="2324" max="2324" width="16.28515625" style="443" customWidth="1"/>
    <col min="2325" max="2560" width="9.140625" style="443"/>
    <col min="2561" max="2561" width="2.42578125" style="443" customWidth="1"/>
    <col min="2562" max="2562" width="9.140625" style="443"/>
    <col min="2563" max="2563" width="12" style="443" bestFit="1" customWidth="1"/>
    <col min="2564" max="2564" width="13" style="443" customWidth="1"/>
    <col min="2565" max="2565" width="11.7109375" style="443" bestFit="1" customWidth="1"/>
    <col min="2566" max="2566" width="11.7109375" style="443" customWidth="1"/>
    <col min="2567" max="2567" width="11.42578125" style="443" customWidth="1"/>
    <col min="2568" max="2568" width="12.7109375" style="443" bestFit="1" customWidth="1"/>
    <col min="2569" max="2569" width="11.140625" style="443" customWidth="1"/>
    <col min="2570" max="2570" width="15.85546875" style="443" customWidth="1"/>
    <col min="2571" max="2571" width="15.85546875" style="443" bestFit="1" customWidth="1"/>
    <col min="2572" max="2572" width="10.5703125" style="443" customWidth="1"/>
    <col min="2573" max="2573" width="16.42578125" style="443" customWidth="1"/>
    <col min="2574" max="2574" width="11.7109375" style="443" customWidth="1"/>
    <col min="2575" max="2575" width="16.28515625" style="443" customWidth="1"/>
    <col min="2576" max="2576" width="10.85546875" style="443" customWidth="1"/>
    <col min="2577" max="2578" width="16.5703125" style="443" customWidth="1"/>
    <col min="2579" max="2579" width="17" style="443" customWidth="1"/>
    <col min="2580" max="2580" width="16.28515625" style="443" customWidth="1"/>
    <col min="2581" max="2816" width="9.140625" style="443"/>
    <col min="2817" max="2817" width="2.42578125" style="443" customWidth="1"/>
    <col min="2818" max="2818" width="9.140625" style="443"/>
    <col min="2819" max="2819" width="12" style="443" bestFit="1" customWidth="1"/>
    <col min="2820" max="2820" width="13" style="443" customWidth="1"/>
    <col min="2821" max="2821" width="11.7109375" style="443" bestFit="1" customWidth="1"/>
    <col min="2822" max="2822" width="11.7109375" style="443" customWidth="1"/>
    <col min="2823" max="2823" width="11.42578125" style="443" customWidth="1"/>
    <col min="2824" max="2824" width="12.7109375" style="443" bestFit="1" customWidth="1"/>
    <col min="2825" max="2825" width="11.140625" style="443" customWidth="1"/>
    <col min="2826" max="2826" width="15.85546875" style="443" customWidth="1"/>
    <col min="2827" max="2827" width="15.85546875" style="443" bestFit="1" customWidth="1"/>
    <col min="2828" max="2828" width="10.5703125" style="443" customWidth="1"/>
    <col min="2829" max="2829" width="16.42578125" style="443" customWidth="1"/>
    <col min="2830" max="2830" width="11.7109375" style="443" customWidth="1"/>
    <col min="2831" max="2831" width="16.28515625" style="443" customWidth="1"/>
    <col min="2832" max="2832" width="10.85546875" style="443" customWidth="1"/>
    <col min="2833" max="2834" width="16.5703125" style="443" customWidth="1"/>
    <col min="2835" max="2835" width="17" style="443" customWidth="1"/>
    <col min="2836" max="2836" width="16.28515625" style="443" customWidth="1"/>
    <col min="2837" max="3072" width="9.140625" style="443"/>
    <col min="3073" max="3073" width="2.42578125" style="443" customWidth="1"/>
    <col min="3074" max="3074" width="9.140625" style="443"/>
    <col min="3075" max="3075" width="12" style="443" bestFit="1" customWidth="1"/>
    <col min="3076" max="3076" width="13" style="443" customWidth="1"/>
    <col min="3077" max="3077" width="11.7109375" style="443" bestFit="1" customWidth="1"/>
    <col min="3078" max="3078" width="11.7109375" style="443" customWidth="1"/>
    <col min="3079" max="3079" width="11.42578125" style="443" customWidth="1"/>
    <col min="3080" max="3080" width="12.7109375" style="443" bestFit="1" customWidth="1"/>
    <col min="3081" max="3081" width="11.140625" style="443" customWidth="1"/>
    <col min="3082" max="3082" width="15.85546875" style="443" customWidth="1"/>
    <col min="3083" max="3083" width="15.85546875" style="443" bestFit="1" customWidth="1"/>
    <col min="3084" max="3084" width="10.5703125" style="443" customWidth="1"/>
    <col min="3085" max="3085" width="16.42578125" style="443" customWidth="1"/>
    <col min="3086" max="3086" width="11.7109375" style="443" customWidth="1"/>
    <col min="3087" max="3087" width="16.28515625" style="443" customWidth="1"/>
    <col min="3088" max="3088" width="10.85546875" style="443" customWidth="1"/>
    <col min="3089" max="3090" width="16.5703125" style="443" customWidth="1"/>
    <col min="3091" max="3091" width="17" style="443" customWidth="1"/>
    <col min="3092" max="3092" width="16.28515625" style="443" customWidth="1"/>
    <col min="3093" max="3328" width="9.140625" style="443"/>
    <col min="3329" max="3329" width="2.42578125" style="443" customWidth="1"/>
    <col min="3330" max="3330" width="9.140625" style="443"/>
    <col min="3331" max="3331" width="12" style="443" bestFit="1" customWidth="1"/>
    <col min="3332" max="3332" width="13" style="443" customWidth="1"/>
    <col min="3333" max="3333" width="11.7109375" style="443" bestFit="1" customWidth="1"/>
    <col min="3334" max="3334" width="11.7109375" style="443" customWidth="1"/>
    <col min="3335" max="3335" width="11.42578125" style="443" customWidth="1"/>
    <col min="3336" max="3336" width="12.7109375" style="443" bestFit="1" customWidth="1"/>
    <col min="3337" max="3337" width="11.140625" style="443" customWidth="1"/>
    <col min="3338" max="3338" width="15.85546875" style="443" customWidth="1"/>
    <col min="3339" max="3339" width="15.85546875" style="443" bestFit="1" customWidth="1"/>
    <col min="3340" max="3340" width="10.5703125" style="443" customWidth="1"/>
    <col min="3341" max="3341" width="16.42578125" style="443" customWidth="1"/>
    <col min="3342" max="3342" width="11.7109375" style="443" customWidth="1"/>
    <col min="3343" max="3343" width="16.28515625" style="443" customWidth="1"/>
    <col min="3344" max="3344" width="10.85546875" style="443" customWidth="1"/>
    <col min="3345" max="3346" width="16.5703125" style="443" customWidth="1"/>
    <col min="3347" max="3347" width="17" style="443" customWidth="1"/>
    <col min="3348" max="3348" width="16.28515625" style="443" customWidth="1"/>
    <col min="3349" max="3584" width="9.140625" style="443"/>
    <col min="3585" max="3585" width="2.42578125" style="443" customWidth="1"/>
    <col min="3586" max="3586" width="9.140625" style="443"/>
    <col min="3587" max="3587" width="12" style="443" bestFit="1" customWidth="1"/>
    <col min="3588" max="3588" width="13" style="443" customWidth="1"/>
    <col min="3589" max="3589" width="11.7109375" style="443" bestFit="1" customWidth="1"/>
    <col min="3590" max="3590" width="11.7109375" style="443" customWidth="1"/>
    <col min="3591" max="3591" width="11.42578125" style="443" customWidth="1"/>
    <col min="3592" max="3592" width="12.7109375" style="443" bestFit="1" customWidth="1"/>
    <col min="3593" max="3593" width="11.140625" style="443" customWidth="1"/>
    <col min="3594" max="3594" width="15.85546875" style="443" customWidth="1"/>
    <col min="3595" max="3595" width="15.85546875" style="443" bestFit="1" customWidth="1"/>
    <col min="3596" max="3596" width="10.5703125" style="443" customWidth="1"/>
    <col min="3597" max="3597" width="16.42578125" style="443" customWidth="1"/>
    <col min="3598" max="3598" width="11.7109375" style="443" customWidth="1"/>
    <col min="3599" max="3599" width="16.28515625" style="443" customWidth="1"/>
    <col min="3600" max="3600" width="10.85546875" style="443" customWidth="1"/>
    <col min="3601" max="3602" width="16.5703125" style="443" customWidth="1"/>
    <col min="3603" max="3603" width="17" style="443" customWidth="1"/>
    <col min="3604" max="3604" width="16.28515625" style="443" customWidth="1"/>
    <col min="3605" max="3840" width="9.140625" style="443"/>
    <col min="3841" max="3841" width="2.42578125" style="443" customWidth="1"/>
    <col min="3842" max="3842" width="9.140625" style="443"/>
    <col min="3843" max="3843" width="12" style="443" bestFit="1" customWidth="1"/>
    <col min="3844" max="3844" width="13" style="443" customWidth="1"/>
    <col min="3845" max="3845" width="11.7109375" style="443" bestFit="1" customWidth="1"/>
    <col min="3846" max="3846" width="11.7109375" style="443" customWidth="1"/>
    <col min="3847" max="3847" width="11.42578125" style="443" customWidth="1"/>
    <col min="3848" max="3848" width="12.7109375" style="443" bestFit="1" customWidth="1"/>
    <col min="3849" max="3849" width="11.140625" style="443" customWidth="1"/>
    <col min="3850" max="3850" width="15.85546875" style="443" customWidth="1"/>
    <col min="3851" max="3851" width="15.85546875" style="443" bestFit="1" customWidth="1"/>
    <col min="3852" max="3852" width="10.5703125" style="443" customWidth="1"/>
    <col min="3853" max="3853" width="16.42578125" style="443" customWidth="1"/>
    <col min="3854" max="3854" width="11.7109375" style="443" customWidth="1"/>
    <col min="3855" max="3855" width="16.28515625" style="443" customWidth="1"/>
    <col min="3856" max="3856" width="10.85546875" style="443" customWidth="1"/>
    <col min="3857" max="3858" width="16.5703125" style="443" customWidth="1"/>
    <col min="3859" max="3859" width="17" style="443" customWidth="1"/>
    <col min="3860" max="3860" width="16.28515625" style="443" customWidth="1"/>
    <col min="3861" max="4096" width="9.140625" style="443"/>
    <col min="4097" max="4097" width="2.42578125" style="443" customWidth="1"/>
    <col min="4098" max="4098" width="9.140625" style="443"/>
    <col min="4099" max="4099" width="12" style="443" bestFit="1" customWidth="1"/>
    <col min="4100" max="4100" width="13" style="443" customWidth="1"/>
    <col min="4101" max="4101" width="11.7109375" style="443" bestFit="1" customWidth="1"/>
    <col min="4102" max="4102" width="11.7109375" style="443" customWidth="1"/>
    <col min="4103" max="4103" width="11.42578125" style="443" customWidth="1"/>
    <col min="4104" max="4104" width="12.7109375" style="443" bestFit="1" customWidth="1"/>
    <col min="4105" max="4105" width="11.140625" style="443" customWidth="1"/>
    <col min="4106" max="4106" width="15.85546875" style="443" customWidth="1"/>
    <col min="4107" max="4107" width="15.85546875" style="443" bestFit="1" customWidth="1"/>
    <col min="4108" max="4108" width="10.5703125" style="443" customWidth="1"/>
    <col min="4109" max="4109" width="16.42578125" style="443" customWidth="1"/>
    <col min="4110" max="4110" width="11.7109375" style="443" customWidth="1"/>
    <col min="4111" max="4111" width="16.28515625" style="443" customWidth="1"/>
    <col min="4112" max="4112" width="10.85546875" style="443" customWidth="1"/>
    <col min="4113" max="4114" width="16.5703125" style="443" customWidth="1"/>
    <col min="4115" max="4115" width="17" style="443" customWidth="1"/>
    <col min="4116" max="4116" width="16.28515625" style="443" customWidth="1"/>
    <col min="4117" max="4352" width="9.140625" style="443"/>
    <col min="4353" max="4353" width="2.42578125" style="443" customWidth="1"/>
    <col min="4354" max="4354" width="9.140625" style="443"/>
    <col min="4355" max="4355" width="12" style="443" bestFit="1" customWidth="1"/>
    <col min="4356" max="4356" width="13" style="443" customWidth="1"/>
    <col min="4357" max="4357" width="11.7109375" style="443" bestFit="1" customWidth="1"/>
    <col min="4358" max="4358" width="11.7109375" style="443" customWidth="1"/>
    <col min="4359" max="4359" width="11.42578125" style="443" customWidth="1"/>
    <col min="4360" max="4360" width="12.7109375" style="443" bestFit="1" customWidth="1"/>
    <col min="4361" max="4361" width="11.140625" style="443" customWidth="1"/>
    <col min="4362" max="4362" width="15.85546875" style="443" customWidth="1"/>
    <col min="4363" max="4363" width="15.85546875" style="443" bestFit="1" customWidth="1"/>
    <col min="4364" max="4364" width="10.5703125" style="443" customWidth="1"/>
    <col min="4365" max="4365" width="16.42578125" style="443" customWidth="1"/>
    <col min="4366" max="4366" width="11.7109375" style="443" customWidth="1"/>
    <col min="4367" max="4367" width="16.28515625" style="443" customWidth="1"/>
    <col min="4368" max="4368" width="10.85546875" style="443" customWidth="1"/>
    <col min="4369" max="4370" width="16.5703125" style="443" customWidth="1"/>
    <col min="4371" max="4371" width="17" style="443" customWidth="1"/>
    <col min="4372" max="4372" width="16.28515625" style="443" customWidth="1"/>
    <col min="4373" max="4608" width="9.140625" style="443"/>
    <col min="4609" max="4609" width="2.42578125" style="443" customWidth="1"/>
    <col min="4610" max="4610" width="9.140625" style="443"/>
    <col min="4611" max="4611" width="12" style="443" bestFit="1" customWidth="1"/>
    <col min="4612" max="4612" width="13" style="443" customWidth="1"/>
    <col min="4613" max="4613" width="11.7109375" style="443" bestFit="1" customWidth="1"/>
    <col min="4614" max="4614" width="11.7109375" style="443" customWidth="1"/>
    <col min="4615" max="4615" width="11.42578125" style="443" customWidth="1"/>
    <col min="4616" max="4616" width="12.7109375" style="443" bestFit="1" customWidth="1"/>
    <col min="4617" max="4617" width="11.140625" style="443" customWidth="1"/>
    <col min="4618" max="4618" width="15.85546875" style="443" customWidth="1"/>
    <col min="4619" max="4619" width="15.85546875" style="443" bestFit="1" customWidth="1"/>
    <col min="4620" max="4620" width="10.5703125" style="443" customWidth="1"/>
    <col min="4621" max="4621" width="16.42578125" style="443" customWidth="1"/>
    <col min="4622" max="4622" width="11.7109375" style="443" customWidth="1"/>
    <col min="4623" max="4623" width="16.28515625" style="443" customWidth="1"/>
    <col min="4624" max="4624" width="10.85546875" style="443" customWidth="1"/>
    <col min="4625" max="4626" width="16.5703125" style="443" customWidth="1"/>
    <col min="4627" max="4627" width="17" style="443" customWidth="1"/>
    <col min="4628" max="4628" width="16.28515625" style="443" customWidth="1"/>
    <col min="4629" max="4864" width="9.140625" style="443"/>
    <col min="4865" max="4865" width="2.42578125" style="443" customWidth="1"/>
    <col min="4866" max="4866" width="9.140625" style="443"/>
    <col min="4867" max="4867" width="12" style="443" bestFit="1" customWidth="1"/>
    <col min="4868" max="4868" width="13" style="443" customWidth="1"/>
    <col min="4869" max="4869" width="11.7109375" style="443" bestFit="1" customWidth="1"/>
    <col min="4870" max="4870" width="11.7109375" style="443" customWidth="1"/>
    <col min="4871" max="4871" width="11.42578125" style="443" customWidth="1"/>
    <col min="4872" max="4872" width="12.7109375" style="443" bestFit="1" customWidth="1"/>
    <col min="4873" max="4873" width="11.140625" style="443" customWidth="1"/>
    <col min="4874" max="4874" width="15.85546875" style="443" customWidth="1"/>
    <col min="4875" max="4875" width="15.85546875" style="443" bestFit="1" customWidth="1"/>
    <col min="4876" max="4876" width="10.5703125" style="443" customWidth="1"/>
    <col min="4877" max="4877" width="16.42578125" style="443" customWidth="1"/>
    <col min="4878" max="4878" width="11.7109375" style="443" customWidth="1"/>
    <col min="4879" max="4879" width="16.28515625" style="443" customWidth="1"/>
    <col min="4880" max="4880" width="10.85546875" style="443" customWidth="1"/>
    <col min="4881" max="4882" width="16.5703125" style="443" customWidth="1"/>
    <col min="4883" max="4883" width="17" style="443" customWidth="1"/>
    <col min="4884" max="4884" width="16.28515625" style="443" customWidth="1"/>
    <col min="4885" max="5120" width="9.140625" style="443"/>
    <col min="5121" max="5121" width="2.42578125" style="443" customWidth="1"/>
    <col min="5122" max="5122" width="9.140625" style="443"/>
    <col min="5123" max="5123" width="12" style="443" bestFit="1" customWidth="1"/>
    <col min="5124" max="5124" width="13" style="443" customWidth="1"/>
    <col min="5125" max="5125" width="11.7109375" style="443" bestFit="1" customWidth="1"/>
    <col min="5126" max="5126" width="11.7109375" style="443" customWidth="1"/>
    <col min="5127" max="5127" width="11.42578125" style="443" customWidth="1"/>
    <col min="5128" max="5128" width="12.7109375" style="443" bestFit="1" customWidth="1"/>
    <col min="5129" max="5129" width="11.140625" style="443" customWidth="1"/>
    <col min="5130" max="5130" width="15.85546875" style="443" customWidth="1"/>
    <col min="5131" max="5131" width="15.85546875" style="443" bestFit="1" customWidth="1"/>
    <col min="5132" max="5132" width="10.5703125" style="443" customWidth="1"/>
    <col min="5133" max="5133" width="16.42578125" style="443" customWidth="1"/>
    <col min="5134" max="5134" width="11.7109375" style="443" customWidth="1"/>
    <col min="5135" max="5135" width="16.28515625" style="443" customWidth="1"/>
    <col min="5136" max="5136" width="10.85546875" style="443" customWidth="1"/>
    <col min="5137" max="5138" width="16.5703125" style="443" customWidth="1"/>
    <col min="5139" max="5139" width="17" style="443" customWidth="1"/>
    <col min="5140" max="5140" width="16.28515625" style="443" customWidth="1"/>
    <col min="5141" max="5376" width="9.140625" style="443"/>
    <col min="5377" max="5377" width="2.42578125" style="443" customWidth="1"/>
    <col min="5378" max="5378" width="9.140625" style="443"/>
    <col min="5379" max="5379" width="12" style="443" bestFit="1" customWidth="1"/>
    <col min="5380" max="5380" width="13" style="443" customWidth="1"/>
    <col min="5381" max="5381" width="11.7109375" style="443" bestFit="1" customWidth="1"/>
    <col min="5382" max="5382" width="11.7109375" style="443" customWidth="1"/>
    <col min="5383" max="5383" width="11.42578125" style="443" customWidth="1"/>
    <col min="5384" max="5384" width="12.7109375" style="443" bestFit="1" customWidth="1"/>
    <col min="5385" max="5385" width="11.140625" style="443" customWidth="1"/>
    <col min="5386" max="5386" width="15.85546875" style="443" customWidth="1"/>
    <col min="5387" max="5387" width="15.85546875" style="443" bestFit="1" customWidth="1"/>
    <col min="5388" max="5388" width="10.5703125" style="443" customWidth="1"/>
    <col min="5389" max="5389" width="16.42578125" style="443" customWidth="1"/>
    <col min="5390" max="5390" width="11.7109375" style="443" customWidth="1"/>
    <col min="5391" max="5391" width="16.28515625" style="443" customWidth="1"/>
    <col min="5392" max="5392" width="10.85546875" style="443" customWidth="1"/>
    <col min="5393" max="5394" width="16.5703125" style="443" customWidth="1"/>
    <col min="5395" max="5395" width="17" style="443" customWidth="1"/>
    <col min="5396" max="5396" width="16.28515625" style="443" customWidth="1"/>
    <col min="5397" max="5632" width="9.140625" style="443"/>
    <col min="5633" max="5633" width="2.42578125" style="443" customWidth="1"/>
    <col min="5634" max="5634" width="9.140625" style="443"/>
    <col min="5635" max="5635" width="12" style="443" bestFit="1" customWidth="1"/>
    <col min="5636" max="5636" width="13" style="443" customWidth="1"/>
    <col min="5637" max="5637" width="11.7109375" style="443" bestFit="1" customWidth="1"/>
    <col min="5638" max="5638" width="11.7109375" style="443" customWidth="1"/>
    <col min="5639" max="5639" width="11.42578125" style="443" customWidth="1"/>
    <col min="5640" max="5640" width="12.7109375" style="443" bestFit="1" customWidth="1"/>
    <col min="5641" max="5641" width="11.140625" style="443" customWidth="1"/>
    <col min="5642" max="5642" width="15.85546875" style="443" customWidth="1"/>
    <col min="5643" max="5643" width="15.85546875" style="443" bestFit="1" customWidth="1"/>
    <col min="5644" max="5644" width="10.5703125" style="443" customWidth="1"/>
    <col min="5645" max="5645" width="16.42578125" style="443" customWidth="1"/>
    <col min="5646" max="5646" width="11.7109375" style="443" customWidth="1"/>
    <col min="5647" max="5647" width="16.28515625" style="443" customWidth="1"/>
    <col min="5648" max="5648" width="10.85546875" style="443" customWidth="1"/>
    <col min="5649" max="5650" width="16.5703125" style="443" customWidth="1"/>
    <col min="5651" max="5651" width="17" style="443" customWidth="1"/>
    <col min="5652" max="5652" width="16.28515625" style="443" customWidth="1"/>
    <col min="5653" max="5888" width="9.140625" style="443"/>
    <col min="5889" max="5889" width="2.42578125" style="443" customWidth="1"/>
    <col min="5890" max="5890" width="9.140625" style="443"/>
    <col min="5891" max="5891" width="12" style="443" bestFit="1" customWidth="1"/>
    <col min="5892" max="5892" width="13" style="443" customWidth="1"/>
    <col min="5893" max="5893" width="11.7109375" style="443" bestFit="1" customWidth="1"/>
    <col min="5894" max="5894" width="11.7109375" style="443" customWidth="1"/>
    <col min="5895" max="5895" width="11.42578125" style="443" customWidth="1"/>
    <col min="5896" max="5896" width="12.7109375" style="443" bestFit="1" customWidth="1"/>
    <col min="5897" max="5897" width="11.140625" style="443" customWidth="1"/>
    <col min="5898" max="5898" width="15.85546875" style="443" customWidth="1"/>
    <col min="5899" max="5899" width="15.85546875" style="443" bestFit="1" customWidth="1"/>
    <col min="5900" max="5900" width="10.5703125" style="443" customWidth="1"/>
    <col min="5901" max="5901" width="16.42578125" style="443" customWidth="1"/>
    <col min="5902" max="5902" width="11.7109375" style="443" customWidth="1"/>
    <col min="5903" max="5903" width="16.28515625" style="443" customWidth="1"/>
    <col min="5904" max="5904" width="10.85546875" style="443" customWidth="1"/>
    <col min="5905" max="5906" width="16.5703125" style="443" customWidth="1"/>
    <col min="5907" max="5907" width="17" style="443" customWidth="1"/>
    <col min="5908" max="5908" width="16.28515625" style="443" customWidth="1"/>
    <col min="5909" max="6144" width="9.140625" style="443"/>
    <col min="6145" max="6145" width="2.42578125" style="443" customWidth="1"/>
    <col min="6146" max="6146" width="9.140625" style="443"/>
    <col min="6147" max="6147" width="12" style="443" bestFit="1" customWidth="1"/>
    <col min="6148" max="6148" width="13" style="443" customWidth="1"/>
    <col min="6149" max="6149" width="11.7109375" style="443" bestFit="1" customWidth="1"/>
    <col min="6150" max="6150" width="11.7109375" style="443" customWidth="1"/>
    <col min="6151" max="6151" width="11.42578125" style="443" customWidth="1"/>
    <col min="6152" max="6152" width="12.7109375" style="443" bestFit="1" customWidth="1"/>
    <col min="6153" max="6153" width="11.140625" style="443" customWidth="1"/>
    <col min="6154" max="6154" width="15.85546875" style="443" customWidth="1"/>
    <col min="6155" max="6155" width="15.85546875" style="443" bestFit="1" customWidth="1"/>
    <col min="6156" max="6156" width="10.5703125" style="443" customWidth="1"/>
    <col min="6157" max="6157" width="16.42578125" style="443" customWidth="1"/>
    <col min="6158" max="6158" width="11.7109375" style="443" customWidth="1"/>
    <col min="6159" max="6159" width="16.28515625" style="443" customWidth="1"/>
    <col min="6160" max="6160" width="10.85546875" style="443" customWidth="1"/>
    <col min="6161" max="6162" width="16.5703125" style="443" customWidth="1"/>
    <col min="6163" max="6163" width="17" style="443" customWidth="1"/>
    <col min="6164" max="6164" width="16.28515625" style="443" customWidth="1"/>
    <col min="6165" max="6400" width="9.140625" style="443"/>
    <col min="6401" max="6401" width="2.42578125" style="443" customWidth="1"/>
    <col min="6402" max="6402" width="9.140625" style="443"/>
    <col min="6403" max="6403" width="12" style="443" bestFit="1" customWidth="1"/>
    <col min="6404" max="6404" width="13" style="443" customWidth="1"/>
    <col min="6405" max="6405" width="11.7109375" style="443" bestFit="1" customWidth="1"/>
    <col min="6406" max="6406" width="11.7109375" style="443" customWidth="1"/>
    <col min="6407" max="6407" width="11.42578125" style="443" customWidth="1"/>
    <col min="6408" max="6408" width="12.7109375" style="443" bestFit="1" customWidth="1"/>
    <col min="6409" max="6409" width="11.140625" style="443" customWidth="1"/>
    <col min="6410" max="6410" width="15.85546875" style="443" customWidth="1"/>
    <col min="6411" max="6411" width="15.85546875" style="443" bestFit="1" customWidth="1"/>
    <col min="6412" max="6412" width="10.5703125" style="443" customWidth="1"/>
    <col min="6413" max="6413" width="16.42578125" style="443" customWidth="1"/>
    <col min="6414" max="6414" width="11.7109375" style="443" customWidth="1"/>
    <col min="6415" max="6415" width="16.28515625" style="443" customWidth="1"/>
    <col min="6416" max="6416" width="10.85546875" style="443" customWidth="1"/>
    <col min="6417" max="6418" width="16.5703125" style="443" customWidth="1"/>
    <col min="6419" max="6419" width="17" style="443" customWidth="1"/>
    <col min="6420" max="6420" width="16.28515625" style="443" customWidth="1"/>
    <col min="6421" max="6656" width="9.140625" style="443"/>
    <col min="6657" max="6657" width="2.42578125" style="443" customWidth="1"/>
    <col min="6658" max="6658" width="9.140625" style="443"/>
    <col min="6659" max="6659" width="12" style="443" bestFit="1" customWidth="1"/>
    <col min="6660" max="6660" width="13" style="443" customWidth="1"/>
    <col min="6661" max="6661" width="11.7109375" style="443" bestFit="1" customWidth="1"/>
    <col min="6662" max="6662" width="11.7109375" style="443" customWidth="1"/>
    <col min="6663" max="6663" width="11.42578125" style="443" customWidth="1"/>
    <col min="6664" max="6664" width="12.7109375" style="443" bestFit="1" customWidth="1"/>
    <col min="6665" max="6665" width="11.140625" style="443" customWidth="1"/>
    <col min="6666" max="6666" width="15.85546875" style="443" customWidth="1"/>
    <col min="6667" max="6667" width="15.85546875" style="443" bestFit="1" customWidth="1"/>
    <col min="6668" max="6668" width="10.5703125" style="443" customWidth="1"/>
    <col min="6669" max="6669" width="16.42578125" style="443" customWidth="1"/>
    <col min="6670" max="6670" width="11.7109375" style="443" customWidth="1"/>
    <col min="6671" max="6671" width="16.28515625" style="443" customWidth="1"/>
    <col min="6672" max="6672" width="10.85546875" style="443" customWidth="1"/>
    <col min="6673" max="6674" width="16.5703125" style="443" customWidth="1"/>
    <col min="6675" max="6675" width="17" style="443" customWidth="1"/>
    <col min="6676" max="6676" width="16.28515625" style="443" customWidth="1"/>
    <col min="6677" max="6912" width="9.140625" style="443"/>
    <col min="6913" max="6913" width="2.42578125" style="443" customWidth="1"/>
    <col min="6914" max="6914" width="9.140625" style="443"/>
    <col min="6915" max="6915" width="12" style="443" bestFit="1" customWidth="1"/>
    <col min="6916" max="6916" width="13" style="443" customWidth="1"/>
    <col min="6917" max="6917" width="11.7109375" style="443" bestFit="1" customWidth="1"/>
    <col min="6918" max="6918" width="11.7109375" style="443" customWidth="1"/>
    <col min="6919" max="6919" width="11.42578125" style="443" customWidth="1"/>
    <col min="6920" max="6920" width="12.7109375" style="443" bestFit="1" customWidth="1"/>
    <col min="6921" max="6921" width="11.140625" style="443" customWidth="1"/>
    <col min="6922" max="6922" width="15.85546875" style="443" customWidth="1"/>
    <col min="6923" max="6923" width="15.85546875" style="443" bestFit="1" customWidth="1"/>
    <col min="6924" max="6924" width="10.5703125" style="443" customWidth="1"/>
    <col min="6925" max="6925" width="16.42578125" style="443" customWidth="1"/>
    <col min="6926" max="6926" width="11.7109375" style="443" customWidth="1"/>
    <col min="6927" max="6927" width="16.28515625" style="443" customWidth="1"/>
    <col min="6928" max="6928" width="10.85546875" style="443" customWidth="1"/>
    <col min="6929" max="6930" width="16.5703125" style="443" customWidth="1"/>
    <col min="6931" max="6931" width="17" style="443" customWidth="1"/>
    <col min="6932" max="6932" width="16.28515625" style="443" customWidth="1"/>
    <col min="6933" max="7168" width="9.140625" style="443"/>
    <col min="7169" max="7169" width="2.42578125" style="443" customWidth="1"/>
    <col min="7170" max="7170" width="9.140625" style="443"/>
    <col min="7171" max="7171" width="12" style="443" bestFit="1" customWidth="1"/>
    <col min="7172" max="7172" width="13" style="443" customWidth="1"/>
    <col min="7173" max="7173" width="11.7109375" style="443" bestFit="1" customWidth="1"/>
    <col min="7174" max="7174" width="11.7109375" style="443" customWidth="1"/>
    <col min="7175" max="7175" width="11.42578125" style="443" customWidth="1"/>
    <col min="7176" max="7176" width="12.7109375" style="443" bestFit="1" customWidth="1"/>
    <col min="7177" max="7177" width="11.140625" style="443" customWidth="1"/>
    <col min="7178" max="7178" width="15.85546875" style="443" customWidth="1"/>
    <col min="7179" max="7179" width="15.85546875" style="443" bestFit="1" customWidth="1"/>
    <col min="7180" max="7180" width="10.5703125" style="443" customWidth="1"/>
    <col min="7181" max="7181" width="16.42578125" style="443" customWidth="1"/>
    <col min="7182" max="7182" width="11.7109375" style="443" customWidth="1"/>
    <col min="7183" max="7183" width="16.28515625" style="443" customWidth="1"/>
    <col min="7184" max="7184" width="10.85546875" style="443" customWidth="1"/>
    <col min="7185" max="7186" width="16.5703125" style="443" customWidth="1"/>
    <col min="7187" max="7187" width="17" style="443" customWidth="1"/>
    <col min="7188" max="7188" width="16.28515625" style="443" customWidth="1"/>
    <col min="7189" max="7424" width="9.140625" style="443"/>
    <col min="7425" max="7425" width="2.42578125" style="443" customWidth="1"/>
    <col min="7426" max="7426" width="9.140625" style="443"/>
    <col min="7427" max="7427" width="12" style="443" bestFit="1" customWidth="1"/>
    <col min="7428" max="7428" width="13" style="443" customWidth="1"/>
    <col min="7429" max="7429" width="11.7109375" style="443" bestFit="1" customWidth="1"/>
    <col min="7430" max="7430" width="11.7109375" style="443" customWidth="1"/>
    <col min="7431" max="7431" width="11.42578125" style="443" customWidth="1"/>
    <col min="7432" max="7432" width="12.7109375" style="443" bestFit="1" customWidth="1"/>
    <col min="7433" max="7433" width="11.140625" style="443" customWidth="1"/>
    <col min="7434" max="7434" width="15.85546875" style="443" customWidth="1"/>
    <col min="7435" max="7435" width="15.85546875" style="443" bestFit="1" customWidth="1"/>
    <col min="7436" max="7436" width="10.5703125" style="443" customWidth="1"/>
    <col min="7437" max="7437" width="16.42578125" style="443" customWidth="1"/>
    <col min="7438" max="7438" width="11.7109375" style="443" customWidth="1"/>
    <col min="7439" max="7439" width="16.28515625" style="443" customWidth="1"/>
    <col min="7440" max="7440" width="10.85546875" style="443" customWidth="1"/>
    <col min="7441" max="7442" width="16.5703125" style="443" customWidth="1"/>
    <col min="7443" max="7443" width="17" style="443" customWidth="1"/>
    <col min="7444" max="7444" width="16.28515625" style="443" customWidth="1"/>
    <col min="7445" max="7680" width="9.140625" style="443"/>
    <col min="7681" max="7681" width="2.42578125" style="443" customWidth="1"/>
    <col min="7682" max="7682" width="9.140625" style="443"/>
    <col min="7683" max="7683" width="12" style="443" bestFit="1" customWidth="1"/>
    <col min="7684" max="7684" width="13" style="443" customWidth="1"/>
    <col min="7685" max="7685" width="11.7109375" style="443" bestFit="1" customWidth="1"/>
    <col min="7686" max="7686" width="11.7109375" style="443" customWidth="1"/>
    <col min="7687" max="7687" width="11.42578125" style="443" customWidth="1"/>
    <col min="7688" max="7688" width="12.7109375" style="443" bestFit="1" customWidth="1"/>
    <col min="7689" max="7689" width="11.140625" style="443" customWidth="1"/>
    <col min="7690" max="7690" width="15.85546875" style="443" customWidth="1"/>
    <col min="7691" max="7691" width="15.85546875" style="443" bestFit="1" customWidth="1"/>
    <col min="7692" max="7692" width="10.5703125" style="443" customWidth="1"/>
    <col min="7693" max="7693" width="16.42578125" style="443" customWidth="1"/>
    <col min="7694" max="7694" width="11.7109375" style="443" customWidth="1"/>
    <col min="7695" max="7695" width="16.28515625" style="443" customWidth="1"/>
    <col min="7696" max="7696" width="10.85546875" style="443" customWidth="1"/>
    <col min="7697" max="7698" width="16.5703125" style="443" customWidth="1"/>
    <col min="7699" max="7699" width="17" style="443" customWidth="1"/>
    <col min="7700" max="7700" width="16.28515625" style="443" customWidth="1"/>
    <col min="7701" max="7936" width="9.140625" style="443"/>
    <col min="7937" max="7937" width="2.42578125" style="443" customWidth="1"/>
    <col min="7938" max="7938" width="9.140625" style="443"/>
    <col min="7939" max="7939" width="12" style="443" bestFit="1" customWidth="1"/>
    <col min="7940" max="7940" width="13" style="443" customWidth="1"/>
    <col min="7941" max="7941" width="11.7109375" style="443" bestFit="1" customWidth="1"/>
    <col min="7942" max="7942" width="11.7109375" style="443" customWidth="1"/>
    <col min="7943" max="7943" width="11.42578125" style="443" customWidth="1"/>
    <col min="7944" max="7944" width="12.7109375" style="443" bestFit="1" customWidth="1"/>
    <col min="7945" max="7945" width="11.140625" style="443" customWidth="1"/>
    <col min="7946" max="7946" width="15.85546875" style="443" customWidth="1"/>
    <col min="7947" max="7947" width="15.85546875" style="443" bestFit="1" customWidth="1"/>
    <col min="7948" max="7948" width="10.5703125" style="443" customWidth="1"/>
    <col min="7949" max="7949" width="16.42578125" style="443" customWidth="1"/>
    <col min="7950" max="7950" width="11.7109375" style="443" customWidth="1"/>
    <col min="7951" max="7951" width="16.28515625" style="443" customWidth="1"/>
    <col min="7952" max="7952" width="10.85546875" style="443" customWidth="1"/>
    <col min="7953" max="7954" width="16.5703125" style="443" customWidth="1"/>
    <col min="7955" max="7955" width="17" style="443" customWidth="1"/>
    <col min="7956" max="7956" width="16.28515625" style="443" customWidth="1"/>
    <col min="7957" max="8192" width="9.140625" style="443"/>
    <col min="8193" max="8193" width="2.42578125" style="443" customWidth="1"/>
    <col min="8194" max="8194" width="9.140625" style="443"/>
    <col min="8195" max="8195" width="12" style="443" bestFit="1" customWidth="1"/>
    <col min="8196" max="8196" width="13" style="443" customWidth="1"/>
    <col min="8197" max="8197" width="11.7109375" style="443" bestFit="1" customWidth="1"/>
    <col min="8198" max="8198" width="11.7109375" style="443" customWidth="1"/>
    <col min="8199" max="8199" width="11.42578125" style="443" customWidth="1"/>
    <col min="8200" max="8200" width="12.7109375" style="443" bestFit="1" customWidth="1"/>
    <col min="8201" max="8201" width="11.140625" style="443" customWidth="1"/>
    <col min="8202" max="8202" width="15.85546875" style="443" customWidth="1"/>
    <col min="8203" max="8203" width="15.85546875" style="443" bestFit="1" customWidth="1"/>
    <col min="8204" max="8204" width="10.5703125" style="443" customWidth="1"/>
    <col min="8205" max="8205" width="16.42578125" style="443" customWidth="1"/>
    <col min="8206" max="8206" width="11.7109375" style="443" customWidth="1"/>
    <col min="8207" max="8207" width="16.28515625" style="443" customWidth="1"/>
    <col min="8208" max="8208" width="10.85546875" style="443" customWidth="1"/>
    <col min="8209" max="8210" width="16.5703125" style="443" customWidth="1"/>
    <col min="8211" max="8211" width="17" style="443" customWidth="1"/>
    <col min="8212" max="8212" width="16.28515625" style="443" customWidth="1"/>
    <col min="8213" max="8448" width="9.140625" style="443"/>
    <col min="8449" max="8449" width="2.42578125" style="443" customWidth="1"/>
    <col min="8450" max="8450" width="9.140625" style="443"/>
    <col min="8451" max="8451" width="12" style="443" bestFit="1" customWidth="1"/>
    <col min="8452" max="8452" width="13" style="443" customWidth="1"/>
    <col min="8453" max="8453" width="11.7109375" style="443" bestFit="1" customWidth="1"/>
    <col min="8454" max="8454" width="11.7109375" style="443" customWidth="1"/>
    <col min="8455" max="8455" width="11.42578125" style="443" customWidth="1"/>
    <col min="8456" max="8456" width="12.7109375" style="443" bestFit="1" customWidth="1"/>
    <col min="8457" max="8457" width="11.140625" style="443" customWidth="1"/>
    <col min="8458" max="8458" width="15.85546875" style="443" customWidth="1"/>
    <col min="8459" max="8459" width="15.85546875" style="443" bestFit="1" customWidth="1"/>
    <col min="8460" max="8460" width="10.5703125" style="443" customWidth="1"/>
    <col min="8461" max="8461" width="16.42578125" style="443" customWidth="1"/>
    <col min="8462" max="8462" width="11.7109375" style="443" customWidth="1"/>
    <col min="8463" max="8463" width="16.28515625" style="443" customWidth="1"/>
    <col min="8464" max="8464" width="10.85546875" style="443" customWidth="1"/>
    <col min="8465" max="8466" width="16.5703125" style="443" customWidth="1"/>
    <col min="8467" max="8467" width="17" style="443" customWidth="1"/>
    <col min="8468" max="8468" width="16.28515625" style="443" customWidth="1"/>
    <col min="8469" max="8704" width="9.140625" style="443"/>
    <col min="8705" max="8705" width="2.42578125" style="443" customWidth="1"/>
    <col min="8706" max="8706" width="9.140625" style="443"/>
    <col min="8707" max="8707" width="12" style="443" bestFit="1" customWidth="1"/>
    <col min="8708" max="8708" width="13" style="443" customWidth="1"/>
    <col min="8709" max="8709" width="11.7109375" style="443" bestFit="1" customWidth="1"/>
    <col min="8710" max="8710" width="11.7109375" style="443" customWidth="1"/>
    <col min="8711" max="8711" width="11.42578125" style="443" customWidth="1"/>
    <col min="8712" max="8712" width="12.7109375" style="443" bestFit="1" customWidth="1"/>
    <col min="8713" max="8713" width="11.140625" style="443" customWidth="1"/>
    <col min="8714" max="8714" width="15.85546875" style="443" customWidth="1"/>
    <col min="8715" max="8715" width="15.85546875" style="443" bestFit="1" customWidth="1"/>
    <col min="8716" max="8716" width="10.5703125" style="443" customWidth="1"/>
    <col min="8717" max="8717" width="16.42578125" style="443" customWidth="1"/>
    <col min="8718" max="8718" width="11.7109375" style="443" customWidth="1"/>
    <col min="8719" max="8719" width="16.28515625" style="443" customWidth="1"/>
    <col min="8720" max="8720" width="10.85546875" style="443" customWidth="1"/>
    <col min="8721" max="8722" width="16.5703125" style="443" customWidth="1"/>
    <col min="8723" max="8723" width="17" style="443" customWidth="1"/>
    <col min="8724" max="8724" width="16.28515625" style="443" customWidth="1"/>
    <col min="8725" max="8960" width="9.140625" style="443"/>
    <col min="8961" max="8961" width="2.42578125" style="443" customWidth="1"/>
    <col min="8962" max="8962" width="9.140625" style="443"/>
    <col min="8963" max="8963" width="12" style="443" bestFit="1" customWidth="1"/>
    <col min="8964" max="8964" width="13" style="443" customWidth="1"/>
    <col min="8965" max="8965" width="11.7109375" style="443" bestFit="1" customWidth="1"/>
    <col min="8966" max="8966" width="11.7109375" style="443" customWidth="1"/>
    <col min="8967" max="8967" width="11.42578125" style="443" customWidth="1"/>
    <col min="8968" max="8968" width="12.7109375" style="443" bestFit="1" customWidth="1"/>
    <col min="8969" max="8969" width="11.140625" style="443" customWidth="1"/>
    <col min="8970" max="8970" width="15.85546875" style="443" customWidth="1"/>
    <col min="8971" max="8971" width="15.85546875" style="443" bestFit="1" customWidth="1"/>
    <col min="8972" max="8972" width="10.5703125" style="443" customWidth="1"/>
    <col min="8973" max="8973" width="16.42578125" style="443" customWidth="1"/>
    <col min="8974" max="8974" width="11.7109375" style="443" customWidth="1"/>
    <col min="8975" max="8975" width="16.28515625" style="443" customWidth="1"/>
    <col min="8976" max="8976" width="10.85546875" style="443" customWidth="1"/>
    <col min="8977" max="8978" width="16.5703125" style="443" customWidth="1"/>
    <col min="8979" max="8979" width="17" style="443" customWidth="1"/>
    <col min="8980" max="8980" width="16.28515625" style="443" customWidth="1"/>
    <col min="8981" max="9216" width="9.140625" style="443"/>
    <col min="9217" max="9217" width="2.42578125" style="443" customWidth="1"/>
    <col min="9218" max="9218" width="9.140625" style="443"/>
    <col min="9219" max="9219" width="12" style="443" bestFit="1" customWidth="1"/>
    <col min="9220" max="9220" width="13" style="443" customWidth="1"/>
    <col min="9221" max="9221" width="11.7109375" style="443" bestFit="1" customWidth="1"/>
    <col min="9222" max="9222" width="11.7109375" style="443" customWidth="1"/>
    <col min="9223" max="9223" width="11.42578125" style="443" customWidth="1"/>
    <col min="9224" max="9224" width="12.7109375" style="443" bestFit="1" customWidth="1"/>
    <col min="9225" max="9225" width="11.140625" style="443" customWidth="1"/>
    <col min="9226" max="9226" width="15.85546875" style="443" customWidth="1"/>
    <col min="9227" max="9227" width="15.85546875" style="443" bestFit="1" customWidth="1"/>
    <col min="9228" max="9228" width="10.5703125" style="443" customWidth="1"/>
    <col min="9229" max="9229" width="16.42578125" style="443" customWidth="1"/>
    <col min="9230" max="9230" width="11.7109375" style="443" customWidth="1"/>
    <col min="9231" max="9231" width="16.28515625" style="443" customWidth="1"/>
    <col min="9232" max="9232" width="10.85546875" style="443" customWidth="1"/>
    <col min="9233" max="9234" width="16.5703125" style="443" customWidth="1"/>
    <col min="9235" max="9235" width="17" style="443" customWidth="1"/>
    <col min="9236" max="9236" width="16.28515625" style="443" customWidth="1"/>
    <col min="9237" max="9472" width="9.140625" style="443"/>
    <col min="9473" max="9473" width="2.42578125" style="443" customWidth="1"/>
    <col min="9474" max="9474" width="9.140625" style="443"/>
    <col min="9475" max="9475" width="12" style="443" bestFit="1" customWidth="1"/>
    <col min="9476" max="9476" width="13" style="443" customWidth="1"/>
    <col min="9477" max="9477" width="11.7109375" style="443" bestFit="1" customWidth="1"/>
    <col min="9478" max="9478" width="11.7109375" style="443" customWidth="1"/>
    <col min="9479" max="9479" width="11.42578125" style="443" customWidth="1"/>
    <col min="9480" max="9480" width="12.7109375" style="443" bestFit="1" customWidth="1"/>
    <col min="9481" max="9481" width="11.140625" style="443" customWidth="1"/>
    <col min="9482" max="9482" width="15.85546875" style="443" customWidth="1"/>
    <col min="9483" max="9483" width="15.85546875" style="443" bestFit="1" customWidth="1"/>
    <col min="9484" max="9484" width="10.5703125" style="443" customWidth="1"/>
    <col min="9485" max="9485" width="16.42578125" style="443" customWidth="1"/>
    <col min="9486" max="9486" width="11.7109375" style="443" customWidth="1"/>
    <col min="9487" max="9487" width="16.28515625" style="443" customWidth="1"/>
    <col min="9488" max="9488" width="10.85546875" style="443" customWidth="1"/>
    <col min="9489" max="9490" width="16.5703125" style="443" customWidth="1"/>
    <col min="9491" max="9491" width="17" style="443" customWidth="1"/>
    <col min="9492" max="9492" width="16.28515625" style="443" customWidth="1"/>
    <col min="9493" max="9728" width="9.140625" style="443"/>
    <col min="9729" max="9729" width="2.42578125" style="443" customWidth="1"/>
    <col min="9730" max="9730" width="9.140625" style="443"/>
    <col min="9731" max="9731" width="12" style="443" bestFit="1" customWidth="1"/>
    <col min="9732" max="9732" width="13" style="443" customWidth="1"/>
    <col min="9733" max="9733" width="11.7109375" style="443" bestFit="1" customWidth="1"/>
    <col min="9734" max="9734" width="11.7109375" style="443" customWidth="1"/>
    <col min="9735" max="9735" width="11.42578125" style="443" customWidth="1"/>
    <col min="9736" max="9736" width="12.7109375" style="443" bestFit="1" customWidth="1"/>
    <col min="9737" max="9737" width="11.140625" style="443" customWidth="1"/>
    <col min="9738" max="9738" width="15.85546875" style="443" customWidth="1"/>
    <col min="9739" max="9739" width="15.85546875" style="443" bestFit="1" customWidth="1"/>
    <col min="9740" max="9740" width="10.5703125" style="443" customWidth="1"/>
    <col min="9741" max="9741" width="16.42578125" style="443" customWidth="1"/>
    <col min="9742" max="9742" width="11.7109375" style="443" customWidth="1"/>
    <col min="9743" max="9743" width="16.28515625" style="443" customWidth="1"/>
    <col min="9744" max="9744" width="10.85546875" style="443" customWidth="1"/>
    <col min="9745" max="9746" width="16.5703125" style="443" customWidth="1"/>
    <col min="9747" max="9747" width="17" style="443" customWidth="1"/>
    <col min="9748" max="9748" width="16.28515625" style="443" customWidth="1"/>
    <col min="9749" max="9984" width="9.140625" style="443"/>
    <col min="9985" max="9985" width="2.42578125" style="443" customWidth="1"/>
    <col min="9986" max="9986" width="9.140625" style="443"/>
    <col min="9987" max="9987" width="12" style="443" bestFit="1" customWidth="1"/>
    <col min="9988" max="9988" width="13" style="443" customWidth="1"/>
    <col min="9989" max="9989" width="11.7109375" style="443" bestFit="1" customWidth="1"/>
    <col min="9990" max="9990" width="11.7109375" style="443" customWidth="1"/>
    <col min="9991" max="9991" width="11.42578125" style="443" customWidth="1"/>
    <col min="9992" max="9992" width="12.7109375" style="443" bestFit="1" customWidth="1"/>
    <col min="9993" max="9993" width="11.140625" style="443" customWidth="1"/>
    <col min="9994" max="9994" width="15.85546875" style="443" customWidth="1"/>
    <col min="9995" max="9995" width="15.85546875" style="443" bestFit="1" customWidth="1"/>
    <col min="9996" max="9996" width="10.5703125" style="443" customWidth="1"/>
    <col min="9997" max="9997" width="16.42578125" style="443" customWidth="1"/>
    <col min="9998" max="9998" width="11.7109375" style="443" customWidth="1"/>
    <col min="9999" max="9999" width="16.28515625" style="443" customWidth="1"/>
    <col min="10000" max="10000" width="10.85546875" style="443" customWidth="1"/>
    <col min="10001" max="10002" width="16.5703125" style="443" customWidth="1"/>
    <col min="10003" max="10003" width="17" style="443" customWidth="1"/>
    <col min="10004" max="10004" width="16.28515625" style="443" customWidth="1"/>
    <col min="10005" max="10240" width="9.140625" style="443"/>
    <col min="10241" max="10241" width="2.42578125" style="443" customWidth="1"/>
    <col min="10242" max="10242" width="9.140625" style="443"/>
    <col min="10243" max="10243" width="12" style="443" bestFit="1" customWidth="1"/>
    <col min="10244" max="10244" width="13" style="443" customWidth="1"/>
    <col min="10245" max="10245" width="11.7109375" style="443" bestFit="1" customWidth="1"/>
    <col min="10246" max="10246" width="11.7109375" style="443" customWidth="1"/>
    <col min="10247" max="10247" width="11.42578125" style="443" customWidth="1"/>
    <col min="10248" max="10248" width="12.7109375" style="443" bestFit="1" customWidth="1"/>
    <col min="10249" max="10249" width="11.140625" style="443" customWidth="1"/>
    <col min="10250" max="10250" width="15.85546875" style="443" customWidth="1"/>
    <col min="10251" max="10251" width="15.85546875" style="443" bestFit="1" customWidth="1"/>
    <col min="10252" max="10252" width="10.5703125" style="443" customWidth="1"/>
    <col min="10253" max="10253" width="16.42578125" style="443" customWidth="1"/>
    <col min="10254" max="10254" width="11.7109375" style="443" customWidth="1"/>
    <col min="10255" max="10255" width="16.28515625" style="443" customWidth="1"/>
    <col min="10256" max="10256" width="10.85546875" style="443" customWidth="1"/>
    <col min="10257" max="10258" width="16.5703125" style="443" customWidth="1"/>
    <col min="10259" max="10259" width="17" style="443" customWidth="1"/>
    <col min="10260" max="10260" width="16.28515625" style="443" customWidth="1"/>
    <col min="10261" max="10496" width="9.140625" style="443"/>
    <col min="10497" max="10497" width="2.42578125" style="443" customWidth="1"/>
    <col min="10498" max="10498" width="9.140625" style="443"/>
    <col min="10499" max="10499" width="12" style="443" bestFit="1" customWidth="1"/>
    <col min="10500" max="10500" width="13" style="443" customWidth="1"/>
    <col min="10501" max="10501" width="11.7109375" style="443" bestFit="1" customWidth="1"/>
    <col min="10502" max="10502" width="11.7109375" style="443" customWidth="1"/>
    <col min="10503" max="10503" width="11.42578125" style="443" customWidth="1"/>
    <col min="10504" max="10504" width="12.7109375" style="443" bestFit="1" customWidth="1"/>
    <col min="10505" max="10505" width="11.140625" style="443" customWidth="1"/>
    <col min="10506" max="10506" width="15.85546875" style="443" customWidth="1"/>
    <col min="10507" max="10507" width="15.85546875" style="443" bestFit="1" customWidth="1"/>
    <col min="10508" max="10508" width="10.5703125" style="443" customWidth="1"/>
    <col min="10509" max="10509" width="16.42578125" style="443" customWidth="1"/>
    <col min="10510" max="10510" width="11.7109375" style="443" customWidth="1"/>
    <col min="10511" max="10511" width="16.28515625" style="443" customWidth="1"/>
    <col min="10512" max="10512" width="10.85546875" style="443" customWidth="1"/>
    <col min="10513" max="10514" width="16.5703125" style="443" customWidth="1"/>
    <col min="10515" max="10515" width="17" style="443" customWidth="1"/>
    <col min="10516" max="10516" width="16.28515625" style="443" customWidth="1"/>
    <col min="10517" max="10752" width="9.140625" style="443"/>
    <col min="10753" max="10753" width="2.42578125" style="443" customWidth="1"/>
    <col min="10754" max="10754" width="9.140625" style="443"/>
    <col min="10755" max="10755" width="12" style="443" bestFit="1" customWidth="1"/>
    <col min="10756" max="10756" width="13" style="443" customWidth="1"/>
    <col min="10757" max="10757" width="11.7109375" style="443" bestFit="1" customWidth="1"/>
    <col min="10758" max="10758" width="11.7109375" style="443" customWidth="1"/>
    <col min="10759" max="10759" width="11.42578125" style="443" customWidth="1"/>
    <col min="10760" max="10760" width="12.7109375" style="443" bestFit="1" customWidth="1"/>
    <col min="10761" max="10761" width="11.140625" style="443" customWidth="1"/>
    <col min="10762" max="10762" width="15.85546875" style="443" customWidth="1"/>
    <col min="10763" max="10763" width="15.85546875" style="443" bestFit="1" customWidth="1"/>
    <col min="10764" max="10764" width="10.5703125" style="443" customWidth="1"/>
    <col min="10765" max="10765" width="16.42578125" style="443" customWidth="1"/>
    <col min="10766" max="10766" width="11.7109375" style="443" customWidth="1"/>
    <col min="10767" max="10767" width="16.28515625" style="443" customWidth="1"/>
    <col min="10768" max="10768" width="10.85546875" style="443" customWidth="1"/>
    <col min="10769" max="10770" width="16.5703125" style="443" customWidth="1"/>
    <col min="10771" max="10771" width="17" style="443" customWidth="1"/>
    <col min="10772" max="10772" width="16.28515625" style="443" customWidth="1"/>
    <col min="10773" max="11008" width="9.140625" style="443"/>
    <col min="11009" max="11009" width="2.42578125" style="443" customWidth="1"/>
    <col min="11010" max="11010" width="9.140625" style="443"/>
    <col min="11011" max="11011" width="12" style="443" bestFit="1" customWidth="1"/>
    <col min="11012" max="11012" width="13" style="443" customWidth="1"/>
    <col min="11013" max="11013" width="11.7109375" style="443" bestFit="1" customWidth="1"/>
    <col min="11014" max="11014" width="11.7109375" style="443" customWidth="1"/>
    <col min="11015" max="11015" width="11.42578125" style="443" customWidth="1"/>
    <col min="11016" max="11016" width="12.7109375" style="443" bestFit="1" customWidth="1"/>
    <col min="11017" max="11017" width="11.140625" style="443" customWidth="1"/>
    <col min="11018" max="11018" width="15.85546875" style="443" customWidth="1"/>
    <col min="11019" max="11019" width="15.85546875" style="443" bestFit="1" customWidth="1"/>
    <col min="11020" max="11020" width="10.5703125" style="443" customWidth="1"/>
    <col min="11021" max="11021" width="16.42578125" style="443" customWidth="1"/>
    <col min="11022" max="11022" width="11.7109375" style="443" customWidth="1"/>
    <col min="11023" max="11023" width="16.28515625" style="443" customWidth="1"/>
    <col min="11024" max="11024" width="10.85546875" style="443" customWidth="1"/>
    <col min="11025" max="11026" width="16.5703125" style="443" customWidth="1"/>
    <col min="11027" max="11027" width="17" style="443" customWidth="1"/>
    <col min="11028" max="11028" width="16.28515625" style="443" customWidth="1"/>
    <col min="11029" max="11264" width="9.140625" style="443"/>
    <col min="11265" max="11265" width="2.42578125" style="443" customWidth="1"/>
    <col min="11266" max="11266" width="9.140625" style="443"/>
    <col min="11267" max="11267" width="12" style="443" bestFit="1" customWidth="1"/>
    <col min="11268" max="11268" width="13" style="443" customWidth="1"/>
    <col min="11269" max="11269" width="11.7109375" style="443" bestFit="1" customWidth="1"/>
    <col min="11270" max="11270" width="11.7109375" style="443" customWidth="1"/>
    <col min="11271" max="11271" width="11.42578125" style="443" customWidth="1"/>
    <col min="11272" max="11272" width="12.7109375" style="443" bestFit="1" customWidth="1"/>
    <col min="11273" max="11273" width="11.140625" style="443" customWidth="1"/>
    <col min="11274" max="11274" width="15.85546875" style="443" customWidth="1"/>
    <col min="11275" max="11275" width="15.85546875" style="443" bestFit="1" customWidth="1"/>
    <col min="11276" max="11276" width="10.5703125" style="443" customWidth="1"/>
    <col min="11277" max="11277" width="16.42578125" style="443" customWidth="1"/>
    <col min="11278" max="11278" width="11.7109375" style="443" customWidth="1"/>
    <col min="11279" max="11279" width="16.28515625" style="443" customWidth="1"/>
    <col min="11280" max="11280" width="10.85546875" style="443" customWidth="1"/>
    <col min="11281" max="11282" width="16.5703125" style="443" customWidth="1"/>
    <col min="11283" max="11283" width="17" style="443" customWidth="1"/>
    <col min="11284" max="11284" width="16.28515625" style="443" customWidth="1"/>
    <col min="11285" max="11520" width="9.140625" style="443"/>
    <col min="11521" max="11521" width="2.42578125" style="443" customWidth="1"/>
    <col min="11522" max="11522" width="9.140625" style="443"/>
    <col min="11523" max="11523" width="12" style="443" bestFit="1" customWidth="1"/>
    <col min="11524" max="11524" width="13" style="443" customWidth="1"/>
    <col min="11525" max="11525" width="11.7109375" style="443" bestFit="1" customWidth="1"/>
    <col min="11526" max="11526" width="11.7109375" style="443" customWidth="1"/>
    <col min="11527" max="11527" width="11.42578125" style="443" customWidth="1"/>
    <col min="11528" max="11528" width="12.7109375" style="443" bestFit="1" customWidth="1"/>
    <col min="11529" max="11529" width="11.140625" style="443" customWidth="1"/>
    <col min="11530" max="11530" width="15.85546875" style="443" customWidth="1"/>
    <col min="11531" max="11531" width="15.85546875" style="443" bestFit="1" customWidth="1"/>
    <col min="11532" max="11532" width="10.5703125" style="443" customWidth="1"/>
    <col min="11533" max="11533" width="16.42578125" style="443" customWidth="1"/>
    <col min="11534" max="11534" width="11.7109375" style="443" customWidth="1"/>
    <col min="11535" max="11535" width="16.28515625" style="443" customWidth="1"/>
    <col min="11536" max="11536" width="10.85546875" style="443" customWidth="1"/>
    <col min="11537" max="11538" width="16.5703125" style="443" customWidth="1"/>
    <col min="11539" max="11539" width="17" style="443" customWidth="1"/>
    <col min="11540" max="11540" width="16.28515625" style="443" customWidth="1"/>
    <col min="11541" max="11776" width="9.140625" style="443"/>
    <col min="11777" max="11777" width="2.42578125" style="443" customWidth="1"/>
    <col min="11778" max="11778" width="9.140625" style="443"/>
    <col min="11779" max="11779" width="12" style="443" bestFit="1" customWidth="1"/>
    <col min="11780" max="11780" width="13" style="443" customWidth="1"/>
    <col min="11781" max="11781" width="11.7109375" style="443" bestFit="1" customWidth="1"/>
    <col min="11782" max="11782" width="11.7109375" style="443" customWidth="1"/>
    <col min="11783" max="11783" width="11.42578125" style="443" customWidth="1"/>
    <col min="11784" max="11784" width="12.7109375" style="443" bestFit="1" customWidth="1"/>
    <col min="11785" max="11785" width="11.140625" style="443" customWidth="1"/>
    <col min="11786" max="11786" width="15.85546875" style="443" customWidth="1"/>
    <col min="11787" max="11787" width="15.85546875" style="443" bestFit="1" customWidth="1"/>
    <col min="11788" max="11788" width="10.5703125" style="443" customWidth="1"/>
    <col min="11789" max="11789" width="16.42578125" style="443" customWidth="1"/>
    <col min="11790" max="11790" width="11.7109375" style="443" customWidth="1"/>
    <col min="11791" max="11791" width="16.28515625" style="443" customWidth="1"/>
    <col min="11792" max="11792" width="10.85546875" style="443" customWidth="1"/>
    <col min="11793" max="11794" width="16.5703125" style="443" customWidth="1"/>
    <col min="11795" max="11795" width="17" style="443" customWidth="1"/>
    <col min="11796" max="11796" width="16.28515625" style="443" customWidth="1"/>
    <col min="11797" max="12032" width="9.140625" style="443"/>
    <col min="12033" max="12033" width="2.42578125" style="443" customWidth="1"/>
    <col min="12034" max="12034" width="9.140625" style="443"/>
    <col min="12035" max="12035" width="12" style="443" bestFit="1" customWidth="1"/>
    <col min="12036" max="12036" width="13" style="443" customWidth="1"/>
    <col min="12037" max="12037" width="11.7109375" style="443" bestFit="1" customWidth="1"/>
    <col min="12038" max="12038" width="11.7109375" style="443" customWidth="1"/>
    <col min="12039" max="12039" width="11.42578125" style="443" customWidth="1"/>
    <col min="12040" max="12040" width="12.7109375" style="443" bestFit="1" customWidth="1"/>
    <col min="12041" max="12041" width="11.140625" style="443" customWidth="1"/>
    <col min="12042" max="12042" width="15.85546875" style="443" customWidth="1"/>
    <col min="12043" max="12043" width="15.85546875" style="443" bestFit="1" customWidth="1"/>
    <col min="12044" max="12044" width="10.5703125" style="443" customWidth="1"/>
    <col min="12045" max="12045" width="16.42578125" style="443" customWidth="1"/>
    <col min="12046" max="12046" width="11.7109375" style="443" customWidth="1"/>
    <col min="12047" max="12047" width="16.28515625" style="443" customWidth="1"/>
    <col min="12048" max="12048" width="10.85546875" style="443" customWidth="1"/>
    <col min="12049" max="12050" width="16.5703125" style="443" customWidth="1"/>
    <col min="12051" max="12051" width="17" style="443" customWidth="1"/>
    <col min="12052" max="12052" width="16.28515625" style="443" customWidth="1"/>
    <col min="12053" max="12288" width="9.140625" style="443"/>
    <col min="12289" max="12289" width="2.42578125" style="443" customWidth="1"/>
    <col min="12290" max="12290" width="9.140625" style="443"/>
    <col min="12291" max="12291" width="12" style="443" bestFit="1" customWidth="1"/>
    <col min="12292" max="12292" width="13" style="443" customWidth="1"/>
    <col min="12293" max="12293" width="11.7109375" style="443" bestFit="1" customWidth="1"/>
    <col min="12294" max="12294" width="11.7109375" style="443" customWidth="1"/>
    <col min="12295" max="12295" width="11.42578125" style="443" customWidth="1"/>
    <col min="12296" max="12296" width="12.7109375" style="443" bestFit="1" customWidth="1"/>
    <col min="12297" max="12297" width="11.140625" style="443" customWidth="1"/>
    <col min="12298" max="12298" width="15.85546875" style="443" customWidth="1"/>
    <col min="12299" max="12299" width="15.85546875" style="443" bestFit="1" customWidth="1"/>
    <col min="12300" max="12300" width="10.5703125" style="443" customWidth="1"/>
    <col min="12301" max="12301" width="16.42578125" style="443" customWidth="1"/>
    <col min="12302" max="12302" width="11.7109375" style="443" customWidth="1"/>
    <col min="12303" max="12303" width="16.28515625" style="443" customWidth="1"/>
    <col min="12304" max="12304" width="10.85546875" style="443" customWidth="1"/>
    <col min="12305" max="12306" width="16.5703125" style="443" customWidth="1"/>
    <col min="12307" max="12307" width="17" style="443" customWidth="1"/>
    <col min="12308" max="12308" width="16.28515625" style="443" customWidth="1"/>
    <col min="12309" max="12544" width="9.140625" style="443"/>
    <col min="12545" max="12545" width="2.42578125" style="443" customWidth="1"/>
    <col min="12546" max="12546" width="9.140625" style="443"/>
    <col min="12547" max="12547" width="12" style="443" bestFit="1" customWidth="1"/>
    <col min="12548" max="12548" width="13" style="443" customWidth="1"/>
    <col min="12549" max="12549" width="11.7109375" style="443" bestFit="1" customWidth="1"/>
    <col min="12550" max="12550" width="11.7109375" style="443" customWidth="1"/>
    <col min="12551" max="12551" width="11.42578125" style="443" customWidth="1"/>
    <col min="12552" max="12552" width="12.7109375" style="443" bestFit="1" customWidth="1"/>
    <col min="12553" max="12553" width="11.140625" style="443" customWidth="1"/>
    <col min="12554" max="12554" width="15.85546875" style="443" customWidth="1"/>
    <col min="12555" max="12555" width="15.85546875" style="443" bestFit="1" customWidth="1"/>
    <col min="12556" max="12556" width="10.5703125" style="443" customWidth="1"/>
    <col min="12557" max="12557" width="16.42578125" style="443" customWidth="1"/>
    <col min="12558" max="12558" width="11.7109375" style="443" customWidth="1"/>
    <col min="12559" max="12559" width="16.28515625" style="443" customWidth="1"/>
    <col min="12560" max="12560" width="10.85546875" style="443" customWidth="1"/>
    <col min="12561" max="12562" width="16.5703125" style="443" customWidth="1"/>
    <col min="12563" max="12563" width="17" style="443" customWidth="1"/>
    <col min="12564" max="12564" width="16.28515625" style="443" customWidth="1"/>
    <col min="12565" max="12800" width="9.140625" style="443"/>
    <col min="12801" max="12801" width="2.42578125" style="443" customWidth="1"/>
    <col min="12802" max="12802" width="9.140625" style="443"/>
    <col min="12803" max="12803" width="12" style="443" bestFit="1" customWidth="1"/>
    <col min="12804" max="12804" width="13" style="443" customWidth="1"/>
    <col min="12805" max="12805" width="11.7109375" style="443" bestFit="1" customWidth="1"/>
    <col min="12806" max="12806" width="11.7109375" style="443" customWidth="1"/>
    <col min="12807" max="12807" width="11.42578125" style="443" customWidth="1"/>
    <col min="12808" max="12808" width="12.7109375" style="443" bestFit="1" customWidth="1"/>
    <col min="12809" max="12809" width="11.140625" style="443" customWidth="1"/>
    <col min="12810" max="12810" width="15.85546875" style="443" customWidth="1"/>
    <col min="12811" max="12811" width="15.85546875" style="443" bestFit="1" customWidth="1"/>
    <col min="12812" max="12812" width="10.5703125" style="443" customWidth="1"/>
    <col min="12813" max="12813" width="16.42578125" style="443" customWidth="1"/>
    <col min="12814" max="12814" width="11.7109375" style="443" customWidth="1"/>
    <col min="12815" max="12815" width="16.28515625" style="443" customWidth="1"/>
    <col min="12816" max="12816" width="10.85546875" style="443" customWidth="1"/>
    <col min="12817" max="12818" width="16.5703125" style="443" customWidth="1"/>
    <col min="12819" max="12819" width="17" style="443" customWidth="1"/>
    <col min="12820" max="12820" width="16.28515625" style="443" customWidth="1"/>
    <col min="12821" max="13056" width="9.140625" style="443"/>
    <col min="13057" max="13057" width="2.42578125" style="443" customWidth="1"/>
    <col min="13058" max="13058" width="9.140625" style="443"/>
    <col min="13059" max="13059" width="12" style="443" bestFit="1" customWidth="1"/>
    <col min="13060" max="13060" width="13" style="443" customWidth="1"/>
    <col min="13061" max="13061" width="11.7109375" style="443" bestFit="1" customWidth="1"/>
    <col min="13062" max="13062" width="11.7109375" style="443" customWidth="1"/>
    <col min="13063" max="13063" width="11.42578125" style="443" customWidth="1"/>
    <col min="13064" max="13064" width="12.7109375" style="443" bestFit="1" customWidth="1"/>
    <col min="13065" max="13065" width="11.140625" style="443" customWidth="1"/>
    <col min="13066" max="13066" width="15.85546875" style="443" customWidth="1"/>
    <col min="13067" max="13067" width="15.85546875" style="443" bestFit="1" customWidth="1"/>
    <col min="13068" max="13068" width="10.5703125" style="443" customWidth="1"/>
    <col min="13069" max="13069" width="16.42578125" style="443" customWidth="1"/>
    <col min="13070" max="13070" width="11.7109375" style="443" customWidth="1"/>
    <col min="13071" max="13071" width="16.28515625" style="443" customWidth="1"/>
    <col min="13072" max="13072" width="10.85546875" style="443" customWidth="1"/>
    <col min="13073" max="13074" width="16.5703125" style="443" customWidth="1"/>
    <col min="13075" max="13075" width="17" style="443" customWidth="1"/>
    <col min="13076" max="13076" width="16.28515625" style="443" customWidth="1"/>
    <col min="13077" max="13312" width="9.140625" style="443"/>
    <col min="13313" max="13313" width="2.42578125" style="443" customWidth="1"/>
    <col min="13314" max="13314" width="9.140625" style="443"/>
    <col min="13315" max="13315" width="12" style="443" bestFit="1" customWidth="1"/>
    <col min="13316" max="13316" width="13" style="443" customWidth="1"/>
    <col min="13317" max="13317" width="11.7109375" style="443" bestFit="1" customWidth="1"/>
    <col min="13318" max="13318" width="11.7109375" style="443" customWidth="1"/>
    <col min="13319" max="13319" width="11.42578125" style="443" customWidth="1"/>
    <col min="13320" max="13320" width="12.7109375" style="443" bestFit="1" customWidth="1"/>
    <col min="13321" max="13321" width="11.140625" style="443" customWidth="1"/>
    <col min="13322" max="13322" width="15.85546875" style="443" customWidth="1"/>
    <col min="13323" max="13323" width="15.85546875" style="443" bestFit="1" customWidth="1"/>
    <col min="13324" max="13324" width="10.5703125" style="443" customWidth="1"/>
    <col min="13325" max="13325" width="16.42578125" style="443" customWidth="1"/>
    <col min="13326" max="13326" width="11.7109375" style="443" customWidth="1"/>
    <col min="13327" max="13327" width="16.28515625" style="443" customWidth="1"/>
    <col min="13328" max="13328" width="10.85546875" style="443" customWidth="1"/>
    <col min="13329" max="13330" width="16.5703125" style="443" customWidth="1"/>
    <col min="13331" max="13331" width="17" style="443" customWidth="1"/>
    <col min="13332" max="13332" width="16.28515625" style="443" customWidth="1"/>
    <col min="13333" max="13568" width="9.140625" style="443"/>
    <col min="13569" max="13569" width="2.42578125" style="443" customWidth="1"/>
    <col min="13570" max="13570" width="9.140625" style="443"/>
    <col min="13571" max="13571" width="12" style="443" bestFit="1" customWidth="1"/>
    <col min="13572" max="13572" width="13" style="443" customWidth="1"/>
    <col min="13573" max="13573" width="11.7109375" style="443" bestFit="1" customWidth="1"/>
    <col min="13574" max="13574" width="11.7109375" style="443" customWidth="1"/>
    <col min="13575" max="13575" width="11.42578125" style="443" customWidth="1"/>
    <col min="13576" max="13576" width="12.7109375" style="443" bestFit="1" customWidth="1"/>
    <col min="13577" max="13577" width="11.140625" style="443" customWidth="1"/>
    <col min="13578" max="13578" width="15.85546875" style="443" customWidth="1"/>
    <col min="13579" max="13579" width="15.85546875" style="443" bestFit="1" customWidth="1"/>
    <col min="13580" max="13580" width="10.5703125" style="443" customWidth="1"/>
    <col min="13581" max="13581" width="16.42578125" style="443" customWidth="1"/>
    <col min="13582" max="13582" width="11.7109375" style="443" customWidth="1"/>
    <col min="13583" max="13583" width="16.28515625" style="443" customWidth="1"/>
    <col min="13584" max="13584" width="10.85546875" style="443" customWidth="1"/>
    <col min="13585" max="13586" width="16.5703125" style="443" customWidth="1"/>
    <col min="13587" max="13587" width="17" style="443" customWidth="1"/>
    <col min="13588" max="13588" width="16.28515625" style="443" customWidth="1"/>
    <col min="13589" max="13824" width="9.140625" style="443"/>
    <col min="13825" max="13825" width="2.42578125" style="443" customWidth="1"/>
    <col min="13826" max="13826" width="9.140625" style="443"/>
    <col min="13827" max="13827" width="12" style="443" bestFit="1" customWidth="1"/>
    <col min="13828" max="13828" width="13" style="443" customWidth="1"/>
    <col min="13829" max="13829" width="11.7109375" style="443" bestFit="1" customWidth="1"/>
    <col min="13830" max="13830" width="11.7109375" style="443" customWidth="1"/>
    <col min="13831" max="13831" width="11.42578125" style="443" customWidth="1"/>
    <col min="13832" max="13832" width="12.7109375" style="443" bestFit="1" customWidth="1"/>
    <col min="13833" max="13833" width="11.140625" style="443" customWidth="1"/>
    <col min="13834" max="13834" width="15.85546875" style="443" customWidth="1"/>
    <col min="13835" max="13835" width="15.85546875" style="443" bestFit="1" customWidth="1"/>
    <col min="13836" max="13836" width="10.5703125" style="443" customWidth="1"/>
    <col min="13837" max="13837" width="16.42578125" style="443" customWidth="1"/>
    <col min="13838" max="13838" width="11.7109375" style="443" customWidth="1"/>
    <col min="13839" max="13839" width="16.28515625" style="443" customWidth="1"/>
    <col min="13840" max="13840" width="10.85546875" style="443" customWidth="1"/>
    <col min="13841" max="13842" width="16.5703125" style="443" customWidth="1"/>
    <col min="13843" max="13843" width="17" style="443" customWidth="1"/>
    <col min="13844" max="13844" width="16.28515625" style="443" customWidth="1"/>
    <col min="13845" max="14080" width="9.140625" style="443"/>
    <col min="14081" max="14081" width="2.42578125" style="443" customWidth="1"/>
    <col min="14082" max="14082" width="9.140625" style="443"/>
    <col min="14083" max="14083" width="12" style="443" bestFit="1" customWidth="1"/>
    <col min="14084" max="14084" width="13" style="443" customWidth="1"/>
    <col min="14085" max="14085" width="11.7109375" style="443" bestFit="1" customWidth="1"/>
    <col min="14086" max="14086" width="11.7109375" style="443" customWidth="1"/>
    <col min="14087" max="14087" width="11.42578125" style="443" customWidth="1"/>
    <col min="14088" max="14088" width="12.7109375" style="443" bestFit="1" customWidth="1"/>
    <col min="14089" max="14089" width="11.140625" style="443" customWidth="1"/>
    <col min="14090" max="14090" width="15.85546875" style="443" customWidth="1"/>
    <col min="14091" max="14091" width="15.85546875" style="443" bestFit="1" customWidth="1"/>
    <col min="14092" max="14092" width="10.5703125" style="443" customWidth="1"/>
    <col min="14093" max="14093" width="16.42578125" style="443" customWidth="1"/>
    <col min="14094" max="14094" width="11.7109375" style="443" customWidth="1"/>
    <col min="14095" max="14095" width="16.28515625" style="443" customWidth="1"/>
    <col min="14096" max="14096" width="10.85546875" style="443" customWidth="1"/>
    <col min="14097" max="14098" width="16.5703125" style="443" customWidth="1"/>
    <col min="14099" max="14099" width="17" style="443" customWidth="1"/>
    <col min="14100" max="14100" width="16.28515625" style="443" customWidth="1"/>
    <col min="14101" max="14336" width="9.140625" style="443"/>
    <col min="14337" max="14337" width="2.42578125" style="443" customWidth="1"/>
    <col min="14338" max="14338" width="9.140625" style="443"/>
    <col min="14339" max="14339" width="12" style="443" bestFit="1" customWidth="1"/>
    <col min="14340" max="14340" width="13" style="443" customWidth="1"/>
    <col min="14341" max="14341" width="11.7109375" style="443" bestFit="1" customWidth="1"/>
    <col min="14342" max="14342" width="11.7109375" style="443" customWidth="1"/>
    <col min="14343" max="14343" width="11.42578125" style="443" customWidth="1"/>
    <col min="14344" max="14344" width="12.7109375" style="443" bestFit="1" customWidth="1"/>
    <col min="14345" max="14345" width="11.140625" style="443" customWidth="1"/>
    <col min="14346" max="14346" width="15.85546875" style="443" customWidth="1"/>
    <col min="14347" max="14347" width="15.85546875" style="443" bestFit="1" customWidth="1"/>
    <col min="14348" max="14348" width="10.5703125" style="443" customWidth="1"/>
    <col min="14349" max="14349" width="16.42578125" style="443" customWidth="1"/>
    <col min="14350" max="14350" width="11.7109375" style="443" customWidth="1"/>
    <col min="14351" max="14351" width="16.28515625" style="443" customWidth="1"/>
    <col min="14352" max="14352" width="10.85546875" style="443" customWidth="1"/>
    <col min="14353" max="14354" width="16.5703125" style="443" customWidth="1"/>
    <col min="14355" max="14355" width="17" style="443" customWidth="1"/>
    <col min="14356" max="14356" width="16.28515625" style="443" customWidth="1"/>
    <col min="14357" max="14592" width="9.140625" style="443"/>
    <col min="14593" max="14593" width="2.42578125" style="443" customWidth="1"/>
    <col min="14594" max="14594" width="9.140625" style="443"/>
    <col min="14595" max="14595" width="12" style="443" bestFit="1" customWidth="1"/>
    <col min="14596" max="14596" width="13" style="443" customWidth="1"/>
    <col min="14597" max="14597" width="11.7109375" style="443" bestFit="1" customWidth="1"/>
    <col min="14598" max="14598" width="11.7109375" style="443" customWidth="1"/>
    <col min="14599" max="14599" width="11.42578125" style="443" customWidth="1"/>
    <col min="14600" max="14600" width="12.7109375" style="443" bestFit="1" customWidth="1"/>
    <col min="14601" max="14601" width="11.140625" style="443" customWidth="1"/>
    <col min="14602" max="14602" width="15.85546875" style="443" customWidth="1"/>
    <col min="14603" max="14603" width="15.85546875" style="443" bestFit="1" customWidth="1"/>
    <col min="14604" max="14604" width="10.5703125" style="443" customWidth="1"/>
    <col min="14605" max="14605" width="16.42578125" style="443" customWidth="1"/>
    <col min="14606" max="14606" width="11.7109375" style="443" customWidth="1"/>
    <col min="14607" max="14607" width="16.28515625" style="443" customWidth="1"/>
    <col min="14608" max="14608" width="10.85546875" style="443" customWidth="1"/>
    <col min="14609" max="14610" width="16.5703125" style="443" customWidth="1"/>
    <col min="14611" max="14611" width="17" style="443" customWidth="1"/>
    <col min="14612" max="14612" width="16.28515625" style="443" customWidth="1"/>
    <col min="14613" max="14848" width="9.140625" style="443"/>
    <col min="14849" max="14849" width="2.42578125" style="443" customWidth="1"/>
    <col min="14850" max="14850" width="9.140625" style="443"/>
    <col min="14851" max="14851" width="12" style="443" bestFit="1" customWidth="1"/>
    <col min="14852" max="14852" width="13" style="443" customWidth="1"/>
    <col min="14853" max="14853" width="11.7109375" style="443" bestFit="1" customWidth="1"/>
    <col min="14854" max="14854" width="11.7109375" style="443" customWidth="1"/>
    <col min="14855" max="14855" width="11.42578125" style="443" customWidth="1"/>
    <col min="14856" max="14856" width="12.7109375" style="443" bestFit="1" customWidth="1"/>
    <col min="14857" max="14857" width="11.140625" style="443" customWidth="1"/>
    <col min="14858" max="14858" width="15.85546875" style="443" customWidth="1"/>
    <col min="14859" max="14859" width="15.85546875" style="443" bestFit="1" customWidth="1"/>
    <col min="14860" max="14860" width="10.5703125" style="443" customWidth="1"/>
    <col min="14861" max="14861" width="16.42578125" style="443" customWidth="1"/>
    <col min="14862" max="14862" width="11.7109375" style="443" customWidth="1"/>
    <col min="14863" max="14863" width="16.28515625" style="443" customWidth="1"/>
    <col min="14864" max="14864" width="10.85546875" style="443" customWidth="1"/>
    <col min="14865" max="14866" width="16.5703125" style="443" customWidth="1"/>
    <col min="14867" max="14867" width="17" style="443" customWidth="1"/>
    <col min="14868" max="14868" width="16.28515625" style="443" customWidth="1"/>
    <col min="14869" max="15104" width="9.140625" style="443"/>
    <col min="15105" max="15105" width="2.42578125" style="443" customWidth="1"/>
    <col min="15106" max="15106" width="9.140625" style="443"/>
    <col min="15107" max="15107" width="12" style="443" bestFit="1" customWidth="1"/>
    <col min="15108" max="15108" width="13" style="443" customWidth="1"/>
    <col min="15109" max="15109" width="11.7109375" style="443" bestFit="1" customWidth="1"/>
    <col min="15110" max="15110" width="11.7109375" style="443" customWidth="1"/>
    <col min="15111" max="15111" width="11.42578125" style="443" customWidth="1"/>
    <col min="15112" max="15112" width="12.7109375" style="443" bestFit="1" customWidth="1"/>
    <col min="15113" max="15113" width="11.140625" style="443" customWidth="1"/>
    <col min="15114" max="15114" width="15.85546875" style="443" customWidth="1"/>
    <col min="15115" max="15115" width="15.85546875" style="443" bestFit="1" customWidth="1"/>
    <col min="15116" max="15116" width="10.5703125" style="443" customWidth="1"/>
    <col min="15117" max="15117" width="16.42578125" style="443" customWidth="1"/>
    <col min="15118" max="15118" width="11.7109375" style="443" customWidth="1"/>
    <col min="15119" max="15119" width="16.28515625" style="443" customWidth="1"/>
    <col min="15120" max="15120" width="10.85546875" style="443" customWidth="1"/>
    <col min="15121" max="15122" width="16.5703125" style="443" customWidth="1"/>
    <col min="15123" max="15123" width="17" style="443" customWidth="1"/>
    <col min="15124" max="15124" width="16.28515625" style="443" customWidth="1"/>
    <col min="15125" max="15360" width="9.140625" style="443"/>
    <col min="15361" max="15361" width="2.42578125" style="443" customWidth="1"/>
    <col min="15362" max="15362" width="9.140625" style="443"/>
    <col min="15363" max="15363" width="12" style="443" bestFit="1" customWidth="1"/>
    <col min="15364" max="15364" width="13" style="443" customWidth="1"/>
    <col min="15365" max="15365" width="11.7109375" style="443" bestFit="1" customWidth="1"/>
    <col min="15366" max="15366" width="11.7109375" style="443" customWidth="1"/>
    <col min="15367" max="15367" width="11.42578125" style="443" customWidth="1"/>
    <col min="15368" max="15368" width="12.7109375" style="443" bestFit="1" customWidth="1"/>
    <col min="15369" max="15369" width="11.140625" style="443" customWidth="1"/>
    <col min="15370" max="15370" width="15.85546875" style="443" customWidth="1"/>
    <col min="15371" max="15371" width="15.85546875" style="443" bestFit="1" customWidth="1"/>
    <col min="15372" max="15372" width="10.5703125" style="443" customWidth="1"/>
    <col min="15373" max="15373" width="16.42578125" style="443" customWidth="1"/>
    <col min="15374" max="15374" width="11.7109375" style="443" customWidth="1"/>
    <col min="15375" max="15375" width="16.28515625" style="443" customWidth="1"/>
    <col min="15376" max="15376" width="10.85546875" style="443" customWidth="1"/>
    <col min="15377" max="15378" width="16.5703125" style="443" customWidth="1"/>
    <col min="15379" max="15379" width="17" style="443" customWidth="1"/>
    <col min="15380" max="15380" width="16.28515625" style="443" customWidth="1"/>
    <col min="15381" max="15616" width="9.140625" style="443"/>
    <col min="15617" max="15617" width="2.42578125" style="443" customWidth="1"/>
    <col min="15618" max="15618" width="9.140625" style="443"/>
    <col min="15619" max="15619" width="12" style="443" bestFit="1" customWidth="1"/>
    <col min="15620" max="15620" width="13" style="443" customWidth="1"/>
    <col min="15621" max="15621" width="11.7109375" style="443" bestFit="1" customWidth="1"/>
    <col min="15622" max="15622" width="11.7109375" style="443" customWidth="1"/>
    <col min="15623" max="15623" width="11.42578125" style="443" customWidth="1"/>
    <col min="15624" max="15624" width="12.7109375" style="443" bestFit="1" customWidth="1"/>
    <col min="15625" max="15625" width="11.140625" style="443" customWidth="1"/>
    <col min="15626" max="15626" width="15.85546875" style="443" customWidth="1"/>
    <col min="15627" max="15627" width="15.85546875" style="443" bestFit="1" customWidth="1"/>
    <col min="15628" max="15628" width="10.5703125" style="443" customWidth="1"/>
    <col min="15629" max="15629" width="16.42578125" style="443" customWidth="1"/>
    <col min="15630" max="15630" width="11.7109375" style="443" customWidth="1"/>
    <col min="15631" max="15631" width="16.28515625" style="443" customWidth="1"/>
    <col min="15632" max="15632" width="10.85546875" style="443" customWidth="1"/>
    <col min="15633" max="15634" width="16.5703125" style="443" customWidth="1"/>
    <col min="15635" max="15635" width="17" style="443" customWidth="1"/>
    <col min="15636" max="15636" width="16.28515625" style="443" customWidth="1"/>
    <col min="15637" max="15872" width="9.140625" style="443"/>
    <col min="15873" max="15873" width="2.42578125" style="443" customWidth="1"/>
    <col min="15874" max="15874" width="9.140625" style="443"/>
    <col min="15875" max="15875" width="12" style="443" bestFit="1" customWidth="1"/>
    <col min="15876" max="15876" width="13" style="443" customWidth="1"/>
    <col min="15877" max="15877" width="11.7109375" style="443" bestFit="1" customWidth="1"/>
    <col min="15878" max="15878" width="11.7109375" style="443" customWidth="1"/>
    <col min="15879" max="15879" width="11.42578125" style="443" customWidth="1"/>
    <col min="15880" max="15880" width="12.7109375" style="443" bestFit="1" customWidth="1"/>
    <col min="15881" max="15881" width="11.140625" style="443" customWidth="1"/>
    <col min="15882" max="15882" width="15.85546875" style="443" customWidth="1"/>
    <col min="15883" max="15883" width="15.85546875" style="443" bestFit="1" customWidth="1"/>
    <col min="15884" max="15884" width="10.5703125" style="443" customWidth="1"/>
    <col min="15885" max="15885" width="16.42578125" style="443" customWidth="1"/>
    <col min="15886" max="15886" width="11.7109375" style="443" customWidth="1"/>
    <col min="15887" max="15887" width="16.28515625" style="443" customWidth="1"/>
    <col min="15888" max="15888" width="10.85546875" style="443" customWidth="1"/>
    <col min="15889" max="15890" width="16.5703125" style="443" customWidth="1"/>
    <col min="15891" max="15891" width="17" style="443" customWidth="1"/>
    <col min="15892" max="15892" width="16.28515625" style="443" customWidth="1"/>
    <col min="15893" max="16128" width="9.140625" style="443"/>
    <col min="16129" max="16129" width="2.42578125" style="443" customWidth="1"/>
    <col min="16130" max="16130" width="9.140625" style="443"/>
    <col min="16131" max="16131" width="12" style="443" bestFit="1" customWidth="1"/>
    <col min="16132" max="16132" width="13" style="443" customWidth="1"/>
    <col min="16133" max="16133" width="11.7109375" style="443" bestFit="1" customWidth="1"/>
    <col min="16134" max="16134" width="11.7109375" style="443" customWidth="1"/>
    <col min="16135" max="16135" width="11.42578125" style="443" customWidth="1"/>
    <col min="16136" max="16136" width="12.7109375" style="443" bestFit="1" customWidth="1"/>
    <col min="16137" max="16137" width="11.140625" style="443" customWidth="1"/>
    <col min="16138" max="16138" width="15.85546875" style="443" customWidth="1"/>
    <col min="16139" max="16139" width="15.85546875" style="443" bestFit="1" customWidth="1"/>
    <col min="16140" max="16140" width="10.5703125" style="443" customWidth="1"/>
    <col min="16141" max="16141" width="16.42578125" style="443" customWidth="1"/>
    <col min="16142" max="16142" width="11.7109375" style="443" customWidth="1"/>
    <col min="16143" max="16143" width="16.28515625" style="443" customWidth="1"/>
    <col min="16144" max="16144" width="10.85546875" style="443" customWidth="1"/>
    <col min="16145" max="16146" width="16.5703125" style="443" customWidth="1"/>
    <col min="16147" max="16147" width="17" style="443" customWidth="1"/>
    <col min="16148" max="16148" width="16.28515625" style="443" customWidth="1"/>
    <col min="16149" max="16384" width="9.140625" style="443"/>
  </cols>
  <sheetData>
    <row r="2" spans="2:22" ht="27" customHeight="1">
      <c r="C2" s="656" t="s">
        <v>456</v>
      </c>
      <c r="D2" s="719">
        <v>2019</v>
      </c>
    </row>
    <row r="4" spans="2:22" ht="15" customHeight="1">
      <c r="B4" s="1197" t="s">
        <v>282</v>
      </c>
      <c r="C4" s="1145" t="s">
        <v>251</v>
      </c>
      <c r="D4" s="1146"/>
      <c r="E4" s="1146"/>
      <c r="F4" s="1146"/>
      <c r="G4" s="1146"/>
      <c r="H4" s="1146"/>
      <c r="I4" s="1146"/>
      <c r="J4" s="1146"/>
      <c r="K4" s="1146"/>
      <c r="L4" s="1146"/>
      <c r="M4" s="1146"/>
      <c r="N4" s="1146"/>
      <c r="O4" s="1147"/>
      <c r="P4" s="299"/>
      <c r="Q4" s="299"/>
      <c r="R4" s="299"/>
      <c r="S4" s="502"/>
      <c r="T4" s="1177" t="s">
        <v>427</v>
      </c>
      <c r="U4" s="1177" t="s">
        <v>428</v>
      </c>
      <c r="V4" s="1177" t="s">
        <v>457</v>
      </c>
    </row>
    <row r="5" spans="2:22" ht="15" customHeight="1">
      <c r="B5" s="1198"/>
      <c r="C5" s="307" t="s">
        <v>372</v>
      </c>
      <c r="D5" s="307" t="s">
        <v>372</v>
      </c>
      <c r="E5" s="308" t="s">
        <v>372</v>
      </c>
      <c r="F5" s="1120" t="s">
        <v>373</v>
      </c>
      <c r="G5" s="1121"/>
      <c r="H5" s="1122" t="s">
        <v>378</v>
      </c>
      <c r="I5" s="1123"/>
      <c r="J5" s="1124" t="s">
        <v>379</v>
      </c>
      <c r="K5" s="1124" t="s">
        <v>380</v>
      </c>
      <c r="L5" s="308" t="s">
        <v>67</v>
      </c>
      <c r="M5" s="309" t="s">
        <v>68</v>
      </c>
      <c r="N5" s="1114" t="s">
        <v>369</v>
      </c>
      <c r="O5" s="1102" t="s">
        <v>370</v>
      </c>
      <c r="P5" s="301" t="s">
        <v>68</v>
      </c>
      <c r="Q5" s="1104" t="s">
        <v>374</v>
      </c>
      <c r="R5" s="309" t="s">
        <v>68</v>
      </c>
      <c r="S5" s="497"/>
      <c r="T5" s="1178"/>
      <c r="U5" s="1178"/>
      <c r="V5" s="1178"/>
    </row>
    <row r="6" spans="2:22" ht="15" customHeight="1" thickBot="1">
      <c r="B6" s="1199"/>
      <c r="C6" s="323" t="s">
        <v>405</v>
      </c>
      <c r="D6" s="323" t="s">
        <v>406</v>
      </c>
      <c r="E6" s="324" t="s">
        <v>407</v>
      </c>
      <c r="F6" s="325" t="s">
        <v>408</v>
      </c>
      <c r="G6" s="324" t="s">
        <v>409</v>
      </c>
      <c r="H6" s="326" t="s">
        <v>402</v>
      </c>
      <c r="I6" s="327" t="s">
        <v>46</v>
      </c>
      <c r="J6" s="1192"/>
      <c r="K6" s="1192"/>
      <c r="L6" s="328" t="s">
        <v>411</v>
      </c>
      <c r="M6" s="329" t="s">
        <v>413</v>
      </c>
      <c r="N6" s="1119"/>
      <c r="O6" s="1103"/>
      <c r="P6" s="316" t="s">
        <v>403</v>
      </c>
      <c r="Q6" s="1105"/>
      <c r="R6" s="329" t="s">
        <v>404</v>
      </c>
      <c r="S6" s="497"/>
      <c r="T6" s="1179"/>
      <c r="U6" s="1179"/>
      <c r="V6" s="1179"/>
    </row>
    <row r="7" spans="2:22" ht="15" customHeight="1">
      <c r="B7" s="444">
        <v>1</v>
      </c>
      <c r="C7" s="445">
        <v>2</v>
      </c>
      <c r="D7" s="446">
        <v>3</v>
      </c>
      <c r="E7" s="447" t="s">
        <v>429</v>
      </c>
      <c r="F7" s="445">
        <v>5</v>
      </c>
      <c r="G7" s="446" t="s">
        <v>430</v>
      </c>
      <c r="H7" s="445">
        <v>7</v>
      </c>
      <c r="I7" s="445" t="s">
        <v>431</v>
      </c>
      <c r="J7" s="448" t="s">
        <v>432</v>
      </c>
      <c r="K7" s="449" t="s">
        <v>433</v>
      </c>
      <c r="L7" s="446">
        <v>11</v>
      </c>
      <c r="M7" s="450" t="s">
        <v>434</v>
      </c>
      <c r="N7" s="451" t="s">
        <v>435</v>
      </c>
      <c r="O7" s="446" t="s">
        <v>436</v>
      </c>
      <c r="P7" s="446">
        <v>15</v>
      </c>
      <c r="Q7" s="446" t="s">
        <v>437</v>
      </c>
      <c r="R7" s="446" t="s">
        <v>437</v>
      </c>
      <c r="S7" s="498"/>
      <c r="T7" s="452"/>
      <c r="U7" s="452"/>
    </row>
    <row r="8" spans="2:22" ht="6.95" customHeight="1">
      <c r="B8" s="521"/>
      <c r="C8" s="522"/>
      <c r="D8" s="522"/>
      <c r="E8" s="522"/>
      <c r="F8" s="522"/>
      <c r="G8" s="522"/>
      <c r="H8" s="522"/>
      <c r="I8" s="522"/>
      <c r="J8" s="522"/>
      <c r="K8" s="523"/>
      <c r="L8" s="522"/>
      <c r="M8" s="522"/>
      <c r="N8" s="524"/>
      <c r="O8" s="522"/>
      <c r="P8" s="522"/>
      <c r="Q8" s="522"/>
      <c r="R8" s="522"/>
      <c r="S8" s="498"/>
      <c r="T8" s="452"/>
      <c r="U8" s="452"/>
    </row>
    <row r="9" spans="2:22" ht="15" customHeight="1">
      <c r="B9" s="518">
        <f>DATE($D$2,1,1)</f>
        <v>43466</v>
      </c>
      <c r="C9" s="519">
        <f>IFERROR(SUMIFS(KPR[BRUTO],KPR[TANGGAL],"&gt;="&amp;DATE($D$2,MONTH(B9),1),KPR[TANGGAL],"&lt;"&amp;DATE($D$2,MONTH(B9)+1,1)),0)</f>
        <v>0</v>
      </c>
      <c r="D9" s="519">
        <f>IFERROR(SUMIFS(KPR[TARRA],KPR[TANGGAL],"&gt;="&amp;DATE($D$2,MONTH(B9),1),KPR[TANGGAL],"&lt;"&amp;DATE($D$2,MONTH(B9)+1,1)),0)</f>
        <v>0</v>
      </c>
      <c r="E9" s="519">
        <f>IFERROR(SUMIFS(KPR[NETTO],KPR[TANGGAL],"&gt;="&amp;DATE($D$2,MONTH(B9),1),KPR[TANGGAL],"&lt;"&amp;DATE($D$2,MONTH(B9)+1,1)),0)</f>
        <v>0</v>
      </c>
      <c r="F9" s="519">
        <f>IFERROR(SUMIFS(KPR[POTKRG],KPR[TANGGAL],"&gt;="&amp;DATE($D$2,MONTH(B9),1),KPR[TANGGAL],"&lt;"&amp;DATE($D$2,MONTH(B9)+1,1)),0)</f>
        <v>0</v>
      </c>
      <c r="G9" s="519">
        <f>IFERROR(SUMIFS(KPR[TPOT1],KPR[TANGGAL],"&gt;="&amp;DATE($D$2,MONTH(B9),1),KPR[TANGGAL],"&lt;"&amp;DATE($D$2,MONTH(B9)+1,1)),0)</f>
        <v>0</v>
      </c>
      <c r="H9" s="519">
        <f t="shared" ref="H9:H18" si="0">IFERROR(ROUND(I9/K9%,2),0)</f>
        <v>0</v>
      </c>
      <c r="I9" s="519">
        <f>IFERROR(SUMIFS(KPR[TPOT2],KPR[TANGGAL],"&gt;="&amp;DATE($D$2,MONTH(B9),1),KPR[TANGGAL],"&lt;"&amp;DATE($D$2,MONTH(B9)+1,1)),0)</f>
        <v>0</v>
      </c>
      <c r="J9" s="519">
        <f>IFERROR(SUMIFS(KPR[NETTOA],KPR[TANGGAL],"&gt;="&amp;DATE($D$2,MONTH(B9),1),KPR[TANGGAL],"&lt;"&amp;DATE($D$2,MONTH(B9)+1,1)),0)</f>
        <v>0</v>
      </c>
      <c r="K9" s="519">
        <f>IFERROR(SUMIFS(KPR[NETTOB],KPR[TANGGAL],"&gt;="&amp;DATE($D$2,MONTH(B9),1),KPR[TANGGAL],"&lt;"&amp;DATE($D$2,MONTH(B9)+1,1)),0)</f>
        <v>0</v>
      </c>
      <c r="L9" s="666">
        <f t="shared" ref="L9:L20" si="1">IFERROR(M9/K9,0)</f>
        <v>0</v>
      </c>
      <c r="M9" s="519">
        <f>IFERROR(SUMIFS(KPR[TOTAL],KPR[TANGGAL],"&gt;="&amp;DATE($D$2,MONTH(B9),1),KPR[TANGGAL],"&lt;"&amp;DATE($D$2,MONTH(B9)+1,1)),0)</f>
        <v>0</v>
      </c>
      <c r="N9" s="666">
        <f t="shared" ref="N9:N18" si="2">ROUND(L9*0.5025%,2)</f>
        <v>0</v>
      </c>
      <c r="O9" s="666">
        <f t="shared" ref="O9:O18" si="3">L9+N9</f>
        <v>0</v>
      </c>
      <c r="P9" s="519">
        <f>IFERROR(SUMIFS(KPR[TBAYAR2],KPR[TANGGAL],"&gt;="&amp;DATE($D$2,MONTH(B9),1),KPR[TANGGAL],"&lt;"&amp;DATE($D$2,MONTH(B9)+1,1)),0)</f>
        <v>0</v>
      </c>
      <c r="Q9" s="519">
        <f>IFERROR(SUMIFS(KPR[POTPPH],KPR[TANGGAL],"&gt;="&amp;DATE($D$2,MONTH(B9),1),KPR[TANGGAL],"&lt;"&amp;DATE($D$2,MONTH(B9)+1,1)),0)</f>
        <v>0</v>
      </c>
      <c r="R9" s="519">
        <f>IFERROR(SUMIFS(KPR[TPEMBAYARAN],KPR[TANGGAL],"&gt;="&amp;DATE($D$2,MONTH(B9),1),KPR[TANGGAL],"&lt;"&amp;DATE($D$2,MONTH(B9)+1,1)),0)</f>
        <v>0</v>
      </c>
      <c r="S9" s="503"/>
      <c r="T9" s="671">
        <v>2900000</v>
      </c>
      <c r="U9" s="672">
        <f t="shared" ref="U9:U15" si="4">T9-K9</f>
        <v>2900000</v>
      </c>
      <c r="V9" s="453" t="str">
        <f t="shared" ref="V9:V14" si="5">IF(U9&gt;0,"TIDAK TERLAKSANA","TERLAKSANA")</f>
        <v>TIDAK TERLAKSANA</v>
      </c>
    </row>
    <row r="10" spans="2:22" ht="15" customHeight="1">
      <c r="B10" s="518">
        <f>DATE($D$2,2,1)</f>
        <v>43497</v>
      </c>
      <c r="C10" s="519">
        <f>IFERROR(SUMIFS(KPR[BRUTO],KPR[TANGGAL],"&gt;="&amp;DATE($D$2,MONTH(B10),1),KPR[TANGGAL],"&lt;"&amp;DATE($D$2,MONTH(B10)+1,1)),0)</f>
        <v>0</v>
      </c>
      <c r="D10" s="519">
        <f>IFERROR(SUMIFS(KPR[TARRA],KPR[TANGGAL],"&gt;="&amp;DATE($D$2,MONTH(B10),1),KPR[TANGGAL],"&lt;"&amp;DATE($D$2,MONTH(B10)+1,1)),0)</f>
        <v>0</v>
      </c>
      <c r="E10" s="519">
        <f>IFERROR(SUMIFS(KPR[NETTO],KPR[TANGGAL],"&gt;="&amp;DATE($D$2,MONTH(B10),1),KPR[TANGGAL],"&lt;"&amp;DATE($D$2,MONTH(B10)+1,1)),0)</f>
        <v>0</v>
      </c>
      <c r="F10" s="519">
        <f>IFERROR(SUMIFS(KPR[POTKRG],KPR[TANGGAL],"&gt;="&amp;DATE($D$2,MONTH(B10),1),KPR[TANGGAL],"&lt;"&amp;DATE($D$2,MONTH(B10)+1,1)),0)</f>
        <v>0</v>
      </c>
      <c r="G10" s="519">
        <f>IFERROR(SUMIFS(KPR[TPOT1],KPR[TANGGAL],"&gt;="&amp;DATE($D$2,MONTH(B10),1),KPR[TANGGAL],"&lt;"&amp;DATE($D$2,MONTH(B10)+1,1)),0)</f>
        <v>0</v>
      </c>
      <c r="H10" s="519">
        <f t="shared" si="0"/>
        <v>0</v>
      </c>
      <c r="I10" s="519">
        <f>IFERROR(SUMIFS(KPR[TPOT2],KPR[TANGGAL],"&gt;="&amp;DATE($D$2,MONTH(B10),1),KPR[TANGGAL],"&lt;"&amp;DATE($D$2,MONTH(B10)+1,1)),0)</f>
        <v>0</v>
      </c>
      <c r="J10" s="519">
        <f>IFERROR(SUMIFS(KPR[NETTOA],KPR[TANGGAL],"&gt;="&amp;DATE($D$2,MONTH(B10),1),KPR[TANGGAL],"&lt;"&amp;DATE($D$2,MONTH(B10)+1,1)),0)</f>
        <v>0</v>
      </c>
      <c r="K10" s="519">
        <f>IFERROR(SUMIFS(KPR[NETTOB],KPR[TANGGAL],"&gt;="&amp;DATE($D$2,MONTH(B10),1),KPR[TANGGAL],"&lt;"&amp;DATE($D$2,MONTH(B10)+1,1)),0)</f>
        <v>0</v>
      </c>
      <c r="L10" s="666">
        <f t="shared" si="1"/>
        <v>0</v>
      </c>
      <c r="M10" s="519">
        <f>IFERROR(SUMIFS(KPR[TOTAL],KPR[TANGGAL],"&gt;="&amp;DATE($D$2,MONTH(B10),1),KPR[TANGGAL],"&lt;"&amp;DATE($D$2,MONTH(B10)+1,1)),0)</f>
        <v>0</v>
      </c>
      <c r="N10" s="666">
        <f t="shared" si="2"/>
        <v>0</v>
      </c>
      <c r="O10" s="666">
        <f t="shared" si="3"/>
        <v>0</v>
      </c>
      <c r="P10" s="519">
        <f>IFERROR(SUMIFS(KPR[TBAYAR2],KPR[TANGGAL],"&gt;="&amp;DATE($D$2,MONTH(B10),1),KPR[TANGGAL],"&lt;"&amp;DATE($D$2,MONTH(B10)+1,1)),0)</f>
        <v>0</v>
      </c>
      <c r="Q10" s="519">
        <f>IFERROR(SUMIFS(KPR[POTPPH],KPR[TANGGAL],"&gt;="&amp;DATE($D$2,MONTH(B10),1),KPR[TANGGAL],"&lt;"&amp;DATE($D$2,MONTH(B10)+1,1)),0)</f>
        <v>0</v>
      </c>
      <c r="R10" s="519">
        <f>IFERROR(SUMIFS(KPR[TPEMBAYARAN],KPR[TANGGAL],"&gt;="&amp;DATE($D$2,MONTH(B10),1),KPR[TANGGAL],"&lt;"&amp;DATE($D$2,MONTH(B10)+1,1)),0)</f>
        <v>0</v>
      </c>
      <c r="S10" s="504"/>
      <c r="T10" s="673">
        <v>2900000</v>
      </c>
      <c r="U10" s="674">
        <f t="shared" si="4"/>
        <v>2900000</v>
      </c>
      <c r="V10" s="453" t="str">
        <f t="shared" si="5"/>
        <v>TIDAK TERLAKSANA</v>
      </c>
    </row>
    <row r="11" spans="2:22" ht="15" customHeight="1">
      <c r="B11" s="518">
        <f>DATE($D$2,3,1)</f>
        <v>43525</v>
      </c>
      <c r="C11" s="519">
        <f>IFERROR(SUMIFS(KPR[BRUTO],KPR[TANGGAL],"&gt;="&amp;DATE($D$2,MONTH(B11),1),KPR[TANGGAL],"&lt;"&amp;DATE($D$2,MONTH(B11)+1,1)),0)</f>
        <v>0</v>
      </c>
      <c r="D11" s="519">
        <f>IFERROR(SUMIFS(KPR[TARRA],KPR[TANGGAL],"&gt;="&amp;DATE($D$2,MONTH(B11),1),KPR[TANGGAL],"&lt;"&amp;DATE($D$2,MONTH(B11)+1,1)),0)</f>
        <v>0</v>
      </c>
      <c r="E11" s="519">
        <f>IFERROR(SUMIFS(KPR[NETTO],KPR[TANGGAL],"&gt;="&amp;DATE($D$2,MONTH(B11),1),KPR[TANGGAL],"&lt;"&amp;DATE($D$2,MONTH(B11)+1,1)),0)</f>
        <v>0</v>
      </c>
      <c r="F11" s="519">
        <f>IFERROR(SUMIFS(KPR[POTKRG],KPR[TANGGAL],"&gt;="&amp;DATE($D$2,MONTH(B11),1),KPR[TANGGAL],"&lt;"&amp;DATE($D$2,MONTH(B11)+1,1)),0)</f>
        <v>0</v>
      </c>
      <c r="G11" s="519">
        <f>IFERROR(SUMIFS(KPR[TPOT1],KPR[TANGGAL],"&gt;="&amp;DATE($D$2,MONTH(B11),1),KPR[TANGGAL],"&lt;"&amp;DATE($D$2,MONTH(B11)+1,1)),0)</f>
        <v>0</v>
      </c>
      <c r="H11" s="519">
        <f t="shared" si="0"/>
        <v>0</v>
      </c>
      <c r="I11" s="519">
        <f>IFERROR(SUMIFS(KPR[TPOT2],KPR[TANGGAL],"&gt;="&amp;DATE($D$2,MONTH(B11),1),KPR[TANGGAL],"&lt;"&amp;DATE($D$2,MONTH(B11)+1,1)),0)</f>
        <v>0</v>
      </c>
      <c r="J11" s="519">
        <f>IFERROR(SUMIFS(KPR[NETTOA],KPR[TANGGAL],"&gt;="&amp;DATE($D$2,MONTH(B11),1),KPR[TANGGAL],"&lt;"&amp;DATE($D$2,MONTH(B11)+1,1)),0)</f>
        <v>0</v>
      </c>
      <c r="K11" s="519">
        <f>IFERROR(SUMIFS(KPR[NETTOB],KPR[TANGGAL],"&gt;="&amp;DATE($D$2,MONTH(B11),1),KPR[TANGGAL],"&lt;"&amp;DATE($D$2,MONTH(B11)+1,1)),0)</f>
        <v>0</v>
      </c>
      <c r="L11" s="666">
        <f t="shared" si="1"/>
        <v>0</v>
      </c>
      <c r="M11" s="519">
        <f>IFERROR(SUMIFS(KPR[TOTAL],KPR[TANGGAL],"&gt;="&amp;DATE($D$2,MONTH(B11),1),KPR[TANGGAL],"&lt;"&amp;DATE($D$2,MONTH(B11)+1,1)),0)</f>
        <v>0</v>
      </c>
      <c r="N11" s="666">
        <f t="shared" si="2"/>
        <v>0</v>
      </c>
      <c r="O11" s="666">
        <f t="shared" si="3"/>
        <v>0</v>
      </c>
      <c r="P11" s="519">
        <f>IFERROR(SUMIFS(KPR[TBAYAR2],KPR[TANGGAL],"&gt;="&amp;DATE($D$2,MONTH(B11),1),KPR[TANGGAL],"&lt;"&amp;DATE($D$2,MONTH(B11)+1,1)),0)</f>
        <v>0</v>
      </c>
      <c r="Q11" s="519">
        <f>IFERROR(SUMIFS(KPR[POTPPH],KPR[TANGGAL],"&gt;="&amp;DATE($D$2,MONTH(B11),1),KPR[TANGGAL],"&lt;"&amp;DATE($D$2,MONTH(B11)+1,1)),0)</f>
        <v>0</v>
      </c>
      <c r="R11" s="519">
        <f>IFERROR(SUMIFS(KPR[TPEMBAYARAN],KPR[TANGGAL],"&gt;="&amp;DATE($D$2,MONTH(B11),1),KPR[TANGGAL],"&lt;"&amp;DATE($D$2,MONTH(B11)+1,1)),0)</f>
        <v>0</v>
      </c>
      <c r="S11" s="505"/>
      <c r="T11" s="673">
        <v>2900000</v>
      </c>
      <c r="U11" s="674">
        <f t="shared" si="4"/>
        <v>2900000</v>
      </c>
      <c r="V11" s="453" t="str">
        <f t="shared" si="5"/>
        <v>TIDAK TERLAKSANA</v>
      </c>
    </row>
    <row r="12" spans="2:22" ht="15" customHeight="1">
      <c r="B12" s="518">
        <f>DATE($D$2,4,1)</f>
        <v>43556</v>
      </c>
      <c r="C12" s="519">
        <f>IFERROR(SUMIFS(KPR[BRUTO],KPR[TANGGAL],"&gt;="&amp;DATE($D$2,MONTH(B12),1),KPR[TANGGAL],"&lt;"&amp;DATE($D$2,MONTH(B12)+1,1)),0)</f>
        <v>0</v>
      </c>
      <c r="D12" s="519">
        <f>IFERROR(SUMIFS(KPR[TARRA],KPR[TANGGAL],"&gt;="&amp;DATE($D$2,MONTH(B12),1),KPR[TANGGAL],"&lt;"&amp;DATE($D$2,MONTH(B12)+1,1)),0)</f>
        <v>0</v>
      </c>
      <c r="E12" s="519">
        <f>IFERROR(SUMIFS(KPR[NETTO],KPR[TANGGAL],"&gt;="&amp;DATE($D$2,MONTH(B12),1),KPR[TANGGAL],"&lt;"&amp;DATE($D$2,MONTH(B12)+1,1)),0)</f>
        <v>0</v>
      </c>
      <c r="F12" s="519">
        <f>IFERROR(SUMIFS(KPR[POTKRG],KPR[TANGGAL],"&gt;="&amp;DATE($D$2,MONTH(B12),1),KPR[TANGGAL],"&lt;"&amp;DATE($D$2,MONTH(B12)+1,1)),0)</f>
        <v>0</v>
      </c>
      <c r="G12" s="519">
        <f>IFERROR(SUMIFS(KPR[TPOT1],KPR[TANGGAL],"&gt;="&amp;DATE($D$2,MONTH(B12),1),KPR[TANGGAL],"&lt;"&amp;DATE($D$2,MONTH(B12)+1,1)),0)</f>
        <v>0</v>
      </c>
      <c r="H12" s="519">
        <f t="shared" si="0"/>
        <v>0</v>
      </c>
      <c r="I12" s="519">
        <f>IFERROR(SUMIFS(KPR[TPOT2],KPR[TANGGAL],"&gt;="&amp;DATE($D$2,MONTH(B12),1),KPR[TANGGAL],"&lt;"&amp;DATE($D$2,MONTH(B12)+1,1)),0)</f>
        <v>0</v>
      </c>
      <c r="J12" s="519">
        <f>IFERROR(SUMIFS(KPR[NETTOA],KPR[TANGGAL],"&gt;="&amp;DATE($D$2,MONTH(B12),1),KPR[TANGGAL],"&lt;"&amp;DATE($D$2,MONTH(B12)+1,1)),0)</f>
        <v>0</v>
      </c>
      <c r="K12" s="519">
        <f>IFERROR(SUMIFS(KPR[NETTOB],KPR[TANGGAL],"&gt;="&amp;DATE($D$2,MONTH(B12),1),KPR[TANGGAL],"&lt;"&amp;DATE($D$2,MONTH(B12)+1,1)),0)</f>
        <v>0</v>
      </c>
      <c r="L12" s="666">
        <f t="shared" si="1"/>
        <v>0</v>
      </c>
      <c r="M12" s="519">
        <f>IFERROR(SUMIFS(KPR[TOTAL],KPR[TANGGAL],"&gt;="&amp;DATE($D$2,MONTH(B12),1),KPR[TANGGAL],"&lt;"&amp;DATE($D$2,MONTH(B12)+1,1)),0)</f>
        <v>0</v>
      </c>
      <c r="N12" s="666">
        <f t="shared" si="2"/>
        <v>0</v>
      </c>
      <c r="O12" s="666">
        <f t="shared" si="3"/>
        <v>0</v>
      </c>
      <c r="P12" s="519">
        <f>IFERROR(SUMIFS(KPR[TBAYAR2],KPR[TANGGAL],"&gt;="&amp;DATE($D$2,MONTH(B12),1),KPR[TANGGAL],"&lt;"&amp;DATE($D$2,MONTH(B12)+1,1)),0)</f>
        <v>0</v>
      </c>
      <c r="Q12" s="519">
        <f>IFERROR(SUMIFS(KPR[POTPPH],KPR[TANGGAL],"&gt;="&amp;DATE($D$2,MONTH(B12),1),KPR[TANGGAL],"&lt;"&amp;DATE($D$2,MONTH(B12)+1,1)),0)</f>
        <v>0</v>
      </c>
      <c r="R12" s="519">
        <f>IFERROR(SUMIFS(KPR[TPEMBAYARAN],KPR[TANGGAL],"&gt;="&amp;DATE($D$2,MONTH(B12),1),KPR[TANGGAL],"&lt;"&amp;DATE($D$2,MONTH(B12)+1,1)),0)</f>
        <v>0</v>
      </c>
      <c r="S12" s="505"/>
      <c r="T12" s="673">
        <v>2900000</v>
      </c>
      <c r="U12" s="674">
        <f t="shared" si="4"/>
        <v>2900000</v>
      </c>
      <c r="V12" s="453" t="str">
        <f t="shared" si="5"/>
        <v>TIDAK TERLAKSANA</v>
      </c>
    </row>
    <row r="13" spans="2:22" ht="15" customHeight="1">
      <c r="B13" s="518">
        <f>DATE($D$2,5,1)</f>
        <v>43586</v>
      </c>
      <c r="C13" s="519">
        <f>IFERROR(SUMIFS(KPR[BRUTO],KPR[TANGGAL],"&gt;="&amp;DATE($D$2,MONTH(B13),1),KPR[TANGGAL],"&lt;"&amp;DATE($D$2,MONTH(B13)+1,1)),0)</f>
        <v>0</v>
      </c>
      <c r="D13" s="519">
        <f>IFERROR(SUMIFS(KPR[TARRA],KPR[TANGGAL],"&gt;="&amp;DATE($D$2,MONTH(B13),1),KPR[TANGGAL],"&lt;"&amp;DATE($D$2,MONTH(B13)+1,1)),0)</f>
        <v>0</v>
      </c>
      <c r="E13" s="519">
        <f>IFERROR(SUMIFS(KPR[NETTO],KPR[TANGGAL],"&gt;="&amp;DATE($D$2,MONTH(B13),1),KPR[TANGGAL],"&lt;"&amp;DATE($D$2,MONTH(B13)+1,1)),0)</f>
        <v>0</v>
      </c>
      <c r="F13" s="519">
        <f>IFERROR(SUMIFS(KPR[POTKRG],KPR[TANGGAL],"&gt;="&amp;DATE($D$2,MONTH(B13),1),KPR[TANGGAL],"&lt;"&amp;DATE($D$2,MONTH(B13)+1,1)),0)</f>
        <v>0</v>
      </c>
      <c r="G13" s="519">
        <f>IFERROR(SUMIFS(KPR[TPOT1],KPR[TANGGAL],"&gt;="&amp;DATE($D$2,MONTH(B13),1),KPR[TANGGAL],"&lt;"&amp;DATE($D$2,MONTH(B13)+1,1)),0)</f>
        <v>0</v>
      </c>
      <c r="H13" s="519">
        <f t="shared" si="0"/>
        <v>0</v>
      </c>
      <c r="I13" s="519">
        <f>IFERROR(SUMIFS(KPR[TPOT2],KPR[TANGGAL],"&gt;="&amp;DATE($D$2,MONTH(B13),1),KPR[TANGGAL],"&lt;"&amp;DATE($D$2,MONTH(B13)+1,1)),0)</f>
        <v>0</v>
      </c>
      <c r="J13" s="519">
        <f>IFERROR(SUMIFS(KPR[NETTOA],KPR[TANGGAL],"&gt;="&amp;DATE($D$2,MONTH(B13),1),KPR[TANGGAL],"&lt;"&amp;DATE($D$2,MONTH(B13)+1,1)),0)</f>
        <v>0</v>
      </c>
      <c r="K13" s="519">
        <f>IFERROR(SUMIFS(KPR[NETTOB],KPR[TANGGAL],"&gt;="&amp;DATE($D$2,MONTH(B13),1),KPR[TANGGAL],"&lt;"&amp;DATE($D$2,MONTH(B13)+1,1)),0)</f>
        <v>0</v>
      </c>
      <c r="L13" s="666">
        <f t="shared" si="1"/>
        <v>0</v>
      </c>
      <c r="M13" s="519">
        <f>IFERROR(SUMIFS(KPR[TOTAL],KPR[TANGGAL],"&gt;="&amp;DATE($D$2,MONTH(B13),1),KPR[TANGGAL],"&lt;"&amp;DATE($D$2,MONTH(B13)+1,1)),0)</f>
        <v>0</v>
      </c>
      <c r="N13" s="666">
        <f t="shared" si="2"/>
        <v>0</v>
      </c>
      <c r="O13" s="666">
        <f t="shared" si="3"/>
        <v>0</v>
      </c>
      <c r="P13" s="519">
        <f>IFERROR(SUMIFS(KPR[TBAYAR2],KPR[TANGGAL],"&gt;="&amp;DATE($D$2,MONTH(B13),1),KPR[TANGGAL],"&lt;"&amp;DATE($D$2,MONTH(B13)+1,1)),0)</f>
        <v>0</v>
      </c>
      <c r="Q13" s="519">
        <f>IFERROR(SUMIFS(KPR[POTPPH],KPR[TANGGAL],"&gt;="&amp;DATE($D$2,MONTH(B13),1),KPR[TANGGAL],"&lt;"&amp;DATE($D$2,MONTH(B13)+1,1)),0)</f>
        <v>0</v>
      </c>
      <c r="R13" s="519">
        <f>IFERROR(SUMIFS(KPR[TPEMBAYARAN],KPR[TANGGAL],"&gt;="&amp;DATE($D$2,MONTH(B13),1),KPR[TANGGAL],"&lt;"&amp;DATE($D$2,MONTH(B13)+1,1)),0)</f>
        <v>0</v>
      </c>
      <c r="S13" s="505"/>
      <c r="T13" s="673">
        <v>2900000</v>
      </c>
      <c r="U13" s="674">
        <f t="shared" si="4"/>
        <v>2900000</v>
      </c>
      <c r="V13" s="453" t="str">
        <f t="shared" si="5"/>
        <v>TIDAK TERLAKSANA</v>
      </c>
    </row>
    <row r="14" spans="2:22" ht="15" customHeight="1">
      <c r="B14" s="518">
        <f>DATE($D$2,6,1)</f>
        <v>43617</v>
      </c>
      <c r="C14" s="519">
        <f>IFERROR(SUMIFS(KPR[BRUTO],KPR[TANGGAL],"&gt;="&amp;DATE($D$2,MONTH(B14),1),KPR[TANGGAL],"&lt;"&amp;DATE($D$2,MONTH(B14)+1,1)),0)</f>
        <v>0</v>
      </c>
      <c r="D14" s="519">
        <f>IFERROR(SUMIFS(KPR[TARRA],KPR[TANGGAL],"&gt;="&amp;DATE($D$2,MONTH(B14),1),KPR[TANGGAL],"&lt;"&amp;DATE($D$2,MONTH(B14)+1,1)),0)</f>
        <v>0</v>
      </c>
      <c r="E14" s="519">
        <f>IFERROR(SUMIFS(KPR[NETTO],KPR[TANGGAL],"&gt;="&amp;DATE($D$2,MONTH(B14),1),KPR[TANGGAL],"&lt;"&amp;DATE($D$2,MONTH(B14)+1,1)),0)</f>
        <v>0</v>
      </c>
      <c r="F14" s="519">
        <f>IFERROR(SUMIFS(KPR[POTKRG],KPR[TANGGAL],"&gt;="&amp;DATE($D$2,MONTH(B14),1),KPR[TANGGAL],"&lt;"&amp;DATE($D$2,MONTH(B14)+1,1)),0)</f>
        <v>0</v>
      </c>
      <c r="G14" s="519">
        <f>IFERROR(SUMIFS(KPR[TPOT1],KPR[TANGGAL],"&gt;="&amp;DATE($D$2,MONTH(B14),1),KPR[TANGGAL],"&lt;"&amp;DATE($D$2,MONTH(B14)+1,1)),0)</f>
        <v>0</v>
      </c>
      <c r="H14" s="519">
        <f t="shared" si="0"/>
        <v>0</v>
      </c>
      <c r="I14" s="519">
        <f>IFERROR(SUMIFS(KPR[TPOT2],KPR[TANGGAL],"&gt;="&amp;DATE($D$2,MONTH(B14),1),KPR[TANGGAL],"&lt;"&amp;DATE($D$2,MONTH(B14)+1,1)),0)</f>
        <v>0</v>
      </c>
      <c r="J14" s="519">
        <f>IFERROR(SUMIFS(KPR[NETTOA],KPR[TANGGAL],"&gt;="&amp;DATE($D$2,MONTH(B14),1),KPR[TANGGAL],"&lt;"&amp;DATE($D$2,MONTH(B14)+1,1)),0)</f>
        <v>0</v>
      </c>
      <c r="K14" s="519">
        <f>IFERROR(SUMIFS(KPR[NETTOB],KPR[TANGGAL],"&gt;="&amp;DATE($D$2,MONTH(B14),1),KPR[TANGGAL],"&lt;"&amp;DATE($D$2,MONTH(B14)+1,1)),0)</f>
        <v>0</v>
      </c>
      <c r="L14" s="666">
        <f t="shared" si="1"/>
        <v>0</v>
      </c>
      <c r="M14" s="519">
        <f>IFERROR(SUMIFS(KPR[TOTAL],KPR[TANGGAL],"&gt;="&amp;DATE($D$2,MONTH(B14),1),KPR[TANGGAL],"&lt;"&amp;DATE($D$2,MONTH(B14)+1,1)),0)</f>
        <v>0</v>
      </c>
      <c r="N14" s="666">
        <f t="shared" si="2"/>
        <v>0</v>
      </c>
      <c r="O14" s="666">
        <f t="shared" si="3"/>
        <v>0</v>
      </c>
      <c r="P14" s="519">
        <f>IFERROR(SUMIFS(KPR[TBAYAR2],KPR[TANGGAL],"&gt;="&amp;DATE($D$2,MONTH(B14),1),KPR[TANGGAL],"&lt;"&amp;DATE($D$2,MONTH(B14)+1,1)),0)</f>
        <v>0</v>
      </c>
      <c r="Q14" s="519">
        <f>IFERROR(SUMIFS(KPR[POTPPH],KPR[TANGGAL],"&gt;="&amp;DATE($D$2,MONTH(B14),1),KPR[TANGGAL],"&lt;"&amp;DATE($D$2,MONTH(B14)+1,1)),0)</f>
        <v>0</v>
      </c>
      <c r="R14" s="519">
        <f>IFERROR(SUMIFS(KPR[TPEMBAYARAN],KPR[TANGGAL],"&gt;="&amp;DATE($D$2,MONTH(B14),1),KPR[TANGGAL],"&lt;"&amp;DATE($D$2,MONTH(B14)+1,1)),0)</f>
        <v>0</v>
      </c>
      <c r="S14" s="505"/>
      <c r="T14" s="673">
        <v>2900000</v>
      </c>
      <c r="U14" s="674">
        <f t="shared" si="4"/>
        <v>2900000</v>
      </c>
      <c r="V14" s="453" t="str">
        <f t="shared" si="5"/>
        <v>TIDAK TERLAKSANA</v>
      </c>
    </row>
    <row r="15" spans="2:22" ht="15" customHeight="1">
      <c r="B15" s="518">
        <f>DATE($D$2,7,1)</f>
        <v>43647</v>
      </c>
      <c r="C15" s="519">
        <f>IFERROR(SUMIFS(KPR[BRUTO],KPR[TANGGAL],"&gt;="&amp;DATE($D$2,MONTH(B15),1),KPR[TANGGAL],"&lt;"&amp;DATE($D$2,MONTH(B15)+1,1)),0)</f>
        <v>0</v>
      </c>
      <c r="D15" s="519">
        <f>IFERROR(SUMIFS(KPR[TARRA],KPR[TANGGAL],"&gt;="&amp;DATE($D$2,MONTH(B15),1),KPR[TANGGAL],"&lt;"&amp;DATE($D$2,MONTH(B15)+1,1)),0)</f>
        <v>0</v>
      </c>
      <c r="E15" s="519">
        <f>IFERROR(SUMIFS(KPR[NETTO],KPR[TANGGAL],"&gt;="&amp;DATE($D$2,MONTH(B15),1),KPR[TANGGAL],"&lt;"&amp;DATE($D$2,MONTH(B15)+1,1)),0)</f>
        <v>0</v>
      </c>
      <c r="F15" s="519">
        <f>IFERROR(SUMIFS(KPR[POTKRG],KPR[TANGGAL],"&gt;="&amp;DATE($D$2,MONTH(B15),1),KPR[TANGGAL],"&lt;"&amp;DATE($D$2,MONTH(B15)+1,1)),0)</f>
        <v>0</v>
      </c>
      <c r="G15" s="519">
        <f>IFERROR(SUMIFS(KPR[TPOT1],KPR[TANGGAL],"&gt;="&amp;DATE($D$2,MONTH(B15),1),KPR[TANGGAL],"&lt;"&amp;DATE($D$2,MONTH(B15)+1,1)),0)</f>
        <v>0</v>
      </c>
      <c r="H15" s="519">
        <f t="shared" si="0"/>
        <v>0</v>
      </c>
      <c r="I15" s="519">
        <f>IFERROR(SUMIFS(KPR[TPOT2],KPR[TANGGAL],"&gt;="&amp;DATE($D$2,MONTH(B15),1),KPR[TANGGAL],"&lt;"&amp;DATE($D$2,MONTH(B15)+1,1)),0)</f>
        <v>0</v>
      </c>
      <c r="J15" s="519">
        <f>IFERROR(SUMIFS(KPR[NETTOA],KPR[TANGGAL],"&gt;="&amp;DATE($D$2,MONTH(B15),1),KPR[TANGGAL],"&lt;"&amp;DATE($D$2,MONTH(B15)+1,1)),0)</f>
        <v>0</v>
      </c>
      <c r="K15" s="519">
        <f>IFERROR(SUMIFS(KPR[NETTOB],KPR[TANGGAL],"&gt;="&amp;DATE($D$2,MONTH(B15),1),KPR[TANGGAL],"&lt;"&amp;DATE($D$2,MONTH(B15)+1,1)),0)</f>
        <v>0</v>
      </c>
      <c r="L15" s="666">
        <f t="shared" si="1"/>
        <v>0</v>
      </c>
      <c r="M15" s="519">
        <f>IFERROR(SUMIFS(KPR[TOTAL],KPR[TANGGAL],"&gt;="&amp;DATE($D$2,MONTH(B15),1),KPR[TANGGAL],"&lt;"&amp;DATE($D$2,MONTH(B15)+1,1)),0)</f>
        <v>0</v>
      </c>
      <c r="N15" s="666">
        <f t="shared" si="2"/>
        <v>0</v>
      </c>
      <c r="O15" s="666">
        <f t="shared" si="3"/>
        <v>0</v>
      </c>
      <c r="P15" s="519">
        <f>IFERROR(SUMIFS(KPR[TBAYAR2],KPR[TANGGAL],"&gt;="&amp;DATE($D$2,MONTH(B15),1),KPR[TANGGAL],"&lt;"&amp;DATE($D$2,MONTH(B15)+1,1)),0)</f>
        <v>0</v>
      </c>
      <c r="Q15" s="519">
        <f>IFERROR(SUMIFS(KPR[POTPPH],KPR[TANGGAL],"&gt;="&amp;DATE($D$2,MONTH(B15),1),KPR[TANGGAL],"&lt;"&amp;DATE($D$2,MONTH(B15)+1,1)),0)</f>
        <v>0</v>
      </c>
      <c r="R15" s="519">
        <f>IFERROR(SUMIFS(KPR[TPEMBAYARAN],KPR[TANGGAL],"&gt;="&amp;DATE($D$2,MONTH(B15),1),KPR[TANGGAL],"&lt;"&amp;DATE($D$2,MONTH(B15)+1,1)),0)</f>
        <v>0</v>
      </c>
      <c r="S15" s="505"/>
      <c r="T15" s="673">
        <v>2900000</v>
      </c>
      <c r="U15" s="674">
        <f t="shared" si="4"/>
        <v>2900000</v>
      </c>
      <c r="V15" s="453" t="str">
        <f>IF(U15&gt;0,"TIDAK TERLAKSANA","TERLAKSANA")</f>
        <v>TIDAK TERLAKSANA</v>
      </c>
    </row>
    <row r="16" spans="2:22" ht="15" customHeight="1">
      <c r="B16" s="518">
        <f>DATE($D$2,8,1)</f>
        <v>43678</v>
      </c>
      <c r="C16" s="519">
        <f>IFERROR(SUMIFS(KPR[BRUTO],KPR[TANGGAL],"&gt;="&amp;DATE($D$2,MONTH(B16),1),KPR[TANGGAL],"&lt;"&amp;DATE($D$2,MONTH(B16)+1,1)),0)</f>
        <v>0</v>
      </c>
      <c r="D16" s="519">
        <f>IFERROR(SUMIFS(KPR[TARRA],KPR[TANGGAL],"&gt;="&amp;DATE($D$2,MONTH(B16),1),KPR[TANGGAL],"&lt;"&amp;DATE($D$2,MONTH(B16)+1,1)),0)</f>
        <v>0</v>
      </c>
      <c r="E16" s="519">
        <f>IFERROR(SUMIFS(KPR[NETTO],KPR[TANGGAL],"&gt;="&amp;DATE($D$2,MONTH(B16),1),KPR[TANGGAL],"&lt;"&amp;DATE($D$2,MONTH(B16)+1,1)),0)</f>
        <v>0</v>
      </c>
      <c r="F16" s="519">
        <f>IFERROR(SUMIFS(KPR[POTKRG],KPR[TANGGAL],"&gt;="&amp;DATE($D$2,MONTH(B16),1),KPR[TANGGAL],"&lt;"&amp;DATE($D$2,MONTH(B16)+1,1)),0)</f>
        <v>0</v>
      </c>
      <c r="G16" s="519">
        <f>IFERROR(SUMIFS(KPR[TPOT1],KPR[TANGGAL],"&gt;="&amp;DATE($D$2,MONTH(B16),1),KPR[TANGGAL],"&lt;"&amp;DATE($D$2,MONTH(B16)+1,1)),0)</f>
        <v>0</v>
      </c>
      <c r="H16" s="519">
        <f t="shared" si="0"/>
        <v>0</v>
      </c>
      <c r="I16" s="519">
        <f>IFERROR(SUMIFS(KPR[TPOT2],KPR[TANGGAL],"&gt;="&amp;DATE($D$2,MONTH(B16),1),KPR[TANGGAL],"&lt;"&amp;DATE($D$2,MONTH(B16)+1,1)),0)</f>
        <v>0</v>
      </c>
      <c r="J16" s="519">
        <f>IFERROR(SUMIFS(KPR[NETTOA],KPR[TANGGAL],"&gt;="&amp;DATE($D$2,MONTH(B16),1),KPR[TANGGAL],"&lt;"&amp;DATE($D$2,MONTH(B16)+1,1)),0)</f>
        <v>0</v>
      </c>
      <c r="K16" s="519">
        <f>IFERROR(SUMIFS(KPR[NETTOB],KPR[TANGGAL],"&gt;="&amp;DATE($D$2,MONTH(B16),1),KPR[TANGGAL],"&lt;"&amp;DATE($D$2,MONTH(B16)+1,1)),0)</f>
        <v>0</v>
      </c>
      <c r="L16" s="666">
        <f t="shared" si="1"/>
        <v>0</v>
      </c>
      <c r="M16" s="519">
        <f>IFERROR(SUMIFS(KPR[TOTAL],KPR[TANGGAL],"&gt;="&amp;DATE($D$2,MONTH(B16),1),KPR[TANGGAL],"&lt;"&amp;DATE($D$2,MONTH(B16)+1,1)),0)</f>
        <v>0</v>
      </c>
      <c r="N16" s="666">
        <f t="shared" si="2"/>
        <v>0</v>
      </c>
      <c r="O16" s="666">
        <f t="shared" si="3"/>
        <v>0</v>
      </c>
      <c r="P16" s="519">
        <f>IFERROR(SUMIFS(KPR[TBAYAR2],KPR[TANGGAL],"&gt;="&amp;DATE($D$2,MONTH(B16),1),KPR[TANGGAL],"&lt;"&amp;DATE($D$2,MONTH(B16)+1,1)),0)</f>
        <v>0</v>
      </c>
      <c r="Q16" s="519">
        <f>IFERROR(SUMIFS(KPR[POTPPH],KPR[TANGGAL],"&gt;="&amp;DATE($D$2,MONTH(B16),1),KPR[TANGGAL],"&lt;"&amp;DATE($D$2,MONTH(B16)+1,1)),0)</f>
        <v>0</v>
      </c>
      <c r="R16" s="519">
        <f>IFERROR(SUMIFS(KPR[TPEMBAYARAN],KPR[TANGGAL],"&gt;="&amp;DATE($D$2,MONTH(B16),1),KPR[TANGGAL],"&lt;"&amp;DATE($D$2,MONTH(B16)+1,1)),0)</f>
        <v>0</v>
      </c>
      <c r="S16" s="505"/>
      <c r="T16" s="673">
        <v>2900000</v>
      </c>
      <c r="U16" s="674">
        <f>T16-J16</f>
        <v>2900000</v>
      </c>
      <c r="V16" s="453" t="str">
        <f t="shared" ref="V16:V20" si="6">IF(U16&gt;0,"TIDAK TERLAKSANA","TERLAKSANA")</f>
        <v>TIDAK TERLAKSANA</v>
      </c>
    </row>
    <row r="17" spans="2:170" ht="15" customHeight="1">
      <c r="B17" s="518">
        <f>DATE($D$2,9,1)</f>
        <v>43709</v>
      </c>
      <c r="C17" s="519">
        <f>IFERROR(SUMIFS(KPR[BRUTO],KPR[TANGGAL],"&gt;="&amp;DATE($D$2,MONTH(B17),1),KPR[TANGGAL],"&lt;"&amp;DATE($D$2,MONTH(B17)+1,1)),0)</f>
        <v>0</v>
      </c>
      <c r="D17" s="519">
        <f>IFERROR(SUMIFS(KPR[TARRA],KPR[TANGGAL],"&gt;="&amp;DATE($D$2,MONTH(B17),1),KPR[TANGGAL],"&lt;"&amp;DATE($D$2,MONTH(B17)+1,1)),0)</f>
        <v>0</v>
      </c>
      <c r="E17" s="519">
        <f>IFERROR(SUMIFS(KPR[NETTO],KPR[TANGGAL],"&gt;="&amp;DATE($D$2,MONTH(B17),1),KPR[TANGGAL],"&lt;"&amp;DATE($D$2,MONTH(B17)+1,1)),0)</f>
        <v>0</v>
      </c>
      <c r="F17" s="519">
        <f>IFERROR(SUMIFS(KPR[POTKRG],KPR[TANGGAL],"&gt;="&amp;DATE($D$2,MONTH(B17),1),KPR[TANGGAL],"&lt;"&amp;DATE($D$2,MONTH(B17)+1,1)),0)</f>
        <v>0</v>
      </c>
      <c r="G17" s="519">
        <f>IFERROR(SUMIFS(KPR[TPOT1],KPR[TANGGAL],"&gt;="&amp;DATE($D$2,MONTH(B17),1),KPR[TANGGAL],"&lt;"&amp;DATE($D$2,MONTH(B17)+1,1)),0)</f>
        <v>0</v>
      </c>
      <c r="H17" s="519">
        <f t="shared" si="0"/>
        <v>0</v>
      </c>
      <c r="I17" s="519">
        <f>IFERROR(SUMIFS(KPR[TPOT2],KPR[TANGGAL],"&gt;="&amp;DATE($D$2,MONTH(B17),1),KPR[TANGGAL],"&lt;"&amp;DATE($D$2,MONTH(B17)+1,1)),0)</f>
        <v>0</v>
      </c>
      <c r="J17" s="519">
        <f>IFERROR(SUMIFS(KPR[NETTOA],KPR[TANGGAL],"&gt;="&amp;DATE($D$2,MONTH(B17),1),KPR[TANGGAL],"&lt;"&amp;DATE($D$2,MONTH(B17)+1,1)),0)</f>
        <v>0</v>
      </c>
      <c r="K17" s="519">
        <f>IFERROR(SUMIFS(KPR[NETTOB],KPR[TANGGAL],"&gt;="&amp;DATE($D$2,MONTH(B17),1),KPR[TANGGAL],"&lt;"&amp;DATE($D$2,MONTH(B17)+1,1)),0)</f>
        <v>0</v>
      </c>
      <c r="L17" s="666">
        <f t="shared" si="1"/>
        <v>0</v>
      </c>
      <c r="M17" s="519">
        <f>IFERROR(SUMIFS(KPR[TOTAL],KPR[TANGGAL],"&gt;="&amp;DATE($D$2,MONTH(B17),1),KPR[TANGGAL],"&lt;"&amp;DATE($D$2,MONTH(B17)+1,1)),0)</f>
        <v>0</v>
      </c>
      <c r="N17" s="666">
        <f t="shared" si="2"/>
        <v>0</v>
      </c>
      <c r="O17" s="666">
        <f t="shared" si="3"/>
        <v>0</v>
      </c>
      <c r="P17" s="519">
        <f>IFERROR(SUMIFS(KPR[TBAYAR2],KPR[TANGGAL],"&gt;="&amp;DATE($D$2,MONTH(B17),1),KPR[TANGGAL],"&lt;"&amp;DATE($D$2,MONTH(B17)+1,1)),0)</f>
        <v>0</v>
      </c>
      <c r="Q17" s="519">
        <f>IFERROR(SUMIFS(KPR[POTPPH],KPR[TANGGAL],"&gt;="&amp;DATE($D$2,MONTH(B17),1),KPR[TANGGAL],"&lt;"&amp;DATE($D$2,MONTH(B17)+1,1)),0)</f>
        <v>0</v>
      </c>
      <c r="R17" s="519">
        <f>IFERROR(SUMIFS(KPR[TPEMBAYARAN],KPR[TANGGAL],"&gt;="&amp;DATE($D$2,MONTH(B17),1),KPR[TANGGAL],"&lt;"&amp;DATE($D$2,MONTH(B17)+1,1)),0)</f>
        <v>0</v>
      </c>
      <c r="S17" s="504"/>
      <c r="T17" s="673">
        <v>2900000</v>
      </c>
      <c r="U17" s="674">
        <f>T17-J17</f>
        <v>2900000</v>
      </c>
      <c r="V17" s="453" t="str">
        <f t="shared" si="6"/>
        <v>TIDAK TERLAKSANA</v>
      </c>
    </row>
    <row r="18" spans="2:170" ht="15" customHeight="1">
      <c r="B18" s="518">
        <f>DATE($D$2,10,1)</f>
        <v>43739</v>
      </c>
      <c r="C18" s="519">
        <f>IFERROR(SUMIFS(KPR[BRUTO],KPR[TANGGAL],"&gt;="&amp;DATE($D$2,MONTH(B18),1),KPR[TANGGAL],"&lt;"&amp;DATE($D$2,MONTH(B18)+1,1)),0)</f>
        <v>0</v>
      </c>
      <c r="D18" s="519">
        <f>IFERROR(SUMIFS(KPR[TARRA],KPR[TANGGAL],"&gt;="&amp;DATE($D$2,MONTH(B18),1),KPR[TANGGAL],"&lt;"&amp;DATE($D$2,MONTH(B18)+1,1)),0)</f>
        <v>0</v>
      </c>
      <c r="E18" s="519">
        <f>IFERROR(SUMIFS(KPR[NETTO],KPR[TANGGAL],"&gt;="&amp;DATE($D$2,MONTH(B18),1),KPR[TANGGAL],"&lt;"&amp;DATE($D$2,MONTH(B18)+1,1)),0)</f>
        <v>0</v>
      </c>
      <c r="F18" s="519">
        <f>IFERROR(SUMIFS(KPR[POTKRG],KPR[TANGGAL],"&gt;="&amp;DATE($D$2,MONTH(B18),1),KPR[TANGGAL],"&lt;"&amp;DATE($D$2,MONTH(B18)+1,1)),0)</f>
        <v>0</v>
      </c>
      <c r="G18" s="519">
        <f>IFERROR(SUMIFS(KPR[TPOT1],KPR[TANGGAL],"&gt;="&amp;DATE($D$2,MONTH(B18),1),KPR[TANGGAL],"&lt;"&amp;DATE($D$2,MONTH(B18)+1,1)),0)</f>
        <v>0</v>
      </c>
      <c r="H18" s="519">
        <f t="shared" si="0"/>
        <v>0</v>
      </c>
      <c r="I18" s="519">
        <f>IFERROR(SUMIFS(KPR[TPOT2],KPR[TANGGAL],"&gt;="&amp;DATE($D$2,MONTH(B18),1),KPR[TANGGAL],"&lt;"&amp;DATE($D$2,MONTH(B18)+1,1)),0)</f>
        <v>0</v>
      </c>
      <c r="J18" s="519">
        <f>IFERROR(SUMIFS(KPR[NETTOA],KPR[TANGGAL],"&gt;="&amp;DATE($D$2,MONTH(B18),1),KPR[TANGGAL],"&lt;"&amp;DATE($D$2,MONTH(B18)+1,1)),0)</f>
        <v>0</v>
      </c>
      <c r="K18" s="519">
        <f>IFERROR(SUMIFS(KPR[NETTOB],KPR[TANGGAL],"&gt;="&amp;DATE($D$2,MONTH(B18),1),KPR[TANGGAL],"&lt;"&amp;DATE($D$2,MONTH(B18)+1,1)),0)</f>
        <v>0</v>
      </c>
      <c r="L18" s="666">
        <f t="shared" si="1"/>
        <v>0</v>
      </c>
      <c r="M18" s="519">
        <f>IFERROR(SUMIFS(KPR[TOTAL],KPR[TANGGAL],"&gt;="&amp;DATE($D$2,MONTH(B18),1),KPR[TANGGAL],"&lt;"&amp;DATE($D$2,MONTH(B18)+1,1)),0)</f>
        <v>0</v>
      </c>
      <c r="N18" s="666">
        <f t="shared" si="2"/>
        <v>0</v>
      </c>
      <c r="O18" s="666">
        <f t="shared" si="3"/>
        <v>0</v>
      </c>
      <c r="P18" s="519">
        <f>IFERROR(SUMIFS(KPR[TBAYAR2],KPR[TANGGAL],"&gt;="&amp;DATE($D$2,MONTH(B18),1),KPR[TANGGAL],"&lt;"&amp;DATE($D$2,MONTH(B18)+1,1)),0)</f>
        <v>0</v>
      </c>
      <c r="Q18" s="519">
        <f>IFERROR(SUMIFS(KPR[POTPPH],KPR[TANGGAL],"&gt;="&amp;DATE($D$2,MONTH(B18),1),KPR[TANGGAL],"&lt;"&amp;DATE($D$2,MONTH(B18)+1,1)),0)</f>
        <v>0</v>
      </c>
      <c r="R18" s="519">
        <f>IFERROR(SUMIFS(KPR[TPEMBAYARAN],KPR[TANGGAL],"&gt;="&amp;DATE($D$2,MONTH(B18),1),KPR[TANGGAL],"&lt;"&amp;DATE($D$2,MONTH(B18)+1,1)),0)</f>
        <v>0</v>
      </c>
      <c r="S18" s="504"/>
      <c r="T18" s="673">
        <v>2900000</v>
      </c>
      <c r="U18" s="674">
        <f>T18-J18</f>
        <v>2900000</v>
      </c>
      <c r="V18" s="453" t="str">
        <f t="shared" si="6"/>
        <v>TIDAK TERLAKSANA</v>
      </c>
    </row>
    <row r="19" spans="2:170" ht="15" customHeight="1">
      <c r="B19" s="518">
        <f>DATE($D$2,11,1)</f>
        <v>43770</v>
      </c>
      <c r="C19" s="519">
        <f>IFERROR(SUMIFS(KPR[BRUTO],KPR[TANGGAL],"&gt;="&amp;DATE($D$2,MONTH(B19),1),KPR[TANGGAL],"&lt;"&amp;DATE($D$2,MONTH(B19)+1,1)),0)</f>
        <v>0</v>
      </c>
      <c r="D19" s="519">
        <f>IFERROR(SUMIFS(KPR[TARRA],KPR[TANGGAL],"&gt;="&amp;DATE($D$2,MONTH(B19),1),KPR[TANGGAL],"&lt;"&amp;DATE($D$2,MONTH(B19)+1,1)),0)</f>
        <v>0</v>
      </c>
      <c r="E19" s="519">
        <f>IFERROR(SUMIFS(KPR[NETTO],KPR[TANGGAL],"&gt;="&amp;DATE($D$2,MONTH(B19),1),KPR[TANGGAL],"&lt;"&amp;DATE($D$2,MONTH(B19)+1,1)),0)</f>
        <v>0</v>
      </c>
      <c r="F19" s="519">
        <f>IFERROR(SUMIFS(KPR[POTKRG],KPR[TANGGAL],"&gt;="&amp;DATE($D$2,MONTH(B19),1),KPR[TANGGAL],"&lt;"&amp;DATE($D$2,MONTH(B19)+1,1)),0)</f>
        <v>0</v>
      </c>
      <c r="G19" s="519">
        <f>IFERROR(SUMIFS(KPR[TPOT1],KPR[TANGGAL],"&gt;="&amp;DATE($D$2,MONTH(B19),1),KPR[TANGGAL],"&lt;"&amp;DATE($D$2,MONTH(B19)+1,1)),0)</f>
        <v>0</v>
      </c>
      <c r="H19" s="519">
        <f t="shared" ref="H19:H20" si="7">IFERROR(ROUND(I19/K19%,2),0)</f>
        <v>0</v>
      </c>
      <c r="I19" s="519">
        <f>IFERROR(SUMIFS(KPR[TPOT2],KPR[TANGGAL],"&gt;="&amp;DATE($D$2,MONTH(B19),1),KPR[TANGGAL],"&lt;"&amp;DATE($D$2,MONTH(B19)+1,1)),0)</f>
        <v>0</v>
      </c>
      <c r="J19" s="519">
        <f>IFERROR(SUMIFS(KPR[NETTOA],KPR[TANGGAL],"&gt;="&amp;DATE($D$2,MONTH(B19),1),KPR[TANGGAL],"&lt;"&amp;DATE($D$2,MONTH(B19)+1,1)),0)</f>
        <v>0</v>
      </c>
      <c r="K19" s="519">
        <f>IFERROR(SUMIFS(KPR[NETTOB],KPR[TANGGAL],"&gt;="&amp;DATE($D$2,MONTH(B19),1),KPR[TANGGAL],"&lt;"&amp;DATE($D$2,MONTH(B19)+1,1)),0)</f>
        <v>0</v>
      </c>
      <c r="L19" s="666">
        <f t="shared" si="1"/>
        <v>0</v>
      </c>
      <c r="M19" s="519">
        <f>IFERROR(SUMIFS(KPR[TOTAL],KPR[TANGGAL],"&gt;="&amp;DATE($D$2,MONTH(B19),1),KPR[TANGGAL],"&lt;"&amp;DATE($D$2,MONTH(B19)+1,1)),0)</f>
        <v>0</v>
      </c>
      <c r="N19" s="666">
        <f t="shared" ref="N19:N20" si="8">ROUND(L19*0.5025%,2)</f>
        <v>0</v>
      </c>
      <c r="O19" s="666">
        <f t="shared" ref="O19:O20" si="9">L19+N19</f>
        <v>0</v>
      </c>
      <c r="P19" s="519">
        <f>IFERROR(SUMIFS(KPR[TBAYAR2],KPR[TANGGAL],"&gt;="&amp;DATE($D$2,MONTH(B19),1),KPR[TANGGAL],"&lt;"&amp;DATE($D$2,MONTH(B19)+1,1)),0)</f>
        <v>0</v>
      </c>
      <c r="Q19" s="519">
        <f>IFERROR(SUMIFS(KPR[POTPPH],KPR[TANGGAL],"&gt;="&amp;DATE($D$2,MONTH(B19),1),KPR[TANGGAL],"&lt;"&amp;DATE($D$2,MONTH(B19)+1,1)),0)</f>
        <v>0</v>
      </c>
      <c r="R19" s="519">
        <f>IFERROR(SUMIFS(KPR[TPEMBAYARAN],KPR[TANGGAL],"&gt;="&amp;DATE($D$2,MONTH(B19),1),KPR[TANGGAL],"&lt;"&amp;DATE($D$2,MONTH(B19)+1,1)),0)</f>
        <v>0</v>
      </c>
      <c r="S19" s="504"/>
      <c r="T19" s="673">
        <v>2900000</v>
      </c>
      <c r="U19" s="674">
        <f>T19-J19</f>
        <v>2900000</v>
      </c>
      <c r="V19" s="453" t="str">
        <f t="shared" si="6"/>
        <v>TIDAK TERLAKSANA</v>
      </c>
    </row>
    <row r="20" spans="2:170" ht="15" customHeight="1">
      <c r="B20" s="518">
        <f>DATE($D$2,12,1)</f>
        <v>43800</v>
      </c>
      <c r="C20" s="519">
        <f>IFERROR(SUMIFS(KPR[BRUTO],KPR[TANGGAL],"&gt;="&amp;DATE($D$2,MONTH(B20),1),KPR[TANGGAL],"&lt;"&amp;DATE($D$2,MONTH(B20)+1,1)),0)</f>
        <v>0</v>
      </c>
      <c r="D20" s="519">
        <f>IFERROR(SUMIFS(KPR[TARRA],KPR[TANGGAL],"&gt;="&amp;DATE($D$2,MONTH(B20),1),KPR[TANGGAL],"&lt;"&amp;DATE($D$2,MONTH(B20)+1,1)),0)</f>
        <v>0</v>
      </c>
      <c r="E20" s="519">
        <f>IFERROR(SUMIFS(KPR[NETTO],KPR[TANGGAL],"&gt;="&amp;DATE($D$2,MONTH(B20),1),KPR[TANGGAL],"&lt;"&amp;DATE($D$2,MONTH(B20)+1,1)),0)</f>
        <v>0</v>
      </c>
      <c r="F20" s="519">
        <f>IFERROR(SUMIFS(KPR[POTKRG],KPR[TANGGAL],"&gt;="&amp;DATE($D$2,MONTH(B20),1),KPR[TANGGAL],"&lt;"&amp;DATE($D$2,MONTH(B20)+1,1)),0)</f>
        <v>0</v>
      </c>
      <c r="G20" s="519">
        <f>IFERROR(SUMIFS(KPR[TPOT1],KPR[TANGGAL],"&gt;="&amp;DATE($D$2,MONTH(B20),1),KPR[TANGGAL],"&lt;"&amp;DATE($D$2,MONTH(B20)+1,1)),0)</f>
        <v>0</v>
      </c>
      <c r="H20" s="519">
        <f t="shared" si="7"/>
        <v>0</v>
      </c>
      <c r="I20" s="519">
        <f>IFERROR(SUMIFS(KPR[TPOT2],KPR[TANGGAL],"&gt;="&amp;DATE($D$2,MONTH(B20),1),KPR[TANGGAL],"&lt;"&amp;DATE($D$2,MONTH(B20)+1,1)),0)</f>
        <v>0</v>
      </c>
      <c r="J20" s="519">
        <f>IFERROR(SUMIFS(KPR[NETTOA],KPR[TANGGAL],"&gt;="&amp;DATE($D$2,MONTH(B20),1),KPR[TANGGAL],"&lt;"&amp;DATE($D$2,MONTH(B20)+1,1)),0)</f>
        <v>0</v>
      </c>
      <c r="K20" s="519">
        <f>IFERROR(SUMIFS(KPR[NETTOB],KPR[TANGGAL],"&gt;="&amp;DATE($D$2,MONTH(B20),1),KPR[TANGGAL],"&lt;"&amp;DATE($D$2,MONTH(B20)+1,1)),0)</f>
        <v>0</v>
      </c>
      <c r="L20" s="666">
        <f t="shared" si="1"/>
        <v>0</v>
      </c>
      <c r="M20" s="519">
        <f>IFERROR(SUMIFS(KPR[TOTAL],KPR[TANGGAL],"&gt;="&amp;DATE($D$2,MONTH(B20),1),KPR[TANGGAL],"&lt;"&amp;DATE($D$2,MONTH(B20)+1,1)),0)</f>
        <v>0</v>
      </c>
      <c r="N20" s="666">
        <f t="shared" si="8"/>
        <v>0</v>
      </c>
      <c r="O20" s="666">
        <f t="shared" si="9"/>
        <v>0</v>
      </c>
      <c r="P20" s="519">
        <f>IFERROR(SUMIFS(KPR[TBAYAR2],KPR[TANGGAL],"&gt;="&amp;DATE($D$2,MONTH(B20),1),KPR[TANGGAL],"&lt;"&amp;DATE($D$2,MONTH(B20)+1,1)),0)</f>
        <v>0</v>
      </c>
      <c r="Q20" s="519">
        <f>IFERROR(SUMIFS(KPR[POTPPH],KPR[TANGGAL],"&gt;="&amp;DATE($D$2,MONTH(B20),1),KPR[TANGGAL],"&lt;"&amp;DATE($D$2,MONTH(B20)+1,1)),0)</f>
        <v>0</v>
      </c>
      <c r="R20" s="519">
        <f>IFERROR(SUMIFS(KPR[TPEMBAYARAN],KPR[TANGGAL],"&gt;="&amp;DATE($D$2,MONTH(B20),1),KPR[TANGGAL],"&lt;"&amp;DATE($D$2,MONTH(B20)+1,1)),0)</f>
        <v>0</v>
      </c>
      <c r="S20" s="506"/>
      <c r="T20" s="675">
        <v>2900000</v>
      </c>
      <c r="U20" s="674">
        <f>T20-J20</f>
        <v>2900000</v>
      </c>
      <c r="V20" s="453" t="str">
        <f t="shared" si="6"/>
        <v>TIDAK TERLAKSANA</v>
      </c>
    </row>
    <row r="21" spans="2:170" ht="6.95" customHeight="1">
      <c r="B21" s="525"/>
      <c r="C21" s="526"/>
      <c r="D21" s="526"/>
      <c r="E21" s="526"/>
      <c r="F21" s="526"/>
      <c r="G21" s="526"/>
      <c r="H21" s="526"/>
      <c r="I21" s="526"/>
      <c r="J21" s="526"/>
      <c r="K21" s="526"/>
      <c r="L21" s="526"/>
      <c r="M21" s="526"/>
      <c r="N21" s="526"/>
      <c r="O21" s="526"/>
      <c r="P21" s="526"/>
      <c r="Q21" s="526"/>
      <c r="R21" s="520"/>
      <c r="S21" s="507"/>
      <c r="T21" s="489"/>
      <c r="U21" s="496"/>
    </row>
    <row r="22" spans="2:170" ht="15" customHeight="1">
      <c r="B22" s="517" t="s">
        <v>68</v>
      </c>
      <c r="C22" s="678">
        <f>SUM(C9:C20)</f>
        <v>0</v>
      </c>
      <c r="D22" s="678">
        <f t="shared" ref="D22:R22" si="10">SUM(D9:D20)</f>
        <v>0</v>
      </c>
      <c r="E22" s="678">
        <f t="shared" si="10"/>
        <v>0</v>
      </c>
      <c r="F22" s="678">
        <f t="shared" si="10"/>
        <v>0</v>
      </c>
      <c r="G22" s="678">
        <f t="shared" si="10"/>
        <v>0</v>
      </c>
      <c r="H22" s="678">
        <f>AVERAGE(H9:H20)</f>
        <v>0</v>
      </c>
      <c r="I22" s="678">
        <f t="shared" si="10"/>
        <v>0</v>
      </c>
      <c r="J22" s="678">
        <f t="shared" si="10"/>
        <v>0</v>
      </c>
      <c r="K22" s="679">
        <f t="shared" si="10"/>
        <v>0</v>
      </c>
      <c r="L22" s="678" t="e">
        <f>M22/K22</f>
        <v>#DIV/0!</v>
      </c>
      <c r="M22" s="678">
        <f t="shared" si="10"/>
        <v>0</v>
      </c>
      <c r="N22" s="678">
        <f t="shared" si="10"/>
        <v>0</v>
      </c>
      <c r="O22" s="678">
        <f t="shared" si="10"/>
        <v>0</v>
      </c>
      <c r="P22" s="678">
        <f t="shared" si="10"/>
        <v>0</v>
      </c>
      <c r="Q22" s="678">
        <f t="shared" si="10"/>
        <v>0</v>
      </c>
      <c r="R22" s="678">
        <f t="shared" si="10"/>
        <v>0</v>
      </c>
      <c r="S22" s="507"/>
    </row>
    <row r="23" spans="2:170" ht="15" customHeight="1">
      <c r="FB23" s="443">
        <v>0</v>
      </c>
      <c r="FC23" s="443">
        <v>3150</v>
      </c>
      <c r="FK23" s="443">
        <v>19800</v>
      </c>
      <c r="FL23" s="443">
        <v>27460</v>
      </c>
    </row>
    <row r="24" spans="2:170" ht="15" customHeight="1">
      <c r="FB24" s="443">
        <v>0</v>
      </c>
      <c r="FC24" s="443">
        <v>3540</v>
      </c>
      <c r="FK24" s="443">
        <v>20430</v>
      </c>
      <c r="FL24" s="443">
        <v>23470</v>
      </c>
    </row>
    <row r="25" spans="2:170" ht="15" customHeight="1">
      <c r="B25" s="1193" t="s">
        <v>282</v>
      </c>
      <c r="C25" s="1195" t="s">
        <v>438</v>
      </c>
      <c r="D25" s="1195"/>
      <c r="E25" s="1195"/>
      <c r="F25" s="1195"/>
      <c r="G25" s="1195"/>
      <c r="H25" s="1195"/>
      <c r="I25" s="1195"/>
      <c r="J25" s="1195"/>
      <c r="K25" s="1195"/>
      <c r="L25" s="1195"/>
      <c r="M25" s="1195"/>
      <c r="N25" s="1195"/>
      <c r="O25" s="1196"/>
      <c r="Q25" s="1177" t="s">
        <v>427</v>
      </c>
      <c r="R25" s="1177" t="s">
        <v>428</v>
      </c>
      <c r="T25" s="1180" t="s">
        <v>457</v>
      </c>
      <c r="U25" s="1181"/>
      <c r="FC25" s="443">
        <v>5690</v>
      </c>
      <c r="FK25" s="443">
        <v>21300</v>
      </c>
      <c r="FL25" s="443">
        <v>26030</v>
      </c>
      <c r="FN25" s="443">
        <v>52090</v>
      </c>
    </row>
    <row r="26" spans="2:170" ht="15" customHeight="1">
      <c r="B26" s="1193"/>
      <c r="C26" s="454" t="s">
        <v>372</v>
      </c>
      <c r="D26" s="455" t="s">
        <v>372</v>
      </c>
      <c r="E26" s="456" t="s">
        <v>372</v>
      </c>
      <c r="F26" s="1188" t="s">
        <v>365</v>
      </c>
      <c r="G26" s="1189"/>
      <c r="H26" s="457" t="s">
        <v>372</v>
      </c>
      <c r="I26" s="456" t="s">
        <v>67</v>
      </c>
      <c r="J26" s="458" t="s">
        <v>68</v>
      </c>
      <c r="K26" s="1114" t="s">
        <v>369</v>
      </c>
      <c r="L26" s="1102" t="s">
        <v>370</v>
      </c>
      <c r="M26" s="458" t="s">
        <v>68</v>
      </c>
      <c r="N26" s="1190" t="s">
        <v>439</v>
      </c>
      <c r="O26" s="458" t="s">
        <v>68</v>
      </c>
      <c r="Q26" s="1178"/>
      <c r="R26" s="1178"/>
      <c r="T26" s="1182"/>
      <c r="U26" s="1183"/>
      <c r="FB26" s="443">
        <v>0</v>
      </c>
      <c r="FC26" s="443">
        <v>2440</v>
      </c>
      <c r="FK26" s="443">
        <v>20870</v>
      </c>
      <c r="FL26" s="443">
        <v>40350</v>
      </c>
      <c r="FN26" s="443">
        <v>59780</v>
      </c>
    </row>
    <row r="27" spans="2:170" ht="15" customHeight="1" thickBot="1">
      <c r="B27" s="1193"/>
      <c r="C27" s="459" t="s">
        <v>405</v>
      </c>
      <c r="D27" s="460" t="s">
        <v>406</v>
      </c>
      <c r="E27" s="461" t="s">
        <v>407</v>
      </c>
      <c r="F27" s="462" t="s">
        <v>402</v>
      </c>
      <c r="G27" s="463" t="s">
        <v>46</v>
      </c>
      <c r="H27" s="464" t="s">
        <v>410</v>
      </c>
      <c r="I27" s="465" t="s">
        <v>411</v>
      </c>
      <c r="J27" s="466" t="s">
        <v>440</v>
      </c>
      <c r="K27" s="1119"/>
      <c r="L27" s="1103"/>
      <c r="M27" s="466" t="s">
        <v>441</v>
      </c>
      <c r="N27" s="1191"/>
      <c r="O27" s="466" t="s">
        <v>404</v>
      </c>
      <c r="Q27" s="1179"/>
      <c r="R27" s="1179"/>
      <c r="T27" s="1184"/>
      <c r="U27" s="1185"/>
      <c r="FB27" s="443">
        <v>0</v>
      </c>
      <c r="FC27" s="443">
        <v>2920</v>
      </c>
      <c r="FK27" s="443">
        <v>20550</v>
      </c>
      <c r="FL27" s="443">
        <v>34419</v>
      </c>
      <c r="FN27" s="443">
        <v>40480</v>
      </c>
    </row>
    <row r="28" spans="2:170" ht="15" customHeight="1" thickBot="1">
      <c r="B28" s="467">
        <v>1</v>
      </c>
      <c r="C28" s="468">
        <v>2</v>
      </c>
      <c r="D28" s="468">
        <v>3</v>
      </c>
      <c r="E28" s="469" t="s">
        <v>442</v>
      </c>
      <c r="F28" s="470">
        <v>5</v>
      </c>
      <c r="G28" s="470" t="s">
        <v>443</v>
      </c>
      <c r="H28" s="471" t="s">
        <v>444</v>
      </c>
      <c r="I28" s="469">
        <v>8</v>
      </c>
      <c r="J28" s="468" t="s">
        <v>445</v>
      </c>
      <c r="K28" s="470" t="s">
        <v>446</v>
      </c>
      <c r="L28" s="468">
        <v>11</v>
      </c>
      <c r="M28" s="468" t="s">
        <v>447</v>
      </c>
      <c r="N28" s="468">
        <v>13</v>
      </c>
      <c r="O28" s="468" t="s">
        <v>448</v>
      </c>
      <c r="Q28" s="452"/>
      <c r="R28" s="452"/>
      <c r="T28" s="527"/>
      <c r="U28" s="499"/>
      <c r="FC28" s="443">
        <v>2640</v>
      </c>
      <c r="FK28" s="443">
        <v>24440</v>
      </c>
      <c r="FL28" s="443">
        <v>33899</v>
      </c>
      <c r="FN28" s="443">
        <v>51170</v>
      </c>
    </row>
    <row r="29" spans="2:170" ht="6.95" customHeight="1" thickTop="1">
      <c r="B29" s="508"/>
      <c r="C29" s="509"/>
      <c r="D29" s="509"/>
      <c r="E29" s="510"/>
      <c r="F29" s="511"/>
      <c r="G29" s="511"/>
      <c r="H29" s="512"/>
      <c r="I29" s="510"/>
      <c r="J29" s="509"/>
      <c r="K29" s="511"/>
      <c r="L29" s="509"/>
      <c r="M29" s="509"/>
      <c r="N29" s="509"/>
      <c r="O29" s="509"/>
      <c r="Q29" s="452"/>
      <c r="R29" s="452"/>
      <c r="T29" s="528"/>
      <c r="U29" s="500"/>
    </row>
    <row r="30" spans="2:170" ht="15" customHeight="1">
      <c r="B30" s="493">
        <f>DATE($D$2,1,1)</f>
        <v>43466</v>
      </c>
      <c r="C30" s="667">
        <f>IFERROR(SUMIFS(KB[BRUTO],KB[TYPE],"A",KB[TANGGAL],"&gt;="&amp;DATE($D$2,MONTH(B30),1),KB[TANGGAL],"&lt;"&amp;DATE($D$2,MONTH(B30)+1,1)),0)</f>
        <v>0</v>
      </c>
      <c r="D30" s="667">
        <f>IFERROR(SUMIFS(KB[TARRA],KB[TYPE],"A",KB[TANGGAL],"&gt;="&amp;DATE($D$2,MONTH(B30),1),KB[TANGGAL],"&lt;"&amp;DATE($D$2,MONTH(B30)+1,1)),0)</f>
        <v>0</v>
      </c>
      <c r="E30" s="667">
        <f>IFERROR(SUMIFS(KB[NETTO],KB[TYPE],"A",KB[TANGGAL],"&gt;="&amp;DATE($D$2,MONTH(B30),1),KB[TANGGAL],"&lt;"&amp;DATE($D$2,MONTH(B30)+1,1)),0)</f>
        <v>0</v>
      </c>
      <c r="F30" s="668">
        <f t="shared" ref="F30:F38" si="11">IFERROR(G30/E30%,0)</f>
        <v>0</v>
      </c>
      <c r="G30" s="667">
        <f>IFERROR(SUMIFS(KB[TPOT],KB[TYPE],"A",KB[TANGGAL],"&gt;="&amp;DATE($D$2,MONTH(B30),1),KB[TANGGAL],"&lt;"&amp;DATE($D$2,MONTH(B30)+1,1)),0)</f>
        <v>0</v>
      </c>
      <c r="H30" s="667">
        <f>IFERROR(SUMIFS(KB[NETTO2],KB[TYPE],"A",KB[TANGGAL],"&gt;="&amp;DATE($D$2,MONTH(B30),1),KB[TANGGAL],"&lt;"&amp;DATE($D$2,MONTH(B30)+1,1)),0)</f>
        <v>0</v>
      </c>
      <c r="I30" s="667">
        <f t="shared" ref="I30:I38" si="12">IFERROR(J30/H30,0)</f>
        <v>0</v>
      </c>
      <c r="J30" s="667">
        <f>IFERROR(SUMIFS(KB[TBAYAR],KB[TYPE],"A",KB[TANGGAL],"&gt;="&amp;DATE($D$2,MONTH(B30),1),KB[TANGGAL],"&lt;"&amp;DATE($D$2,MONTH(B30)+1,1)),0)</f>
        <v>0</v>
      </c>
      <c r="K30" s="668">
        <f t="shared" ref="K30:K38" si="13">ROUND(I30*0.5025%,2)</f>
        <v>0</v>
      </c>
      <c r="L30" s="668">
        <f t="shared" ref="L30:L34" si="14">IFERROR(M30/H30,0)</f>
        <v>0</v>
      </c>
      <c r="M30" s="667">
        <f>IFERROR(SUMIFS(KB[TBAYAR2],KB[TYPE],"A",KB[TANGGAL],"&gt;="&amp;DATE($D$2,MONTH(B30),1),KB[TANGGAL],"&lt;"&amp;DATE($D$2,MONTH(B30)+1,1)),0)</f>
        <v>0</v>
      </c>
      <c r="N30" s="667">
        <f>IFERROR(SUMIFS(KB[POTPPH],KB[TYPE],"A",KB[TANGGAL],"&gt;="&amp;DATE($D$2,MONTH(B30),1),KB[TANGGAL],"&lt;"&amp;DATE($D$2,MONTH(B30)+1,1)),0)</f>
        <v>0</v>
      </c>
      <c r="O30" s="667">
        <f>IFERROR(SUMIFS(KB[TPEMBAYARAN],KB[TYPE],"A",KB[TANGGAL],"&gt;="&amp;DATE($D$2,MONTH(B30),1),KB[TANGGAL],"&lt;"&amp;DATE($D$2,MONTH(B30)+1,1)),0)</f>
        <v>0</v>
      </c>
      <c r="Q30" s="676">
        <v>10000000</v>
      </c>
      <c r="R30" s="676">
        <f>Q30-H30</f>
        <v>10000000</v>
      </c>
      <c r="T30" s="1186" t="str">
        <f>IF(R30&gt;0,"TIDAK TERLAKSANA","TERLAKSANA")</f>
        <v>TIDAK TERLAKSANA</v>
      </c>
      <c r="U30" s="1187"/>
    </row>
    <row r="31" spans="2:170" ht="15" customHeight="1">
      <c r="B31" s="493">
        <f>DATE($D$2,2,1)</f>
        <v>43497</v>
      </c>
      <c r="C31" s="667">
        <f>IFERROR(SUMIFS(KB[BRUTO],KB[TYPE],"A",KB[TANGGAL],"&gt;="&amp;DATE($D$2,MONTH(B31),1),KB[TANGGAL],"&lt;"&amp;DATE($D$2,MONTH(B31)+1,1)),0)</f>
        <v>0</v>
      </c>
      <c r="D31" s="667">
        <f>IFERROR(SUMIFS(KB[TARRA],KB[TYPE],"A",KB[TANGGAL],"&gt;="&amp;DATE($D$2,MONTH(B31),1),KB[TANGGAL],"&lt;"&amp;DATE($D$2,MONTH(B31)+1,1)),0)</f>
        <v>0</v>
      </c>
      <c r="E31" s="667">
        <f>IFERROR(SUMIFS(KB[NETTO],KB[TYPE],"A",KB[TANGGAL],"&gt;="&amp;DATE($D$2,MONTH(B31),1),KB[TANGGAL],"&lt;"&amp;DATE($D$2,MONTH(B31)+1,1)),0)</f>
        <v>0</v>
      </c>
      <c r="F31" s="668">
        <f t="shared" si="11"/>
        <v>0</v>
      </c>
      <c r="G31" s="667">
        <f>IFERROR(SUMIFS(KB[TPOT],KB[TYPE],"A",KB[TANGGAL],"&gt;="&amp;DATE($D$2,MONTH(B31),1),KB[TANGGAL],"&lt;"&amp;DATE($D$2,MONTH(B31)+1,1)),0)</f>
        <v>0</v>
      </c>
      <c r="H31" s="667">
        <f>IFERROR(SUMIFS(KB[NETTO2],KB[TYPE],"A",KB[TANGGAL],"&gt;="&amp;DATE($D$2,MONTH(B31),1),KB[TANGGAL],"&lt;"&amp;DATE($D$2,MONTH(B31)+1,1)),0)</f>
        <v>0</v>
      </c>
      <c r="I31" s="667">
        <f t="shared" si="12"/>
        <v>0</v>
      </c>
      <c r="J31" s="667">
        <f>IFERROR(SUMIFS(KB[TBAYAR],KB[TYPE],"A",KB[TANGGAL],"&gt;="&amp;DATE($D$2,MONTH(B31),1),KB[TANGGAL],"&lt;"&amp;DATE($D$2,MONTH(B31)+1,1)),0)</f>
        <v>0</v>
      </c>
      <c r="K31" s="668">
        <f t="shared" si="13"/>
        <v>0</v>
      </c>
      <c r="L31" s="668">
        <f t="shared" si="14"/>
        <v>0</v>
      </c>
      <c r="M31" s="667">
        <f>IFERROR(SUMIFS(KB[TBAYAR2],KB[TYPE],"A",KB[TANGGAL],"&gt;="&amp;DATE($D$2,MONTH(B31),1),KB[TANGGAL],"&lt;"&amp;DATE($D$2,MONTH(B31)+1,1)),0)</f>
        <v>0</v>
      </c>
      <c r="N31" s="667">
        <f>IFERROR(SUMIFS(KB[POTPPH],KB[TYPE],"A",KB[TANGGAL],"&gt;="&amp;DATE($D$2,MONTH(B31),1),KB[TANGGAL],"&lt;"&amp;DATE($D$2,MONTH(B31)+1,1)),0)</f>
        <v>0</v>
      </c>
      <c r="O31" s="667">
        <f>IFERROR(SUMIFS(KB[TPEMBAYARAN],KB[TYPE],"A",KB[TANGGAL],"&gt;="&amp;DATE($D$2,MONTH(B31),1),KB[TANGGAL],"&lt;"&amp;DATE($D$2,MONTH(B31)+1,1)),0)</f>
        <v>0</v>
      </c>
      <c r="Q31" s="676">
        <v>10000000</v>
      </c>
      <c r="R31" s="676">
        <f>Q31-H31</f>
        <v>10000000</v>
      </c>
      <c r="T31" s="1173" t="str">
        <f t="shared" ref="T31:T41" si="15">IF(R31&gt;0,"TIDAK TERLAKSANA","TERLAKSANA")</f>
        <v>TIDAK TERLAKSANA</v>
      </c>
      <c r="U31" s="1174"/>
    </row>
    <row r="32" spans="2:170" ht="15" customHeight="1">
      <c r="B32" s="493">
        <f>DATE($D$2,3,1)</f>
        <v>43525</v>
      </c>
      <c r="C32" s="667">
        <f>IFERROR(SUMIFS(KB[BRUTO],KB[TYPE],"A",KB[TANGGAL],"&gt;="&amp;DATE($D$2,MONTH(B32),1),KB[TANGGAL],"&lt;"&amp;DATE($D$2,MONTH(B32)+1,1)),0)</f>
        <v>0</v>
      </c>
      <c r="D32" s="667">
        <f>IFERROR(SUMIFS(KB[TARRA],KB[TYPE],"A",KB[TANGGAL],"&gt;="&amp;DATE($D$2,MONTH(B32),1),KB[TANGGAL],"&lt;"&amp;DATE($D$2,MONTH(B32)+1,1)),0)</f>
        <v>0</v>
      </c>
      <c r="E32" s="667">
        <f>IFERROR(SUMIFS(KB[NETTO],KB[TYPE],"A",KB[TANGGAL],"&gt;="&amp;DATE($D$2,MONTH(B32),1),KB[TANGGAL],"&lt;"&amp;DATE($D$2,MONTH(B32)+1,1)),0)</f>
        <v>0</v>
      </c>
      <c r="F32" s="668">
        <f t="shared" si="11"/>
        <v>0</v>
      </c>
      <c r="G32" s="667">
        <f>IFERROR(SUMIFS(KB[TPOT],KB[TYPE],"A",KB[TANGGAL],"&gt;="&amp;DATE($D$2,MONTH(B32),1),KB[TANGGAL],"&lt;"&amp;DATE($D$2,MONTH(B32)+1,1)),0)</f>
        <v>0</v>
      </c>
      <c r="H32" s="667">
        <f>IFERROR(SUMIFS(KB[NETTO2],KB[TYPE],"A",KB[TANGGAL],"&gt;="&amp;DATE($D$2,MONTH(B32),1),KB[TANGGAL],"&lt;"&amp;DATE($D$2,MONTH(B32)+1,1)),0)</f>
        <v>0</v>
      </c>
      <c r="I32" s="667">
        <f t="shared" si="12"/>
        <v>0</v>
      </c>
      <c r="J32" s="667">
        <f>IFERROR(SUMIFS(KB[TBAYAR],KB[TYPE],"A",KB[TANGGAL],"&gt;="&amp;DATE($D$2,MONTH(B32),1),KB[TANGGAL],"&lt;"&amp;DATE($D$2,MONTH(B32)+1,1)),0)</f>
        <v>0</v>
      </c>
      <c r="K32" s="668">
        <f t="shared" si="13"/>
        <v>0</v>
      </c>
      <c r="L32" s="668">
        <f t="shared" si="14"/>
        <v>0</v>
      </c>
      <c r="M32" s="667">
        <f>IFERROR(SUMIFS(KB[TBAYAR2],KB[TYPE],"A",KB[TANGGAL],"&gt;="&amp;DATE($D$2,MONTH(B32),1),KB[TANGGAL],"&lt;"&amp;DATE($D$2,MONTH(B32)+1,1)),0)</f>
        <v>0</v>
      </c>
      <c r="N32" s="667">
        <f>IFERROR(SUMIFS(KB[POTPPH],KB[TYPE],"A",KB[TANGGAL],"&gt;="&amp;DATE($D$2,MONTH(B32),1),KB[TANGGAL],"&lt;"&amp;DATE($D$2,MONTH(B32)+1,1)),0)</f>
        <v>0</v>
      </c>
      <c r="O32" s="667">
        <f>IFERROR(SUMIFS(KB[TPEMBAYARAN],KB[TYPE],"A",KB[TANGGAL],"&gt;="&amp;DATE($D$2,MONTH(B32),1),KB[TANGGAL],"&lt;"&amp;DATE($D$2,MONTH(B32)+1,1)),0)</f>
        <v>0</v>
      </c>
      <c r="Q32" s="676">
        <v>10000000</v>
      </c>
      <c r="R32" s="676">
        <f t="shared" ref="R32:R41" si="16">Q32-H32</f>
        <v>10000000</v>
      </c>
      <c r="T32" s="1173" t="str">
        <f t="shared" si="15"/>
        <v>TIDAK TERLAKSANA</v>
      </c>
      <c r="U32" s="1174"/>
    </row>
    <row r="33" spans="2:21" ht="15" customHeight="1">
      <c r="B33" s="493">
        <f>DATE($D$2,4,1)</f>
        <v>43556</v>
      </c>
      <c r="C33" s="667">
        <f>IFERROR(SUMIFS(KB[BRUTO],KB[TYPE],"A",KB[TANGGAL],"&gt;="&amp;DATE($D$2,MONTH(B33),1),KB[TANGGAL],"&lt;"&amp;DATE($D$2,MONTH(B33)+1,1)),0)</f>
        <v>0</v>
      </c>
      <c r="D33" s="667">
        <f>IFERROR(SUMIFS(KB[TARRA],KB[TYPE],"A",KB[TANGGAL],"&gt;="&amp;DATE($D$2,MONTH(B33),1),KB[TANGGAL],"&lt;"&amp;DATE($D$2,MONTH(B33)+1,1)),0)</f>
        <v>0</v>
      </c>
      <c r="E33" s="667">
        <f>IFERROR(SUMIFS(KB[NETTO],KB[TYPE],"A",KB[TANGGAL],"&gt;="&amp;DATE($D$2,MONTH(B33),1),KB[TANGGAL],"&lt;"&amp;DATE($D$2,MONTH(B33)+1,1)),0)</f>
        <v>0</v>
      </c>
      <c r="F33" s="668">
        <f t="shared" si="11"/>
        <v>0</v>
      </c>
      <c r="G33" s="667">
        <f>IFERROR(SUMIFS(KB[TPOT],KB[TYPE],"A",KB[TANGGAL],"&gt;="&amp;DATE($D$2,MONTH(B33),1),KB[TANGGAL],"&lt;"&amp;DATE($D$2,MONTH(B33)+1,1)),0)</f>
        <v>0</v>
      </c>
      <c r="H33" s="667">
        <f>IFERROR(SUMIFS(KB[NETTO2],KB[TYPE],"A",KB[TANGGAL],"&gt;="&amp;DATE($D$2,MONTH(B33),1),KB[TANGGAL],"&lt;"&amp;DATE($D$2,MONTH(B33)+1,1)),0)</f>
        <v>0</v>
      </c>
      <c r="I33" s="667">
        <f t="shared" si="12"/>
        <v>0</v>
      </c>
      <c r="J33" s="667">
        <f>IFERROR(SUMIFS(KB[TBAYAR],KB[TYPE],"A",KB[TANGGAL],"&gt;="&amp;DATE($D$2,MONTH(B33),1),KB[TANGGAL],"&lt;"&amp;DATE($D$2,MONTH(B33)+1,1)),0)</f>
        <v>0</v>
      </c>
      <c r="K33" s="668">
        <f t="shared" si="13"/>
        <v>0</v>
      </c>
      <c r="L33" s="668">
        <f t="shared" si="14"/>
        <v>0</v>
      </c>
      <c r="M33" s="667">
        <f>IFERROR(SUMIFS(KB[TBAYAR2],KB[TYPE],"A",KB[TANGGAL],"&gt;="&amp;DATE($D$2,MONTH(B33),1),KB[TANGGAL],"&lt;"&amp;DATE($D$2,MONTH(B33)+1,1)),0)</f>
        <v>0</v>
      </c>
      <c r="N33" s="667">
        <f>IFERROR(SUMIFS(KB[POTPPH],KB[TYPE],"A",KB[TANGGAL],"&gt;="&amp;DATE($D$2,MONTH(B33),1),KB[TANGGAL],"&lt;"&amp;DATE($D$2,MONTH(B33)+1,1)),0)</f>
        <v>0</v>
      </c>
      <c r="O33" s="667">
        <f>IFERROR(SUMIFS(KB[TPEMBAYARAN],KB[TYPE],"A",KB[TANGGAL],"&gt;="&amp;DATE($D$2,MONTH(B33),1),KB[TANGGAL],"&lt;"&amp;DATE($D$2,MONTH(B33)+1,1)),0)</f>
        <v>0</v>
      </c>
      <c r="Q33" s="676">
        <v>10000000</v>
      </c>
      <c r="R33" s="676">
        <f t="shared" si="16"/>
        <v>10000000</v>
      </c>
      <c r="T33" s="1173" t="str">
        <f t="shared" si="15"/>
        <v>TIDAK TERLAKSANA</v>
      </c>
      <c r="U33" s="1174"/>
    </row>
    <row r="34" spans="2:21" ht="15" customHeight="1">
      <c r="B34" s="493">
        <f>DATE($D$2,5,1)</f>
        <v>43586</v>
      </c>
      <c r="C34" s="667">
        <f>IFERROR(SUMIFS(KB[BRUTO],KB[TYPE],"A",KB[TANGGAL],"&gt;="&amp;DATE($D$2,MONTH(B34),1),KB[TANGGAL],"&lt;"&amp;DATE($D$2,MONTH(B34)+1,1)),0)</f>
        <v>0</v>
      </c>
      <c r="D34" s="667">
        <f>IFERROR(SUMIFS(KB[TARRA],KB[TYPE],"A",KB[TANGGAL],"&gt;="&amp;DATE($D$2,MONTH(B34),1),KB[TANGGAL],"&lt;"&amp;DATE($D$2,MONTH(B34)+1,1)),0)</f>
        <v>0</v>
      </c>
      <c r="E34" s="667">
        <f>IFERROR(SUMIFS(KB[NETTO],KB[TYPE],"A",KB[TANGGAL],"&gt;="&amp;DATE($D$2,MONTH(B34),1),KB[TANGGAL],"&lt;"&amp;DATE($D$2,MONTH(B34)+1,1)),0)</f>
        <v>0</v>
      </c>
      <c r="F34" s="668">
        <f t="shared" si="11"/>
        <v>0</v>
      </c>
      <c r="G34" s="667">
        <f>IFERROR(SUMIFS(KB[TPOT],KB[TYPE],"A",KB[TANGGAL],"&gt;="&amp;DATE($D$2,MONTH(B34),1),KB[TANGGAL],"&lt;"&amp;DATE($D$2,MONTH(B34)+1,1)),0)</f>
        <v>0</v>
      </c>
      <c r="H34" s="667">
        <f>IFERROR(SUMIFS(KB[NETTO2],KB[TYPE],"A",KB[TANGGAL],"&gt;="&amp;DATE($D$2,MONTH(B34),1),KB[TANGGAL],"&lt;"&amp;DATE($D$2,MONTH(B34)+1,1)),0)</f>
        <v>0</v>
      </c>
      <c r="I34" s="667">
        <f t="shared" si="12"/>
        <v>0</v>
      </c>
      <c r="J34" s="667">
        <f>IFERROR(SUMIFS(KB[TBAYAR],KB[TYPE],"A",KB[TANGGAL],"&gt;="&amp;DATE($D$2,MONTH(B34),1),KB[TANGGAL],"&lt;"&amp;DATE($D$2,MONTH(B34)+1,1)),0)</f>
        <v>0</v>
      </c>
      <c r="K34" s="668">
        <f t="shared" si="13"/>
        <v>0</v>
      </c>
      <c r="L34" s="668">
        <f t="shared" si="14"/>
        <v>0</v>
      </c>
      <c r="M34" s="667">
        <f>IFERROR(SUMIFS(KB[TBAYAR2],KB[TYPE],"A",KB[TANGGAL],"&gt;="&amp;DATE($D$2,MONTH(B34),1),KB[TANGGAL],"&lt;"&amp;DATE($D$2,MONTH(B34)+1,1)),0)</f>
        <v>0</v>
      </c>
      <c r="N34" s="667">
        <f>IFERROR(SUMIFS(KB[POTPPH],KB[TYPE],"A",KB[TANGGAL],"&gt;="&amp;DATE($D$2,MONTH(B34),1),KB[TANGGAL],"&lt;"&amp;DATE($D$2,MONTH(B34)+1,1)),0)</f>
        <v>0</v>
      </c>
      <c r="O34" s="667">
        <f>IFERROR(SUMIFS(KB[TPEMBAYARAN],KB[TYPE],"A",KB[TANGGAL],"&gt;="&amp;DATE($D$2,MONTH(B34),1),KB[TANGGAL],"&lt;"&amp;DATE($D$2,MONTH(B34)+1,1)),0)</f>
        <v>0</v>
      </c>
      <c r="Q34" s="676">
        <v>10000000</v>
      </c>
      <c r="R34" s="676">
        <f t="shared" si="16"/>
        <v>10000000</v>
      </c>
      <c r="T34" s="1173" t="str">
        <f t="shared" si="15"/>
        <v>TIDAK TERLAKSANA</v>
      </c>
      <c r="U34" s="1174"/>
    </row>
    <row r="35" spans="2:21" ht="15" customHeight="1">
      <c r="B35" s="493">
        <f>DATE($D$2,6,1)</f>
        <v>43617</v>
      </c>
      <c r="C35" s="667">
        <f>IFERROR(SUMIFS(KB[BRUTO],KB[TYPE],"A",KB[TANGGAL],"&gt;="&amp;DATE($D$2,MONTH(B35),1),KB[TANGGAL],"&lt;"&amp;DATE($D$2,MONTH(B35)+1,1)),0)</f>
        <v>0</v>
      </c>
      <c r="D35" s="667">
        <f>IFERROR(SUMIFS(KB[TARRA],KB[TYPE],"A",KB[TANGGAL],"&gt;="&amp;DATE($D$2,MONTH(B35),1),KB[TANGGAL],"&lt;"&amp;DATE($D$2,MONTH(B35)+1,1)),0)</f>
        <v>0</v>
      </c>
      <c r="E35" s="667">
        <f>IFERROR(SUMIFS(KB[NETTO],KB[TYPE],"A",KB[TANGGAL],"&gt;="&amp;DATE($D$2,MONTH(B35),1),KB[TANGGAL],"&lt;"&amp;DATE($D$2,MONTH(B35)+1,1)),0)</f>
        <v>0</v>
      </c>
      <c r="F35" s="668">
        <f t="shared" si="11"/>
        <v>0</v>
      </c>
      <c r="G35" s="667">
        <f>IFERROR(SUMIFS(KB[TPOT],KB[TYPE],"A",KB[TANGGAL],"&gt;="&amp;DATE($D$2,MONTH(B35),1),KB[TANGGAL],"&lt;"&amp;DATE($D$2,MONTH(B35)+1,1)),0)</f>
        <v>0</v>
      </c>
      <c r="H35" s="667">
        <f>IFERROR(SUMIFS(KB[NETTO2],KB[TYPE],"A",KB[TANGGAL],"&gt;="&amp;DATE($D$2,MONTH(B35),1),KB[TANGGAL],"&lt;"&amp;DATE($D$2,MONTH(B35)+1,1)),0)</f>
        <v>0</v>
      </c>
      <c r="I35" s="667">
        <f t="shared" si="12"/>
        <v>0</v>
      </c>
      <c r="J35" s="667">
        <f>IFERROR(SUMIFS(KB[TBAYAR],KB[TYPE],"A",KB[TANGGAL],"&gt;="&amp;DATE($D$2,MONTH(B35),1),KB[TANGGAL],"&lt;"&amp;DATE($D$2,MONTH(B35)+1,1)),0)</f>
        <v>0</v>
      </c>
      <c r="K35" s="668">
        <f t="shared" si="13"/>
        <v>0</v>
      </c>
      <c r="L35" s="668">
        <f>IFERROR(M35/H35,0)</f>
        <v>0</v>
      </c>
      <c r="M35" s="667">
        <f>IFERROR(SUMIFS(KB[TBAYAR2],KB[TYPE],"A",KB[TANGGAL],"&gt;="&amp;DATE($D$2,MONTH(B35),1),KB[TANGGAL],"&lt;"&amp;DATE($D$2,MONTH(B35)+1,1)),0)</f>
        <v>0</v>
      </c>
      <c r="N35" s="667">
        <f>IFERROR(SUMIFS(KB[POTPPH],KB[TYPE],"A",KB[TANGGAL],"&gt;="&amp;DATE($D$2,MONTH(B35),1),KB[TANGGAL],"&lt;"&amp;DATE($D$2,MONTH(B35)+1,1)),0)</f>
        <v>0</v>
      </c>
      <c r="O35" s="667">
        <f>IFERROR(SUMIFS(KB[TPEMBAYARAN],KB[TYPE],"A",KB[TANGGAL],"&gt;="&amp;DATE($D$2,MONTH(B35),1),KB[TANGGAL],"&lt;"&amp;DATE($D$2,MONTH(B35)+1,1)),0)</f>
        <v>0</v>
      </c>
      <c r="Q35" s="676">
        <v>10000000</v>
      </c>
      <c r="R35" s="676">
        <f t="shared" si="16"/>
        <v>10000000</v>
      </c>
      <c r="T35" s="1173" t="str">
        <f t="shared" si="15"/>
        <v>TIDAK TERLAKSANA</v>
      </c>
      <c r="U35" s="1174"/>
    </row>
    <row r="36" spans="2:21" ht="15" customHeight="1">
      <c r="B36" s="493">
        <f>DATE($D$2,7,1)</f>
        <v>43647</v>
      </c>
      <c r="C36" s="667">
        <f>IFERROR(SUMIFS(KB[BRUTO],KB[TYPE],"A",KB[TANGGAL],"&gt;="&amp;DATE($D$2,MONTH(B36),1),KB[TANGGAL],"&lt;"&amp;DATE($D$2,MONTH(B36)+1,1)),0)</f>
        <v>0</v>
      </c>
      <c r="D36" s="667">
        <f>IFERROR(SUMIFS(KB[TARRA],KB[TYPE],"A",KB[TANGGAL],"&gt;="&amp;DATE($D$2,MONTH(B36),1),KB[TANGGAL],"&lt;"&amp;DATE($D$2,MONTH(B36)+1,1)),0)</f>
        <v>0</v>
      </c>
      <c r="E36" s="667">
        <f>IFERROR(SUMIFS(KB[NETTO],KB[TYPE],"A",KB[TANGGAL],"&gt;="&amp;DATE($D$2,MONTH(B36),1),KB[TANGGAL],"&lt;"&amp;DATE($D$2,MONTH(B36)+1,1)),0)</f>
        <v>0</v>
      </c>
      <c r="F36" s="668">
        <f t="shared" si="11"/>
        <v>0</v>
      </c>
      <c r="G36" s="667">
        <f>IFERROR(SUMIFS(KB[TPOT],KB[TYPE],"A",KB[TANGGAL],"&gt;="&amp;DATE($D$2,MONTH(B36),1),KB[TANGGAL],"&lt;"&amp;DATE($D$2,MONTH(B36)+1,1)),0)</f>
        <v>0</v>
      </c>
      <c r="H36" s="667">
        <f>IFERROR(SUMIFS(KB[NETTO2],KB[TYPE],"A",KB[TANGGAL],"&gt;="&amp;DATE($D$2,MONTH(B36),1),KB[TANGGAL],"&lt;"&amp;DATE($D$2,MONTH(B36)+1,1)),0)</f>
        <v>0</v>
      </c>
      <c r="I36" s="667">
        <f t="shared" si="12"/>
        <v>0</v>
      </c>
      <c r="J36" s="667">
        <f>IFERROR(SUMIFS(KB[TBAYAR],KB[TYPE],"A",KB[TANGGAL],"&gt;="&amp;DATE($D$2,MONTH(B36),1),KB[TANGGAL],"&lt;"&amp;DATE($D$2,MONTH(B36)+1,1)),0)</f>
        <v>0</v>
      </c>
      <c r="K36" s="668">
        <f t="shared" si="13"/>
        <v>0</v>
      </c>
      <c r="L36" s="668">
        <f t="shared" ref="L36:L41" si="17">IFERROR(M36/H36,0)</f>
        <v>0</v>
      </c>
      <c r="M36" s="667">
        <f>IFERROR(SUMIFS(KB[TBAYAR2],KB[TYPE],"A",KB[TANGGAL],"&gt;="&amp;DATE($D$2,MONTH(B36),1),KB[TANGGAL],"&lt;"&amp;DATE($D$2,MONTH(B36)+1,1)),0)</f>
        <v>0</v>
      </c>
      <c r="N36" s="667">
        <f>IFERROR(SUMIFS(KB[POTPPH],KB[TYPE],"A",KB[TANGGAL],"&gt;="&amp;DATE($D$2,MONTH(B36),1),KB[TANGGAL],"&lt;"&amp;DATE($D$2,MONTH(B36)+1,1)),0)</f>
        <v>0</v>
      </c>
      <c r="O36" s="667">
        <f>IFERROR(SUMIFS(KB[TPEMBAYARAN],KB[TYPE],"A",KB[TANGGAL],"&gt;="&amp;DATE($D$2,MONTH(B36),1),KB[TANGGAL],"&lt;"&amp;DATE($D$2,MONTH(B36)+1,1)),0)</f>
        <v>0</v>
      </c>
      <c r="Q36" s="676">
        <v>10000000</v>
      </c>
      <c r="R36" s="676">
        <f t="shared" si="16"/>
        <v>10000000</v>
      </c>
      <c r="T36" s="1173" t="str">
        <f t="shared" si="15"/>
        <v>TIDAK TERLAKSANA</v>
      </c>
      <c r="U36" s="1174"/>
    </row>
    <row r="37" spans="2:21" ht="15" customHeight="1">
      <c r="B37" s="493">
        <f>DATE($D$2,8,1)</f>
        <v>43678</v>
      </c>
      <c r="C37" s="667">
        <f>IFERROR(SUMIFS(KB[BRUTO],KB[TYPE],"A",KB[TANGGAL],"&gt;="&amp;DATE($D$2,MONTH(B37),1),KB[TANGGAL],"&lt;"&amp;DATE($D$2,MONTH(B37)+1,1)),0)</f>
        <v>0</v>
      </c>
      <c r="D37" s="667">
        <f>IFERROR(SUMIFS(KB[TARRA],KB[TYPE],"A",KB[TANGGAL],"&gt;="&amp;DATE($D$2,MONTH(B37),1),KB[TANGGAL],"&lt;"&amp;DATE($D$2,MONTH(B37)+1,1)),0)</f>
        <v>0</v>
      </c>
      <c r="E37" s="667">
        <f>IFERROR(SUMIFS(KB[NETTO],KB[TYPE],"A",KB[TANGGAL],"&gt;="&amp;DATE($D$2,MONTH(B37),1),KB[TANGGAL],"&lt;"&amp;DATE($D$2,MONTH(B37)+1,1)),0)</f>
        <v>0</v>
      </c>
      <c r="F37" s="668">
        <f t="shared" si="11"/>
        <v>0</v>
      </c>
      <c r="G37" s="667">
        <f>IFERROR(SUMIFS(KB[TPOT],KB[TYPE],"A",KB[TANGGAL],"&gt;="&amp;DATE($D$2,MONTH(B37),1),KB[TANGGAL],"&lt;"&amp;DATE($D$2,MONTH(B37)+1,1)),0)</f>
        <v>0</v>
      </c>
      <c r="H37" s="667">
        <f>IFERROR(SUMIFS(KB[NETTO2],KB[TYPE],"A",KB[TANGGAL],"&gt;="&amp;DATE($D$2,MONTH(B37),1),KB[TANGGAL],"&lt;"&amp;DATE($D$2,MONTH(B37)+1,1)),0)</f>
        <v>0</v>
      </c>
      <c r="I37" s="667">
        <f t="shared" si="12"/>
        <v>0</v>
      </c>
      <c r="J37" s="667">
        <f>IFERROR(SUMIFS(KB[TBAYAR],KB[TYPE],"A",KB[TANGGAL],"&gt;="&amp;DATE($D$2,MONTH(B37),1),KB[TANGGAL],"&lt;"&amp;DATE($D$2,MONTH(B37)+1,1)),0)</f>
        <v>0</v>
      </c>
      <c r="K37" s="668">
        <f t="shared" si="13"/>
        <v>0</v>
      </c>
      <c r="L37" s="668">
        <f t="shared" si="17"/>
        <v>0</v>
      </c>
      <c r="M37" s="667">
        <f>IFERROR(SUMIFS(KB[TBAYAR2],KB[TYPE],"A",KB[TANGGAL],"&gt;="&amp;DATE($D$2,MONTH(B37),1),KB[TANGGAL],"&lt;"&amp;DATE($D$2,MONTH(B37)+1,1)),0)</f>
        <v>0</v>
      </c>
      <c r="N37" s="667">
        <f>IFERROR(SUMIFS(KB[POTPPH],KB[TYPE],"A",KB[TANGGAL],"&gt;="&amp;DATE($D$2,MONTH(B37),1),KB[TANGGAL],"&lt;"&amp;DATE($D$2,MONTH(B37)+1,1)),0)</f>
        <v>0</v>
      </c>
      <c r="O37" s="667">
        <f>IFERROR(SUMIFS(KB[TPEMBAYARAN],KB[TYPE],"A",KB[TANGGAL],"&gt;="&amp;DATE($D$2,MONTH(B37),1),KB[TANGGAL],"&lt;"&amp;DATE($D$2,MONTH(B37)+1,1)),0)</f>
        <v>0</v>
      </c>
      <c r="Q37" s="676">
        <v>10000000</v>
      </c>
      <c r="R37" s="676">
        <f t="shared" si="16"/>
        <v>10000000</v>
      </c>
      <c r="T37" s="1173" t="str">
        <f t="shared" si="15"/>
        <v>TIDAK TERLAKSANA</v>
      </c>
      <c r="U37" s="1174"/>
    </row>
    <row r="38" spans="2:21" ht="15" customHeight="1">
      <c r="B38" s="493">
        <f>DATE($D$2,9,1)</f>
        <v>43709</v>
      </c>
      <c r="C38" s="667">
        <f>IFERROR(SUMIFS(KB[BRUTO],KB[TYPE],"A",KB[TANGGAL],"&gt;="&amp;DATE($D$2,MONTH(B38),1),KB[TANGGAL],"&lt;"&amp;DATE($D$2,MONTH(B38)+1,1)),0)</f>
        <v>0</v>
      </c>
      <c r="D38" s="667">
        <f>IFERROR(SUMIFS(KB[TARRA],KB[TYPE],"A",KB[TANGGAL],"&gt;="&amp;DATE($D$2,MONTH(B38),1),KB[TANGGAL],"&lt;"&amp;DATE($D$2,MONTH(B38)+1,1)),0)</f>
        <v>0</v>
      </c>
      <c r="E38" s="667">
        <f>IFERROR(SUMIFS(KB[NETTO],KB[TYPE],"A",KB[TANGGAL],"&gt;="&amp;DATE($D$2,MONTH(B38),1),KB[TANGGAL],"&lt;"&amp;DATE($D$2,MONTH(B38)+1,1)),0)</f>
        <v>0</v>
      </c>
      <c r="F38" s="668">
        <f t="shared" si="11"/>
        <v>0</v>
      </c>
      <c r="G38" s="667">
        <f>IFERROR(SUMIFS(KB[TPOT],KB[TYPE],"A",KB[TANGGAL],"&gt;="&amp;DATE($D$2,MONTH(B38),1),KB[TANGGAL],"&lt;"&amp;DATE($D$2,MONTH(B38)+1,1)),0)</f>
        <v>0</v>
      </c>
      <c r="H38" s="667">
        <f>IFERROR(SUMIFS(KB[NETTO2],KB[TYPE],"A",KB[TANGGAL],"&gt;="&amp;DATE($D$2,MONTH(B38),1),KB[TANGGAL],"&lt;"&amp;DATE($D$2,MONTH(B38)+1,1)),0)</f>
        <v>0</v>
      </c>
      <c r="I38" s="667">
        <f t="shared" si="12"/>
        <v>0</v>
      </c>
      <c r="J38" s="667">
        <f>IFERROR(SUMIFS(KB[TBAYAR],KB[TYPE],"A",KB[TANGGAL],"&gt;="&amp;DATE($D$2,MONTH(B38),1),KB[TANGGAL],"&lt;"&amp;DATE($D$2,MONTH(B38)+1,1)),0)</f>
        <v>0</v>
      </c>
      <c r="K38" s="668">
        <f t="shared" si="13"/>
        <v>0</v>
      </c>
      <c r="L38" s="668">
        <f t="shared" si="17"/>
        <v>0</v>
      </c>
      <c r="M38" s="667">
        <f>IFERROR(SUMIFS(KB[TBAYAR2],KB[TYPE],"A",KB[TANGGAL],"&gt;="&amp;DATE($D$2,MONTH(B38),1),KB[TANGGAL],"&lt;"&amp;DATE($D$2,MONTH(B38)+1,1)),0)</f>
        <v>0</v>
      </c>
      <c r="N38" s="667">
        <f>IFERROR(SUMIFS(KB[POTPPH],KB[TYPE],"A",KB[TANGGAL],"&gt;="&amp;DATE($D$2,MONTH(B38),1),KB[TANGGAL],"&lt;"&amp;DATE($D$2,MONTH(B38)+1,1)),0)</f>
        <v>0</v>
      </c>
      <c r="O38" s="667">
        <f>IFERROR(SUMIFS(KB[TPEMBAYARAN],KB[TYPE],"A",KB[TANGGAL],"&gt;="&amp;DATE($D$2,MONTH(B38),1),KB[TANGGAL],"&lt;"&amp;DATE($D$2,MONTH(B38)+1,1)),0)</f>
        <v>0</v>
      </c>
      <c r="Q38" s="676">
        <v>10000000</v>
      </c>
      <c r="R38" s="676">
        <f t="shared" si="16"/>
        <v>10000000</v>
      </c>
      <c r="T38" s="1173" t="str">
        <f t="shared" si="15"/>
        <v>TIDAK TERLAKSANA</v>
      </c>
      <c r="U38" s="1174"/>
    </row>
    <row r="39" spans="2:21" ht="15" customHeight="1">
      <c r="B39" s="493">
        <f>DATE($D$2,10,1)</f>
        <v>43739</v>
      </c>
      <c r="C39" s="667">
        <f>IFERROR(SUMIFS(KB[BRUTO],KB[TYPE],"A",KB[TANGGAL],"&gt;="&amp;DATE($D$2,MONTH(B39),1),KB[TANGGAL],"&lt;"&amp;DATE($D$2,MONTH(B39)+1,1)),0)</f>
        <v>0</v>
      </c>
      <c r="D39" s="667">
        <f>IFERROR(SUMIFS(KB[TARRA],KB[TYPE],"A",KB[TANGGAL],"&gt;="&amp;DATE($D$2,MONTH(B39),1),KB[TANGGAL],"&lt;"&amp;DATE($D$2,MONTH(B39)+1,1)),0)</f>
        <v>0</v>
      </c>
      <c r="E39" s="667">
        <f>IFERROR(SUMIFS(KB[NETTO],KB[TYPE],"A",KB[TANGGAL],"&gt;="&amp;DATE($D$2,MONTH(B39),1),KB[TANGGAL],"&lt;"&amp;DATE($D$2,MONTH(B39)+1,1)),0)</f>
        <v>0</v>
      </c>
      <c r="F39" s="668">
        <f t="shared" ref="F39:F41" si="18">IFERROR(G39/E39%,0)</f>
        <v>0</v>
      </c>
      <c r="G39" s="667">
        <f>IFERROR(SUMIFS(KB[TPOT],KB[TYPE],"A",KB[TANGGAL],"&gt;="&amp;DATE($D$2,MONTH(B39),1),KB[TANGGAL],"&lt;"&amp;DATE($D$2,MONTH(B39)+1,1)),0)</f>
        <v>0</v>
      </c>
      <c r="H39" s="667">
        <f>IFERROR(SUMIFS(KB[NETTO2],KB[TYPE],"A",KB[TANGGAL],"&gt;="&amp;DATE($D$2,MONTH(B39),1),KB[TANGGAL],"&lt;"&amp;DATE($D$2,MONTH(B39)+1,1)),0)</f>
        <v>0</v>
      </c>
      <c r="I39" s="667">
        <f t="shared" ref="I39:I41" si="19">IFERROR(J39/H39,0)</f>
        <v>0</v>
      </c>
      <c r="J39" s="667">
        <f>IFERROR(SUMIFS(KB[TBAYAR],KB[TYPE],"A",KB[TANGGAL],"&gt;="&amp;DATE($D$2,MONTH(B39),1),KB[TANGGAL],"&lt;"&amp;DATE($D$2,MONTH(B39)+1,1)),0)</f>
        <v>0</v>
      </c>
      <c r="K39" s="668">
        <f t="shared" ref="K39:K41" si="20">ROUND(I39*0.5025%,2)</f>
        <v>0</v>
      </c>
      <c r="L39" s="668">
        <f t="shared" si="17"/>
        <v>0</v>
      </c>
      <c r="M39" s="667">
        <f>IFERROR(SUMIFS(KB[TBAYAR2],KB[TYPE],"A",KB[TANGGAL],"&gt;="&amp;DATE($D$2,MONTH(B39),1),KB[TANGGAL],"&lt;"&amp;DATE($D$2,MONTH(B39)+1,1)),0)</f>
        <v>0</v>
      </c>
      <c r="N39" s="667">
        <f>IFERROR(SUMIFS(KB[POTPPH],KB[TYPE],"A",KB[TANGGAL],"&gt;="&amp;DATE($D$2,MONTH(B39),1),KB[TANGGAL],"&lt;"&amp;DATE($D$2,MONTH(B39)+1,1)),0)</f>
        <v>0</v>
      </c>
      <c r="O39" s="667">
        <f>IFERROR(SUMIFS(KB[TPEMBAYARAN],KB[TYPE],"A",KB[TANGGAL],"&gt;="&amp;DATE($D$2,MONTH(B39),1),KB[TANGGAL],"&lt;"&amp;DATE($D$2,MONTH(B39)+1,1)),0)</f>
        <v>0</v>
      </c>
      <c r="Q39" s="676">
        <v>10000000</v>
      </c>
      <c r="R39" s="676">
        <f t="shared" si="16"/>
        <v>10000000</v>
      </c>
      <c r="T39" s="1173" t="str">
        <f t="shared" si="15"/>
        <v>TIDAK TERLAKSANA</v>
      </c>
      <c r="U39" s="1174"/>
    </row>
    <row r="40" spans="2:21" ht="15" customHeight="1">
      <c r="B40" s="493">
        <f>DATE($D$2,11,1)</f>
        <v>43770</v>
      </c>
      <c r="C40" s="667">
        <f>IFERROR(SUMIFS(KB[BRUTO],KB[TYPE],"A",KB[TANGGAL],"&gt;="&amp;DATE($D$2,MONTH(B40),1),KB[TANGGAL],"&lt;"&amp;DATE($D$2,MONTH(B40)+1,1)),0)</f>
        <v>0</v>
      </c>
      <c r="D40" s="667">
        <f>IFERROR(SUMIFS(KB[TARRA],KB[TYPE],"A",KB[TANGGAL],"&gt;="&amp;DATE($D$2,MONTH(B40),1),KB[TANGGAL],"&lt;"&amp;DATE($D$2,MONTH(B40)+1,1)),0)</f>
        <v>0</v>
      </c>
      <c r="E40" s="667">
        <f>IFERROR(SUMIFS(KB[NETTO],KB[TYPE],"A",KB[TANGGAL],"&gt;="&amp;DATE($D$2,MONTH(B40),1),KB[TANGGAL],"&lt;"&amp;DATE($D$2,MONTH(B40)+1,1)),0)</f>
        <v>0</v>
      </c>
      <c r="F40" s="668">
        <f t="shared" si="18"/>
        <v>0</v>
      </c>
      <c r="G40" s="667">
        <f>IFERROR(SUMIFS(KB[TPOT],KB[TYPE],"A",KB[TANGGAL],"&gt;="&amp;DATE($D$2,MONTH(B40),1),KB[TANGGAL],"&lt;"&amp;DATE($D$2,MONTH(B40)+1,1)),0)</f>
        <v>0</v>
      </c>
      <c r="H40" s="667">
        <f>IFERROR(SUMIFS(KB[NETTO2],KB[TYPE],"A",KB[TANGGAL],"&gt;="&amp;DATE($D$2,MONTH(B40),1),KB[TANGGAL],"&lt;"&amp;DATE($D$2,MONTH(B40)+1,1)),0)</f>
        <v>0</v>
      </c>
      <c r="I40" s="667">
        <f t="shared" si="19"/>
        <v>0</v>
      </c>
      <c r="J40" s="667">
        <f>IFERROR(SUMIFS(KB[TBAYAR],KB[TYPE],"A",KB[TANGGAL],"&gt;="&amp;DATE($D$2,MONTH(B40),1),KB[TANGGAL],"&lt;"&amp;DATE($D$2,MONTH(B40)+1,1)),0)</f>
        <v>0</v>
      </c>
      <c r="K40" s="668">
        <f t="shared" si="20"/>
        <v>0</v>
      </c>
      <c r="L40" s="668">
        <f t="shared" si="17"/>
        <v>0</v>
      </c>
      <c r="M40" s="667">
        <f>IFERROR(SUMIFS(KB[TBAYAR2],KB[TYPE],"A",KB[TANGGAL],"&gt;="&amp;DATE($D$2,MONTH(B40),1),KB[TANGGAL],"&lt;"&amp;DATE($D$2,MONTH(B40)+1,1)),0)</f>
        <v>0</v>
      </c>
      <c r="N40" s="667">
        <f>IFERROR(SUMIFS(KB[POTPPH],KB[TYPE],"A",KB[TANGGAL],"&gt;="&amp;DATE($D$2,MONTH(B40),1),KB[TANGGAL],"&lt;"&amp;DATE($D$2,MONTH(B40)+1,1)),0)</f>
        <v>0</v>
      </c>
      <c r="O40" s="667">
        <f>IFERROR(SUMIFS(KB[TPEMBAYARAN],KB[TYPE],"A",KB[TANGGAL],"&gt;="&amp;DATE($D$2,MONTH(B40),1),KB[TANGGAL],"&lt;"&amp;DATE($D$2,MONTH(B40)+1,1)),0)</f>
        <v>0</v>
      </c>
      <c r="Q40" s="676">
        <v>10000000</v>
      </c>
      <c r="R40" s="676">
        <f t="shared" si="16"/>
        <v>10000000</v>
      </c>
      <c r="T40" s="1173" t="str">
        <f t="shared" si="15"/>
        <v>TIDAK TERLAKSANA</v>
      </c>
      <c r="U40" s="1174"/>
    </row>
    <row r="41" spans="2:21" ht="15" customHeight="1">
      <c r="B41" s="493">
        <f>DATE($D$2,12,1)</f>
        <v>43800</v>
      </c>
      <c r="C41" s="669">
        <f>IFERROR(SUMIFS(KB[BRUTO],KB[TYPE],"A",KB[TANGGAL],"&gt;="&amp;DATE($D$2,MONTH(B41),1),KB[TANGGAL],"&lt;"&amp;DATE($D$2,MONTH(B41)+1,1)),0)</f>
        <v>0</v>
      </c>
      <c r="D41" s="669">
        <f>IFERROR(SUMIFS(KB[TARRA],KB[TYPE],"A",KB[TANGGAL],"&gt;="&amp;DATE($D$2,MONTH(B41),1),KB[TANGGAL],"&lt;"&amp;DATE($D$2,MONTH(B41)+1,1)),0)</f>
        <v>0</v>
      </c>
      <c r="E41" s="669">
        <f>IFERROR(SUMIFS(KB[NETTO],KB[TYPE],"A",KB[TANGGAL],"&gt;="&amp;DATE($D$2,MONTH(B41),1),KB[TANGGAL],"&lt;"&amp;DATE($D$2,MONTH(B41)+1,1)),0)</f>
        <v>0</v>
      </c>
      <c r="F41" s="670">
        <f t="shared" si="18"/>
        <v>0</v>
      </c>
      <c r="G41" s="669">
        <f>IFERROR(SUMIFS(KB[TPOT],KB[TYPE],"A",KB[TANGGAL],"&gt;="&amp;DATE($D$2,MONTH(B41),1),KB[TANGGAL],"&lt;"&amp;DATE($D$2,MONTH(B41)+1,1)),0)</f>
        <v>0</v>
      </c>
      <c r="H41" s="669">
        <f>IFERROR(SUMIFS(KB[NETTO2],KB[TYPE],"A",KB[TANGGAL],"&gt;="&amp;DATE($D$2,MONTH(B41),1),KB[TANGGAL],"&lt;"&amp;DATE($D$2,MONTH(B41)+1,1)),0)</f>
        <v>0</v>
      </c>
      <c r="I41" s="669">
        <f t="shared" si="19"/>
        <v>0</v>
      </c>
      <c r="J41" s="669">
        <f>IFERROR(SUMIFS(KB[TBAYAR],KB[TYPE],"A",KB[TANGGAL],"&gt;="&amp;DATE($D$2,MONTH(B41),1),KB[TANGGAL],"&lt;"&amp;DATE($D$2,MONTH(B41)+1,1)),0)</f>
        <v>0</v>
      </c>
      <c r="K41" s="670">
        <f t="shared" si="20"/>
        <v>0</v>
      </c>
      <c r="L41" s="670">
        <f t="shared" si="17"/>
        <v>0</v>
      </c>
      <c r="M41" s="669">
        <f>IFERROR(SUMIFS(KB[TBAYAR2],KB[TYPE],"A",KB[TANGGAL],"&gt;="&amp;DATE($D$2,MONTH(B41),1),KB[TANGGAL],"&lt;"&amp;DATE($D$2,MONTH(B41)+1,1)),0)</f>
        <v>0</v>
      </c>
      <c r="N41" s="669">
        <f>IFERROR(SUMIFS(KB[POTPPH],KB[TYPE],"A",KB[TANGGAL],"&gt;="&amp;DATE($D$2,MONTH(B41),1),KB[TANGGAL],"&lt;"&amp;DATE($D$2,MONTH(B41)+1,1)),0)</f>
        <v>0</v>
      </c>
      <c r="O41" s="669">
        <f>IFERROR(SUMIFS(KB[TPEMBAYARAN],KB[TYPE],"A",KB[TANGGAL],"&gt;="&amp;DATE($D$2,MONTH(B41),1),KB[TANGGAL],"&lt;"&amp;DATE($D$2,MONTH(B41)+1,1)),0)</f>
        <v>0</v>
      </c>
      <c r="Q41" s="677">
        <v>10000000</v>
      </c>
      <c r="R41" s="676">
        <f t="shared" si="16"/>
        <v>10000000</v>
      </c>
      <c r="T41" s="1175" t="str">
        <f t="shared" si="15"/>
        <v>TIDAK TERLAKSANA</v>
      </c>
      <c r="U41" s="1176"/>
    </row>
    <row r="42" spans="2:21" ht="6.95" customHeight="1">
      <c r="B42" s="494"/>
      <c r="C42" s="495"/>
      <c r="D42" s="495"/>
      <c r="E42" s="495"/>
      <c r="F42" s="495"/>
      <c r="G42" s="495"/>
      <c r="H42" s="495"/>
      <c r="I42" s="495"/>
      <c r="J42" s="495"/>
      <c r="K42" s="495"/>
      <c r="L42" s="495"/>
      <c r="M42" s="495"/>
      <c r="N42" s="495"/>
      <c r="O42" s="495"/>
      <c r="Q42" s="489"/>
      <c r="R42" s="496"/>
    </row>
    <row r="43" spans="2:21" ht="15" customHeight="1">
      <c r="B43" s="680" t="s">
        <v>68</v>
      </c>
      <c r="C43" s="681">
        <f>SUM(C30:C41)</f>
        <v>0</v>
      </c>
      <c r="D43" s="681">
        <f>SUM(D30:D41)</f>
        <v>0</v>
      </c>
      <c r="E43" s="681">
        <f>SUM(E30:E41)</f>
        <v>0</v>
      </c>
      <c r="F43" s="681" t="e">
        <f>G43/E43%</f>
        <v>#DIV/0!</v>
      </c>
      <c r="G43" s="681">
        <f>SUM(G30:G41)</f>
        <v>0</v>
      </c>
      <c r="H43" s="682">
        <f>SUM(H30:H41)</f>
        <v>0</v>
      </c>
      <c r="I43" s="681" t="e">
        <f>J43/H43</f>
        <v>#DIV/0!</v>
      </c>
      <c r="J43" s="681">
        <f t="shared" ref="J43:O43" si="21">SUM(J30:J41)</f>
        <v>0</v>
      </c>
      <c r="K43" s="681">
        <f t="shared" si="21"/>
        <v>0</v>
      </c>
      <c r="L43" s="681">
        <f t="shared" si="21"/>
        <v>0</v>
      </c>
      <c r="M43" s="681">
        <f t="shared" si="21"/>
        <v>0</v>
      </c>
      <c r="N43" s="681">
        <f t="shared" si="21"/>
        <v>0</v>
      </c>
      <c r="O43" s="681">
        <f t="shared" si="21"/>
        <v>0</v>
      </c>
      <c r="P43" s="472"/>
      <c r="Q43" s="443" t="s">
        <v>504</v>
      </c>
      <c r="R43" s="783">
        <f>SUM($H$30:$H$41)/12</f>
        <v>0</v>
      </c>
    </row>
    <row r="44" spans="2:21" ht="15" customHeight="1"/>
    <row r="45" spans="2:21" ht="15" customHeight="1"/>
    <row r="46" spans="2:21" ht="15" customHeight="1">
      <c r="B46" s="1193" t="s">
        <v>282</v>
      </c>
      <c r="C46" s="1195" t="s">
        <v>449</v>
      </c>
      <c r="D46" s="1195"/>
      <c r="E46" s="1195"/>
      <c r="F46" s="1195"/>
      <c r="G46" s="1195"/>
      <c r="H46" s="1195"/>
      <c r="I46" s="1195"/>
      <c r="J46" s="1195"/>
      <c r="K46" s="1195"/>
      <c r="L46" s="1195"/>
      <c r="M46" s="1195"/>
      <c r="N46" s="1195"/>
      <c r="O46" s="1196"/>
    </row>
    <row r="47" spans="2:21" ht="15" customHeight="1">
      <c r="B47" s="1193"/>
      <c r="C47" s="454" t="s">
        <v>372</v>
      </c>
      <c r="D47" s="455" t="s">
        <v>372</v>
      </c>
      <c r="E47" s="456" t="s">
        <v>372</v>
      </c>
      <c r="F47" s="1188" t="s">
        <v>365</v>
      </c>
      <c r="G47" s="1189"/>
      <c r="H47" s="457" t="s">
        <v>372</v>
      </c>
      <c r="I47" s="456" t="s">
        <v>67</v>
      </c>
      <c r="J47" s="458" t="s">
        <v>68</v>
      </c>
      <c r="K47" s="1114" t="s">
        <v>369</v>
      </c>
      <c r="L47" s="1102" t="s">
        <v>370</v>
      </c>
      <c r="M47" s="458" t="s">
        <v>68</v>
      </c>
      <c r="N47" s="1190" t="s">
        <v>439</v>
      </c>
      <c r="O47" s="458" t="s">
        <v>68</v>
      </c>
    </row>
    <row r="48" spans="2:21" ht="15" customHeight="1" thickBot="1">
      <c r="B48" s="1193"/>
      <c r="C48" s="473" t="s">
        <v>405</v>
      </c>
      <c r="D48" s="474" t="s">
        <v>406</v>
      </c>
      <c r="E48" s="475" t="s">
        <v>407</v>
      </c>
      <c r="F48" s="476" t="s">
        <v>402</v>
      </c>
      <c r="G48" s="477" t="s">
        <v>46</v>
      </c>
      <c r="H48" s="478" t="s">
        <v>410</v>
      </c>
      <c r="I48" s="479" t="s">
        <v>411</v>
      </c>
      <c r="J48" s="480" t="s">
        <v>440</v>
      </c>
      <c r="K48" s="1119"/>
      <c r="L48" s="1103"/>
      <c r="M48" s="480" t="s">
        <v>441</v>
      </c>
      <c r="N48" s="1191"/>
      <c r="O48" s="480" t="s">
        <v>404</v>
      </c>
    </row>
    <row r="49" spans="2:16" ht="15" customHeight="1" thickBot="1">
      <c r="B49" s="467">
        <v>1</v>
      </c>
      <c r="C49" s="468">
        <v>2</v>
      </c>
      <c r="D49" s="468">
        <v>3</v>
      </c>
      <c r="E49" s="469" t="s">
        <v>442</v>
      </c>
      <c r="F49" s="470">
        <v>5</v>
      </c>
      <c r="G49" s="470" t="s">
        <v>443</v>
      </c>
      <c r="H49" s="471" t="s">
        <v>444</v>
      </c>
      <c r="I49" s="469">
        <v>8</v>
      </c>
      <c r="J49" s="468" t="s">
        <v>445</v>
      </c>
      <c r="K49" s="470" t="s">
        <v>446</v>
      </c>
      <c r="L49" s="468">
        <v>11</v>
      </c>
      <c r="M49" s="468" t="s">
        <v>447</v>
      </c>
      <c r="N49" s="468">
        <v>13</v>
      </c>
      <c r="O49" s="468" t="s">
        <v>448</v>
      </c>
    </row>
    <row r="50" spans="2:16" ht="6.95" customHeight="1" thickTop="1">
      <c r="B50" s="508"/>
      <c r="C50" s="509"/>
      <c r="D50" s="509"/>
      <c r="E50" s="510"/>
      <c r="F50" s="511"/>
      <c r="G50" s="511"/>
      <c r="H50" s="512"/>
      <c r="I50" s="510"/>
      <c r="J50" s="509"/>
      <c r="K50" s="511"/>
      <c r="L50" s="509"/>
      <c r="M50" s="509"/>
      <c r="N50" s="509"/>
      <c r="O50" s="509"/>
    </row>
    <row r="51" spans="2:16" ht="15" customHeight="1">
      <c r="B51" s="493">
        <f>DATE($D$2,1,1)</f>
        <v>43466</v>
      </c>
      <c r="C51" s="667">
        <f>IFERROR(SUMIFS(KB[BRUTO],KB[TYPE],"B",KB[TANGGAL],"&gt;="&amp;DATE($D$2,MONTH(B51),1),KB[TANGGAL],"&lt;"&amp;DATE($D$2,MONTH(B51)+1,1)),0)</f>
        <v>0</v>
      </c>
      <c r="D51" s="667">
        <f>IFERROR(SUMIFS(KB[TARRA],KB[TYPE],"B",KB[TANGGAL],"&gt;="&amp;DATE($D$2,MONTH(B51),1),KB[TANGGAL],"&lt;"&amp;DATE($D$2,MONTH(B51)+1,1)),0)</f>
        <v>0</v>
      </c>
      <c r="E51" s="667">
        <f>IFERROR(SUMIFS(KB[NETTO],KB[TYPE],"B",KB[TANGGAL],"&gt;="&amp;DATE($D$2,MONTH(B51),1),KB[TANGGAL],"&lt;"&amp;DATE($D$2,MONTH(B51)+1,1)),0)</f>
        <v>0</v>
      </c>
      <c r="F51" s="668">
        <f t="shared" ref="F51:F58" si="22">IFERROR(G51/E51%,0)</f>
        <v>0</v>
      </c>
      <c r="G51" s="667">
        <f>IFERROR(SUMIFS(KB[TPOT],KB[TYPE],"B",KB[TANGGAL],"&gt;="&amp;DATE($D$2,MONTH(B51),1),KB[TANGGAL],"&lt;"&amp;DATE($D$2,MONTH(B51)+1,1)),0)</f>
        <v>0</v>
      </c>
      <c r="H51" s="667">
        <f>IFERROR(SUMIFS(KB[NETTO2],KB[TYPE],"B",KB[TANGGAL],"&gt;="&amp;DATE($D$2,MONTH(B51),1),KB[TANGGAL],"&lt;"&amp;DATE($D$2,MONTH(B51)+1,1)),0)</f>
        <v>0</v>
      </c>
      <c r="I51" s="667">
        <f t="shared" ref="I51:I58" si="23">IFERROR(J51/H51,0)</f>
        <v>0</v>
      </c>
      <c r="J51" s="667">
        <f>IFERROR(SUMIFS(KB[TBAYAR],KB[TYPE],"B",KB[TANGGAL],"&gt;="&amp;DATE($D$2,MONTH(B51),1),KB[TANGGAL],"&lt;"&amp;DATE($D$2,MONTH(B51)+1,1)),0)</f>
        <v>0</v>
      </c>
      <c r="K51" s="668">
        <f t="shared" ref="K51:K58" si="24">ROUND(I51*0.5025%,2)</f>
        <v>0</v>
      </c>
      <c r="L51" s="668">
        <f t="shared" ref="L51:L62" si="25">IFERROR(M51/H51,0)</f>
        <v>0</v>
      </c>
      <c r="M51" s="667">
        <f>IFERROR(SUMIFS(KB[TBAYAR2],KB[TYPE],"B",KB[TANGGAL],"&gt;="&amp;DATE($D$2,MONTH(B51),1),KB[TANGGAL],"&lt;"&amp;DATE($D$2,MONTH(B51)+1,1)),0)</f>
        <v>0</v>
      </c>
      <c r="N51" s="667">
        <f>IFERROR(SUMIFS(KB[POTPPH],KB[TYPE],"B",KB[TANGGAL],"&gt;="&amp;DATE($D$2,MONTH(B51),1),KB[TANGGAL],"&lt;"&amp;DATE($D$2,MONTH(B51)+1,1)),0)</f>
        <v>0</v>
      </c>
      <c r="O51" s="667">
        <f>IFERROR(SUMIFS(KB[TPEMBAYARAN],KB[TYPE],"B",KB[TANGGAL],"&gt;="&amp;DATE($D$2,MONTH(B51),1),KB[TANGGAL],"&lt;"&amp;DATE($D$2,MONTH(B51)+1,1)),0)</f>
        <v>0</v>
      </c>
    </row>
    <row r="52" spans="2:16" ht="15" customHeight="1">
      <c r="B52" s="493">
        <f>DATE($D$2,2,1)</f>
        <v>43497</v>
      </c>
      <c r="C52" s="667">
        <f>IFERROR(SUMIFS(KB[BRUTO],KB[TYPE],"B",KB[TANGGAL],"&gt;="&amp;DATE($D$2,MONTH(B52),1),KB[TANGGAL],"&lt;"&amp;DATE($D$2,MONTH(B52)+1,1)),0)</f>
        <v>0</v>
      </c>
      <c r="D52" s="667">
        <f>IFERROR(SUMIFS(KB[TARRA],KB[TYPE],"B",KB[TANGGAL],"&gt;="&amp;DATE($D$2,MONTH(B52),1),KB[TANGGAL],"&lt;"&amp;DATE($D$2,MONTH(B52)+1,1)),0)</f>
        <v>0</v>
      </c>
      <c r="E52" s="667">
        <f>IFERROR(SUMIFS(KB[NETTO],KB[TYPE],"B",KB[TANGGAL],"&gt;="&amp;DATE($D$2,MONTH(B52),1),KB[TANGGAL],"&lt;"&amp;DATE($D$2,MONTH(B52)+1,1)),0)</f>
        <v>0</v>
      </c>
      <c r="F52" s="668">
        <f t="shared" si="22"/>
        <v>0</v>
      </c>
      <c r="G52" s="667">
        <f>IFERROR(SUMIFS(KB[TPOT],KB[TYPE],"B",KB[TANGGAL],"&gt;="&amp;DATE($D$2,MONTH(B52),1),KB[TANGGAL],"&lt;"&amp;DATE($D$2,MONTH(B52)+1,1)),0)</f>
        <v>0</v>
      </c>
      <c r="H52" s="667">
        <f>IFERROR(SUMIFS(KB[NETTO2],KB[TYPE],"B",KB[TANGGAL],"&gt;="&amp;DATE($D$2,MONTH(B52),1),KB[TANGGAL],"&lt;"&amp;DATE($D$2,MONTH(B52)+1,1)),0)</f>
        <v>0</v>
      </c>
      <c r="I52" s="667">
        <f t="shared" si="23"/>
        <v>0</v>
      </c>
      <c r="J52" s="667">
        <f>IFERROR(SUMIFS(KB[TBAYAR],KB[TYPE],"B",KB[TANGGAL],"&gt;="&amp;DATE($D$2,MONTH(B52),1),KB[TANGGAL],"&lt;"&amp;DATE($D$2,MONTH(B52)+1,1)),0)</f>
        <v>0</v>
      </c>
      <c r="K52" s="668">
        <f t="shared" si="24"/>
        <v>0</v>
      </c>
      <c r="L52" s="668">
        <f t="shared" si="25"/>
        <v>0</v>
      </c>
      <c r="M52" s="667">
        <f>IFERROR(SUMIFS(KB[TBAYAR2],KB[TYPE],"B",KB[TANGGAL],"&gt;="&amp;DATE($D$2,MONTH(B52),1),KB[TANGGAL],"&lt;"&amp;DATE($D$2,MONTH(B52)+1,1)),0)</f>
        <v>0</v>
      </c>
      <c r="N52" s="667">
        <f>IFERROR(SUMIFS(KB[POTPPH],KB[TYPE],"B",KB[TANGGAL],"&gt;="&amp;DATE($D$2,MONTH(B52),1),KB[TANGGAL],"&lt;"&amp;DATE($D$2,MONTH(B52)+1,1)),0)</f>
        <v>0</v>
      </c>
      <c r="O52" s="667">
        <f>IFERROR(SUMIFS(KB[TPEMBAYARAN],KB[TYPE],"B",KB[TANGGAL],"&gt;="&amp;DATE($D$2,MONTH(B52),1),KB[TANGGAL],"&lt;"&amp;DATE($D$2,MONTH(B52)+1,1)),0)</f>
        <v>0</v>
      </c>
    </row>
    <row r="53" spans="2:16" ht="15" customHeight="1">
      <c r="B53" s="493">
        <f>DATE($D$2,3,1)</f>
        <v>43525</v>
      </c>
      <c r="C53" s="667">
        <f>IFERROR(SUMIFS(KB[BRUTO],KB[TYPE],"B",KB[TANGGAL],"&gt;="&amp;DATE($D$2,MONTH(B53),1),KB[TANGGAL],"&lt;"&amp;DATE($D$2,MONTH(B53)+1,1)),0)</f>
        <v>0</v>
      </c>
      <c r="D53" s="667">
        <f>IFERROR(SUMIFS(KB[TARRA],KB[TYPE],"B",KB[TANGGAL],"&gt;="&amp;DATE($D$2,MONTH(B53),1),KB[TANGGAL],"&lt;"&amp;DATE($D$2,MONTH(B53)+1,1)),0)</f>
        <v>0</v>
      </c>
      <c r="E53" s="667">
        <f>IFERROR(SUMIFS(KB[NETTO],KB[TYPE],"B",KB[TANGGAL],"&gt;="&amp;DATE($D$2,MONTH(B53),1),KB[TANGGAL],"&lt;"&amp;DATE($D$2,MONTH(B53)+1,1)),0)</f>
        <v>0</v>
      </c>
      <c r="F53" s="668">
        <f t="shared" si="22"/>
        <v>0</v>
      </c>
      <c r="G53" s="667">
        <f>IFERROR(SUMIFS(KB[TPOT],KB[TYPE],"B",KB[TANGGAL],"&gt;="&amp;DATE($D$2,MONTH(B53),1),KB[TANGGAL],"&lt;"&amp;DATE($D$2,MONTH(B53)+1,1)),0)</f>
        <v>0</v>
      </c>
      <c r="H53" s="667">
        <f>IFERROR(SUMIFS(KB[NETTO2],KB[TYPE],"B",KB[TANGGAL],"&gt;="&amp;DATE($D$2,MONTH(B53),1),KB[TANGGAL],"&lt;"&amp;DATE($D$2,MONTH(B53)+1,1)),0)</f>
        <v>0</v>
      </c>
      <c r="I53" s="667">
        <f t="shared" si="23"/>
        <v>0</v>
      </c>
      <c r="J53" s="667">
        <f>IFERROR(SUMIFS(KB[TBAYAR],KB[TYPE],"B",KB[TANGGAL],"&gt;="&amp;DATE($D$2,MONTH(B53),1),KB[TANGGAL],"&lt;"&amp;DATE($D$2,MONTH(B53)+1,1)),0)</f>
        <v>0</v>
      </c>
      <c r="K53" s="668">
        <f t="shared" si="24"/>
        <v>0</v>
      </c>
      <c r="L53" s="668">
        <f t="shared" si="25"/>
        <v>0</v>
      </c>
      <c r="M53" s="667">
        <f>IFERROR(SUMIFS(KB[TBAYAR2],KB[TYPE],"B",KB[TANGGAL],"&gt;="&amp;DATE($D$2,MONTH(B53),1),KB[TANGGAL],"&lt;"&amp;DATE($D$2,MONTH(B53)+1,1)),0)</f>
        <v>0</v>
      </c>
      <c r="N53" s="667">
        <f>IFERROR(SUMIFS(KB[POTPPH],KB[TYPE],"B",KB[TANGGAL],"&gt;="&amp;DATE($D$2,MONTH(B53),1),KB[TANGGAL],"&lt;"&amp;DATE($D$2,MONTH(B53)+1,1)),0)</f>
        <v>0</v>
      </c>
      <c r="O53" s="667">
        <f>IFERROR(SUMIFS(KB[TPEMBAYARAN],KB[TYPE],"B",KB[TANGGAL],"&gt;="&amp;DATE($D$2,MONTH(B53),1),KB[TANGGAL],"&lt;"&amp;DATE($D$2,MONTH(B53)+1,1)),0)</f>
        <v>0</v>
      </c>
    </row>
    <row r="54" spans="2:16" ht="15" customHeight="1">
      <c r="B54" s="493">
        <f>DATE($D$2,4,1)</f>
        <v>43556</v>
      </c>
      <c r="C54" s="667">
        <f>IFERROR(SUMIFS(KB[BRUTO],KB[TYPE],"B",KB[TANGGAL],"&gt;="&amp;DATE($D$2,MONTH(B54),1),KB[TANGGAL],"&lt;"&amp;DATE($D$2,MONTH(B54)+1,1)),0)</f>
        <v>0</v>
      </c>
      <c r="D54" s="667">
        <f>IFERROR(SUMIFS(KB[TARRA],KB[TYPE],"B",KB[TANGGAL],"&gt;="&amp;DATE($D$2,MONTH(B54),1),KB[TANGGAL],"&lt;"&amp;DATE($D$2,MONTH(B54)+1,1)),0)</f>
        <v>0</v>
      </c>
      <c r="E54" s="667">
        <f>IFERROR(SUMIFS(KB[NETTO],KB[TYPE],"B",KB[TANGGAL],"&gt;="&amp;DATE($D$2,MONTH(B54),1),KB[TANGGAL],"&lt;"&amp;DATE($D$2,MONTH(B54)+1,1)),0)</f>
        <v>0</v>
      </c>
      <c r="F54" s="668">
        <f t="shared" si="22"/>
        <v>0</v>
      </c>
      <c r="G54" s="667">
        <f>IFERROR(SUMIFS(KB[TPOT],KB[TYPE],"B",KB[TANGGAL],"&gt;="&amp;DATE($D$2,MONTH(B54),1),KB[TANGGAL],"&lt;"&amp;DATE($D$2,MONTH(B54)+1,1)),0)</f>
        <v>0</v>
      </c>
      <c r="H54" s="667">
        <f>IFERROR(SUMIFS(KB[NETTO2],KB[TYPE],"B",KB[TANGGAL],"&gt;="&amp;DATE($D$2,MONTH(B54),1),KB[TANGGAL],"&lt;"&amp;DATE($D$2,MONTH(B54)+1,1)),0)</f>
        <v>0</v>
      </c>
      <c r="I54" s="667">
        <f t="shared" si="23"/>
        <v>0</v>
      </c>
      <c r="J54" s="667">
        <f>IFERROR(SUMIFS(KB[TBAYAR],KB[TYPE],"B",KB[TANGGAL],"&gt;="&amp;DATE($D$2,MONTH(B54),1),KB[TANGGAL],"&lt;"&amp;DATE($D$2,MONTH(B54)+1,1)),0)</f>
        <v>0</v>
      </c>
      <c r="K54" s="668">
        <f t="shared" si="24"/>
        <v>0</v>
      </c>
      <c r="L54" s="668">
        <f t="shared" si="25"/>
        <v>0</v>
      </c>
      <c r="M54" s="667">
        <f>IFERROR(SUMIFS(KB[TBAYAR2],KB[TYPE],"B",KB[TANGGAL],"&gt;="&amp;DATE($D$2,MONTH(B54),1),KB[TANGGAL],"&lt;"&amp;DATE($D$2,MONTH(B54)+1,1)),0)</f>
        <v>0</v>
      </c>
      <c r="N54" s="667">
        <f>IFERROR(SUMIFS(KB[POTPPH],KB[TYPE],"B",KB[TANGGAL],"&gt;="&amp;DATE($D$2,MONTH(B54),1),KB[TANGGAL],"&lt;"&amp;DATE($D$2,MONTH(B54)+1,1)),0)</f>
        <v>0</v>
      </c>
      <c r="O54" s="667">
        <f>IFERROR(SUMIFS(KB[TPEMBAYARAN],KB[TYPE],"B",KB[TANGGAL],"&gt;="&amp;DATE($D$2,MONTH(B54),1),KB[TANGGAL],"&lt;"&amp;DATE($D$2,MONTH(B54)+1,1)),0)</f>
        <v>0</v>
      </c>
    </row>
    <row r="55" spans="2:16" ht="15" customHeight="1">
      <c r="B55" s="493">
        <f>DATE($D$2,5,1)</f>
        <v>43586</v>
      </c>
      <c r="C55" s="667">
        <f>IFERROR(SUMIFS(KB[BRUTO],KB[TYPE],"B",KB[TANGGAL],"&gt;="&amp;DATE($D$2,MONTH(B55),1),KB[TANGGAL],"&lt;"&amp;DATE($D$2,MONTH(B55)+1,1)),0)</f>
        <v>0</v>
      </c>
      <c r="D55" s="667">
        <f>IFERROR(SUMIFS(KB[TARRA],KB[TYPE],"B",KB[TANGGAL],"&gt;="&amp;DATE($D$2,MONTH(B55),1),KB[TANGGAL],"&lt;"&amp;DATE($D$2,MONTH(B55)+1,1)),0)</f>
        <v>0</v>
      </c>
      <c r="E55" s="667">
        <f>IFERROR(SUMIFS(KB[NETTO],KB[TYPE],"B",KB[TANGGAL],"&gt;="&amp;DATE($D$2,MONTH(B55),1),KB[TANGGAL],"&lt;"&amp;DATE($D$2,MONTH(B55)+1,1)),0)</f>
        <v>0</v>
      </c>
      <c r="F55" s="668">
        <f t="shared" si="22"/>
        <v>0</v>
      </c>
      <c r="G55" s="667">
        <f>IFERROR(SUMIFS(KB[TPOT],KB[TYPE],"B",KB[TANGGAL],"&gt;="&amp;DATE($D$2,MONTH(B55),1),KB[TANGGAL],"&lt;"&amp;DATE($D$2,MONTH(B55)+1,1)),0)</f>
        <v>0</v>
      </c>
      <c r="H55" s="667">
        <f>IFERROR(SUMIFS(KB[NETTO2],KB[TYPE],"B",KB[TANGGAL],"&gt;="&amp;DATE($D$2,MONTH(B55),1),KB[TANGGAL],"&lt;"&amp;DATE($D$2,MONTH(B55)+1,1)),0)</f>
        <v>0</v>
      </c>
      <c r="I55" s="667">
        <f t="shared" si="23"/>
        <v>0</v>
      </c>
      <c r="J55" s="667">
        <f>IFERROR(SUMIFS(KB[TBAYAR],KB[TYPE],"B",KB[TANGGAL],"&gt;="&amp;DATE($D$2,MONTH(B55),1),KB[TANGGAL],"&lt;"&amp;DATE($D$2,MONTH(B55)+1,1)),0)</f>
        <v>0</v>
      </c>
      <c r="K55" s="668">
        <f t="shared" si="24"/>
        <v>0</v>
      </c>
      <c r="L55" s="668">
        <f t="shared" si="25"/>
        <v>0</v>
      </c>
      <c r="M55" s="667">
        <f>IFERROR(SUMIFS(KB[TBAYAR2],KB[TYPE],"B",KB[TANGGAL],"&gt;="&amp;DATE($D$2,MONTH(B55),1),KB[TANGGAL],"&lt;"&amp;DATE($D$2,MONTH(B55)+1,1)),0)</f>
        <v>0</v>
      </c>
      <c r="N55" s="667">
        <f>IFERROR(SUMIFS(KB[POTPPH],KB[TYPE],"B",KB[TANGGAL],"&gt;="&amp;DATE($D$2,MONTH(B55),1),KB[TANGGAL],"&lt;"&amp;DATE($D$2,MONTH(B55)+1,1)),0)</f>
        <v>0</v>
      </c>
      <c r="O55" s="667">
        <f>IFERROR(SUMIFS(KB[TPEMBAYARAN],KB[TYPE],"B",KB[TANGGAL],"&gt;="&amp;DATE($D$2,MONTH(B55),1),KB[TANGGAL],"&lt;"&amp;DATE($D$2,MONTH(B55)+1,1)),0)</f>
        <v>0</v>
      </c>
    </row>
    <row r="56" spans="2:16" ht="15" customHeight="1">
      <c r="B56" s="493">
        <f>DATE($D$2,6,1)</f>
        <v>43617</v>
      </c>
      <c r="C56" s="667">
        <f>IFERROR(SUMIFS(KB[BRUTO],KB[TYPE],"B",KB[TANGGAL],"&gt;="&amp;DATE($D$2,MONTH(B56),1),KB[TANGGAL],"&lt;"&amp;DATE($D$2,MONTH(B56)+1,1)),0)</f>
        <v>0</v>
      </c>
      <c r="D56" s="667">
        <f>IFERROR(SUMIFS(KB[TARRA],KB[TYPE],"B",KB[TANGGAL],"&gt;="&amp;DATE($D$2,MONTH(B56),1),KB[TANGGAL],"&lt;"&amp;DATE($D$2,MONTH(B56)+1,1)),0)</f>
        <v>0</v>
      </c>
      <c r="E56" s="667">
        <f>IFERROR(SUMIFS(KB[NETTO],KB[TYPE],"B",KB[TANGGAL],"&gt;="&amp;DATE($D$2,MONTH(B56),1),KB[TANGGAL],"&lt;"&amp;DATE($D$2,MONTH(B56)+1,1)),0)</f>
        <v>0</v>
      </c>
      <c r="F56" s="668">
        <f t="shared" si="22"/>
        <v>0</v>
      </c>
      <c r="G56" s="667">
        <f>IFERROR(SUMIFS(KB[TPOT],KB[TYPE],"B",KB[TANGGAL],"&gt;="&amp;DATE($D$2,MONTH(B56),1),KB[TANGGAL],"&lt;"&amp;DATE($D$2,MONTH(B56)+1,1)),0)</f>
        <v>0</v>
      </c>
      <c r="H56" s="667">
        <f>IFERROR(SUMIFS(KB[NETTO2],KB[TYPE],"B",KB[TANGGAL],"&gt;="&amp;DATE($D$2,MONTH(B56),1),KB[TANGGAL],"&lt;"&amp;DATE($D$2,MONTH(B56)+1,1)),0)</f>
        <v>0</v>
      </c>
      <c r="I56" s="667">
        <f t="shared" si="23"/>
        <v>0</v>
      </c>
      <c r="J56" s="667">
        <f>IFERROR(SUMIFS(KB[TBAYAR],KB[TYPE],"B",KB[TANGGAL],"&gt;="&amp;DATE($D$2,MONTH(B56),1),KB[TANGGAL],"&lt;"&amp;DATE($D$2,MONTH(B56)+1,1)),0)</f>
        <v>0</v>
      </c>
      <c r="K56" s="668">
        <f t="shared" si="24"/>
        <v>0</v>
      </c>
      <c r="L56" s="668">
        <f t="shared" si="25"/>
        <v>0</v>
      </c>
      <c r="M56" s="667">
        <f>IFERROR(SUMIFS(KB[TBAYAR2],KB[TYPE],"B",KB[TANGGAL],"&gt;="&amp;DATE($D$2,MONTH(B56),1),KB[TANGGAL],"&lt;"&amp;DATE($D$2,MONTH(B56)+1,1)),0)</f>
        <v>0</v>
      </c>
      <c r="N56" s="667">
        <f>IFERROR(SUMIFS(KB[POTPPH],KB[TYPE],"B",KB[TANGGAL],"&gt;="&amp;DATE($D$2,MONTH(B56),1),KB[TANGGAL],"&lt;"&amp;DATE($D$2,MONTH(B56)+1,1)),0)</f>
        <v>0</v>
      </c>
      <c r="O56" s="667">
        <f>IFERROR(SUMIFS(KB[TPEMBAYARAN],KB[TYPE],"B",KB[TANGGAL],"&gt;="&amp;DATE($D$2,MONTH(B56),1),KB[TANGGAL],"&lt;"&amp;DATE($D$2,MONTH(B56)+1,1)),0)</f>
        <v>0</v>
      </c>
    </row>
    <row r="57" spans="2:16" ht="15" customHeight="1">
      <c r="B57" s="493">
        <f>DATE($D$2,7,1)</f>
        <v>43647</v>
      </c>
      <c r="C57" s="667">
        <f>IFERROR(SUMIFS(KB[BRUTO],KB[TYPE],"B",KB[TANGGAL],"&gt;="&amp;DATE($D$2,MONTH(B57),1),KB[TANGGAL],"&lt;"&amp;DATE($D$2,MONTH(B57)+1,1)),0)</f>
        <v>0</v>
      </c>
      <c r="D57" s="667">
        <f>IFERROR(SUMIFS(KB[TARRA],KB[TYPE],"B",KB[TANGGAL],"&gt;="&amp;DATE($D$2,MONTH(B57),1),KB[TANGGAL],"&lt;"&amp;DATE($D$2,MONTH(B57)+1,1)),0)</f>
        <v>0</v>
      </c>
      <c r="E57" s="667">
        <f>IFERROR(SUMIFS(KB[NETTO],KB[TYPE],"B",KB[TANGGAL],"&gt;="&amp;DATE($D$2,MONTH(B57),1),KB[TANGGAL],"&lt;"&amp;DATE($D$2,MONTH(B57)+1,1)),0)</f>
        <v>0</v>
      </c>
      <c r="F57" s="668">
        <f t="shared" si="22"/>
        <v>0</v>
      </c>
      <c r="G57" s="667">
        <f>IFERROR(SUMIFS(KB[TPOT],KB[TYPE],"B",KB[TANGGAL],"&gt;="&amp;DATE($D$2,MONTH(B57),1),KB[TANGGAL],"&lt;"&amp;DATE($D$2,MONTH(B57)+1,1)),0)</f>
        <v>0</v>
      </c>
      <c r="H57" s="667">
        <f>IFERROR(SUMIFS(KB[NETTO2],KB[TYPE],"B",KB[TANGGAL],"&gt;="&amp;DATE($D$2,MONTH(B57),1),KB[TANGGAL],"&lt;"&amp;DATE($D$2,MONTH(B57)+1,1)),0)</f>
        <v>0</v>
      </c>
      <c r="I57" s="667">
        <f t="shared" si="23"/>
        <v>0</v>
      </c>
      <c r="J57" s="667">
        <f>IFERROR(SUMIFS(KB[TBAYAR],KB[TYPE],"B",KB[TANGGAL],"&gt;="&amp;DATE($D$2,MONTH(B57),1),KB[TANGGAL],"&lt;"&amp;DATE($D$2,MONTH(B57)+1,1)),0)</f>
        <v>0</v>
      </c>
      <c r="K57" s="668">
        <f t="shared" si="24"/>
        <v>0</v>
      </c>
      <c r="L57" s="668">
        <f t="shared" si="25"/>
        <v>0</v>
      </c>
      <c r="M57" s="667">
        <f>IFERROR(SUMIFS(KB[TBAYAR2],KB[TYPE],"B",KB[TANGGAL],"&gt;="&amp;DATE($D$2,MONTH(B57),1),KB[TANGGAL],"&lt;"&amp;DATE($D$2,MONTH(B57)+1,1)),0)</f>
        <v>0</v>
      </c>
      <c r="N57" s="667">
        <f>IFERROR(SUMIFS(KB[POTPPH],KB[TYPE],"B",KB[TANGGAL],"&gt;="&amp;DATE($D$2,MONTH(B57),1),KB[TANGGAL],"&lt;"&amp;DATE($D$2,MONTH(B57)+1,1)),0)</f>
        <v>0</v>
      </c>
      <c r="O57" s="667">
        <f>IFERROR(SUMIFS(KB[TPEMBAYARAN],KB[TYPE],"B",KB[TANGGAL],"&gt;="&amp;DATE($D$2,MONTH(B57),1),KB[TANGGAL],"&lt;"&amp;DATE($D$2,MONTH(B57)+1,1)),0)</f>
        <v>0</v>
      </c>
    </row>
    <row r="58" spans="2:16" ht="15" customHeight="1">
      <c r="B58" s="493">
        <f>DATE($D$2,8,1)</f>
        <v>43678</v>
      </c>
      <c r="C58" s="667">
        <f>IFERROR(SUMIFS(KB[BRUTO],KB[TYPE],"B",KB[TANGGAL],"&gt;="&amp;DATE($D$2,MONTH(B58),1),KB[TANGGAL],"&lt;"&amp;DATE($D$2,MONTH(B58)+1,1)),0)</f>
        <v>0</v>
      </c>
      <c r="D58" s="667">
        <f>IFERROR(SUMIFS(KB[TARRA],KB[TYPE],"B",KB[TANGGAL],"&gt;="&amp;DATE($D$2,MONTH(B58),1),KB[TANGGAL],"&lt;"&amp;DATE($D$2,MONTH(B58)+1,1)),0)</f>
        <v>0</v>
      </c>
      <c r="E58" s="667">
        <f>IFERROR(SUMIFS(KB[NETTO],KB[TYPE],"B",KB[TANGGAL],"&gt;="&amp;DATE($D$2,MONTH(B58),1),KB[TANGGAL],"&lt;"&amp;DATE($D$2,MONTH(B58)+1,1)),0)</f>
        <v>0</v>
      </c>
      <c r="F58" s="668">
        <f t="shared" si="22"/>
        <v>0</v>
      </c>
      <c r="G58" s="667">
        <f>IFERROR(SUMIFS(KB[TPOT],KB[TYPE],"B",KB[TANGGAL],"&gt;="&amp;DATE($D$2,MONTH(B58),1),KB[TANGGAL],"&lt;"&amp;DATE($D$2,MONTH(B58)+1,1)),0)</f>
        <v>0</v>
      </c>
      <c r="H58" s="667">
        <f>IFERROR(SUMIFS(KB[NETTO2],KB[TYPE],"B",KB[TANGGAL],"&gt;="&amp;DATE($D$2,MONTH(B58),1),KB[TANGGAL],"&lt;"&amp;DATE($D$2,MONTH(B58)+1,1)),0)</f>
        <v>0</v>
      </c>
      <c r="I58" s="667">
        <f t="shared" si="23"/>
        <v>0</v>
      </c>
      <c r="J58" s="667">
        <f>IFERROR(SUMIFS(KB[TBAYAR],KB[TYPE],"B",KB[TANGGAL],"&gt;="&amp;DATE($D$2,MONTH(B58),1),KB[TANGGAL],"&lt;"&amp;DATE($D$2,MONTH(B58)+1,1)),0)</f>
        <v>0</v>
      </c>
      <c r="K58" s="668">
        <f t="shared" si="24"/>
        <v>0</v>
      </c>
      <c r="L58" s="668">
        <f t="shared" si="25"/>
        <v>0</v>
      </c>
      <c r="M58" s="667">
        <f>IFERROR(SUMIFS(KB[TBAYAR2],KB[TYPE],"B",KB[TANGGAL],"&gt;="&amp;DATE($D$2,MONTH(B58),1),KB[TANGGAL],"&lt;"&amp;DATE($D$2,MONTH(B58)+1,1)),0)</f>
        <v>0</v>
      </c>
      <c r="N58" s="667">
        <f>IFERROR(SUMIFS(KB[POTPPH],KB[TYPE],"B",KB[TANGGAL],"&gt;="&amp;DATE($D$2,MONTH(B58),1),KB[TANGGAL],"&lt;"&amp;DATE($D$2,MONTH(B58)+1,1)),0)</f>
        <v>0</v>
      </c>
      <c r="O58" s="667">
        <f>IFERROR(SUMIFS(KB[TPEMBAYARAN],KB[TYPE],"B",KB[TANGGAL],"&gt;="&amp;DATE($D$2,MONTH(B58),1),KB[TANGGAL],"&lt;"&amp;DATE($D$2,MONTH(B58)+1,1)),0)</f>
        <v>0</v>
      </c>
    </row>
    <row r="59" spans="2:16" ht="15" customHeight="1">
      <c r="B59" s="493">
        <f>DATE($D$2,9,1)</f>
        <v>43709</v>
      </c>
      <c r="C59" s="667">
        <f>IFERROR(SUMIFS(KB[BRUTO],KB[TYPE],"B",KB[TANGGAL],"&gt;="&amp;DATE($D$2,MONTH(B59),1),KB[TANGGAL],"&lt;"&amp;DATE($D$2,MONTH(B59)+1,1)),0)</f>
        <v>0</v>
      </c>
      <c r="D59" s="667">
        <f>IFERROR(SUMIFS(KB[TARRA],KB[TYPE],"B",KB[TANGGAL],"&gt;="&amp;DATE($D$2,MONTH(B59),1),KB[TANGGAL],"&lt;"&amp;DATE($D$2,MONTH(B59)+1,1)),0)</f>
        <v>0</v>
      </c>
      <c r="E59" s="667">
        <f>IFERROR(SUMIFS(KB[NETTO],KB[TYPE],"B",KB[TANGGAL],"&gt;="&amp;DATE($D$2,MONTH(B59),1),KB[TANGGAL],"&lt;"&amp;DATE($D$2,MONTH(B59)+1,1)),0)</f>
        <v>0</v>
      </c>
      <c r="F59" s="668">
        <f t="shared" ref="F59:F62" si="26">IFERROR(G59/E59%,0)</f>
        <v>0</v>
      </c>
      <c r="G59" s="667">
        <f>IFERROR(SUMIFS(KB[TPOT],KB[TYPE],"B",KB[TANGGAL],"&gt;="&amp;DATE($D$2,MONTH(B59),1),KB[TANGGAL],"&lt;"&amp;DATE($D$2,MONTH(B59)+1,1)),0)</f>
        <v>0</v>
      </c>
      <c r="H59" s="667">
        <f>IFERROR(SUMIFS(KB[NETTO2],KB[TYPE],"B",KB[TANGGAL],"&gt;="&amp;DATE($D$2,MONTH(B59),1),KB[TANGGAL],"&lt;"&amp;DATE($D$2,MONTH(B59)+1,1)),0)</f>
        <v>0</v>
      </c>
      <c r="I59" s="667">
        <f t="shared" ref="I59:I62" si="27">IFERROR(J59/H59,0)</f>
        <v>0</v>
      </c>
      <c r="J59" s="667">
        <f>IFERROR(SUMIFS(KB[TBAYAR],KB[TYPE],"B",KB[TANGGAL],"&gt;="&amp;DATE($D$2,MONTH(B59),1),KB[TANGGAL],"&lt;"&amp;DATE($D$2,MONTH(B59)+1,1)),0)</f>
        <v>0</v>
      </c>
      <c r="K59" s="668">
        <f t="shared" ref="K59:K62" si="28">ROUND(I59*0.5025%,2)</f>
        <v>0</v>
      </c>
      <c r="L59" s="668">
        <f t="shared" si="25"/>
        <v>0</v>
      </c>
      <c r="M59" s="667">
        <f>IFERROR(SUMIFS(KB[TBAYAR2],KB[TYPE],"B",KB[TANGGAL],"&gt;="&amp;DATE($D$2,MONTH(B59),1),KB[TANGGAL],"&lt;"&amp;DATE($D$2,MONTH(B59)+1,1)),0)</f>
        <v>0</v>
      </c>
      <c r="N59" s="667">
        <f>IFERROR(SUMIFS(KB[POTPPH],KB[TYPE],"B",KB[TANGGAL],"&gt;="&amp;DATE($D$2,MONTH(B59),1),KB[TANGGAL],"&lt;"&amp;DATE($D$2,MONTH(B59)+1,1)),0)</f>
        <v>0</v>
      </c>
      <c r="O59" s="667">
        <f>IFERROR(SUMIFS(KB[TPEMBAYARAN],KB[TYPE],"B",KB[TANGGAL],"&gt;="&amp;DATE($D$2,MONTH(B59),1),KB[TANGGAL],"&lt;"&amp;DATE($D$2,MONTH(B59)+1,1)),0)</f>
        <v>0</v>
      </c>
    </row>
    <row r="60" spans="2:16" ht="15" customHeight="1">
      <c r="B60" s="493">
        <f>DATE($D$2,10,1)</f>
        <v>43739</v>
      </c>
      <c r="C60" s="667">
        <f>IFERROR(SUMIFS(KB[BRUTO],KB[TYPE],"B",KB[TANGGAL],"&gt;="&amp;DATE($D$2,MONTH(B60),1),KB[TANGGAL],"&lt;"&amp;DATE($D$2,MONTH(B60)+1,1)),0)</f>
        <v>0</v>
      </c>
      <c r="D60" s="667">
        <f>IFERROR(SUMIFS(KB[TARRA],KB[TYPE],"B",KB[TANGGAL],"&gt;="&amp;DATE($D$2,MONTH(B60),1),KB[TANGGAL],"&lt;"&amp;DATE($D$2,MONTH(B60)+1,1)),0)</f>
        <v>0</v>
      </c>
      <c r="E60" s="667">
        <f>IFERROR(SUMIFS(KB[NETTO],KB[TYPE],"B",KB[TANGGAL],"&gt;="&amp;DATE($D$2,MONTH(B60),1),KB[TANGGAL],"&lt;"&amp;DATE($D$2,MONTH(B60)+1,1)),0)</f>
        <v>0</v>
      </c>
      <c r="F60" s="668">
        <f t="shared" si="26"/>
        <v>0</v>
      </c>
      <c r="G60" s="667">
        <f>IFERROR(SUMIFS(KB[TPOT],KB[TYPE],"B",KB[TANGGAL],"&gt;="&amp;DATE($D$2,MONTH(B60),1),KB[TANGGAL],"&lt;"&amp;DATE($D$2,MONTH(B60)+1,1)),0)</f>
        <v>0</v>
      </c>
      <c r="H60" s="667">
        <f>IFERROR(SUMIFS(KB[NETTO2],KB[TYPE],"B",KB[TANGGAL],"&gt;="&amp;DATE($D$2,MONTH(B60),1),KB[TANGGAL],"&lt;"&amp;DATE($D$2,MONTH(B60)+1,1)),0)</f>
        <v>0</v>
      </c>
      <c r="I60" s="667">
        <f t="shared" si="27"/>
        <v>0</v>
      </c>
      <c r="J60" s="667">
        <f>IFERROR(SUMIFS(KB[TBAYAR],KB[TYPE],"B",KB[TANGGAL],"&gt;="&amp;DATE($D$2,MONTH(B60),1),KB[TANGGAL],"&lt;"&amp;DATE($D$2,MONTH(B60)+1,1)),0)</f>
        <v>0</v>
      </c>
      <c r="K60" s="668">
        <f t="shared" si="28"/>
        <v>0</v>
      </c>
      <c r="L60" s="668">
        <f t="shared" si="25"/>
        <v>0</v>
      </c>
      <c r="M60" s="667">
        <f>IFERROR(SUMIFS(KB[TBAYAR2],KB[TYPE],"B",KB[TANGGAL],"&gt;="&amp;DATE($D$2,MONTH(B60),1),KB[TANGGAL],"&lt;"&amp;DATE($D$2,MONTH(B60)+1,1)),0)</f>
        <v>0</v>
      </c>
      <c r="N60" s="667">
        <f>IFERROR(SUMIFS(KB[POTPPH],KB[TYPE],"B",KB[TANGGAL],"&gt;="&amp;DATE($D$2,MONTH(B60),1),KB[TANGGAL],"&lt;"&amp;DATE($D$2,MONTH(B60)+1,1)),0)</f>
        <v>0</v>
      </c>
      <c r="O60" s="667">
        <f>IFERROR(SUMIFS(KB[TPEMBAYARAN],KB[TYPE],"B",KB[TANGGAL],"&gt;="&amp;DATE($D$2,MONTH(B60),1),KB[TANGGAL],"&lt;"&amp;DATE($D$2,MONTH(B60)+1,1)),0)</f>
        <v>0</v>
      </c>
    </row>
    <row r="61" spans="2:16" ht="15" customHeight="1">
      <c r="B61" s="493">
        <f>DATE($D$2,11,1)</f>
        <v>43770</v>
      </c>
      <c r="C61" s="667">
        <f>IFERROR(SUMIFS(KB[BRUTO],KB[TYPE],"B",KB[TANGGAL],"&gt;="&amp;DATE($D$2,MONTH(B61),1),KB[TANGGAL],"&lt;"&amp;DATE($D$2,MONTH(B61)+1,1)),0)</f>
        <v>0</v>
      </c>
      <c r="D61" s="667">
        <f>IFERROR(SUMIFS(KB[TARRA],KB[TYPE],"B",KB[TANGGAL],"&gt;="&amp;DATE($D$2,MONTH(B61),1),KB[TANGGAL],"&lt;"&amp;DATE($D$2,MONTH(B61)+1,1)),0)</f>
        <v>0</v>
      </c>
      <c r="E61" s="667">
        <f>IFERROR(SUMIFS(KB[NETTO],KB[TYPE],"B",KB[TANGGAL],"&gt;="&amp;DATE($D$2,MONTH(B61),1),KB[TANGGAL],"&lt;"&amp;DATE($D$2,MONTH(B61)+1,1)),0)</f>
        <v>0</v>
      </c>
      <c r="F61" s="668">
        <f t="shared" si="26"/>
        <v>0</v>
      </c>
      <c r="G61" s="667">
        <f>IFERROR(SUMIFS(KB[TPOT],KB[TYPE],"B",KB[TANGGAL],"&gt;="&amp;DATE($D$2,MONTH(B61),1),KB[TANGGAL],"&lt;"&amp;DATE($D$2,MONTH(B61)+1,1)),0)</f>
        <v>0</v>
      </c>
      <c r="H61" s="667">
        <f>IFERROR(SUMIFS(KB[NETTO2],KB[TYPE],"B",KB[TANGGAL],"&gt;="&amp;DATE($D$2,MONTH(B61),1),KB[TANGGAL],"&lt;"&amp;DATE($D$2,MONTH(B61)+1,1)),0)</f>
        <v>0</v>
      </c>
      <c r="I61" s="667">
        <f t="shared" si="27"/>
        <v>0</v>
      </c>
      <c r="J61" s="667">
        <f>IFERROR(SUMIFS(KB[TBAYAR],KB[TYPE],"B",KB[TANGGAL],"&gt;="&amp;DATE($D$2,MONTH(B61),1),KB[TANGGAL],"&lt;"&amp;DATE($D$2,MONTH(B61)+1,1)),0)</f>
        <v>0</v>
      </c>
      <c r="K61" s="668">
        <f t="shared" si="28"/>
        <v>0</v>
      </c>
      <c r="L61" s="668">
        <f t="shared" si="25"/>
        <v>0</v>
      </c>
      <c r="M61" s="667">
        <f>IFERROR(SUMIFS(KB[TBAYAR2],KB[TYPE],"B",KB[TANGGAL],"&gt;="&amp;DATE($D$2,MONTH(B61),1),KB[TANGGAL],"&lt;"&amp;DATE($D$2,MONTH(B61)+1,1)),0)</f>
        <v>0</v>
      </c>
      <c r="N61" s="667">
        <f>IFERROR(SUMIFS(KB[POTPPH],KB[TYPE],"B",KB[TANGGAL],"&gt;="&amp;DATE($D$2,MONTH(B61),1),KB[TANGGAL],"&lt;"&amp;DATE($D$2,MONTH(B61)+1,1)),0)</f>
        <v>0</v>
      </c>
      <c r="O61" s="667">
        <f>IFERROR(SUMIFS(KB[TPEMBAYARAN],KB[TYPE],"B",KB[TANGGAL],"&gt;="&amp;DATE($D$2,MONTH(B61),1),KB[TANGGAL],"&lt;"&amp;DATE($D$2,MONTH(B61)+1,1)),0)</f>
        <v>0</v>
      </c>
    </row>
    <row r="62" spans="2:16" ht="15" customHeight="1">
      <c r="B62" s="493">
        <f>DATE($D$2,12,1)</f>
        <v>43800</v>
      </c>
      <c r="C62" s="667">
        <f>IFERROR(SUMIFS(KB[BRUTO],KB[TYPE],"B",KB[TANGGAL],"&gt;="&amp;DATE($D$2,MONTH(B62),1),KB[TANGGAL],"&lt;"&amp;DATE($D$2,MONTH(B62)+1,1)),0)</f>
        <v>0</v>
      </c>
      <c r="D62" s="667">
        <f>IFERROR(SUMIFS(KB[TARRA],KB[TYPE],"B",KB[TANGGAL],"&gt;="&amp;DATE($D$2,MONTH(B62),1),KB[TANGGAL],"&lt;"&amp;DATE($D$2,MONTH(B62)+1,1)),0)</f>
        <v>0</v>
      </c>
      <c r="E62" s="667">
        <f>IFERROR(SUMIFS(KB[NETTO],KB[TYPE],"B",KB[TANGGAL],"&gt;="&amp;DATE($D$2,MONTH(B62),1),KB[TANGGAL],"&lt;"&amp;DATE($D$2,MONTH(B62)+1,1)),0)</f>
        <v>0</v>
      </c>
      <c r="F62" s="668">
        <f t="shared" si="26"/>
        <v>0</v>
      </c>
      <c r="G62" s="667">
        <f>IFERROR(SUMIFS(KB[TPOT],KB[TYPE],"B",KB[TANGGAL],"&gt;="&amp;DATE($D$2,MONTH(B62),1),KB[TANGGAL],"&lt;"&amp;DATE($D$2,MONTH(B62)+1,1)),0)</f>
        <v>0</v>
      </c>
      <c r="H62" s="667">
        <f>IFERROR(SUMIFS(KB[NETTO2],KB[TYPE],"B",KB[TANGGAL],"&gt;="&amp;DATE($D$2,MONTH(B62),1),KB[TANGGAL],"&lt;"&amp;DATE($D$2,MONTH(B62)+1,1)),0)</f>
        <v>0</v>
      </c>
      <c r="I62" s="667">
        <f t="shared" si="27"/>
        <v>0</v>
      </c>
      <c r="J62" s="667">
        <f>IFERROR(SUMIFS(KB[TBAYAR],KB[TYPE],"B",KB[TANGGAL],"&gt;="&amp;DATE($D$2,MONTH(B62),1),KB[TANGGAL],"&lt;"&amp;DATE($D$2,MONTH(B62)+1,1)),0)</f>
        <v>0</v>
      </c>
      <c r="K62" s="668">
        <f t="shared" si="28"/>
        <v>0</v>
      </c>
      <c r="L62" s="668">
        <f t="shared" si="25"/>
        <v>0</v>
      </c>
      <c r="M62" s="667">
        <f>IFERROR(SUMIFS(KB[TBAYAR2],KB[TYPE],"B",KB[TANGGAL],"&gt;="&amp;DATE($D$2,MONTH(B62),1),KB[TANGGAL],"&lt;"&amp;DATE($D$2,MONTH(B62)+1,1)),0)</f>
        <v>0</v>
      </c>
      <c r="N62" s="667">
        <f>IFERROR(SUMIFS(KB[POTPPH],KB[TYPE],"B",KB[TANGGAL],"&gt;="&amp;DATE($D$2,MONTH(B62),1),KB[TANGGAL],"&lt;"&amp;DATE($D$2,MONTH(B62)+1,1)),0)</f>
        <v>0</v>
      </c>
      <c r="O62" s="667">
        <f>IFERROR(SUMIFS(KB[TPEMBAYARAN],KB[TYPE],"B",KB[TANGGAL],"&gt;="&amp;DATE($D$2,MONTH(B62),1),KB[TANGGAL],"&lt;"&amp;DATE($D$2,MONTH(B62)+1,1)),0)</f>
        <v>0</v>
      </c>
    </row>
    <row r="63" spans="2:16" ht="6.95" customHeight="1">
      <c r="B63" s="494"/>
      <c r="C63" s="495"/>
      <c r="D63" s="495"/>
      <c r="E63" s="495"/>
      <c r="F63" s="495"/>
      <c r="G63" s="495"/>
      <c r="H63" s="495"/>
      <c r="I63" s="495"/>
      <c r="J63" s="495"/>
      <c r="K63" s="495"/>
      <c r="L63" s="495"/>
      <c r="M63" s="495"/>
      <c r="N63" s="495"/>
      <c r="O63" s="495"/>
    </row>
    <row r="64" spans="2:16" ht="15" customHeight="1">
      <c r="B64" s="680" t="s">
        <v>68</v>
      </c>
      <c r="C64" s="681">
        <f>SUM(C51:C62)</f>
        <v>0</v>
      </c>
      <c r="D64" s="681">
        <f>SUM(D51:D62)</f>
        <v>0</v>
      </c>
      <c r="E64" s="681">
        <f>SUM(E51:E62)</f>
        <v>0</v>
      </c>
      <c r="F64" s="681" t="e">
        <f>G64/E64%</f>
        <v>#DIV/0!</v>
      </c>
      <c r="G64" s="681">
        <f>SUM(G51:G62)</f>
        <v>0</v>
      </c>
      <c r="H64" s="682">
        <f>SUM(H51:H62)</f>
        <v>0</v>
      </c>
      <c r="I64" s="681" t="e">
        <f>J64/H64</f>
        <v>#DIV/0!</v>
      </c>
      <c r="J64" s="681">
        <f t="shared" ref="J64:O64" si="29">SUM(J51:J62)</f>
        <v>0</v>
      </c>
      <c r="K64" s="681">
        <f t="shared" si="29"/>
        <v>0</v>
      </c>
      <c r="L64" s="681">
        <f t="shared" si="29"/>
        <v>0</v>
      </c>
      <c r="M64" s="681">
        <f t="shared" si="29"/>
        <v>0</v>
      </c>
      <c r="N64" s="681">
        <f t="shared" si="29"/>
        <v>0</v>
      </c>
      <c r="O64" s="681">
        <f t="shared" si="29"/>
        <v>0</v>
      </c>
      <c r="P64" s="472"/>
    </row>
    <row r="65" spans="2:18" ht="15" customHeight="1"/>
    <row r="66" spans="2:18" ht="15" customHeight="1"/>
    <row r="67" spans="2:18" ht="15" customHeight="1">
      <c r="B67" s="1193" t="s">
        <v>282</v>
      </c>
      <c r="C67" s="1194" t="s">
        <v>450</v>
      </c>
      <c r="D67" s="1195"/>
      <c r="E67" s="1195"/>
      <c r="F67" s="1195"/>
      <c r="G67" s="1195"/>
      <c r="H67" s="1195"/>
      <c r="I67" s="1195"/>
      <c r="J67" s="1195"/>
      <c r="K67" s="1195"/>
      <c r="L67" s="1195"/>
      <c r="M67" s="1195"/>
      <c r="N67" s="1195"/>
      <c r="O67" s="1196"/>
      <c r="Q67" s="481"/>
      <c r="R67" s="481"/>
    </row>
    <row r="68" spans="2:18" ht="15" customHeight="1">
      <c r="B68" s="1193"/>
      <c r="C68" s="454" t="s">
        <v>372</v>
      </c>
      <c r="D68" s="455" t="s">
        <v>372</v>
      </c>
      <c r="E68" s="456" t="s">
        <v>372</v>
      </c>
      <c r="F68" s="1188" t="s">
        <v>365</v>
      </c>
      <c r="G68" s="1189"/>
      <c r="H68" s="457" t="s">
        <v>372</v>
      </c>
      <c r="I68" s="456" t="s">
        <v>67</v>
      </c>
      <c r="J68" s="458" t="s">
        <v>68</v>
      </c>
      <c r="K68" s="458" t="s">
        <v>393</v>
      </c>
      <c r="L68" s="456" t="s">
        <v>394</v>
      </c>
      <c r="M68" s="458" t="s">
        <v>68</v>
      </c>
      <c r="N68" s="1190" t="s">
        <v>439</v>
      </c>
      <c r="O68" s="458" t="s">
        <v>68</v>
      </c>
      <c r="Q68" s="481"/>
      <c r="R68" s="481"/>
    </row>
    <row r="69" spans="2:18" ht="15" customHeight="1" thickBot="1">
      <c r="B69" s="1193"/>
      <c r="C69" s="482" t="s">
        <v>405</v>
      </c>
      <c r="D69" s="474" t="s">
        <v>406</v>
      </c>
      <c r="E69" s="475" t="s">
        <v>407</v>
      </c>
      <c r="F69" s="476" t="s">
        <v>402</v>
      </c>
      <c r="G69" s="477" t="s">
        <v>46</v>
      </c>
      <c r="H69" s="483" t="s">
        <v>451</v>
      </c>
      <c r="I69" s="479" t="s">
        <v>411</v>
      </c>
      <c r="J69" s="480" t="s">
        <v>413</v>
      </c>
      <c r="K69" s="480" t="s">
        <v>418</v>
      </c>
      <c r="L69" s="479" t="s">
        <v>418</v>
      </c>
      <c r="M69" s="480" t="s">
        <v>441</v>
      </c>
      <c r="N69" s="1191"/>
      <c r="O69" s="480" t="s">
        <v>404</v>
      </c>
      <c r="Q69" s="481"/>
      <c r="R69" s="481"/>
    </row>
    <row r="70" spans="2:18" ht="15" customHeight="1" thickBot="1">
      <c r="B70" s="484">
        <v>1</v>
      </c>
      <c r="C70" s="485">
        <v>2</v>
      </c>
      <c r="D70" s="485">
        <v>3</v>
      </c>
      <c r="E70" s="486" t="s">
        <v>452</v>
      </c>
      <c r="F70" s="487">
        <v>5</v>
      </c>
      <c r="G70" s="487" t="s">
        <v>453</v>
      </c>
      <c r="H70" s="471" t="s">
        <v>444</v>
      </c>
      <c r="I70" s="486">
        <v>8</v>
      </c>
      <c r="J70" s="485" t="s">
        <v>454</v>
      </c>
      <c r="K70" s="487" t="s">
        <v>446</v>
      </c>
      <c r="L70" s="485">
        <v>11</v>
      </c>
      <c r="M70" s="485" t="s">
        <v>447</v>
      </c>
      <c r="N70" s="485">
        <v>13</v>
      </c>
      <c r="O70" s="485" t="s">
        <v>448</v>
      </c>
      <c r="Q70" s="488"/>
      <c r="R70" s="488"/>
    </row>
    <row r="71" spans="2:18" ht="6.95" customHeight="1" thickTop="1">
      <c r="B71" s="514"/>
      <c r="C71" s="513"/>
      <c r="D71" s="513"/>
      <c r="E71" s="515"/>
      <c r="F71" s="516"/>
      <c r="G71" s="516"/>
      <c r="H71" s="512"/>
      <c r="I71" s="515"/>
      <c r="J71" s="513"/>
      <c r="K71" s="516"/>
      <c r="L71" s="513"/>
      <c r="M71" s="513"/>
      <c r="N71" s="513"/>
      <c r="O71" s="513"/>
      <c r="Q71" s="488"/>
      <c r="R71" s="488"/>
    </row>
    <row r="72" spans="2:18" ht="15" customHeight="1">
      <c r="B72" s="493">
        <f>DATE($D$2,1,1)</f>
        <v>43466</v>
      </c>
      <c r="C72" s="667">
        <f>IFERROR(SUMIFS(KBS[BRUTO],KBS[TANGGAL],"&gt;="&amp;DATE($D$2,MONTH(B72),1),KBS[TANGGAL],"&lt;"&amp;DATE($D$2,MONTH(B72)+1,1)),0)</f>
        <v>0</v>
      </c>
      <c r="D72" s="667">
        <f>IFERROR(SUMIFS(KBS[TARRA],KBS[TANGGAL],"&gt;="&amp;DATE($D$2,MONTH(B72),1),KBS[TANGGAL],"&lt;"&amp;DATE($D$2,MONTH(B72)+1,1)),0)</f>
        <v>0</v>
      </c>
      <c r="E72" s="667">
        <f>IFERROR(SUMIFS(KBS[NETTO],KBS[TANGGAL],"&gt;="&amp;DATE($D$2,MONTH(B72),1),KBS[TANGGAL],"&lt;"&amp;DATE($D$2,MONTH(B72)+1,1)),0)</f>
        <v>0</v>
      </c>
      <c r="F72" s="668">
        <f t="shared" ref="F72:F80" si="30">IFERROR(G72/E72%,0)</f>
        <v>0</v>
      </c>
      <c r="G72" s="667">
        <f>IFERROR(SUMIFS(KBS[TPOT],KBS[TANGGAL],"&gt;="&amp;DATE($D$2,MONTH(B72),1),KBS[TANGGAL],"&lt;"&amp;DATE($D$2,MONTH(B72)+1,1)),0)</f>
        <v>0</v>
      </c>
      <c r="H72" s="667">
        <f>IFERROR(SUMIFS(KBS[NETTO2],KBS[TANGGAL],"&gt;="&amp;DATE($D$2,MONTH(B72),1),KBS[TANGGAL],"&lt;"&amp;DATE($D$2,MONTH(B72)+1,1)),0)</f>
        <v>0</v>
      </c>
      <c r="I72" s="667">
        <f t="shared" ref="I72:I80" si="31">IFERROR(J72/H72,0)</f>
        <v>0</v>
      </c>
      <c r="J72" s="667">
        <f>IFERROR(SUMIFS(KBS[TBAYAR],KBS[TANGGAL],"&gt;="&amp;DATE($D$2,MONTH(B72),1),KBS[TANGGAL],"&lt;"&amp;DATE($D$2,MONTH(B72)+1,1)),0)</f>
        <v>0</v>
      </c>
      <c r="K72" s="668">
        <f t="shared" ref="K72:K80" si="32">ROUND(I72*0.5025%,2)</f>
        <v>0</v>
      </c>
      <c r="L72" s="668">
        <f t="shared" ref="L72:L83" si="33">IFERROR(M72/H72,0)</f>
        <v>0</v>
      </c>
      <c r="M72" s="667">
        <f>IFERROR(SUMIFS(KBS[TBAYAR2],KBS[TANGGAL],"&gt;="&amp;DATE($D$2,MONTH(B72),1),KBS[TANGGAL],"&lt;"&amp;DATE($D$2,MONTH(B72)+1,1)),0)</f>
        <v>0</v>
      </c>
      <c r="N72" s="667">
        <f>IFERROR(SUMIFS(KBS[POTPPH],KBS[TANGGAL],"&gt;="&amp;DATE($D$2,MONTH(B72),1),KBS[TANGGAL],"&lt;"&amp;DATE($D$2,MONTH(B72)+1,1)),0)</f>
        <v>0</v>
      </c>
      <c r="O72" s="667">
        <f>IFERROR(SUMIFS(KBS[TPEMBAYARAN],KBS[TANGGAL],"&gt;="&amp;DATE($D$2,MONTH(B72),1),KBS[TANGGAL],"&lt;"&amp;DATE($D$2,MONTH(B72)+1,1)),0)</f>
        <v>0</v>
      </c>
      <c r="Q72" s="489"/>
      <c r="R72" s="490"/>
    </row>
    <row r="73" spans="2:18" ht="15" customHeight="1">
      <c r="B73" s="493">
        <f>DATE($D$2,2,1)</f>
        <v>43497</v>
      </c>
      <c r="C73" s="667">
        <f>IFERROR(SUMIFS(KBS[BRUTO],KBS[TANGGAL],"&gt;="&amp;DATE($D$2,MONTH(B73),1),KBS[TANGGAL],"&lt;"&amp;DATE($D$2,MONTH(B73)+1,1)),0)</f>
        <v>0</v>
      </c>
      <c r="D73" s="667">
        <f>IFERROR(SUMIFS(KBS[TARRA],KBS[TANGGAL],"&gt;="&amp;DATE($D$2,MONTH(B73),1),KBS[TANGGAL],"&lt;"&amp;DATE($D$2,MONTH(B73)+1,1)),0)</f>
        <v>0</v>
      </c>
      <c r="E73" s="667">
        <f>IFERROR(SUMIFS(KBS[NETTO],KBS[TANGGAL],"&gt;="&amp;DATE($D$2,MONTH(B73),1),KBS[TANGGAL],"&lt;"&amp;DATE($D$2,MONTH(B73)+1,1)),0)</f>
        <v>0</v>
      </c>
      <c r="F73" s="668">
        <f t="shared" si="30"/>
        <v>0</v>
      </c>
      <c r="G73" s="667">
        <f>IFERROR(SUMIFS(KBS[TPOT],KBS[TANGGAL],"&gt;="&amp;DATE($D$2,MONTH(B73),1),KBS[TANGGAL],"&lt;"&amp;DATE($D$2,MONTH(B73)+1,1)),0)</f>
        <v>0</v>
      </c>
      <c r="H73" s="667">
        <f>IFERROR(SUMIFS(KBS[NETTO2],KBS[TANGGAL],"&gt;="&amp;DATE($D$2,MONTH(B73),1),KBS[TANGGAL],"&lt;"&amp;DATE($D$2,MONTH(B73)+1,1)),0)</f>
        <v>0</v>
      </c>
      <c r="I73" s="667">
        <f t="shared" si="31"/>
        <v>0</v>
      </c>
      <c r="J73" s="667">
        <f>IFERROR(SUMIFS(KBS[TBAYAR],KBS[TANGGAL],"&gt;="&amp;DATE($D$2,MONTH(B73),1),KBS[TANGGAL],"&lt;"&amp;DATE($D$2,MONTH(B73)+1,1)),0)</f>
        <v>0</v>
      </c>
      <c r="K73" s="668">
        <f t="shared" si="32"/>
        <v>0</v>
      </c>
      <c r="L73" s="668">
        <f t="shared" si="33"/>
        <v>0</v>
      </c>
      <c r="M73" s="667">
        <f>IFERROR(SUMIFS(KBS[TBAYAR2],KBS[TANGGAL],"&gt;="&amp;DATE($D$2,MONTH(B73),1),KBS[TANGGAL],"&lt;"&amp;DATE($D$2,MONTH(B73)+1,1)),0)</f>
        <v>0</v>
      </c>
      <c r="N73" s="667">
        <f>IFERROR(SUMIFS(KBS[POTPPH],KBS[TANGGAL],"&gt;="&amp;DATE($D$2,MONTH(B73),1),KBS[TANGGAL],"&lt;"&amp;DATE($D$2,MONTH(B73)+1,1)),0)</f>
        <v>0</v>
      </c>
      <c r="O73" s="667">
        <f>IFERROR(SUMIFS(KBS[TPEMBAYARAN],KBS[TANGGAL],"&gt;="&amp;DATE($D$2,MONTH(B73),1),KBS[TANGGAL],"&lt;"&amp;DATE($D$2,MONTH(B73)+1,1)),0)</f>
        <v>0</v>
      </c>
      <c r="Q73" s="491"/>
      <c r="R73" s="491"/>
    </row>
    <row r="74" spans="2:18" ht="15" customHeight="1">
      <c r="B74" s="493">
        <f>DATE($D$2,3,1)</f>
        <v>43525</v>
      </c>
      <c r="C74" s="667">
        <f>IFERROR(SUMIFS(KBS[BRUTO],KBS[TANGGAL],"&gt;="&amp;DATE($D$2,MONTH(B74),1),KBS[TANGGAL],"&lt;"&amp;DATE($D$2,MONTH(B74)+1,1)),0)</f>
        <v>0</v>
      </c>
      <c r="D74" s="667">
        <f>IFERROR(SUMIFS(KBS[TARRA],KBS[TANGGAL],"&gt;="&amp;DATE($D$2,MONTH(B74),1),KBS[TANGGAL],"&lt;"&amp;DATE($D$2,MONTH(B74)+1,1)),0)</f>
        <v>0</v>
      </c>
      <c r="E74" s="667">
        <f>IFERROR(SUMIFS(KBS[NETTO],KBS[TANGGAL],"&gt;="&amp;DATE($D$2,MONTH(B74),1),KBS[TANGGAL],"&lt;"&amp;DATE($D$2,MONTH(B74)+1,1)),0)</f>
        <v>0</v>
      </c>
      <c r="F74" s="668">
        <f t="shared" si="30"/>
        <v>0</v>
      </c>
      <c r="G74" s="667">
        <f>IFERROR(SUMIFS(KBS[TPOT],KBS[TANGGAL],"&gt;="&amp;DATE($D$2,MONTH(B74),1),KBS[TANGGAL],"&lt;"&amp;DATE($D$2,MONTH(B74)+1,1)),0)</f>
        <v>0</v>
      </c>
      <c r="H74" s="667">
        <f>IFERROR(SUMIFS(KBS[NETTO2],KBS[TANGGAL],"&gt;="&amp;DATE($D$2,MONTH(B74),1),KBS[TANGGAL],"&lt;"&amp;DATE($D$2,MONTH(B74)+1,1)),0)</f>
        <v>0</v>
      </c>
      <c r="I74" s="667">
        <f t="shared" si="31"/>
        <v>0</v>
      </c>
      <c r="J74" s="667">
        <f>IFERROR(SUMIFS(KBS[TBAYAR],KBS[TANGGAL],"&gt;="&amp;DATE($D$2,MONTH(B74),1),KBS[TANGGAL],"&lt;"&amp;DATE($D$2,MONTH(B74)+1,1)),0)</f>
        <v>0</v>
      </c>
      <c r="K74" s="668">
        <f t="shared" si="32"/>
        <v>0</v>
      </c>
      <c r="L74" s="668">
        <f t="shared" si="33"/>
        <v>0</v>
      </c>
      <c r="M74" s="667">
        <f>IFERROR(SUMIFS(KBS[TBAYAR2],KBS[TANGGAL],"&gt;="&amp;DATE($D$2,MONTH(B74),1),KBS[TANGGAL],"&lt;"&amp;DATE($D$2,MONTH(B74)+1,1)),0)</f>
        <v>0</v>
      </c>
      <c r="N74" s="667">
        <f>IFERROR(SUMIFS(KBS[POTPPH],KBS[TANGGAL],"&gt;="&amp;DATE($D$2,MONTH(B74),1),KBS[TANGGAL],"&lt;"&amp;DATE($D$2,MONTH(B74)+1,1)),0)</f>
        <v>0</v>
      </c>
      <c r="O74" s="667">
        <f>IFERROR(SUMIFS(KBS[TPEMBAYARAN],KBS[TANGGAL],"&gt;="&amp;DATE($D$2,MONTH(B74),1),KBS[TANGGAL],"&lt;"&amp;DATE($D$2,MONTH(B74)+1,1)),0)</f>
        <v>0</v>
      </c>
      <c r="Q74" s="491"/>
      <c r="R74" s="491"/>
    </row>
    <row r="75" spans="2:18" ht="15" customHeight="1">
      <c r="B75" s="493">
        <f>DATE($D$2,4,1)</f>
        <v>43556</v>
      </c>
      <c r="C75" s="667">
        <f>IFERROR(SUMIFS(KBS[BRUTO],KBS[TANGGAL],"&gt;="&amp;DATE($D$2,MONTH(B75),1),KBS[TANGGAL],"&lt;"&amp;DATE($D$2,MONTH(B75)+1,1)),0)</f>
        <v>0</v>
      </c>
      <c r="D75" s="667">
        <f>IFERROR(SUMIFS(KBS[TARRA],KBS[TANGGAL],"&gt;="&amp;DATE($D$2,MONTH(B75),1),KBS[TANGGAL],"&lt;"&amp;DATE($D$2,MONTH(B75)+1,1)),0)</f>
        <v>0</v>
      </c>
      <c r="E75" s="667">
        <f>IFERROR(SUMIFS(KBS[NETTO],KBS[TANGGAL],"&gt;="&amp;DATE($D$2,MONTH(B75),1),KBS[TANGGAL],"&lt;"&amp;DATE($D$2,MONTH(B75)+1,1)),0)</f>
        <v>0</v>
      </c>
      <c r="F75" s="668">
        <f t="shared" si="30"/>
        <v>0</v>
      </c>
      <c r="G75" s="667">
        <f>IFERROR(SUMIFS(KBS[TPOT],KBS[TANGGAL],"&gt;="&amp;DATE($D$2,MONTH(B75),1),KBS[TANGGAL],"&lt;"&amp;DATE($D$2,MONTH(B75)+1,1)),0)</f>
        <v>0</v>
      </c>
      <c r="H75" s="667">
        <f>IFERROR(SUMIFS(KBS[NETTO2],KBS[TANGGAL],"&gt;="&amp;DATE($D$2,MONTH(B75),1),KBS[TANGGAL],"&lt;"&amp;DATE($D$2,MONTH(B75)+1,1)),0)</f>
        <v>0</v>
      </c>
      <c r="I75" s="667">
        <f t="shared" si="31"/>
        <v>0</v>
      </c>
      <c r="J75" s="667">
        <f>IFERROR(SUMIFS(KBS[TBAYAR],KBS[TANGGAL],"&gt;="&amp;DATE($D$2,MONTH(B75),1),KBS[TANGGAL],"&lt;"&amp;DATE($D$2,MONTH(B75)+1,1)),0)</f>
        <v>0</v>
      </c>
      <c r="K75" s="668">
        <f t="shared" si="32"/>
        <v>0</v>
      </c>
      <c r="L75" s="668">
        <f t="shared" si="33"/>
        <v>0</v>
      </c>
      <c r="M75" s="667">
        <f>IFERROR(SUMIFS(KBS[TBAYAR2],KBS[TANGGAL],"&gt;="&amp;DATE($D$2,MONTH(B75),1),KBS[TANGGAL],"&lt;"&amp;DATE($D$2,MONTH(B75)+1,1)),0)</f>
        <v>0</v>
      </c>
      <c r="N75" s="667">
        <f>IFERROR(SUMIFS(KBS[POTPPH],KBS[TANGGAL],"&gt;="&amp;DATE($D$2,MONTH(B75),1),KBS[TANGGAL],"&lt;"&amp;DATE($D$2,MONTH(B75)+1,1)),0)</f>
        <v>0</v>
      </c>
      <c r="O75" s="667">
        <f>IFERROR(SUMIFS(KBS[TPEMBAYARAN],KBS[TANGGAL],"&gt;="&amp;DATE($D$2,MONTH(B75),1),KBS[TANGGAL],"&lt;"&amp;DATE($D$2,MONTH(B75)+1,1)),0)</f>
        <v>0</v>
      </c>
      <c r="Q75" s="492"/>
      <c r="R75" s="492"/>
    </row>
    <row r="76" spans="2:18" ht="15" customHeight="1">
      <c r="B76" s="493">
        <f>DATE($D$2,5,1)</f>
        <v>43586</v>
      </c>
      <c r="C76" s="667">
        <f>IFERROR(SUMIFS(KBS[BRUTO],KBS[TANGGAL],"&gt;="&amp;DATE($D$2,MONTH(B76),1),KBS[TANGGAL],"&lt;"&amp;DATE($D$2,MONTH(B76)+1,1)),0)</f>
        <v>0</v>
      </c>
      <c r="D76" s="667">
        <f>IFERROR(SUMIFS(KBS[TARRA],KBS[TANGGAL],"&gt;="&amp;DATE($D$2,MONTH(B76),1),KBS[TANGGAL],"&lt;"&amp;DATE($D$2,MONTH(B76)+1,1)),0)</f>
        <v>0</v>
      </c>
      <c r="E76" s="667">
        <f>IFERROR(SUMIFS(KBS[NETTO],KBS[TANGGAL],"&gt;="&amp;DATE($D$2,MONTH(B76),1),KBS[TANGGAL],"&lt;"&amp;DATE($D$2,MONTH(B76)+1,1)),0)</f>
        <v>0</v>
      </c>
      <c r="F76" s="668">
        <f t="shared" si="30"/>
        <v>0</v>
      </c>
      <c r="G76" s="667">
        <f>IFERROR(SUMIFS(KBS[TPOT],KBS[TANGGAL],"&gt;="&amp;DATE($D$2,MONTH(B76),1),KBS[TANGGAL],"&lt;"&amp;DATE($D$2,MONTH(B76)+1,1)),0)</f>
        <v>0</v>
      </c>
      <c r="H76" s="667">
        <f>IFERROR(SUMIFS(KBS[NETTO2],KBS[TANGGAL],"&gt;="&amp;DATE($D$2,MONTH(B76),1),KBS[TANGGAL],"&lt;"&amp;DATE($D$2,MONTH(B76)+1,1)),0)</f>
        <v>0</v>
      </c>
      <c r="I76" s="667">
        <f t="shared" si="31"/>
        <v>0</v>
      </c>
      <c r="J76" s="667">
        <f>IFERROR(SUMIFS(KBS[TBAYAR],KBS[TANGGAL],"&gt;="&amp;DATE($D$2,MONTH(B76),1),KBS[TANGGAL],"&lt;"&amp;DATE($D$2,MONTH(B76)+1,1)),0)</f>
        <v>0</v>
      </c>
      <c r="K76" s="668">
        <f t="shared" si="32"/>
        <v>0</v>
      </c>
      <c r="L76" s="668">
        <f t="shared" si="33"/>
        <v>0</v>
      </c>
      <c r="M76" s="667">
        <f>IFERROR(SUMIFS(KBS[TBAYAR2],KBS[TANGGAL],"&gt;="&amp;DATE($D$2,MONTH(B76),1),KBS[TANGGAL],"&lt;"&amp;DATE($D$2,MONTH(B76)+1,1)),0)</f>
        <v>0</v>
      </c>
      <c r="N76" s="667">
        <f>IFERROR(SUMIFS(KBS[POTPPH],KBS[TANGGAL],"&gt;="&amp;DATE($D$2,MONTH(B76),1),KBS[TANGGAL],"&lt;"&amp;DATE($D$2,MONTH(B76)+1,1)),0)</f>
        <v>0</v>
      </c>
      <c r="O76" s="667">
        <f>IFERROR(SUMIFS(KBS[TPEMBAYARAN],KBS[TANGGAL],"&gt;="&amp;DATE($D$2,MONTH(B76),1),KBS[TANGGAL],"&lt;"&amp;DATE($D$2,MONTH(B76)+1,1)),0)</f>
        <v>0</v>
      </c>
    </row>
    <row r="77" spans="2:18" ht="15" customHeight="1">
      <c r="B77" s="493">
        <f>DATE($D$2,6,1)</f>
        <v>43617</v>
      </c>
      <c r="C77" s="667">
        <f>IFERROR(SUMIFS(KBS[BRUTO],KBS[TANGGAL],"&gt;="&amp;DATE($D$2,MONTH(B77),1),KBS[TANGGAL],"&lt;"&amp;DATE($D$2,MONTH(B77)+1,1)),0)</f>
        <v>0</v>
      </c>
      <c r="D77" s="667">
        <f>IFERROR(SUMIFS(KBS[TARRA],KBS[TANGGAL],"&gt;="&amp;DATE($D$2,MONTH(B77),1),KBS[TANGGAL],"&lt;"&amp;DATE($D$2,MONTH(B77)+1,1)),0)</f>
        <v>0</v>
      </c>
      <c r="E77" s="667">
        <f>IFERROR(SUMIFS(KBS[NETTO],KBS[TANGGAL],"&gt;="&amp;DATE($D$2,MONTH(B77),1),KBS[TANGGAL],"&lt;"&amp;DATE($D$2,MONTH(B77)+1,1)),0)</f>
        <v>0</v>
      </c>
      <c r="F77" s="668">
        <f t="shared" si="30"/>
        <v>0</v>
      </c>
      <c r="G77" s="667">
        <f>IFERROR(SUMIFS(KBS[TPOT],KBS[TANGGAL],"&gt;="&amp;DATE($D$2,MONTH(B77),1),KBS[TANGGAL],"&lt;"&amp;DATE($D$2,MONTH(B77)+1,1)),0)</f>
        <v>0</v>
      </c>
      <c r="H77" s="667">
        <f>IFERROR(SUMIFS(KBS[NETTO2],KBS[TANGGAL],"&gt;="&amp;DATE($D$2,MONTH(B77),1),KBS[TANGGAL],"&lt;"&amp;DATE($D$2,MONTH(B77)+1,1)),0)</f>
        <v>0</v>
      </c>
      <c r="I77" s="667">
        <f t="shared" si="31"/>
        <v>0</v>
      </c>
      <c r="J77" s="667">
        <f>IFERROR(SUMIFS(KBS[TBAYAR],KBS[TANGGAL],"&gt;="&amp;DATE($D$2,MONTH(B77),1),KBS[TANGGAL],"&lt;"&amp;DATE($D$2,MONTH(B77)+1,1)),0)</f>
        <v>0</v>
      </c>
      <c r="K77" s="668">
        <f t="shared" si="32"/>
        <v>0</v>
      </c>
      <c r="L77" s="668">
        <f t="shared" si="33"/>
        <v>0</v>
      </c>
      <c r="M77" s="667">
        <f>IFERROR(SUMIFS(KBS[TBAYAR2],KBS[TANGGAL],"&gt;="&amp;DATE($D$2,MONTH(B77),1),KBS[TANGGAL],"&lt;"&amp;DATE($D$2,MONTH(B77)+1,1)),0)</f>
        <v>0</v>
      </c>
      <c r="N77" s="667">
        <f>IFERROR(SUMIFS(KBS[POTPPH],KBS[TANGGAL],"&gt;="&amp;DATE($D$2,MONTH(B77),1),KBS[TANGGAL],"&lt;"&amp;DATE($D$2,MONTH(B77)+1,1)),0)</f>
        <v>0</v>
      </c>
      <c r="O77" s="667">
        <f>IFERROR(SUMIFS(KBS[TPEMBAYARAN],KBS[TANGGAL],"&gt;="&amp;DATE($D$2,MONTH(B77),1),KBS[TANGGAL],"&lt;"&amp;DATE($D$2,MONTH(B77)+1,1)),0)</f>
        <v>0</v>
      </c>
    </row>
    <row r="78" spans="2:18" ht="15" customHeight="1">
      <c r="B78" s="493">
        <f>DATE($D$2,7,1)</f>
        <v>43647</v>
      </c>
      <c r="C78" s="667">
        <f>IFERROR(SUMIFS(KBS[BRUTO],KBS[TANGGAL],"&gt;="&amp;DATE($D$2,MONTH(B78),1),KBS[TANGGAL],"&lt;"&amp;DATE($D$2,MONTH(B78)+1,1)),0)</f>
        <v>0</v>
      </c>
      <c r="D78" s="667">
        <f>IFERROR(SUMIFS(KBS[TARRA],KBS[TANGGAL],"&gt;="&amp;DATE($D$2,MONTH(B78),1),KBS[TANGGAL],"&lt;"&amp;DATE($D$2,MONTH(B78)+1,1)),0)</f>
        <v>0</v>
      </c>
      <c r="E78" s="667">
        <f>IFERROR(SUMIFS(KBS[NETTO],KBS[TANGGAL],"&gt;="&amp;DATE($D$2,MONTH(B78),1),KBS[TANGGAL],"&lt;"&amp;DATE($D$2,MONTH(B78)+1,1)),0)</f>
        <v>0</v>
      </c>
      <c r="F78" s="668">
        <f t="shared" si="30"/>
        <v>0</v>
      </c>
      <c r="G78" s="667">
        <f>IFERROR(SUMIFS(KBS[TPOT],KBS[TANGGAL],"&gt;="&amp;DATE($D$2,MONTH(B78),1),KBS[TANGGAL],"&lt;"&amp;DATE($D$2,MONTH(B78)+1,1)),0)</f>
        <v>0</v>
      </c>
      <c r="H78" s="667">
        <f>IFERROR(SUMIFS(KBS[NETTO2],KBS[TANGGAL],"&gt;="&amp;DATE($D$2,MONTH(B78),1),KBS[TANGGAL],"&lt;"&amp;DATE($D$2,MONTH(B78)+1,1)),0)</f>
        <v>0</v>
      </c>
      <c r="I78" s="667">
        <f t="shared" si="31"/>
        <v>0</v>
      </c>
      <c r="J78" s="667">
        <f>IFERROR(SUMIFS(KBS[TBAYAR],KBS[TANGGAL],"&gt;="&amp;DATE($D$2,MONTH(B78),1),KBS[TANGGAL],"&lt;"&amp;DATE($D$2,MONTH(B78)+1,1)),0)</f>
        <v>0</v>
      </c>
      <c r="K78" s="668">
        <f t="shared" si="32"/>
        <v>0</v>
      </c>
      <c r="L78" s="668">
        <f t="shared" si="33"/>
        <v>0</v>
      </c>
      <c r="M78" s="667">
        <f>IFERROR(SUMIFS(KBS[TBAYAR2],KBS[TANGGAL],"&gt;="&amp;DATE($D$2,MONTH(B78),1),KBS[TANGGAL],"&lt;"&amp;DATE($D$2,MONTH(B78)+1,1)),0)</f>
        <v>0</v>
      </c>
      <c r="N78" s="667">
        <f>IFERROR(SUMIFS(KBS[POTPPH],KBS[TANGGAL],"&gt;="&amp;DATE($D$2,MONTH(B78),1),KBS[TANGGAL],"&lt;"&amp;DATE($D$2,MONTH(B78)+1,1)),0)</f>
        <v>0</v>
      </c>
      <c r="O78" s="667">
        <f>IFERROR(SUMIFS(KBS[TPEMBAYARAN],KBS[TANGGAL],"&gt;="&amp;DATE($D$2,MONTH(B78),1),KBS[TANGGAL],"&lt;"&amp;DATE($D$2,MONTH(B78)+1,1)),0)</f>
        <v>0</v>
      </c>
    </row>
    <row r="79" spans="2:18" ht="15" customHeight="1">
      <c r="B79" s="493">
        <f>DATE($D$2,8,1)</f>
        <v>43678</v>
      </c>
      <c r="C79" s="667">
        <f>IFERROR(SUMIFS(KBS[BRUTO],KBS[TANGGAL],"&gt;="&amp;DATE($D$2,MONTH(B79),1),KBS[TANGGAL],"&lt;"&amp;DATE($D$2,MONTH(B79)+1,1)),0)</f>
        <v>0</v>
      </c>
      <c r="D79" s="667">
        <f>IFERROR(SUMIFS(KBS[TARRA],KBS[TANGGAL],"&gt;="&amp;DATE($D$2,MONTH(B79),1),KBS[TANGGAL],"&lt;"&amp;DATE($D$2,MONTH(B79)+1,1)),0)</f>
        <v>0</v>
      </c>
      <c r="E79" s="667">
        <f>IFERROR(SUMIFS(KBS[NETTO],KBS[TANGGAL],"&gt;="&amp;DATE($D$2,MONTH(B79),1),KBS[TANGGAL],"&lt;"&amp;DATE($D$2,MONTH(B79)+1,1)),0)</f>
        <v>0</v>
      </c>
      <c r="F79" s="668">
        <f t="shared" si="30"/>
        <v>0</v>
      </c>
      <c r="G79" s="667">
        <f>IFERROR(SUMIFS(KBS[TPOT],KBS[TANGGAL],"&gt;="&amp;DATE($D$2,MONTH(B79),1),KBS[TANGGAL],"&lt;"&amp;DATE($D$2,MONTH(B79)+1,1)),0)</f>
        <v>0</v>
      </c>
      <c r="H79" s="667">
        <f>IFERROR(SUMIFS(KBS[NETTO2],KBS[TANGGAL],"&gt;="&amp;DATE($D$2,MONTH(B79),1),KBS[TANGGAL],"&lt;"&amp;DATE($D$2,MONTH(B79)+1,1)),0)</f>
        <v>0</v>
      </c>
      <c r="I79" s="667">
        <f t="shared" si="31"/>
        <v>0</v>
      </c>
      <c r="J79" s="667">
        <f>IFERROR(SUMIFS(KBS[TBAYAR],KBS[TANGGAL],"&gt;="&amp;DATE($D$2,MONTH(B79),1),KBS[TANGGAL],"&lt;"&amp;DATE($D$2,MONTH(B79)+1,1)),0)</f>
        <v>0</v>
      </c>
      <c r="K79" s="668">
        <f t="shared" si="32"/>
        <v>0</v>
      </c>
      <c r="L79" s="668">
        <f t="shared" si="33"/>
        <v>0</v>
      </c>
      <c r="M79" s="667">
        <f>IFERROR(SUMIFS(KBS[TBAYAR2],KBS[TANGGAL],"&gt;="&amp;DATE($D$2,MONTH(B79),1),KBS[TANGGAL],"&lt;"&amp;DATE($D$2,MONTH(B79)+1,1)),0)</f>
        <v>0</v>
      </c>
      <c r="N79" s="667">
        <f>IFERROR(SUMIFS(KBS[POTPPH],KBS[TANGGAL],"&gt;="&amp;DATE($D$2,MONTH(B79),1),KBS[TANGGAL],"&lt;"&amp;DATE($D$2,MONTH(B79)+1,1)),0)</f>
        <v>0</v>
      </c>
      <c r="O79" s="667">
        <f>IFERROR(SUMIFS(KBS[TPEMBAYARAN],KBS[TANGGAL],"&gt;="&amp;DATE($D$2,MONTH(B79),1),KBS[TANGGAL],"&lt;"&amp;DATE($D$2,MONTH(B79)+1,1)),0)</f>
        <v>0</v>
      </c>
    </row>
    <row r="80" spans="2:18" ht="15" customHeight="1">
      <c r="B80" s="493">
        <f>DATE($D$2,9,1)</f>
        <v>43709</v>
      </c>
      <c r="C80" s="667">
        <f>IFERROR(SUMIFS(KBS[BRUTO],KBS[TANGGAL],"&gt;="&amp;DATE($D$2,MONTH(B80),1),KBS[TANGGAL],"&lt;"&amp;DATE($D$2,MONTH(B80)+1,1)),0)</f>
        <v>0</v>
      </c>
      <c r="D80" s="667">
        <f>IFERROR(SUMIFS(KBS[TARRA],KBS[TANGGAL],"&gt;="&amp;DATE($D$2,MONTH(B80),1),KBS[TANGGAL],"&lt;"&amp;DATE($D$2,MONTH(B80)+1,1)),0)</f>
        <v>0</v>
      </c>
      <c r="E80" s="667">
        <f>IFERROR(SUMIFS(KBS[NETTO],KBS[TANGGAL],"&gt;="&amp;DATE($D$2,MONTH(B80),1),KBS[TANGGAL],"&lt;"&amp;DATE($D$2,MONTH(B80)+1,1)),0)</f>
        <v>0</v>
      </c>
      <c r="F80" s="668">
        <f t="shared" si="30"/>
        <v>0</v>
      </c>
      <c r="G80" s="667">
        <f>IFERROR(SUMIFS(KBS[TPOT],KBS[TANGGAL],"&gt;="&amp;DATE($D$2,MONTH(B80),1),KBS[TANGGAL],"&lt;"&amp;DATE($D$2,MONTH(B80)+1,1)),0)</f>
        <v>0</v>
      </c>
      <c r="H80" s="667">
        <f>IFERROR(SUMIFS(KBS[NETTO2],KBS[TANGGAL],"&gt;="&amp;DATE($D$2,MONTH(B80),1),KBS[TANGGAL],"&lt;"&amp;DATE($D$2,MONTH(B80)+1,1)),0)</f>
        <v>0</v>
      </c>
      <c r="I80" s="667">
        <f t="shared" si="31"/>
        <v>0</v>
      </c>
      <c r="J80" s="667">
        <f>IFERROR(SUMIFS(KBS[TBAYAR],KBS[TANGGAL],"&gt;="&amp;DATE($D$2,MONTH(B80),1),KBS[TANGGAL],"&lt;"&amp;DATE($D$2,MONTH(B80)+1,1)),0)</f>
        <v>0</v>
      </c>
      <c r="K80" s="668">
        <f t="shared" si="32"/>
        <v>0</v>
      </c>
      <c r="L80" s="668">
        <f t="shared" si="33"/>
        <v>0</v>
      </c>
      <c r="M80" s="667">
        <f>IFERROR(SUMIFS(KBS[TBAYAR2],KBS[TANGGAL],"&gt;="&amp;DATE($D$2,MONTH(B80),1),KBS[TANGGAL],"&lt;"&amp;DATE($D$2,MONTH(B80)+1,1)),0)</f>
        <v>0</v>
      </c>
      <c r="N80" s="667">
        <f>IFERROR(SUMIFS(KBS[POTPPH],KBS[TANGGAL],"&gt;="&amp;DATE($D$2,MONTH(B80),1),KBS[TANGGAL],"&lt;"&amp;DATE($D$2,MONTH(B80)+1,1)),0)</f>
        <v>0</v>
      </c>
      <c r="O80" s="667">
        <f>IFERROR(SUMIFS(KBS[TPEMBAYARAN],KBS[TANGGAL],"&gt;="&amp;DATE($D$2,MONTH(B80),1),KBS[TANGGAL],"&lt;"&amp;DATE($D$2,MONTH(B80)+1,1)),0)</f>
        <v>0</v>
      </c>
    </row>
    <row r="81" spans="2:15" ht="15" customHeight="1">
      <c r="B81" s="493">
        <f>DATE($D$2,10,1)</f>
        <v>43739</v>
      </c>
      <c r="C81" s="667">
        <f>IFERROR(SUMIFS(KBS[BRUTO],KBS[TANGGAL],"&gt;="&amp;DATE($D$2,MONTH(B81),1),KBS[TANGGAL],"&lt;"&amp;DATE($D$2,MONTH(B81)+1,1)),0)</f>
        <v>0</v>
      </c>
      <c r="D81" s="667">
        <f>IFERROR(SUMIFS(KBS[TARRA],KBS[TANGGAL],"&gt;="&amp;DATE($D$2,MONTH(B81),1),KBS[TANGGAL],"&lt;"&amp;DATE($D$2,MONTH(B81)+1,1)),0)</f>
        <v>0</v>
      </c>
      <c r="E81" s="667">
        <f>IFERROR(SUMIFS(KBS[NETTO],KBS[TANGGAL],"&gt;="&amp;DATE($D$2,MONTH(B81),1),KBS[TANGGAL],"&lt;"&amp;DATE($D$2,MONTH(B81)+1,1)),0)</f>
        <v>0</v>
      </c>
      <c r="F81" s="668">
        <f t="shared" ref="F81:F83" si="34">IFERROR(G81/E81%,0)</f>
        <v>0</v>
      </c>
      <c r="G81" s="667">
        <f>IFERROR(SUMIFS(KBS[TPOT],KBS[TANGGAL],"&gt;="&amp;DATE($D$2,MONTH(B81),1),KBS[TANGGAL],"&lt;"&amp;DATE($D$2,MONTH(B81)+1,1)),0)</f>
        <v>0</v>
      </c>
      <c r="H81" s="667">
        <f>IFERROR(SUMIFS(KBS[NETTO2],KBS[TANGGAL],"&gt;="&amp;DATE($D$2,MONTH(B81),1),KBS[TANGGAL],"&lt;"&amp;DATE($D$2,MONTH(B81)+1,1)),0)</f>
        <v>0</v>
      </c>
      <c r="I81" s="667">
        <f t="shared" ref="I81:I83" si="35">IFERROR(J81/H81,0)</f>
        <v>0</v>
      </c>
      <c r="J81" s="667">
        <f>IFERROR(SUMIFS(KBS[TBAYAR],KBS[TANGGAL],"&gt;="&amp;DATE($D$2,MONTH(B81),1),KBS[TANGGAL],"&lt;"&amp;DATE($D$2,MONTH(B81)+1,1)),0)</f>
        <v>0</v>
      </c>
      <c r="K81" s="668">
        <f t="shared" ref="K81:K83" si="36">ROUND(I81*0.5025%,2)</f>
        <v>0</v>
      </c>
      <c r="L81" s="668">
        <f t="shared" si="33"/>
        <v>0</v>
      </c>
      <c r="M81" s="667">
        <f>IFERROR(SUMIFS(KBS[TBAYAR2],KBS[TANGGAL],"&gt;="&amp;DATE($D$2,MONTH(B81),1),KBS[TANGGAL],"&lt;"&amp;DATE($D$2,MONTH(B81)+1,1)),0)</f>
        <v>0</v>
      </c>
      <c r="N81" s="667">
        <f>IFERROR(SUMIFS(KBS[POTPPH],KBS[TANGGAL],"&gt;="&amp;DATE($D$2,MONTH(B81),1),KBS[TANGGAL],"&lt;"&amp;DATE($D$2,MONTH(B81)+1,1)),0)</f>
        <v>0</v>
      </c>
      <c r="O81" s="667">
        <f>IFERROR(SUMIFS(KBS[TPEMBAYARAN],KBS[TANGGAL],"&gt;="&amp;DATE($D$2,MONTH(B81),1),KBS[TANGGAL],"&lt;"&amp;DATE($D$2,MONTH(B81)+1,1)),0)</f>
        <v>0</v>
      </c>
    </row>
    <row r="82" spans="2:15" ht="15" customHeight="1">
      <c r="B82" s="493">
        <f>DATE($D$2,11,1)</f>
        <v>43770</v>
      </c>
      <c r="C82" s="667">
        <f>IFERROR(SUMIFS(KBS[BRUTO],KBS[TANGGAL],"&gt;="&amp;DATE($D$2,MONTH(B82),1),KBS[TANGGAL],"&lt;"&amp;DATE($D$2,MONTH(B82)+1,1)),0)</f>
        <v>0</v>
      </c>
      <c r="D82" s="667">
        <f>IFERROR(SUMIFS(KBS[TARRA],KBS[TANGGAL],"&gt;="&amp;DATE($D$2,MONTH(B82),1),KBS[TANGGAL],"&lt;"&amp;DATE($D$2,MONTH(B82)+1,1)),0)</f>
        <v>0</v>
      </c>
      <c r="E82" s="667">
        <f>IFERROR(SUMIFS(KBS[NETTO],KBS[TANGGAL],"&gt;="&amp;DATE($D$2,MONTH(B82),1),KBS[TANGGAL],"&lt;"&amp;DATE($D$2,MONTH(B82)+1,1)),0)</f>
        <v>0</v>
      </c>
      <c r="F82" s="668">
        <f t="shared" si="34"/>
        <v>0</v>
      </c>
      <c r="G82" s="667">
        <f>IFERROR(SUMIFS(KBS[TPOT],KBS[TANGGAL],"&gt;="&amp;DATE($D$2,MONTH(B82),1),KBS[TANGGAL],"&lt;"&amp;DATE($D$2,MONTH(B82)+1,1)),0)</f>
        <v>0</v>
      </c>
      <c r="H82" s="667">
        <f>IFERROR(SUMIFS(KBS[NETTO2],KBS[TANGGAL],"&gt;="&amp;DATE($D$2,MONTH(B82),1),KBS[TANGGAL],"&lt;"&amp;DATE($D$2,MONTH(B82)+1,1)),0)</f>
        <v>0</v>
      </c>
      <c r="I82" s="667">
        <f t="shared" si="35"/>
        <v>0</v>
      </c>
      <c r="J82" s="667">
        <f>IFERROR(SUMIFS(KBS[TBAYAR],KBS[TANGGAL],"&gt;="&amp;DATE($D$2,MONTH(B82),1),KBS[TANGGAL],"&lt;"&amp;DATE($D$2,MONTH(B82)+1,1)),0)</f>
        <v>0</v>
      </c>
      <c r="K82" s="668">
        <f t="shared" si="36"/>
        <v>0</v>
      </c>
      <c r="L82" s="668">
        <f t="shared" si="33"/>
        <v>0</v>
      </c>
      <c r="M82" s="667">
        <f>IFERROR(SUMIFS(KBS[TBAYAR2],KBS[TANGGAL],"&gt;="&amp;DATE($D$2,MONTH(B82),1),KBS[TANGGAL],"&lt;"&amp;DATE($D$2,MONTH(B82)+1,1)),0)</f>
        <v>0</v>
      </c>
      <c r="N82" s="667">
        <f>IFERROR(SUMIFS(KBS[POTPPH],KBS[TANGGAL],"&gt;="&amp;DATE($D$2,MONTH(B82),1),KBS[TANGGAL],"&lt;"&amp;DATE($D$2,MONTH(B82)+1,1)),0)</f>
        <v>0</v>
      </c>
      <c r="O82" s="667">
        <f>IFERROR(SUMIFS(KBS[TPEMBAYARAN],KBS[TANGGAL],"&gt;="&amp;DATE($D$2,MONTH(B82),1),KBS[TANGGAL],"&lt;"&amp;DATE($D$2,MONTH(B82)+1,1)),0)</f>
        <v>0</v>
      </c>
    </row>
    <row r="83" spans="2:15" ht="15" customHeight="1">
      <c r="B83" s="493">
        <f>DATE($D$2,12,1)</f>
        <v>43800</v>
      </c>
      <c r="C83" s="667">
        <f>IFERROR(SUMIFS(KBS[BRUTO],KBS[TANGGAL],"&gt;="&amp;DATE($D$2,MONTH(B83),1),KBS[TANGGAL],"&lt;"&amp;DATE($D$2,MONTH(B83)+1,1)),0)</f>
        <v>0</v>
      </c>
      <c r="D83" s="667">
        <f>IFERROR(SUMIFS(KBS[TARRA],KBS[TANGGAL],"&gt;="&amp;DATE($D$2,MONTH(B83),1),KBS[TANGGAL],"&lt;"&amp;DATE($D$2,MONTH(B83)+1,1)),0)</f>
        <v>0</v>
      </c>
      <c r="E83" s="667">
        <f>IFERROR(SUMIFS(KBS[NETTO],KBS[TANGGAL],"&gt;="&amp;DATE($D$2,MONTH(B83),1),KBS[TANGGAL],"&lt;"&amp;DATE($D$2,MONTH(B83)+1,1)),0)</f>
        <v>0</v>
      </c>
      <c r="F83" s="668">
        <f t="shared" si="34"/>
        <v>0</v>
      </c>
      <c r="G83" s="667">
        <f>IFERROR(SUMIFS(KBS[TPOT],KBS[TANGGAL],"&gt;="&amp;DATE($D$2,MONTH(B83),1),KBS[TANGGAL],"&lt;"&amp;DATE($D$2,MONTH(B83)+1,1)),0)</f>
        <v>0</v>
      </c>
      <c r="H83" s="667">
        <f>IFERROR(SUMIFS(KBS[NETTO2],KBS[TANGGAL],"&gt;="&amp;DATE($D$2,MONTH(B83),1),KBS[TANGGAL],"&lt;"&amp;DATE($D$2,MONTH(B83)+1,1)),0)</f>
        <v>0</v>
      </c>
      <c r="I83" s="667">
        <f t="shared" si="35"/>
        <v>0</v>
      </c>
      <c r="J83" s="667">
        <f>IFERROR(SUMIFS(KBS[TBAYAR],KBS[TANGGAL],"&gt;="&amp;DATE($D$2,MONTH(B83),1),KBS[TANGGAL],"&lt;"&amp;DATE($D$2,MONTH(B83)+1,1)),0)</f>
        <v>0</v>
      </c>
      <c r="K83" s="668">
        <f t="shared" si="36"/>
        <v>0</v>
      </c>
      <c r="L83" s="668">
        <f t="shared" si="33"/>
        <v>0</v>
      </c>
      <c r="M83" s="667">
        <f>IFERROR(SUMIFS(KBS[TBAYAR2],KBS[TANGGAL],"&gt;="&amp;DATE($D$2,MONTH(B83),1),KBS[TANGGAL],"&lt;"&amp;DATE($D$2,MONTH(B83)+1,1)),0)</f>
        <v>0</v>
      </c>
      <c r="N83" s="667">
        <f>IFERROR(SUMIFS(KBS[POTPPH],KBS[TANGGAL],"&gt;="&amp;DATE($D$2,MONTH(B83),1),KBS[TANGGAL],"&lt;"&amp;DATE($D$2,MONTH(B83)+1,1)),0)</f>
        <v>0</v>
      </c>
      <c r="O83" s="667">
        <f>IFERROR(SUMIFS(KBS[TPEMBAYARAN],KBS[TANGGAL],"&gt;="&amp;DATE($D$2,MONTH(B83),1),KBS[TANGGAL],"&lt;"&amp;DATE($D$2,MONTH(B83)+1,1)),0)</f>
        <v>0</v>
      </c>
    </row>
    <row r="84" spans="2:15" ht="6.95" customHeight="1">
      <c r="B84" s="494"/>
      <c r="C84" s="495"/>
      <c r="D84" s="495"/>
      <c r="E84" s="495"/>
      <c r="F84" s="495"/>
      <c r="G84" s="495"/>
      <c r="H84" s="495"/>
      <c r="I84" s="495"/>
      <c r="J84" s="495"/>
      <c r="K84" s="495"/>
      <c r="L84" s="495"/>
      <c r="M84" s="495"/>
      <c r="N84" s="495"/>
      <c r="O84" s="495"/>
    </row>
    <row r="85" spans="2:15" ht="15" customHeight="1">
      <c r="B85" s="680" t="s">
        <v>68</v>
      </c>
      <c r="C85" s="681">
        <f t="shared" ref="C85:H85" si="37">SUM(C72:C83)</f>
        <v>0</v>
      </c>
      <c r="D85" s="681">
        <f t="shared" si="37"/>
        <v>0</v>
      </c>
      <c r="E85" s="681">
        <f t="shared" si="37"/>
        <v>0</v>
      </c>
      <c r="F85" s="681">
        <f t="shared" si="37"/>
        <v>0</v>
      </c>
      <c r="G85" s="681">
        <f t="shared" si="37"/>
        <v>0</v>
      </c>
      <c r="H85" s="682">
        <f t="shared" si="37"/>
        <v>0</v>
      </c>
      <c r="I85" s="681" t="e">
        <f>J85/H85</f>
        <v>#DIV/0!</v>
      </c>
      <c r="J85" s="681">
        <f t="shared" ref="J85:O85" si="38">SUM(J72:J83)</f>
        <v>0</v>
      </c>
      <c r="K85" s="681">
        <f t="shared" si="38"/>
        <v>0</v>
      </c>
      <c r="L85" s="681">
        <f t="shared" si="38"/>
        <v>0</v>
      </c>
      <c r="M85" s="681">
        <f t="shared" si="38"/>
        <v>0</v>
      </c>
      <c r="N85" s="681">
        <f t="shared" si="38"/>
        <v>0</v>
      </c>
      <c r="O85" s="681">
        <f t="shared" si="38"/>
        <v>0</v>
      </c>
    </row>
    <row r="86" spans="2:15" ht="15" customHeight="1"/>
  </sheetData>
  <sheetProtection password="C46B" sheet="1" objects="1" scenarios="1"/>
  <mergeCells count="43">
    <mergeCell ref="B67:B69"/>
    <mergeCell ref="C67:O67"/>
    <mergeCell ref="F68:G68"/>
    <mergeCell ref="N68:N69"/>
    <mergeCell ref="B4:B6"/>
    <mergeCell ref="C4:O4"/>
    <mergeCell ref="B46:B48"/>
    <mergeCell ref="C46:O46"/>
    <mergeCell ref="F47:G47"/>
    <mergeCell ref="K47:K48"/>
    <mergeCell ref="L47:L48"/>
    <mergeCell ref="N47:N48"/>
    <mergeCell ref="B25:B27"/>
    <mergeCell ref="C25:O25"/>
    <mergeCell ref="O5:O6"/>
    <mergeCell ref="Q5:Q6"/>
    <mergeCell ref="Q25:Q27"/>
    <mergeCell ref="R25:R27"/>
    <mergeCell ref="F26:G26"/>
    <mergeCell ref="K26:K27"/>
    <mergeCell ref="L26:L27"/>
    <mergeCell ref="N26:N27"/>
    <mergeCell ref="F5:G5"/>
    <mergeCell ref="H5:I5"/>
    <mergeCell ref="J5:J6"/>
    <mergeCell ref="K5:K6"/>
    <mergeCell ref="N5:N6"/>
    <mergeCell ref="V4:V6"/>
    <mergeCell ref="T25:U27"/>
    <mergeCell ref="T30:U30"/>
    <mergeCell ref="T31:U31"/>
    <mergeCell ref="T4:T6"/>
    <mergeCell ref="U4:U6"/>
    <mergeCell ref="T32:U32"/>
    <mergeCell ref="T33:U33"/>
    <mergeCell ref="T34:U34"/>
    <mergeCell ref="T35:U35"/>
    <mergeCell ref="T36:U36"/>
    <mergeCell ref="T37:U37"/>
    <mergeCell ref="T38:U38"/>
    <mergeCell ref="T39:U39"/>
    <mergeCell ref="T40:U40"/>
    <mergeCell ref="T41:U41"/>
  </mergeCells>
  <pageMargins left="0.05" right="0.05" top="0.05" bottom="0.05" header="0.3" footer="0.3"/>
  <pageSetup paperSize="5" scale="65" orientation="landscape" horizontalDpi="4294967293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>
    <tabColor rgb="FF002060"/>
  </sheetPr>
  <dimension ref="A1:WYI79"/>
  <sheetViews>
    <sheetView zoomScale="70" zoomScaleNormal="70" workbookViewId="0">
      <pane xSplit="2" ySplit="8" topLeftCell="O9" activePane="bottomRight" state="frozen"/>
      <selection activeCell="BE20" sqref="BE20"/>
      <selection pane="topRight" activeCell="BE20" sqref="BE20"/>
      <selection pane="bottomLeft" activeCell="BE20" sqref="BE20"/>
      <selection pane="bottomRight" activeCell="T21" sqref="T21"/>
    </sheetView>
  </sheetViews>
  <sheetFormatPr defaultColWidth="0" defaultRowHeight="15"/>
  <cols>
    <col min="1" max="1" width="9.140625" style="391" customWidth="1"/>
    <col min="2" max="2" width="18.28515625" style="391" customWidth="1"/>
    <col min="3" max="3" width="2" style="697" customWidth="1"/>
    <col min="4" max="4" width="18.5703125" style="391" customWidth="1"/>
    <col min="5" max="5" width="11.7109375" style="391" customWidth="1"/>
    <col min="6" max="6" width="14" style="391" customWidth="1"/>
    <col min="7" max="7" width="9.140625" style="391" customWidth="1"/>
    <col min="8" max="8" width="10.28515625" style="391" customWidth="1"/>
    <col min="9" max="9" width="12.7109375" style="391" customWidth="1"/>
    <col min="10" max="10" width="10.5703125" style="391" customWidth="1"/>
    <col min="11" max="11" width="17" style="391" customWidth="1"/>
    <col min="12" max="12" width="10.85546875" style="391" customWidth="1"/>
    <col min="13" max="13" width="12" style="391" customWidth="1"/>
    <col min="14" max="15" width="15.5703125" style="391" customWidth="1"/>
    <col min="16" max="16" width="18.28515625" style="391" customWidth="1"/>
    <col min="17" max="17" width="5.7109375" style="697" customWidth="1"/>
    <col min="18" max="20" width="12.7109375" style="391" customWidth="1"/>
    <col min="21" max="21" width="7.7109375" style="391" customWidth="1"/>
    <col min="22" max="24" width="12.7109375" style="391" customWidth="1"/>
    <col min="25" max="25" width="18.7109375" style="391" customWidth="1"/>
    <col min="26" max="26" width="13.7109375" style="391" customWidth="1"/>
    <col min="27" max="27" width="12.7109375" style="391" customWidth="1"/>
    <col min="28" max="28" width="15.42578125" style="391" bestFit="1" customWidth="1"/>
    <col min="29" max="29" width="13.85546875" style="391" customWidth="1"/>
    <col min="30" max="30" width="15.28515625" style="391" customWidth="1"/>
    <col min="31" max="31" width="5.7109375" style="697" customWidth="1"/>
    <col min="32" max="34" width="12.7109375" style="391" customWidth="1"/>
    <col min="35" max="35" width="7.7109375" style="391" customWidth="1"/>
    <col min="36" max="38" width="12.7109375" style="391" customWidth="1"/>
    <col min="39" max="39" width="14" style="391" customWidth="1"/>
    <col min="40" max="40" width="13.7109375" style="391" customWidth="1"/>
    <col min="41" max="41" width="12.7109375" style="391" customWidth="1"/>
    <col min="42" max="43" width="13.85546875" style="391" customWidth="1"/>
    <col min="44" max="44" width="15.28515625" style="391" customWidth="1"/>
    <col min="45" max="45" width="5.7109375" style="697" customWidth="1"/>
    <col min="46" max="48" width="12.7109375" style="391" customWidth="1"/>
    <col min="49" max="49" width="7.7109375" style="391" customWidth="1"/>
    <col min="50" max="52" width="12.7109375" style="391" customWidth="1"/>
    <col min="53" max="53" width="14" style="391" customWidth="1"/>
    <col min="54" max="54" width="13.7109375" style="391" customWidth="1"/>
    <col min="55" max="55" width="12.7109375" style="391" customWidth="1"/>
    <col min="56" max="57" width="13.85546875" style="391" customWidth="1"/>
    <col min="58" max="58" width="15.28515625" style="391" customWidth="1"/>
    <col min="59" max="59" width="11.85546875" style="391" customWidth="1"/>
    <col min="60" max="61" width="9.140625" style="391" hidden="1"/>
    <col min="62" max="76" width="13.85546875" hidden="1"/>
    <col min="77" max="78" width="12.7109375" hidden="1"/>
    <col min="79" max="79" width="14.28515625" hidden="1"/>
    <col min="80" max="80" width="10.28515625" hidden="1"/>
    <col min="81" max="81" width="8.5703125" hidden="1"/>
    <col min="82" max="82" width="12.7109375" hidden="1"/>
    <col min="83" max="84" width="9.5703125" hidden="1"/>
    <col min="85" max="86" width="12.7109375" hidden="1"/>
    <col min="87" max="87" width="14.140625" hidden="1"/>
    <col min="88" max="88" width="14" hidden="1"/>
    <col min="89" max="90" width="14.42578125" hidden="1"/>
    <col min="91" max="91" width="16.5703125" style="442" hidden="1"/>
    <col min="92" max="253" width="9.140625" style="391" hidden="1"/>
    <col min="254" max="254" width="11.85546875" style="391" hidden="1"/>
    <col min="255" max="255" width="11.7109375" style="391" hidden="1"/>
    <col min="256" max="256" width="11.28515625" style="391" hidden="1"/>
    <col min="257" max="257" width="9.140625" style="391" hidden="1"/>
    <col min="258" max="258" width="10.28515625" style="391" hidden="1"/>
    <col min="259" max="259" width="12.7109375" style="391" hidden="1"/>
    <col min="260" max="260" width="10.5703125" style="391" hidden="1"/>
    <col min="261" max="261" width="17" style="391" hidden="1"/>
    <col min="262" max="262" width="10.85546875" style="391" hidden="1"/>
    <col min="263" max="263" width="9.140625" style="391" hidden="1"/>
    <col min="264" max="265" width="15.5703125" style="391" hidden="1"/>
    <col min="266" max="266" width="18.28515625" style="391" hidden="1"/>
    <col min="267" max="269" width="12.7109375" style="391" hidden="1"/>
    <col min="270" max="270" width="7.7109375" style="391" hidden="1"/>
    <col min="271" max="273" width="12.7109375" style="391" hidden="1"/>
    <col min="274" max="274" width="14" style="391" hidden="1"/>
    <col min="275" max="275" width="13.7109375" style="391" hidden="1"/>
    <col min="276" max="276" width="12.7109375" style="391" hidden="1"/>
    <col min="277" max="278" width="13.85546875" style="391" hidden="1"/>
    <col min="279" max="279" width="15.28515625" style="391" hidden="1"/>
    <col min="280" max="282" width="12.7109375" style="391" hidden="1"/>
    <col min="283" max="283" width="7.7109375" style="391" hidden="1"/>
    <col min="284" max="286" width="12.7109375" style="391" hidden="1"/>
    <col min="287" max="287" width="14" style="391" hidden="1"/>
    <col min="288" max="288" width="13.7109375" style="391" hidden="1"/>
    <col min="289" max="289" width="12.7109375" style="391" hidden="1"/>
    <col min="290" max="291" width="13.85546875" style="391" hidden="1"/>
    <col min="292" max="292" width="15.28515625" style="391" hidden="1"/>
    <col min="293" max="332" width="9.140625" style="391" hidden="1"/>
    <col min="333" max="333" width="16.5703125" style="391" hidden="1"/>
    <col min="334" max="334" width="18" style="391" hidden="1"/>
    <col min="335" max="335" width="16.85546875" style="391" hidden="1"/>
    <col min="336" max="509" width="9.140625" style="391" hidden="1"/>
    <col min="510" max="510" width="11.85546875" style="391" hidden="1"/>
    <col min="511" max="511" width="11.7109375" style="391" hidden="1"/>
    <col min="512" max="512" width="11.28515625" style="391" hidden="1"/>
    <col min="513" max="513" width="9.140625" style="391" hidden="1"/>
    <col min="514" max="514" width="10.28515625" style="391" hidden="1"/>
    <col min="515" max="515" width="12.7109375" style="391" hidden="1"/>
    <col min="516" max="516" width="10.5703125" style="391" hidden="1"/>
    <col min="517" max="517" width="17" style="391" hidden="1"/>
    <col min="518" max="518" width="10.85546875" style="391" hidden="1"/>
    <col min="519" max="519" width="9.140625" style="391" hidden="1"/>
    <col min="520" max="521" width="15.5703125" style="391" hidden="1"/>
    <col min="522" max="522" width="18.28515625" style="391" hidden="1"/>
    <col min="523" max="525" width="12.7109375" style="391" hidden="1"/>
    <col min="526" max="526" width="7.7109375" style="391" hidden="1"/>
    <col min="527" max="529" width="12.7109375" style="391" hidden="1"/>
    <col min="530" max="530" width="14" style="391" hidden="1"/>
    <col min="531" max="531" width="13.7109375" style="391" hidden="1"/>
    <col min="532" max="532" width="12.7109375" style="391" hidden="1"/>
    <col min="533" max="534" width="13.85546875" style="391" hidden="1"/>
    <col min="535" max="535" width="15.28515625" style="391" hidden="1"/>
    <col min="536" max="538" width="12.7109375" style="391" hidden="1"/>
    <col min="539" max="539" width="7.7109375" style="391" hidden="1"/>
    <col min="540" max="542" width="12.7109375" style="391" hidden="1"/>
    <col min="543" max="543" width="14" style="391" hidden="1"/>
    <col min="544" max="544" width="13.7109375" style="391" hidden="1"/>
    <col min="545" max="545" width="12.7109375" style="391" hidden="1"/>
    <col min="546" max="547" width="13.85546875" style="391" hidden="1"/>
    <col min="548" max="548" width="15.28515625" style="391" hidden="1"/>
    <col min="549" max="588" width="9.140625" style="391" hidden="1"/>
    <col min="589" max="589" width="16.5703125" style="391" hidden="1"/>
    <col min="590" max="590" width="18" style="391" hidden="1"/>
    <col min="591" max="591" width="16.85546875" style="391" hidden="1"/>
    <col min="592" max="765" width="9.140625" style="391" hidden="1"/>
    <col min="766" max="766" width="11.85546875" style="391" hidden="1"/>
    <col min="767" max="767" width="11.7109375" style="391" hidden="1"/>
    <col min="768" max="768" width="11.28515625" style="391" hidden="1"/>
    <col min="769" max="769" width="9.140625" style="391" hidden="1"/>
    <col min="770" max="770" width="10.28515625" style="391" hidden="1"/>
    <col min="771" max="771" width="12.7109375" style="391" hidden="1"/>
    <col min="772" max="772" width="10.5703125" style="391" hidden="1"/>
    <col min="773" max="773" width="17" style="391" hidden="1"/>
    <col min="774" max="774" width="10.85546875" style="391" hidden="1"/>
    <col min="775" max="775" width="9.140625" style="391" hidden="1"/>
    <col min="776" max="777" width="15.5703125" style="391" hidden="1"/>
    <col min="778" max="778" width="18.28515625" style="391" hidden="1"/>
    <col min="779" max="781" width="12.7109375" style="391" hidden="1"/>
    <col min="782" max="782" width="7.7109375" style="391" hidden="1"/>
    <col min="783" max="785" width="12.7109375" style="391" hidden="1"/>
    <col min="786" max="786" width="14" style="391" hidden="1"/>
    <col min="787" max="787" width="13.7109375" style="391" hidden="1"/>
    <col min="788" max="788" width="12.7109375" style="391" hidden="1"/>
    <col min="789" max="790" width="13.85546875" style="391" hidden="1"/>
    <col min="791" max="791" width="15.28515625" style="391" hidden="1"/>
    <col min="792" max="794" width="12.7109375" style="391" hidden="1"/>
    <col min="795" max="795" width="7.7109375" style="391" hidden="1"/>
    <col min="796" max="798" width="12.7109375" style="391" hidden="1"/>
    <col min="799" max="799" width="14" style="391" hidden="1"/>
    <col min="800" max="800" width="13.7109375" style="391" hidden="1"/>
    <col min="801" max="801" width="12.7109375" style="391" hidden="1"/>
    <col min="802" max="803" width="13.85546875" style="391" hidden="1"/>
    <col min="804" max="804" width="15.28515625" style="391" hidden="1"/>
    <col min="805" max="844" width="9.140625" style="391" hidden="1"/>
    <col min="845" max="845" width="16.5703125" style="391" hidden="1"/>
    <col min="846" max="846" width="18" style="391" hidden="1"/>
    <col min="847" max="847" width="16.85546875" style="391" hidden="1"/>
    <col min="848" max="1021" width="9.140625" style="391" hidden="1"/>
    <col min="1022" max="1022" width="11.85546875" style="391" hidden="1"/>
    <col min="1023" max="1023" width="11.7109375" style="391" hidden="1"/>
    <col min="1024" max="1024" width="11.28515625" style="391" hidden="1"/>
    <col min="1025" max="1025" width="9.140625" style="391" hidden="1"/>
    <col min="1026" max="1026" width="10.28515625" style="391" hidden="1"/>
    <col min="1027" max="1027" width="12.7109375" style="391" hidden="1"/>
    <col min="1028" max="1028" width="10.5703125" style="391" hidden="1"/>
    <col min="1029" max="1029" width="17" style="391" hidden="1"/>
    <col min="1030" max="1030" width="10.85546875" style="391" hidden="1"/>
    <col min="1031" max="1031" width="9.140625" style="391" hidden="1"/>
    <col min="1032" max="1033" width="15.5703125" style="391" hidden="1"/>
    <col min="1034" max="1034" width="18.28515625" style="391" hidden="1"/>
    <col min="1035" max="1037" width="12.7109375" style="391" hidden="1"/>
    <col min="1038" max="1038" width="7.7109375" style="391" hidden="1"/>
    <col min="1039" max="1041" width="12.7109375" style="391" hidden="1"/>
    <col min="1042" max="1042" width="14" style="391" hidden="1"/>
    <col min="1043" max="1043" width="13.7109375" style="391" hidden="1"/>
    <col min="1044" max="1044" width="12.7109375" style="391" hidden="1"/>
    <col min="1045" max="1046" width="13.85546875" style="391" hidden="1"/>
    <col min="1047" max="1047" width="15.28515625" style="391" hidden="1"/>
    <col min="1048" max="1050" width="12.7109375" style="391" hidden="1"/>
    <col min="1051" max="1051" width="7.7109375" style="391" hidden="1"/>
    <col min="1052" max="1054" width="12.7109375" style="391" hidden="1"/>
    <col min="1055" max="1055" width="14" style="391" hidden="1"/>
    <col min="1056" max="1056" width="13.7109375" style="391" hidden="1"/>
    <col min="1057" max="1057" width="12.7109375" style="391" hidden="1"/>
    <col min="1058" max="1059" width="13.85546875" style="391" hidden="1"/>
    <col min="1060" max="1060" width="15.28515625" style="391" hidden="1"/>
    <col min="1061" max="1100" width="9.140625" style="391" hidden="1"/>
    <col min="1101" max="1101" width="16.5703125" style="391" hidden="1"/>
    <col min="1102" max="1102" width="18" style="391" hidden="1"/>
    <col min="1103" max="1103" width="16.85546875" style="391" hidden="1"/>
    <col min="1104" max="1277" width="9.140625" style="391" hidden="1"/>
    <col min="1278" max="1278" width="11.85546875" style="391" hidden="1"/>
    <col min="1279" max="1279" width="11.7109375" style="391" hidden="1"/>
    <col min="1280" max="1280" width="11.28515625" style="391" hidden="1"/>
    <col min="1281" max="1281" width="9.140625" style="391" hidden="1"/>
    <col min="1282" max="1282" width="10.28515625" style="391" hidden="1"/>
    <col min="1283" max="1283" width="12.7109375" style="391" hidden="1"/>
    <col min="1284" max="1284" width="10.5703125" style="391" hidden="1"/>
    <col min="1285" max="1285" width="17" style="391" hidden="1"/>
    <col min="1286" max="1286" width="10.85546875" style="391" hidden="1"/>
    <col min="1287" max="1287" width="9.140625" style="391" hidden="1"/>
    <col min="1288" max="1289" width="15.5703125" style="391" hidden="1"/>
    <col min="1290" max="1290" width="18.28515625" style="391" hidden="1"/>
    <col min="1291" max="1293" width="12.7109375" style="391" hidden="1"/>
    <col min="1294" max="1294" width="7.7109375" style="391" hidden="1"/>
    <col min="1295" max="1297" width="12.7109375" style="391" hidden="1"/>
    <col min="1298" max="1298" width="14" style="391" hidden="1"/>
    <col min="1299" max="1299" width="13.7109375" style="391" hidden="1"/>
    <col min="1300" max="1300" width="12.7109375" style="391" hidden="1"/>
    <col min="1301" max="1302" width="13.85546875" style="391" hidden="1"/>
    <col min="1303" max="1303" width="15.28515625" style="391" hidden="1"/>
    <col min="1304" max="1306" width="12.7109375" style="391" hidden="1"/>
    <col min="1307" max="1307" width="7.7109375" style="391" hidden="1"/>
    <col min="1308" max="1310" width="12.7109375" style="391" hidden="1"/>
    <col min="1311" max="1311" width="14" style="391" hidden="1"/>
    <col min="1312" max="1312" width="13.7109375" style="391" hidden="1"/>
    <col min="1313" max="1313" width="12.7109375" style="391" hidden="1"/>
    <col min="1314" max="1315" width="13.85546875" style="391" hidden="1"/>
    <col min="1316" max="1316" width="15.28515625" style="391" hidden="1"/>
    <col min="1317" max="1356" width="9.140625" style="391" hidden="1"/>
    <col min="1357" max="1357" width="16.5703125" style="391" hidden="1"/>
    <col min="1358" max="1358" width="18" style="391" hidden="1"/>
    <col min="1359" max="1359" width="16.85546875" style="391" hidden="1"/>
    <col min="1360" max="1533" width="9.140625" style="391" hidden="1"/>
    <col min="1534" max="1534" width="11.85546875" style="391" hidden="1"/>
    <col min="1535" max="1535" width="11.7109375" style="391" hidden="1"/>
    <col min="1536" max="1536" width="11.28515625" style="391" hidden="1"/>
    <col min="1537" max="1537" width="9.140625" style="391" hidden="1"/>
    <col min="1538" max="1538" width="10.28515625" style="391" hidden="1"/>
    <col min="1539" max="1539" width="12.7109375" style="391" hidden="1"/>
    <col min="1540" max="1540" width="10.5703125" style="391" hidden="1"/>
    <col min="1541" max="1541" width="17" style="391" hidden="1"/>
    <col min="1542" max="1542" width="10.85546875" style="391" hidden="1"/>
    <col min="1543" max="1543" width="9.140625" style="391" hidden="1"/>
    <col min="1544" max="1545" width="15.5703125" style="391" hidden="1"/>
    <col min="1546" max="1546" width="18.28515625" style="391" hidden="1"/>
    <col min="1547" max="1549" width="12.7109375" style="391" hidden="1"/>
    <col min="1550" max="1550" width="7.7109375" style="391" hidden="1"/>
    <col min="1551" max="1553" width="12.7109375" style="391" hidden="1"/>
    <col min="1554" max="1554" width="14" style="391" hidden="1"/>
    <col min="1555" max="1555" width="13.7109375" style="391" hidden="1"/>
    <col min="1556" max="1556" width="12.7109375" style="391" hidden="1"/>
    <col min="1557" max="1558" width="13.85546875" style="391" hidden="1"/>
    <col min="1559" max="1559" width="15.28515625" style="391" hidden="1"/>
    <col min="1560" max="1562" width="12.7109375" style="391" hidden="1"/>
    <col min="1563" max="1563" width="7.7109375" style="391" hidden="1"/>
    <col min="1564" max="1566" width="12.7109375" style="391" hidden="1"/>
    <col min="1567" max="1567" width="14" style="391" hidden="1"/>
    <col min="1568" max="1568" width="13.7109375" style="391" hidden="1"/>
    <col min="1569" max="1569" width="12.7109375" style="391" hidden="1"/>
    <col min="1570" max="1571" width="13.85546875" style="391" hidden="1"/>
    <col min="1572" max="1572" width="15.28515625" style="391" hidden="1"/>
    <col min="1573" max="1612" width="9.140625" style="391" hidden="1"/>
    <col min="1613" max="1613" width="16.5703125" style="391" hidden="1"/>
    <col min="1614" max="1614" width="18" style="391" hidden="1"/>
    <col min="1615" max="1615" width="16.85546875" style="391" hidden="1"/>
    <col min="1616" max="1789" width="9.140625" style="391" hidden="1"/>
    <col min="1790" max="1790" width="11.85546875" style="391" hidden="1"/>
    <col min="1791" max="1791" width="11.7109375" style="391" hidden="1"/>
    <col min="1792" max="1792" width="11.28515625" style="391" hidden="1"/>
    <col min="1793" max="1793" width="9.140625" style="391" hidden="1"/>
    <col min="1794" max="1794" width="10.28515625" style="391" hidden="1"/>
    <col min="1795" max="1795" width="12.7109375" style="391" hidden="1"/>
    <col min="1796" max="1796" width="10.5703125" style="391" hidden="1"/>
    <col min="1797" max="1797" width="17" style="391" hidden="1"/>
    <col min="1798" max="1798" width="10.85546875" style="391" hidden="1"/>
    <col min="1799" max="1799" width="9.140625" style="391" hidden="1"/>
    <col min="1800" max="1801" width="15.5703125" style="391" hidden="1"/>
    <col min="1802" max="1802" width="18.28515625" style="391" hidden="1"/>
    <col min="1803" max="1805" width="12.7109375" style="391" hidden="1"/>
    <col min="1806" max="1806" width="7.7109375" style="391" hidden="1"/>
    <col min="1807" max="1809" width="12.7109375" style="391" hidden="1"/>
    <col min="1810" max="1810" width="14" style="391" hidden="1"/>
    <col min="1811" max="1811" width="13.7109375" style="391" hidden="1"/>
    <col min="1812" max="1812" width="12.7109375" style="391" hidden="1"/>
    <col min="1813" max="1814" width="13.85546875" style="391" hidden="1"/>
    <col min="1815" max="1815" width="15.28515625" style="391" hidden="1"/>
    <col min="1816" max="1818" width="12.7109375" style="391" hidden="1"/>
    <col min="1819" max="1819" width="7.7109375" style="391" hidden="1"/>
    <col min="1820" max="1822" width="12.7109375" style="391" hidden="1"/>
    <col min="1823" max="1823" width="14" style="391" hidden="1"/>
    <col min="1824" max="1824" width="13.7109375" style="391" hidden="1"/>
    <col min="1825" max="1825" width="12.7109375" style="391" hidden="1"/>
    <col min="1826" max="1827" width="13.85546875" style="391" hidden="1"/>
    <col min="1828" max="1828" width="15.28515625" style="391" hidden="1"/>
    <col min="1829" max="1868" width="9.140625" style="391" hidden="1"/>
    <col min="1869" max="1869" width="16.5703125" style="391" hidden="1"/>
    <col min="1870" max="1870" width="18" style="391" hidden="1"/>
    <col min="1871" max="1871" width="16.85546875" style="391" hidden="1"/>
    <col min="1872" max="2045" width="9.140625" style="391" hidden="1"/>
    <col min="2046" max="2046" width="11.85546875" style="391" hidden="1"/>
    <col min="2047" max="2047" width="11.7109375" style="391" hidden="1"/>
    <col min="2048" max="2048" width="11.28515625" style="391" hidden="1"/>
    <col min="2049" max="2049" width="9.140625" style="391" hidden="1"/>
    <col min="2050" max="2050" width="10.28515625" style="391" hidden="1"/>
    <col min="2051" max="2051" width="12.7109375" style="391" hidden="1"/>
    <col min="2052" max="2052" width="10.5703125" style="391" hidden="1"/>
    <col min="2053" max="2053" width="17" style="391" hidden="1"/>
    <col min="2054" max="2054" width="10.85546875" style="391" hidden="1"/>
    <col min="2055" max="2055" width="9.140625" style="391" hidden="1"/>
    <col min="2056" max="2057" width="15.5703125" style="391" hidden="1"/>
    <col min="2058" max="2058" width="18.28515625" style="391" hidden="1"/>
    <col min="2059" max="2061" width="12.7109375" style="391" hidden="1"/>
    <col min="2062" max="2062" width="7.7109375" style="391" hidden="1"/>
    <col min="2063" max="2065" width="12.7109375" style="391" hidden="1"/>
    <col min="2066" max="2066" width="14" style="391" hidden="1"/>
    <col min="2067" max="2067" width="13.7109375" style="391" hidden="1"/>
    <col min="2068" max="2068" width="12.7109375" style="391" hidden="1"/>
    <col min="2069" max="2070" width="13.85546875" style="391" hidden="1"/>
    <col min="2071" max="2071" width="15.28515625" style="391" hidden="1"/>
    <col min="2072" max="2074" width="12.7109375" style="391" hidden="1"/>
    <col min="2075" max="2075" width="7.7109375" style="391" hidden="1"/>
    <col min="2076" max="2078" width="12.7109375" style="391" hidden="1"/>
    <col min="2079" max="2079" width="14" style="391" hidden="1"/>
    <col min="2080" max="2080" width="13.7109375" style="391" hidden="1"/>
    <col min="2081" max="2081" width="12.7109375" style="391" hidden="1"/>
    <col min="2082" max="2083" width="13.85546875" style="391" hidden="1"/>
    <col min="2084" max="2084" width="15.28515625" style="391" hidden="1"/>
    <col min="2085" max="2124" width="9.140625" style="391" hidden="1"/>
    <col min="2125" max="2125" width="16.5703125" style="391" hidden="1"/>
    <col min="2126" max="2126" width="18" style="391" hidden="1"/>
    <col min="2127" max="2127" width="16.85546875" style="391" hidden="1"/>
    <col min="2128" max="2301" width="9.140625" style="391" hidden="1"/>
    <col min="2302" max="2302" width="11.85546875" style="391" hidden="1"/>
    <col min="2303" max="2303" width="11.7109375" style="391" hidden="1"/>
    <col min="2304" max="2304" width="11.28515625" style="391" hidden="1"/>
    <col min="2305" max="2305" width="9.140625" style="391" hidden="1"/>
    <col min="2306" max="2306" width="10.28515625" style="391" hidden="1"/>
    <col min="2307" max="2307" width="12.7109375" style="391" hidden="1"/>
    <col min="2308" max="2308" width="10.5703125" style="391" hidden="1"/>
    <col min="2309" max="2309" width="17" style="391" hidden="1"/>
    <col min="2310" max="2310" width="10.85546875" style="391" hidden="1"/>
    <col min="2311" max="2311" width="9.140625" style="391" hidden="1"/>
    <col min="2312" max="2313" width="15.5703125" style="391" hidden="1"/>
    <col min="2314" max="2314" width="18.28515625" style="391" hidden="1"/>
    <col min="2315" max="2317" width="12.7109375" style="391" hidden="1"/>
    <col min="2318" max="2318" width="7.7109375" style="391" hidden="1"/>
    <col min="2319" max="2321" width="12.7109375" style="391" hidden="1"/>
    <col min="2322" max="2322" width="14" style="391" hidden="1"/>
    <col min="2323" max="2323" width="13.7109375" style="391" hidden="1"/>
    <col min="2324" max="2324" width="12.7109375" style="391" hidden="1"/>
    <col min="2325" max="2326" width="13.85546875" style="391" hidden="1"/>
    <col min="2327" max="2327" width="15.28515625" style="391" hidden="1"/>
    <col min="2328" max="2330" width="12.7109375" style="391" hidden="1"/>
    <col min="2331" max="2331" width="7.7109375" style="391" hidden="1"/>
    <col min="2332" max="2334" width="12.7109375" style="391" hidden="1"/>
    <col min="2335" max="2335" width="14" style="391" hidden="1"/>
    <col min="2336" max="2336" width="13.7109375" style="391" hidden="1"/>
    <col min="2337" max="2337" width="12.7109375" style="391" hidden="1"/>
    <col min="2338" max="2339" width="13.85546875" style="391" hidden="1"/>
    <col min="2340" max="2340" width="15.28515625" style="391" hidden="1"/>
    <col min="2341" max="2380" width="9.140625" style="391" hidden="1"/>
    <col min="2381" max="2381" width="16.5703125" style="391" hidden="1"/>
    <col min="2382" max="2382" width="18" style="391" hidden="1"/>
    <col min="2383" max="2383" width="16.85546875" style="391" hidden="1"/>
    <col min="2384" max="2557" width="9.140625" style="391" hidden="1"/>
    <col min="2558" max="2558" width="11.85546875" style="391" hidden="1"/>
    <col min="2559" max="2559" width="11.7109375" style="391" hidden="1"/>
    <col min="2560" max="2560" width="11.28515625" style="391" hidden="1"/>
    <col min="2561" max="2561" width="9.140625" style="391" hidden="1"/>
    <col min="2562" max="2562" width="10.28515625" style="391" hidden="1"/>
    <col min="2563" max="2563" width="12.7109375" style="391" hidden="1"/>
    <col min="2564" max="2564" width="10.5703125" style="391" hidden="1"/>
    <col min="2565" max="2565" width="17" style="391" hidden="1"/>
    <col min="2566" max="2566" width="10.85546875" style="391" hidden="1"/>
    <col min="2567" max="2567" width="9.140625" style="391" hidden="1"/>
    <col min="2568" max="2569" width="15.5703125" style="391" hidden="1"/>
    <col min="2570" max="2570" width="18.28515625" style="391" hidden="1"/>
    <col min="2571" max="2573" width="12.7109375" style="391" hidden="1"/>
    <col min="2574" max="2574" width="7.7109375" style="391" hidden="1"/>
    <col min="2575" max="2577" width="12.7109375" style="391" hidden="1"/>
    <col min="2578" max="2578" width="14" style="391" hidden="1"/>
    <col min="2579" max="2579" width="13.7109375" style="391" hidden="1"/>
    <col min="2580" max="2580" width="12.7109375" style="391" hidden="1"/>
    <col min="2581" max="2582" width="13.85546875" style="391" hidden="1"/>
    <col min="2583" max="2583" width="15.28515625" style="391" hidden="1"/>
    <col min="2584" max="2586" width="12.7109375" style="391" hidden="1"/>
    <col min="2587" max="2587" width="7.7109375" style="391" hidden="1"/>
    <col min="2588" max="2590" width="12.7109375" style="391" hidden="1"/>
    <col min="2591" max="2591" width="14" style="391" hidden="1"/>
    <col min="2592" max="2592" width="13.7109375" style="391" hidden="1"/>
    <col min="2593" max="2593" width="12.7109375" style="391" hidden="1"/>
    <col min="2594" max="2595" width="13.85546875" style="391" hidden="1"/>
    <col min="2596" max="2596" width="15.28515625" style="391" hidden="1"/>
    <col min="2597" max="2636" width="9.140625" style="391" hidden="1"/>
    <col min="2637" max="2637" width="16.5703125" style="391" hidden="1"/>
    <col min="2638" max="2638" width="18" style="391" hidden="1"/>
    <col min="2639" max="2639" width="16.85546875" style="391" hidden="1"/>
    <col min="2640" max="2813" width="9.140625" style="391" hidden="1"/>
    <col min="2814" max="2814" width="11.85546875" style="391" hidden="1"/>
    <col min="2815" max="2815" width="11.7109375" style="391" hidden="1"/>
    <col min="2816" max="2816" width="11.28515625" style="391" hidden="1"/>
    <col min="2817" max="2817" width="9.140625" style="391" hidden="1"/>
    <col min="2818" max="2818" width="10.28515625" style="391" hidden="1"/>
    <col min="2819" max="2819" width="12.7109375" style="391" hidden="1"/>
    <col min="2820" max="2820" width="10.5703125" style="391" hidden="1"/>
    <col min="2821" max="2821" width="17" style="391" hidden="1"/>
    <col min="2822" max="2822" width="10.85546875" style="391" hidden="1"/>
    <col min="2823" max="2823" width="9.140625" style="391" hidden="1"/>
    <col min="2824" max="2825" width="15.5703125" style="391" hidden="1"/>
    <col min="2826" max="2826" width="18.28515625" style="391" hidden="1"/>
    <col min="2827" max="2829" width="12.7109375" style="391" hidden="1"/>
    <col min="2830" max="2830" width="7.7109375" style="391" hidden="1"/>
    <col min="2831" max="2833" width="12.7109375" style="391" hidden="1"/>
    <col min="2834" max="2834" width="14" style="391" hidden="1"/>
    <col min="2835" max="2835" width="13.7109375" style="391" hidden="1"/>
    <col min="2836" max="2836" width="12.7109375" style="391" hidden="1"/>
    <col min="2837" max="2838" width="13.85546875" style="391" hidden="1"/>
    <col min="2839" max="2839" width="15.28515625" style="391" hidden="1"/>
    <col min="2840" max="2842" width="12.7109375" style="391" hidden="1"/>
    <col min="2843" max="2843" width="7.7109375" style="391" hidden="1"/>
    <col min="2844" max="2846" width="12.7109375" style="391" hidden="1"/>
    <col min="2847" max="2847" width="14" style="391" hidden="1"/>
    <col min="2848" max="2848" width="13.7109375" style="391" hidden="1"/>
    <col min="2849" max="2849" width="12.7109375" style="391" hidden="1"/>
    <col min="2850" max="2851" width="13.85546875" style="391" hidden="1"/>
    <col min="2852" max="2852" width="15.28515625" style="391" hidden="1"/>
    <col min="2853" max="2892" width="9.140625" style="391" hidden="1"/>
    <col min="2893" max="2893" width="16.5703125" style="391" hidden="1"/>
    <col min="2894" max="2894" width="18" style="391" hidden="1"/>
    <col min="2895" max="2895" width="16.85546875" style="391" hidden="1"/>
    <col min="2896" max="3069" width="9.140625" style="391" hidden="1"/>
    <col min="3070" max="3070" width="11.85546875" style="391" hidden="1"/>
    <col min="3071" max="3071" width="11.7109375" style="391" hidden="1"/>
    <col min="3072" max="3072" width="11.28515625" style="391" hidden="1"/>
    <col min="3073" max="3073" width="9.140625" style="391" hidden="1"/>
    <col min="3074" max="3074" width="10.28515625" style="391" hidden="1"/>
    <col min="3075" max="3075" width="12.7109375" style="391" hidden="1"/>
    <col min="3076" max="3076" width="10.5703125" style="391" hidden="1"/>
    <col min="3077" max="3077" width="17" style="391" hidden="1"/>
    <col min="3078" max="3078" width="10.85546875" style="391" hidden="1"/>
    <col min="3079" max="3079" width="9.140625" style="391" hidden="1"/>
    <col min="3080" max="3081" width="15.5703125" style="391" hidden="1"/>
    <col min="3082" max="3082" width="18.28515625" style="391" hidden="1"/>
    <col min="3083" max="3085" width="12.7109375" style="391" hidden="1"/>
    <col min="3086" max="3086" width="7.7109375" style="391" hidden="1"/>
    <col min="3087" max="3089" width="12.7109375" style="391" hidden="1"/>
    <col min="3090" max="3090" width="14" style="391" hidden="1"/>
    <col min="3091" max="3091" width="13.7109375" style="391" hidden="1"/>
    <col min="3092" max="3092" width="12.7109375" style="391" hidden="1"/>
    <col min="3093" max="3094" width="13.85546875" style="391" hidden="1"/>
    <col min="3095" max="3095" width="15.28515625" style="391" hidden="1"/>
    <col min="3096" max="3098" width="12.7109375" style="391" hidden="1"/>
    <col min="3099" max="3099" width="7.7109375" style="391" hidden="1"/>
    <col min="3100" max="3102" width="12.7109375" style="391" hidden="1"/>
    <col min="3103" max="3103" width="14" style="391" hidden="1"/>
    <col min="3104" max="3104" width="13.7109375" style="391" hidden="1"/>
    <col min="3105" max="3105" width="12.7109375" style="391" hidden="1"/>
    <col min="3106" max="3107" width="13.85546875" style="391" hidden="1"/>
    <col min="3108" max="3108" width="15.28515625" style="391" hidden="1"/>
    <col min="3109" max="3148" width="9.140625" style="391" hidden="1"/>
    <col min="3149" max="3149" width="16.5703125" style="391" hidden="1"/>
    <col min="3150" max="3150" width="18" style="391" hidden="1"/>
    <col min="3151" max="3151" width="16.85546875" style="391" hidden="1"/>
    <col min="3152" max="3325" width="9.140625" style="391" hidden="1"/>
    <col min="3326" max="3326" width="11.85546875" style="391" hidden="1"/>
    <col min="3327" max="3327" width="11.7109375" style="391" hidden="1"/>
    <col min="3328" max="3328" width="11.28515625" style="391" hidden="1"/>
    <col min="3329" max="3329" width="9.140625" style="391" hidden="1"/>
    <col min="3330" max="3330" width="10.28515625" style="391" hidden="1"/>
    <col min="3331" max="3331" width="12.7109375" style="391" hidden="1"/>
    <col min="3332" max="3332" width="10.5703125" style="391" hidden="1"/>
    <col min="3333" max="3333" width="17" style="391" hidden="1"/>
    <col min="3334" max="3334" width="10.85546875" style="391" hidden="1"/>
    <col min="3335" max="3335" width="9.140625" style="391" hidden="1"/>
    <col min="3336" max="3337" width="15.5703125" style="391" hidden="1"/>
    <col min="3338" max="3338" width="18.28515625" style="391" hidden="1"/>
    <col min="3339" max="3341" width="12.7109375" style="391" hidden="1"/>
    <col min="3342" max="3342" width="7.7109375" style="391" hidden="1"/>
    <col min="3343" max="3345" width="12.7109375" style="391" hidden="1"/>
    <col min="3346" max="3346" width="14" style="391" hidden="1"/>
    <col min="3347" max="3347" width="13.7109375" style="391" hidden="1"/>
    <col min="3348" max="3348" width="12.7109375" style="391" hidden="1"/>
    <col min="3349" max="3350" width="13.85546875" style="391" hidden="1"/>
    <col min="3351" max="3351" width="15.28515625" style="391" hidden="1"/>
    <col min="3352" max="3354" width="12.7109375" style="391" hidden="1"/>
    <col min="3355" max="3355" width="7.7109375" style="391" hidden="1"/>
    <col min="3356" max="3358" width="12.7109375" style="391" hidden="1"/>
    <col min="3359" max="3359" width="14" style="391" hidden="1"/>
    <col min="3360" max="3360" width="13.7109375" style="391" hidden="1"/>
    <col min="3361" max="3361" width="12.7109375" style="391" hidden="1"/>
    <col min="3362" max="3363" width="13.85546875" style="391" hidden="1"/>
    <col min="3364" max="3364" width="15.28515625" style="391" hidden="1"/>
    <col min="3365" max="3404" width="9.140625" style="391" hidden="1"/>
    <col min="3405" max="3405" width="16.5703125" style="391" hidden="1"/>
    <col min="3406" max="3406" width="18" style="391" hidden="1"/>
    <col min="3407" max="3407" width="16.85546875" style="391" hidden="1"/>
    <col min="3408" max="3581" width="9.140625" style="391" hidden="1"/>
    <col min="3582" max="3582" width="11.85546875" style="391" hidden="1"/>
    <col min="3583" max="3583" width="11.7109375" style="391" hidden="1"/>
    <col min="3584" max="3584" width="11.28515625" style="391" hidden="1"/>
    <col min="3585" max="3585" width="9.140625" style="391" hidden="1"/>
    <col min="3586" max="3586" width="10.28515625" style="391" hidden="1"/>
    <col min="3587" max="3587" width="12.7109375" style="391" hidden="1"/>
    <col min="3588" max="3588" width="10.5703125" style="391" hidden="1"/>
    <col min="3589" max="3589" width="17" style="391" hidden="1"/>
    <col min="3590" max="3590" width="10.85546875" style="391" hidden="1"/>
    <col min="3591" max="3591" width="9.140625" style="391" hidden="1"/>
    <col min="3592" max="3593" width="15.5703125" style="391" hidden="1"/>
    <col min="3594" max="3594" width="18.28515625" style="391" hidden="1"/>
    <col min="3595" max="3597" width="12.7109375" style="391" hidden="1"/>
    <col min="3598" max="3598" width="7.7109375" style="391" hidden="1"/>
    <col min="3599" max="3601" width="12.7109375" style="391" hidden="1"/>
    <col min="3602" max="3602" width="14" style="391" hidden="1"/>
    <col min="3603" max="3603" width="13.7109375" style="391" hidden="1"/>
    <col min="3604" max="3604" width="12.7109375" style="391" hidden="1"/>
    <col min="3605" max="3606" width="13.85546875" style="391" hidden="1"/>
    <col min="3607" max="3607" width="15.28515625" style="391" hidden="1"/>
    <col min="3608" max="3610" width="12.7109375" style="391" hidden="1"/>
    <col min="3611" max="3611" width="7.7109375" style="391" hidden="1"/>
    <col min="3612" max="3614" width="12.7109375" style="391" hidden="1"/>
    <col min="3615" max="3615" width="14" style="391" hidden="1"/>
    <col min="3616" max="3616" width="13.7109375" style="391" hidden="1"/>
    <col min="3617" max="3617" width="12.7109375" style="391" hidden="1"/>
    <col min="3618" max="3619" width="13.85546875" style="391" hidden="1"/>
    <col min="3620" max="3620" width="15.28515625" style="391" hidden="1"/>
    <col min="3621" max="3660" width="9.140625" style="391" hidden="1"/>
    <col min="3661" max="3661" width="16.5703125" style="391" hidden="1"/>
    <col min="3662" max="3662" width="18" style="391" hidden="1"/>
    <col min="3663" max="3663" width="16.85546875" style="391" hidden="1"/>
    <col min="3664" max="3837" width="9.140625" style="391" hidden="1"/>
    <col min="3838" max="3838" width="11.85546875" style="391" hidden="1"/>
    <col min="3839" max="3839" width="11.7109375" style="391" hidden="1"/>
    <col min="3840" max="3840" width="11.28515625" style="391" hidden="1"/>
    <col min="3841" max="3841" width="9.140625" style="391" hidden="1"/>
    <col min="3842" max="3842" width="10.28515625" style="391" hidden="1"/>
    <col min="3843" max="3843" width="12.7109375" style="391" hidden="1"/>
    <col min="3844" max="3844" width="10.5703125" style="391" hidden="1"/>
    <col min="3845" max="3845" width="17" style="391" hidden="1"/>
    <col min="3846" max="3846" width="10.85546875" style="391" hidden="1"/>
    <col min="3847" max="3847" width="9.140625" style="391" hidden="1"/>
    <col min="3848" max="3849" width="15.5703125" style="391" hidden="1"/>
    <col min="3850" max="3850" width="18.28515625" style="391" hidden="1"/>
    <col min="3851" max="3853" width="12.7109375" style="391" hidden="1"/>
    <col min="3854" max="3854" width="7.7109375" style="391" hidden="1"/>
    <col min="3855" max="3857" width="12.7109375" style="391" hidden="1"/>
    <col min="3858" max="3858" width="14" style="391" hidden="1"/>
    <col min="3859" max="3859" width="13.7109375" style="391" hidden="1"/>
    <col min="3860" max="3860" width="12.7109375" style="391" hidden="1"/>
    <col min="3861" max="3862" width="13.85546875" style="391" hidden="1"/>
    <col min="3863" max="3863" width="15.28515625" style="391" hidden="1"/>
    <col min="3864" max="3866" width="12.7109375" style="391" hidden="1"/>
    <col min="3867" max="3867" width="7.7109375" style="391" hidden="1"/>
    <col min="3868" max="3870" width="12.7109375" style="391" hidden="1"/>
    <col min="3871" max="3871" width="14" style="391" hidden="1"/>
    <col min="3872" max="3872" width="13.7109375" style="391" hidden="1"/>
    <col min="3873" max="3873" width="12.7109375" style="391" hidden="1"/>
    <col min="3874" max="3875" width="13.85546875" style="391" hidden="1"/>
    <col min="3876" max="3876" width="15.28515625" style="391" hidden="1"/>
    <col min="3877" max="3916" width="9.140625" style="391" hidden="1"/>
    <col min="3917" max="3917" width="16.5703125" style="391" hidden="1"/>
    <col min="3918" max="3918" width="18" style="391" hidden="1"/>
    <col min="3919" max="3919" width="16.85546875" style="391" hidden="1"/>
    <col min="3920" max="4093" width="9.140625" style="391" hidden="1"/>
    <col min="4094" max="4094" width="11.85546875" style="391" hidden="1"/>
    <col min="4095" max="4095" width="11.7109375" style="391" hidden="1"/>
    <col min="4096" max="4096" width="11.28515625" style="391" hidden="1"/>
    <col min="4097" max="4097" width="9.140625" style="391" hidden="1"/>
    <col min="4098" max="4098" width="10.28515625" style="391" hidden="1"/>
    <col min="4099" max="4099" width="12.7109375" style="391" hidden="1"/>
    <col min="4100" max="4100" width="10.5703125" style="391" hidden="1"/>
    <col min="4101" max="4101" width="17" style="391" hidden="1"/>
    <col min="4102" max="4102" width="10.85546875" style="391" hidden="1"/>
    <col min="4103" max="4103" width="9.140625" style="391" hidden="1"/>
    <col min="4104" max="4105" width="15.5703125" style="391" hidden="1"/>
    <col min="4106" max="4106" width="18.28515625" style="391" hidden="1"/>
    <col min="4107" max="4109" width="12.7109375" style="391" hidden="1"/>
    <col min="4110" max="4110" width="7.7109375" style="391" hidden="1"/>
    <col min="4111" max="4113" width="12.7109375" style="391" hidden="1"/>
    <col min="4114" max="4114" width="14" style="391" hidden="1"/>
    <col min="4115" max="4115" width="13.7109375" style="391" hidden="1"/>
    <col min="4116" max="4116" width="12.7109375" style="391" hidden="1"/>
    <col min="4117" max="4118" width="13.85546875" style="391" hidden="1"/>
    <col min="4119" max="4119" width="15.28515625" style="391" hidden="1"/>
    <col min="4120" max="4122" width="12.7109375" style="391" hidden="1"/>
    <col min="4123" max="4123" width="7.7109375" style="391" hidden="1"/>
    <col min="4124" max="4126" width="12.7109375" style="391" hidden="1"/>
    <col min="4127" max="4127" width="14" style="391" hidden="1"/>
    <col min="4128" max="4128" width="13.7109375" style="391" hidden="1"/>
    <col min="4129" max="4129" width="12.7109375" style="391" hidden="1"/>
    <col min="4130" max="4131" width="13.85546875" style="391" hidden="1"/>
    <col min="4132" max="4132" width="15.28515625" style="391" hidden="1"/>
    <col min="4133" max="4172" width="9.140625" style="391" hidden="1"/>
    <col min="4173" max="4173" width="16.5703125" style="391" hidden="1"/>
    <col min="4174" max="4174" width="18" style="391" hidden="1"/>
    <col min="4175" max="4175" width="16.85546875" style="391" hidden="1"/>
    <col min="4176" max="4349" width="9.140625" style="391" hidden="1"/>
    <col min="4350" max="4350" width="11.85546875" style="391" hidden="1"/>
    <col min="4351" max="4351" width="11.7109375" style="391" hidden="1"/>
    <col min="4352" max="4352" width="11.28515625" style="391" hidden="1"/>
    <col min="4353" max="4353" width="9.140625" style="391" hidden="1"/>
    <col min="4354" max="4354" width="10.28515625" style="391" hidden="1"/>
    <col min="4355" max="4355" width="12.7109375" style="391" hidden="1"/>
    <col min="4356" max="4356" width="10.5703125" style="391" hidden="1"/>
    <col min="4357" max="4357" width="17" style="391" hidden="1"/>
    <col min="4358" max="4358" width="10.85546875" style="391" hidden="1"/>
    <col min="4359" max="4359" width="9.140625" style="391" hidden="1"/>
    <col min="4360" max="4361" width="15.5703125" style="391" hidden="1"/>
    <col min="4362" max="4362" width="18.28515625" style="391" hidden="1"/>
    <col min="4363" max="4365" width="12.7109375" style="391" hidden="1"/>
    <col min="4366" max="4366" width="7.7109375" style="391" hidden="1"/>
    <col min="4367" max="4369" width="12.7109375" style="391" hidden="1"/>
    <col min="4370" max="4370" width="14" style="391" hidden="1"/>
    <col min="4371" max="4371" width="13.7109375" style="391" hidden="1"/>
    <col min="4372" max="4372" width="12.7109375" style="391" hidden="1"/>
    <col min="4373" max="4374" width="13.85546875" style="391" hidden="1"/>
    <col min="4375" max="4375" width="15.28515625" style="391" hidden="1"/>
    <col min="4376" max="4378" width="12.7109375" style="391" hidden="1"/>
    <col min="4379" max="4379" width="7.7109375" style="391" hidden="1"/>
    <col min="4380" max="4382" width="12.7109375" style="391" hidden="1"/>
    <col min="4383" max="4383" width="14" style="391" hidden="1"/>
    <col min="4384" max="4384" width="13.7109375" style="391" hidden="1"/>
    <col min="4385" max="4385" width="12.7109375" style="391" hidden="1"/>
    <col min="4386" max="4387" width="13.85546875" style="391" hidden="1"/>
    <col min="4388" max="4388" width="15.28515625" style="391" hidden="1"/>
    <col min="4389" max="4428" width="9.140625" style="391" hidden="1"/>
    <col min="4429" max="4429" width="16.5703125" style="391" hidden="1"/>
    <col min="4430" max="4430" width="18" style="391" hidden="1"/>
    <col min="4431" max="4431" width="16.85546875" style="391" hidden="1"/>
    <col min="4432" max="4605" width="9.140625" style="391" hidden="1"/>
    <col min="4606" max="4606" width="11.85546875" style="391" hidden="1"/>
    <col min="4607" max="4607" width="11.7109375" style="391" hidden="1"/>
    <col min="4608" max="4608" width="11.28515625" style="391" hidden="1"/>
    <col min="4609" max="4609" width="9.140625" style="391" hidden="1"/>
    <col min="4610" max="4610" width="10.28515625" style="391" hidden="1"/>
    <col min="4611" max="4611" width="12.7109375" style="391" hidden="1"/>
    <col min="4612" max="4612" width="10.5703125" style="391" hidden="1"/>
    <col min="4613" max="4613" width="17" style="391" hidden="1"/>
    <col min="4614" max="4614" width="10.85546875" style="391" hidden="1"/>
    <col min="4615" max="4615" width="9.140625" style="391" hidden="1"/>
    <col min="4616" max="4617" width="15.5703125" style="391" hidden="1"/>
    <col min="4618" max="4618" width="18.28515625" style="391" hidden="1"/>
    <col min="4619" max="4621" width="12.7109375" style="391" hidden="1"/>
    <col min="4622" max="4622" width="7.7109375" style="391" hidden="1"/>
    <col min="4623" max="4625" width="12.7109375" style="391" hidden="1"/>
    <col min="4626" max="4626" width="14" style="391" hidden="1"/>
    <col min="4627" max="4627" width="13.7109375" style="391" hidden="1"/>
    <col min="4628" max="4628" width="12.7109375" style="391" hidden="1"/>
    <col min="4629" max="4630" width="13.85546875" style="391" hidden="1"/>
    <col min="4631" max="4631" width="15.28515625" style="391" hidden="1"/>
    <col min="4632" max="4634" width="12.7109375" style="391" hidden="1"/>
    <col min="4635" max="4635" width="7.7109375" style="391" hidden="1"/>
    <col min="4636" max="4638" width="12.7109375" style="391" hidden="1"/>
    <col min="4639" max="4639" width="14" style="391" hidden="1"/>
    <col min="4640" max="4640" width="13.7109375" style="391" hidden="1"/>
    <col min="4641" max="4641" width="12.7109375" style="391" hidden="1"/>
    <col min="4642" max="4643" width="13.85546875" style="391" hidden="1"/>
    <col min="4644" max="4644" width="15.28515625" style="391" hidden="1"/>
    <col min="4645" max="4684" width="9.140625" style="391" hidden="1"/>
    <col min="4685" max="4685" width="16.5703125" style="391" hidden="1"/>
    <col min="4686" max="4686" width="18" style="391" hidden="1"/>
    <col min="4687" max="4687" width="16.85546875" style="391" hidden="1"/>
    <col min="4688" max="4861" width="9.140625" style="391" hidden="1"/>
    <col min="4862" max="4862" width="11.85546875" style="391" hidden="1"/>
    <col min="4863" max="4863" width="11.7109375" style="391" hidden="1"/>
    <col min="4864" max="4864" width="11.28515625" style="391" hidden="1"/>
    <col min="4865" max="4865" width="9.140625" style="391" hidden="1"/>
    <col min="4866" max="4866" width="10.28515625" style="391" hidden="1"/>
    <col min="4867" max="4867" width="12.7109375" style="391" hidden="1"/>
    <col min="4868" max="4868" width="10.5703125" style="391" hidden="1"/>
    <col min="4869" max="4869" width="17" style="391" hidden="1"/>
    <col min="4870" max="4870" width="10.85546875" style="391" hidden="1"/>
    <col min="4871" max="4871" width="9.140625" style="391" hidden="1"/>
    <col min="4872" max="4873" width="15.5703125" style="391" hidden="1"/>
    <col min="4874" max="4874" width="18.28515625" style="391" hidden="1"/>
    <col min="4875" max="4877" width="12.7109375" style="391" hidden="1"/>
    <col min="4878" max="4878" width="7.7109375" style="391" hidden="1"/>
    <col min="4879" max="4881" width="12.7109375" style="391" hidden="1"/>
    <col min="4882" max="4882" width="14" style="391" hidden="1"/>
    <col min="4883" max="4883" width="13.7109375" style="391" hidden="1"/>
    <col min="4884" max="4884" width="12.7109375" style="391" hidden="1"/>
    <col min="4885" max="4886" width="13.85546875" style="391" hidden="1"/>
    <col min="4887" max="4887" width="15.28515625" style="391" hidden="1"/>
    <col min="4888" max="4890" width="12.7109375" style="391" hidden="1"/>
    <col min="4891" max="4891" width="7.7109375" style="391" hidden="1"/>
    <col min="4892" max="4894" width="12.7109375" style="391" hidden="1"/>
    <col min="4895" max="4895" width="14" style="391" hidden="1"/>
    <col min="4896" max="4896" width="13.7109375" style="391" hidden="1"/>
    <col min="4897" max="4897" width="12.7109375" style="391" hidden="1"/>
    <col min="4898" max="4899" width="13.85546875" style="391" hidden="1"/>
    <col min="4900" max="4900" width="15.28515625" style="391" hidden="1"/>
    <col min="4901" max="4940" width="9.140625" style="391" hidden="1"/>
    <col min="4941" max="4941" width="16.5703125" style="391" hidden="1"/>
    <col min="4942" max="4942" width="18" style="391" hidden="1"/>
    <col min="4943" max="4943" width="16.85546875" style="391" hidden="1"/>
    <col min="4944" max="5117" width="9.140625" style="391" hidden="1"/>
    <col min="5118" max="5118" width="11.85546875" style="391" hidden="1"/>
    <col min="5119" max="5119" width="11.7109375" style="391" hidden="1"/>
    <col min="5120" max="5120" width="11.28515625" style="391" hidden="1"/>
    <col min="5121" max="5121" width="9.140625" style="391" hidden="1"/>
    <col min="5122" max="5122" width="10.28515625" style="391" hidden="1"/>
    <col min="5123" max="5123" width="12.7109375" style="391" hidden="1"/>
    <col min="5124" max="5124" width="10.5703125" style="391" hidden="1"/>
    <col min="5125" max="5125" width="17" style="391" hidden="1"/>
    <col min="5126" max="5126" width="10.85546875" style="391" hidden="1"/>
    <col min="5127" max="5127" width="9.140625" style="391" hidden="1"/>
    <col min="5128" max="5129" width="15.5703125" style="391" hidden="1"/>
    <col min="5130" max="5130" width="18.28515625" style="391" hidden="1"/>
    <col min="5131" max="5133" width="12.7109375" style="391" hidden="1"/>
    <col min="5134" max="5134" width="7.7109375" style="391" hidden="1"/>
    <col min="5135" max="5137" width="12.7109375" style="391" hidden="1"/>
    <col min="5138" max="5138" width="14" style="391" hidden="1"/>
    <col min="5139" max="5139" width="13.7109375" style="391" hidden="1"/>
    <col min="5140" max="5140" width="12.7109375" style="391" hidden="1"/>
    <col min="5141" max="5142" width="13.85546875" style="391" hidden="1"/>
    <col min="5143" max="5143" width="15.28515625" style="391" hidden="1"/>
    <col min="5144" max="5146" width="12.7109375" style="391" hidden="1"/>
    <col min="5147" max="5147" width="7.7109375" style="391" hidden="1"/>
    <col min="5148" max="5150" width="12.7109375" style="391" hidden="1"/>
    <col min="5151" max="5151" width="14" style="391" hidden="1"/>
    <col min="5152" max="5152" width="13.7109375" style="391" hidden="1"/>
    <col min="5153" max="5153" width="12.7109375" style="391" hidden="1"/>
    <col min="5154" max="5155" width="13.85546875" style="391" hidden="1"/>
    <col min="5156" max="5156" width="15.28515625" style="391" hidden="1"/>
    <col min="5157" max="5196" width="9.140625" style="391" hidden="1"/>
    <col min="5197" max="5197" width="16.5703125" style="391" hidden="1"/>
    <col min="5198" max="5198" width="18" style="391" hidden="1"/>
    <col min="5199" max="5199" width="16.85546875" style="391" hidden="1"/>
    <col min="5200" max="5373" width="9.140625" style="391" hidden="1"/>
    <col min="5374" max="5374" width="11.85546875" style="391" hidden="1"/>
    <col min="5375" max="5375" width="11.7109375" style="391" hidden="1"/>
    <col min="5376" max="5376" width="11.28515625" style="391" hidden="1"/>
    <col min="5377" max="5377" width="9.140625" style="391" hidden="1"/>
    <col min="5378" max="5378" width="10.28515625" style="391" hidden="1"/>
    <col min="5379" max="5379" width="12.7109375" style="391" hidden="1"/>
    <col min="5380" max="5380" width="10.5703125" style="391" hidden="1"/>
    <col min="5381" max="5381" width="17" style="391" hidden="1"/>
    <col min="5382" max="5382" width="10.85546875" style="391" hidden="1"/>
    <col min="5383" max="5383" width="9.140625" style="391" hidden="1"/>
    <col min="5384" max="5385" width="15.5703125" style="391" hidden="1"/>
    <col min="5386" max="5386" width="18.28515625" style="391" hidden="1"/>
    <col min="5387" max="5389" width="12.7109375" style="391" hidden="1"/>
    <col min="5390" max="5390" width="7.7109375" style="391" hidden="1"/>
    <col min="5391" max="5393" width="12.7109375" style="391" hidden="1"/>
    <col min="5394" max="5394" width="14" style="391" hidden="1"/>
    <col min="5395" max="5395" width="13.7109375" style="391" hidden="1"/>
    <col min="5396" max="5396" width="12.7109375" style="391" hidden="1"/>
    <col min="5397" max="5398" width="13.85546875" style="391" hidden="1"/>
    <col min="5399" max="5399" width="15.28515625" style="391" hidden="1"/>
    <col min="5400" max="5402" width="12.7109375" style="391" hidden="1"/>
    <col min="5403" max="5403" width="7.7109375" style="391" hidden="1"/>
    <col min="5404" max="5406" width="12.7109375" style="391" hidden="1"/>
    <col min="5407" max="5407" width="14" style="391" hidden="1"/>
    <col min="5408" max="5408" width="13.7109375" style="391" hidden="1"/>
    <col min="5409" max="5409" width="12.7109375" style="391" hidden="1"/>
    <col min="5410" max="5411" width="13.85546875" style="391" hidden="1"/>
    <col min="5412" max="5412" width="15.28515625" style="391" hidden="1"/>
    <col min="5413" max="5452" width="9.140625" style="391" hidden="1"/>
    <col min="5453" max="5453" width="16.5703125" style="391" hidden="1"/>
    <col min="5454" max="5454" width="18" style="391" hidden="1"/>
    <col min="5455" max="5455" width="16.85546875" style="391" hidden="1"/>
    <col min="5456" max="5629" width="9.140625" style="391" hidden="1"/>
    <col min="5630" max="5630" width="11.85546875" style="391" hidden="1"/>
    <col min="5631" max="5631" width="11.7109375" style="391" hidden="1"/>
    <col min="5632" max="5632" width="11.28515625" style="391" hidden="1"/>
    <col min="5633" max="5633" width="9.140625" style="391" hidden="1"/>
    <col min="5634" max="5634" width="10.28515625" style="391" hidden="1"/>
    <col min="5635" max="5635" width="12.7109375" style="391" hidden="1"/>
    <col min="5636" max="5636" width="10.5703125" style="391" hidden="1"/>
    <col min="5637" max="5637" width="17" style="391" hidden="1"/>
    <col min="5638" max="5638" width="10.85546875" style="391" hidden="1"/>
    <col min="5639" max="5639" width="9.140625" style="391" hidden="1"/>
    <col min="5640" max="5641" width="15.5703125" style="391" hidden="1"/>
    <col min="5642" max="5642" width="18.28515625" style="391" hidden="1"/>
    <col min="5643" max="5645" width="12.7109375" style="391" hidden="1"/>
    <col min="5646" max="5646" width="7.7109375" style="391" hidden="1"/>
    <col min="5647" max="5649" width="12.7109375" style="391" hidden="1"/>
    <col min="5650" max="5650" width="14" style="391" hidden="1"/>
    <col min="5651" max="5651" width="13.7109375" style="391" hidden="1"/>
    <col min="5652" max="5652" width="12.7109375" style="391" hidden="1"/>
    <col min="5653" max="5654" width="13.85546875" style="391" hidden="1"/>
    <col min="5655" max="5655" width="15.28515625" style="391" hidden="1"/>
    <col min="5656" max="5658" width="12.7109375" style="391" hidden="1"/>
    <col min="5659" max="5659" width="7.7109375" style="391" hidden="1"/>
    <col min="5660" max="5662" width="12.7109375" style="391" hidden="1"/>
    <col min="5663" max="5663" width="14" style="391" hidden="1"/>
    <col min="5664" max="5664" width="13.7109375" style="391" hidden="1"/>
    <col min="5665" max="5665" width="12.7109375" style="391" hidden="1"/>
    <col min="5666" max="5667" width="13.85546875" style="391" hidden="1"/>
    <col min="5668" max="5668" width="15.28515625" style="391" hidden="1"/>
    <col min="5669" max="5708" width="9.140625" style="391" hidden="1"/>
    <col min="5709" max="5709" width="16.5703125" style="391" hidden="1"/>
    <col min="5710" max="5710" width="18" style="391" hidden="1"/>
    <col min="5711" max="5711" width="16.85546875" style="391" hidden="1"/>
    <col min="5712" max="5885" width="9.140625" style="391" hidden="1"/>
    <col min="5886" max="5886" width="11.85546875" style="391" hidden="1"/>
    <col min="5887" max="5887" width="11.7109375" style="391" hidden="1"/>
    <col min="5888" max="5888" width="11.28515625" style="391" hidden="1"/>
    <col min="5889" max="5889" width="9.140625" style="391" hidden="1"/>
    <col min="5890" max="5890" width="10.28515625" style="391" hidden="1"/>
    <col min="5891" max="5891" width="12.7109375" style="391" hidden="1"/>
    <col min="5892" max="5892" width="10.5703125" style="391" hidden="1"/>
    <col min="5893" max="5893" width="17" style="391" hidden="1"/>
    <col min="5894" max="5894" width="10.85546875" style="391" hidden="1"/>
    <col min="5895" max="5895" width="9.140625" style="391" hidden="1"/>
    <col min="5896" max="5897" width="15.5703125" style="391" hidden="1"/>
    <col min="5898" max="5898" width="18.28515625" style="391" hidden="1"/>
    <col min="5899" max="5901" width="12.7109375" style="391" hidden="1"/>
    <col min="5902" max="5902" width="7.7109375" style="391" hidden="1"/>
    <col min="5903" max="5905" width="12.7109375" style="391" hidden="1"/>
    <col min="5906" max="5906" width="14" style="391" hidden="1"/>
    <col min="5907" max="5907" width="13.7109375" style="391" hidden="1"/>
    <col min="5908" max="5908" width="12.7109375" style="391" hidden="1"/>
    <col min="5909" max="5910" width="13.85546875" style="391" hidden="1"/>
    <col min="5911" max="5911" width="15.28515625" style="391" hidden="1"/>
    <col min="5912" max="5914" width="12.7109375" style="391" hidden="1"/>
    <col min="5915" max="5915" width="7.7109375" style="391" hidden="1"/>
    <col min="5916" max="5918" width="12.7109375" style="391" hidden="1"/>
    <col min="5919" max="5919" width="14" style="391" hidden="1"/>
    <col min="5920" max="5920" width="13.7109375" style="391" hidden="1"/>
    <col min="5921" max="5921" width="12.7109375" style="391" hidden="1"/>
    <col min="5922" max="5923" width="13.85546875" style="391" hidden="1"/>
    <col min="5924" max="5924" width="15.28515625" style="391" hidden="1"/>
    <col min="5925" max="5964" width="9.140625" style="391" hidden="1"/>
    <col min="5965" max="5965" width="16.5703125" style="391" hidden="1"/>
    <col min="5966" max="5966" width="18" style="391" hidden="1"/>
    <col min="5967" max="5967" width="16.85546875" style="391" hidden="1"/>
    <col min="5968" max="6141" width="9.140625" style="391" hidden="1"/>
    <col min="6142" max="6142" width="11.85546875" style="391" hidden="1"/>
    <col min="6143" max="6143" width="11.7109375" style="391" hidden="1"/>
    <col min="6144" max="6144" width="11.28515625" style="391" hidden="1"/>
    <col min="6145" max="6145" width="9.140625" style="391" hidden="1"/>
    <col min="6146" max="6146" width="10.28515625" style="391" hidden="1"/>
    <col min="6147" max="6147" width="12.7109375" style="391" hidden="1"/>
    <col min="6148" max="6148" width="10.5703125" style="391" hidden="1"/>
    <col min="6149" max="6149" width="17" style="391" hidden="1"/>
    <col min="6150" max="6150" width="10.85546875" style="391" hidden="1"/>
    <col min="6151" max="6151" width="9.140625" style="391" hidden="1"/>
    <col min="6152" max="6153" width="15.5703125" style="391" hidden="1"/>
    <col min="6154" max="6154" width="18.28515625" style="391" hidden="1"/>
    <col min="6155" max="6157" width="12.7109375" style="391" hidden="1"/>
    <col min="6158" max="6158" width="7.7109375" style="391" hidden="1"/>
    <col min="6159" max="6161" width="12.7109375" style="391" hidden="1"/>
    <col min="6162" max="6162" width="14" style="391" hidden="1"/>
    <col min="6163" max="6163" width="13.7109375" style="391" hidden="1"/>
    <col min="6164" max="6164" width="12.7109375" style="391" hidden="1"/>
    <col min="6165" max="6166" width="13.85546875" style="391" hidden="1"/>
    <col min="6167" max="6167" width="15.28515625" style="391" hidden="1"/>
    <col min="6168" max="6170" width="12.7109375" style="391" hidden="1"/>
    <col min="6171" max="6171" width="7.7109375" style="391" hidden="1"/>
    <col min="6172" max="6174" width="12.7109375" style="391" hidden="1"/>
    <col min="6175" max="6175" width="14" style="391" hidden="1"/>
    <col min="6176" max="6176" width="13.7109375" style="391" hidden="1"/>
    <col min="6177" max="6177" width="12.7109375" style="391" hidden="1"/>
    <col min="6178" max="6179" width="13.85546875" style="391" hidden="1"/>
    <col min="6180" max="6180" width="15.28515625" style="391" hidden="1"/>
    <col min="6181" max="6220" width="9.140625" style="391" hidden="1"/>
    <col min="6221" max="6221" width="16.5703125" style="391" hidden="1"/>
    <col min="6222" max="6222" width="18" style="391" hidden="1"/>
    <col min="6223" max="6223" width="16.85546875" style="391" hidden="1"/>
    <col min="6224" max="6397" width="9.140625" style="391" hidden="1"/>
    <col min="6398" max="6398" width="11.85546875" style="391" hidden="1"/>
    <col min="6399" max="6399" width="11.7109375" style="391" hidden="1"/>
    <col min="6400" max="6400" width="11.28515625" style="391" hidden="1"/>
    <col min="6401" max="6401" width="9.140625" style="391" hidden="1"/>
    <col min="6402" max="6402" width="10.28515625" style="391" hidden="1"/>
    <col min="6403" max="6403" width="12.7109375" style="391" hidden="1"/>
    <col min="6404" max="6404" width="10.5703125" style="391" hidden="1"/>
    <col min="6405" max="6405" width="17" style="391" hidden="1"/>
    <col min="6406" max="6406" width="10.85546875" style="391" hidden="1"/>
    <col min="6407" max="6407" width="9.140625" style="391" hidden="1"/>
    <col min="6408" max="6409" width="15.5703125" style="391" hidden="1"/>
    <col min="6410" max="6410" width="18.28515625" style="391" hidden="1"/>
    <col min="6411" max="6413" width="12.7109375" style="391" hidden="1"/>
    <col min="6414" max="6414" width="7.7109375" style="391" hidden="1"/>
    <col min="6415" max="6417" width="12.7109375" style="391" hidden="1"/>
    <col min="6418" max="6418" width="14" style="391" hidden="1"/>
    <col min="6419" max="6419" width="13.7109375" style="391" hidden="1"/>
    <col min="6420" max="6420" width="12.7109375" style="391" hidden="1"/>
    <col min="6421" max="6422" width="13.85546875" style="391" hidden="1"/>
    <col min="6423" max="6423" width="15.28515625" style="391" hidden="1"/>
    <col min="6424" max="6426" width="12.7109375" style="391" hidden="1"/>
    <col min="6427" max="6427" width="7.7109375" style="391" hidden="1"/>
    <col min="6428" max="6430" width="12.7109375" style="391" hidden="1"/>
    <col min="6431" max="6431" width="14" style="391" hidden="1"/>
    <col min="6432" max="6432" width="13.7109375" style="391" hidden="1"/>
    <col min="6433" max="6433" width="12.7109375" style="391" hidden="1"/>
    <col min="6434" max="6435" width="13.85546875" style="391" hidden="1"/>
    <col min="6436" max="6436" width="15.28515625" style="391" hidden="1"/>
    <col min="6437" max="6476" width="9.140625" style="391" hidden="1"/>
    <col min="6477" max="6477" width="16.5703125" style="391" hidden="1"/>
    <col min="6478" max="6478" width="18" style="391" hidden="1"/>
    <col min="6479" max="6479" width="16.85546875" style="391" hidden="1"/>
    <col min="6480" max="6653" width="9.140625" style="391" hidden="1"/>
    <col min="6654" max="6654" width="11.85546875" style="391" hidden="1"/>
    <col min="6655" max="6655" width="11.7109375" style="391" hidden="1"/>
    <col min="6656" max="6656" width="11.28515625" style="391" hidden="1"/>
    <col min="6657" max="6657" width="9.140625" style="391" hidden="1"/>
    <col min="6658" max="6658" width="10.28515625" style="391" hidden="1"/>
    <col min="6659" max="6659" width="12.7109375" style="391" hidden="1"/>
    <col min="6660" max="6660" width="10.5703125" style="391" hidden="1"/>
    <col min="6661" max="6661" width="17" style="391" hidden="1"/>
    <col min="6662" max="6662" width="10.85546875" style="391" hidden="1"/>
    <col min="6663" max="6663" width="9.140625" style="391" hidden="1"/>
    <col min="6664" max="6665" width="15.5703125" style="391" hidden="1"/>
    <col min="6666" max="6666" width="18.28515625" style="391" hidden="1"/>
    <col min="6667" max="6669" width="12.7109375" style="391" hidden="1"/>
    <col min="6670" max="6670" width="7.7109375" style="391" hidden="1"/>
    <col min="6671" max="6673" width="12.7109375" style="391" hidden="1"/>
    <col min="6674" max="6674" width="14" style="391" hidden="1"/>
    <col min="6675" max="6675" width="13.7109375" style="391" hidden="1"/>
    <col min="6676" max="6676" width="12.7109375" style="391" hidden="1"/>
    <col min="6677" max="6678" width="13.85546875" style="391" hidden="1"/>
    <col min="6679" max="6679" width="15.28515625" style="391" hidden="1"/>
    <col min="6680" max="6682" width="12.7109375" style="391" hidden="1"/>
    <col min="6683" max="6683" width="7.7109375" style="391" hidden="1"/>
    <col min="6684" max="6686" width="12.7109375" style="391" hidden="1"/>
    <col min="6687" max="6687" width="14" style="391" hidden="1"/>
    <col min="6688" max="6688" width="13.7109375" style="391" hidden="1"/>
    <col min="6689" max="6689" width="12.7109375" style="391" hidden="1"/>
    <col min="6690" max="6691" width="13.85546875" style="391" hidden="1"/>
    <col min="6692" max="6692" width="15.28515625" style="391" hidden="1"/>
    <col min="6693" max="6732" width="9.140625" style="391" hidden="1"/>
    <col min="6733" max="6733" width="16.5703125" style="391" hidden="1"/>
    <col min="6734" max="6734" width="18" style="391" hidden="1"/>
    <col min="6735" max="6735" width="16.85546875" style="391" hidden="1"/>
    <col min="6736" max="6909" width="9.140625" style="391" hidden="1"/>
    <col min="6910" max="6910" width="11.85546875" style="391" hidden="1"/>
    <col min="6911" max="6911" width="11.7109375" style="391" hidden="1"/>
    <col min="6912" max="6912" width="11.28515625" style="391" hidden="1"/>
    <col min="6913" max="6913" width="9.140625" style="391" hidden="1"/>
    <col min="6914" max="6914" width="10.28515625" style="391" hidden="1"/>
    <col min="6915" max="6915" width="12.7109375" style="391" hidden="1"/>
    <col min="6916" max="6916" width="10.5703125" style="391" hidden="1"/>
    <col min="6917" max="6917" width="17" style="391" hidden="1"/>
    <col min="6918" max="6918" width="10.85546875" style="391" hidden="1"/>
    <col min="6919" max="6919" width="9.140625" style="391" hidden="1"/>
    <col min="6920" max="6921" width="15.5703125" style="391" hidden="1"/>
    <col min="6922" max="6922" width="18.28515625" style="391" hidden="1"/>
    <col min="6923" max="6925" width="12.7109375" style="391" hidden="1"/>
    <col min="6926" max="6926" width="7.7109375" style="391" hidden="1"/>
    <col min="6927" max="6929" width="12.7109375" style="391" hidden="1"/>
    <col min="6930" max="6930" width="14" style="391" hidden="1"/>
    <col min="6931" max="6931" width="13.7109375" style="391" hidden="1"/>
    <col min="6932" max="6932" width="12.7109375" style="391" hidden="1"/>
    <col min="6933" max="6934" width="13.85546875" style="391" hidden="1"/>
    <col min="6935" max="6935" width="15.28515625" style="391" hidden="1"/>
    <col min="6936" max="6938" width="12.7109375" style="391" hidden="1"/>
    <col min="6939" max="6939" width="7.7109375" style="391" hidden="1"/>
    <col min="6940" max="6942" width="12.7109375" style="391" hidden="1"/>
    <col min="6943" max="6943" width="14" style="391" hidden="1"/>
    <col min="6944" max="6944" width="13.7109375" style="391" hidden="1"/>
    <col min="6945" max="6945" width="12.7109375" style="391" hidden="1"/>
    <col min="6946" max="6947" width="13.85546875" style="391" hidden="1"/>
    <col min="6948" max="6948" width="15.28515625" style="391" hidden="1"/>
    <col min="6949" max="6988" width="9.140625" style="391" hidden="1"/>
    <col min="6989" max="6989" width="16.5703125" style="391" hidden="1"/>
    <col min="6990" max="6990" width="18" style="391" hidden="1"/>
    <col min="6991" max="6991" width="16.85546875" style="391" hidden="1"/>
    <col min="6992" max="7165" width="9.140625" style="391" hidden="1"/>
    <col min="7166" max="7166" width="11.85546875" style="391" hidden="1"/>
    <col min="7167" max="7167" width="11.7109375" style="391" hidden="1"/>
    <col min="7168" max="7168" width="11.28515625" style="391" hidden="1"/>
    <col min="7169" max="7169" width="9.140625" style="391" hidden="1"/>
    <col min="7170" max="7170" width="10.28515625" style="391" hidden="1"/>
    <col min="7171" max="7171" width="12.7109375" style="391" hidden="1"/>
    <col min="7172" max="7172" width="10.5703125" style="391" hidden="1"/>
    <col min="7173" max="7173" width="17" style="391" hidden="1"/>
    <col min="7174" max="7174" width="10.85546875" style="391" hidden="1"/>
    <col min="7175" max="7175" width="9.140625" style="391" hidden="1"/>
    <col min="7176" max="7177" width="15.5703125" style="391" hidden="1"/>
    <col min="7178" max="7178" width="18.28515625" style="391" hidden="1"/>
    <col min="7179" max="7181" width="12.7109375" style="391" hidden="1"/>
    <col min="7182" max="7182" width="7.7109375" style="391" hidden="1"/>
    <col min="7183" max="7185" width="12.7109375" style="391" hidden="1"/>
    <col min="7186" max="7186" width="14" style="391" hidden="1"/>
    <col min="7187" max="7187" width="13.7109375" style="391" hidden="1"/>
    <col min="7188" max="7188" width="12.7109375" style="391" hidden="1"/>
    <col min="7189" max="7190" width="13.85546875" style="391" hidden="1"/>
    <col min="7191" max="7191" width="15.28515625" style="391" hidden="1"/>
    <col min="7192" max="7194" width="12.7109375" style="391" hidden="1"/>
    <col min="7195" max="7195" width="7.7109375" style="391" hidden="1"/>
    <col min="7196" max="7198" width="12.7109375" style="391" hidden="1"/>
    <col min="7199" max="7199" width="14" style="391" hidden="1"/>
    <col min="7200" max="7200" width="13.7109375" style="391" hidden="1"/>
    <col min="7201" max="7201" width="12.7109375" style="391" hidden="1"/>
    <col min="7202" max="7203" width="13.85546875" style="391" hidden="1"/>
    <col min="7204" max="7204" width="15.28515625" style="391" hidden="1"/>
    <col min="7205" max="7244" width="9.140625" style="391" hidden="1"/>
    <col min="7245" max="7245" width="16.5703125" style="391" hidden="1"/>
    <col min="7246" max="7246" width="18" style="391" hidden="1"/>
    <col min="7247" max="7247" width="16.85546875" style="391" hidden="1"/>
    <col min="7248" max="7421" width="9.140625" style="391" hidden="1"/>
    <col min="7422" max="7422" width="11.85546875" style="391" hidden="1"/>
    <col min="7423" max="7423" width="11.7109375" style="391" hidden="1"/>
    <col min="7424" max="7424" width="11.28515625" style="391" hidden="1"/>
    <col min="7425" max="7425" width="9.140625" style="391" hidden="1"/>
    <col min="7426" max="7426" width="10.28515625" style="391" hidden="1"/>
    <col min="7427" max="7427" width="12.7109375" style="391" hidden="1"/>
    <col min="7428" max="7428" width="10.5703125" style="391" hidden="1"/>
    <col min="7429" max="7429" width="17" style="391" hidden="1"/>
    <col min="7430" max="7430" width="10.85546875" style="391" hidden="1"/>
    <col min="7431" max="7431" width="9.140625" style="391" hidden="1"/>
    <col min="7432" max="7433" width="15.5703125" style="391" hidden="1"/>
    <col min="7434" max="7434" width="18.28515625" style="391" hidden="1"/>
    <col min="7435" max="7437" width="12.7109375" style="391" hidden="1"/>
    <col min="7438" max="7438" width="7.7109375" style="391" hidden="1"/>
    <col min="7439" max="7441" width="12.7109375" style="391" hidden="1"/>
    <col min="7442" max="7442" width="14" style="391" hidden="1"/>
    <col min="7443" max="7443" width="13.7109375" style="391" hidden="1"/>
    <col min="7444" max="7444" width="12.7109375" style="391" hidden="1"/>
    <col min="7445" max="7446" width="13.85546875" style="391" hidden="1"/>
    <col min="7447" max="7447" width="15.28515625" style="391" hidden="1"/>
    <col min="7448" max="7450" width="12.7109375" style="391" hidden="1"/>
    <col min="7451" max="7451" width="7.7109375" style="391" hidden="1"/>
    <col min="7452" max="7454" width="12.7109375" style="391" hidden="1"/>
    <col min="7455" max="7455" width="14" style="391" hidden="1"/>
    <col min="7456" max="7456" width="13.7109375" style="391" hidden="1"/>
    <col min="7457" max="7457" width="12.7109375" style="391" hidden="1"/>
    <col min="7458" max="7459" width="13.85546875" style="391" hidden="1"/>
    <col min="7460" max="7460" width="15.28515625" style="391" hidden="1"/>
    <col min="7461" max="7500" width="9.140625" style="391" hidden="1"/>
    <col min="7501" max="7501" width="16.5703125" style="391" hidden="1"/>
    <col min="7502" max="7502" width="18" style="391" hidden="1"/>
    <col min="7503" max="7503" width="16.85546875" style="391" hidden="1"/>
    <col min="7504" max="7677" width="9.140625" style="391" hidden="1"/>
    <col min="7678" max="7678" width="11.85546875" style="391" hidden="1"/>
    <col min="7679" max="7679" width="11.7109375" style="391" hidden="1"/>
    <col min="7680" max="7680" width="11.28515625" style="391" hidden="1"/>
    <col min="7681" max="7681" width="9.140625" style="391" hidden="1"/>
    <col min="7682" max="7682" width="10.28515625" style="391" hidden="1"/>
    <col min="7683" max="7683" width="12.7109375" style="391" hidden="1"/>
    <col min="7684" max="7684" width="10.5703125" style="391" hidden="1"/>
    <col min="7685" max="7685" width="17" style="391" hidden="1"/>
    <col min="7686" max="7686" width="10.85546875" style="391" hidden="1"/>
    <col min="7687" max="7687" width="9.140625" style="391" hidden="1"/>
    <col min="7688" max="7689" width="15.5703125" style="391" hidden="1"/>
    <col min="7690" max="7690" width="18.28515625" style="391" hidden="1"/>
    <col min="7691" max="7693" width="12.7109375" style="391" hidden="1"/>
    <col min="7694" max="7694" width="7.7109375" style="391" hidden="1"/>
    <col min="7695" max="7697" width="12.7109375" style="391" hidden="1"/>
    <col min="7698" max="7698" width="14" style="391" hidden="1"/>
    <col min="7699" max="7699" width="13.7109375" style="391" hidden="1"/>
    <col min="7700" max="7700" width="12.7109375" style="391" hidden="1"/>
    <col min="7701" max="7702" width="13.85546875" style="391" hidden="1"/>
    <col min="7703" max="7703" width="15.28515625" style="391" hidden="1"/>
    <col min="7704" max="7706" width="12.7109375" style="391" hidden="1"/>
    <col min="7707" max="7707" width="7.7109375" style="391" hidden="1"/>
    <col min="7708" max="7710" width="12.7109375" style="391" hidden="1"/>
    <col min="7711" max="7711" width="14" style="391" hidden="1"/>
    <col min="7712" max="7712" width="13.7109375" style="391" hidden="1"/>
    <col min="7713" max="7713" width="12.7109375" style="391" hidden="1"/>
    <col min="7714" max="7715" width="13.85546875" style="391" hidden="1"/>
    <col min="7716" max="7716" width="15.28515625" style="391" hidden="1"/>
    <col min="7717" max="7756" width="9.140625" style="391" hidden="1"/>
    <col min="7757" max="7757" width="16.5703125" style="391" hidden="1"/>
    <col min="7758" max="7758" width="18" style="391" hidden="1"/>
    <col min="7759" max="7759" width="16.85546875" style="391" hidden="1"/>
    <col min="7760" max="7933" width="9.140625" style="391" hidden="1"/>
    <col min="7934" max="7934" width="11.85546875" style="391" hidden="1"/>
    <col min="7935" max="7935" width="11.7109375" style="391" hidden="1"/>
    <col min="7936" max="7936" width="11.28515625" style="391" hidden="1"/>
    <col min="7937" max="7937" width="9.140625" style="391" hidden="1"/>
    <col min="7938" max="7938" width="10.28515625" style="391" hidden="1"/>
    <col min="7939" max="7939" width="12.7109375" style="391" hidden="1"/>
    <col min="7940" max="7940" width="10.5703125" style="391" hidden="1"/>
    <col min="7941" max="7941" width="17" style="391" hidden="1"/>
    <col min="7942" max="7942" width="10.85546875" style="391" hidden="1"/>
    <col min="7943" max="7943" width="9.140625" style="391" hidden="1"/>
    <col min="7944" max="7945" width="15.5703125" style="391" hidden="1"/>
    <col min="7946" max="7946" width="18.28515625" style="391" hidden="1"/>
    <col min="7947" max="7949" width="12.7109375" style="391" hidden="1"/>
    <col min="7950" max="7950" width="7.7109375" style="391" hidden="1"/>
    <col min="7951" max="7953" width="12.7109375" style="391" hidden="1"/>
    <col min="7954" max="7954" width="14" style="391" hidden="1"/>
    <col min="7955" max="7955" width="13.7109375" style="391" hidden="1"/>
    <col min="7956" max="7956" width="12.7109375" style="391" hidden="1"/>
    <col min="7957" max="7958" width="13.85546875" style="391" hidden="1"/>
    <col min="7959" max="7959" width="15.28515625" style="391" hidden="1"/>
    <col min="7960" max="7962" width="12.7109375" style="391" hidden="1"/>
    <col min="7963" max="7963" width="7.7109375" style="391" hidden="1"/>
    <col min="7964" max="7966" width="12.7109375" style="391" hidden="1"/>
    <col min="7967" max="7967" width="14" style="391" hidden="1"/>
    <col min="7968" max="7968" width="13.7109375" style="391" hidden="1"/>
    <col min="7969" max="7969" width="12.7109375" style="391" hidden="1"/>
    <col min="7970" max="7971" width="13.85546875" style="391" hidden="1"/>
    <col min="7972" max="7972" width="15.28515625" style="391" hidden="1"/>
    <col min="7973" max="8012" width="9.140625" style="391" hidden="1"/>
    <col min="8013" max="8013" width="16.5703125" style="391" hidden="1"/>
    <col min="8014" max="8014" width="18" style="391" hidden="1"/>
    <col min="8015" max="8015" width="16.85546875" style="391" hidden="1"/>
    <col min="8016" max="8189" width="9.140625" style="391" hidden="1"/>
    <col min="8190" max="8190" width="11.85546875" style="391" hidden="1"/>
    <col min="8191" max="8191" width="11.7109375" style="391" hidden="1"/>
    <col min="8192" max="8192" width="11.28515625" style="391" hidden="1"/>
    <col min="8193" max="8193" width="9.140625" style="391" hidden="1"/>
    <col min="8194" max="8194" width="10.28515625" style="391" hidden="1"/>
    <col min="8195" max="8195" width="12.7109375" style="391" hidden="1"/>
    <col min="8196" max="8196" width="10.5703125" style="391" hidden="1"/>
    <col min="8197" max="8197" width="17" style="391" hidden="1"/>
    <col min="8198" max="8198" width="10.85546875" style="391" hidden="1"/>
    <col min="8199" max="8199" width="9.140625" style="391" hidden="1"/>
    <col min="8200" max="8201" width="15.5703125" style="391" hidden="1"/>
    <col min="8202" max="8202" width="18.28515625" style="391" hidden="1"/>
    <col min="8203" max="8205" width="12.7109375" style="391" hidden="1"/>
    <col min="8206" max="8206" width="7.7109375" style="391" hidden="1"/>
    <col min="8207" max="8209" width="12.7109375" style="391" hidden="1"/>
    <col min="8210" max="8210" width="14" style="391" hidden="1"/>
    <col min="8211" max="8211" width="13.7109375" style="391" hidden="1"/>
    <col min="8212" max="8212" width="12.7109375" style="391" hidden="1"/>
    <col min="8213" max="8214" width="13.85546875" style="391" hidden="1"/>
    <col min="8215" max="8215" width="15.28515625" style="391" hidden="1"/>
    <col min="8216" max="8218" width="12.7109375" style="391" hidden="1"/>
    <col min="8219" max="8219" width="7.7109375" style="391" hidden="1"/>
    <col min="8220" max="8222" width="12.7109375" style="391" hidden="1"/>
    <col min="8223" max="8223" width="14" style="391" hidden="1"/>
    <col min="8224" max="8224" width="13.7109375" style="391" hidden="1"/>
    <col min="8225" max="8225" width="12.7109375" style="391" hidden="1"/>
    <col min="8226" max="8227" width="13.85546875" style="391" hidden="1"/>
    <col min="8228" max="8228" width="15.28515625" style="391" hidden="1"/>
    <col min="8229" max="8268" width="9.140625" style="391" hidden="1"/>
    <col min="8269" max="8269" width="16.5703125" style="391" hidden="1"/>
    <col min="8270" max="8270" width="18" style="391" hidden="1"/>
    <col min="8271" max="8271" width="16.85546875" style="391" hidden="1"/>
    <col min="8272" max="8445" width="9.140625" style="391" hidden="1"/>
    <col min="8446" max="8446" width="11.85546875" style="391" hidden="1"/>
    <col min="8447" max="8447" width="11.7109375" style="391" hidden="1"/>
    <col min="8448" max="8448" width="11.28515625" style="391" hidden="1"/>
    <col min="8449" max="8449" width="9.140625" style="391" hidden="1"/>
    <col min="8450" max="8450" width="10.28515625" style="391" hidden="1"/>
    <col min="8451" max="8451" width="12.7109375" style="391" hidden="1"/>
    <col min="8452" max="8452" width="10.5703125" style="391" hidden="1"/>
    <col min="8453" max="8453" width="17" style="391" hidden="1"/>
    <col min="8454" max="8454" width="10.85546875" style="391" hidden="1"/>
    <col min="8455" max="8455" width="9.140625" style="391" hidden="1"/>
    <col min="8456" max="8457" width="15.5703125" style="391" hidden="1"/>
    <col min="8458" max="8458" width="18.28515625" style="391" hidden="1"/>
    <col min="8459" max="8461" width="12.7109375" style="391" hidden="1"/>
    <col min="8462" max="8462" width="7.7109375" style="391" hidden="1"/>
    <col min="8463" max="8465" width="12.7109375" style="391" hidden="1"/>
    <col min="8466" max="8466" width="14" style="391" hidden="1"/>
    <col min="8467" max="8467" width="13.7109375" style="391" hidden="1"/>
    <col min="8468" max="8468" width="12.7109375" style="391" hidden="1"/>
    <col min="8469" max="8470" width="13.85546875" style="391" hidden="1"/>
    <col min="8471" max="8471" width="15.28515625" style="391" hidden="1"/>
    <col min="8472" max="8474" width="12.7109375" style="391" hidden="1"/>
    <col min="8475" max="8475" width="7.7109375" style="391" hidden="1"/>
    <col min="8476" max="8478" width="12.7109375" style="391" hidden="1"/>
    <col min="8479" max="8479" width="14" style="391" hidden="1"/>
    <col min="8480" max="8480" width="13.7109375" style="391" hidden="1"/>
    <col min="8481" max="8481" width="12.7109375" style="391" hidden="1"/>
    <col min="8482" max="8483" width="13.85546875" style="391" hidden="1"/>
    <col min="8484" max="8484" width="15.28515625" style="391" hidden="1"/>
    <col min="8485" max="8524" width="9.140625" style="391" hidden="1"/>
    <col min="8525" max="8525" width="16.5703125" style="391" hidden="1"/>
    <col min="8526" max="8526" width="18" style="391" hidden="1"/>
    <col min="8527" max="8527" width="16.85546875" style="391" hidden="1"/>
    <col min="8528" max="8701" width="9.140625" style="391" hidden="1"/>
    <col min="8702" max="8702" width="11.85546875" style="391" hidden="1"/>
    <col min="8703" max="8703" width="11.7109375" style="391" hidden="1"/>
    <col min="8704" max="8704" width="11.28515625" style="391" hidden="1"/>
    <col min="8705" max="8705" width="9.140625" style="391" hidden="1"/>
    <col min="8706" max="8706" width="10.28515625" style="391" hidden="1"/>
    <col min="8707" max="8707" width="12.7109375" style="391" hidden="1"/>
    <col min="8708" max="8708" width="10.5703125" style="391" hidden="1"/>
    <col min="8709" max="8709" width="17" style="391" hidden="1"/>
    <col min="8710" max="8710" width="10.85546875" style="391" hidden="1"/>
    <col min="8711" max="8711" width="9.140625" style="391" hidden="1"/>
    <col min="8712" max="8713" width="15.5703125" style="391" hidden="1"/>
    <col min="8714" max="8714" width="18.28515625" style="391" hidden="1"/>
    <col min="8715" max="8717" width="12.7109375" style="391" hidden="1"/>
    <col min="8718" max="8718" width="7.7109375" style="391" hidden="1"/>
    <col min="8719" max="8721" width="12.7109375" style="391" hidden="1"/>
    <col min="8722" max="8722" width="14" style="391" hidden="1"/>
    <col min="8723" max="8723" width="13.7109375" style="391" hidden="1"/>
    <col min="8724" max="8724" width="12.7109375" style="391" hidden="1"/>
    <col min="8725" max="8726" width="13.85546875" style="391" hidden="1"/>
    <col min="8727" max="8727" width="15.28515625" style="391" hidden="1"/>
    <col min="8728" max="8730" width="12.7109375" style="391" hidden="1"/>
    <col min="8731" max="8731" width="7.7109375" style="391" hidden="1"/>
    <col min="8732" max="8734" width="12.7109375" style="391" hidden="1"/>
    <col min="8735" max="8735" width="14" style="391" hidden="1"/>
    <col min="8736" max="8736" width="13.7109375" style="391" hidden="1"/>
    <col min="8737" max="8737" width="12.7109375" style="391" hidden="1"/>
    <col min="8738" max="8739" width="13.85546875" style="391" hidden="1"/>
    <col min="8740" max="8740" width="15.28515625" style="391" hidden="1"/>
    <col min="8741" max="8780" width="9.140625" style="391" hidden="1"/>
    <col min="8781" max="8781" width="16.5703125" style="391" hidden="1"/>
    <col min="8782" max="8782" width="18" style="391" hidden="1"/>
    <col min="8783" max="8783" width="16.85546875" style="391" hidden="1"/>
    <col min="8784" max="8957" width="9.140625" style="391" hidden="1"/>
    <col min="8958" max="8958" width="11.85546875" style="391" hidden="1"/>
    <col min="8959" max="8959" width="11.7109375" style="391" hidden="1"/>
    <col min="8960" max="8960" width="11.28515625" style="391" hidden="1"/>
    <col min="8961" max="8961" width="9.140625" style="391" hidden="1"/>
    <col min="8962" max="8962" width="10.28515625" style="391" hidden="1"/>
    <col min="8963" max="8963" width="12.7109375" style="391" hidden="1"/>
    <col min="8964" max="8964" width="10.5703125" style="391" hidden="1"/>
    <col min="8965" max="8965" width="17" style="391" hidden="1"/>
    <col min="8966" max="8966" width="10.85546875" style="391" hidden="1"/>
    <col min="8967" max="8967" width="9.140625" style="391" hidden="1"/>
    <col min="8968" max="8969" width="15.5703125" style="391" hidden="1"/>
    <col min="8970" max="8970" width="18.28515625" style="391" hidden="1"/>
    <col min="8971" max="8973" width="12.7109375" style="391" hidden="1"/>
    <col min="8974" max="8974" width="7.7109375" style="391" hidden="1"/>
    <col min="8975" max="8977" width="12.7109375" style="391" hidden="1"/>
    <col min="8978" max="8978" width="14" style="391" hidden="1"/>
    <col min="8979" max="8979" width="13.7109375" style="391" hidden="1"/>
    <col min="8980" max="8980" width="12.7109375" style="391" hidden="1"/>
    <col min="8981" max="8982" width="13.85546875" style="391" hidden="1"/>
    <col min="8983" max="8983" width="15.28515625" style="391" hidden="1"/>
    <col min="8984" max="8986" width="12.7109375" style="391" hidden="1"/>
    <col min="8987" max="8987" width="7.7109375" style="391" hidden="1"/>
    <col min="8988" max="8990" width="12.7109375" style="391" hidden="1"/>
    <col min="8991" max="8991" width="14" style="391" hidden="1"/>
    <col min="8992" max="8992" width="13.7109375" style="391" hidden="1"/>
    <col min="8993" max="8993" width="12.7109375" style="391" hidden="1"/>
    <col min="8994" max="8995" width="13.85546875" style="391" hidden="1"/>
    <col min="8996" max="8996" width="15.28515625" style="391" hidden="1"/>
    <col min="8997" max="9036" width="9.140625" style="391" hidden="1"/>
    <col min="9037" max="9037" width="16.5703125" style="391" hidden="1"/>
    <col min="9038" max="9038" width="18" style="391" hidden="1"/>
    <col min="9039" max="9039" width="16.85546875" style="391" hidden="1"/>
    <col min="9040" max="9213" width="9.140625" style="391" hidden="1"/>
    <col min="9214" max="9214" width="11.85546875" style="391" hidden="1"/>
    <col min="9215" max="9215" width="11.7109375" style="391" hidden="1"/>
    <col min="9216" max="9216" width="11.28515625" style="391" hidden="1"/>
    <col min="9217" max="9217" width="9.140625" style="391" hidden="1"/>
    <col min="9218" max="9218" width="10.28515625" style="391" hidden="1"/>
    <col min="9219" max="9219" width="12.7109375" style="391" hidden="1"/>
    <col min="9220" max="9220" width="10.5703125" style="391" hidden="1"/>
    <col min="9221" max="9221" width="17" style="391" hidden="1"/>
    <col min="9222" max="9222" width="10.85546875" style="391" hidden="1"/>
    <col min="9223" max="9223" width="9.140625" style="391" hidden="1"/>
    <col min="9224" max="9225" width="15.5703125" style="391" hidden="1"/>
    <col min="9226" max="9226" width="18.28515625" style="391" hidden="1"/>
    <col min="9227" max="9229" width="12.7109375" style="391" hidden="1"/>
    <col min="9230" max="9230" width="7.7109375" style="391" hidden="1"/>
    <col min="9231" max="9233" width="12.7109375" style="391" hidden="1"/>
    <col min="9234" max="9234" width="14" style="391" hidden="1"/>
    <col min="9235" max="9235" width="13.7109375" style="391" hidden="1"/>
    <col min="9236" max="9236" width="12.7109375" style="391" hidden="1"/>
    <col min="9237" max="9238" width="13.85546875" style="391" hidden="1"/>
    <col min="9239" max="9239" width="15.28515625" style="391" hidden="1"/>
    <col min="9240" max="9242" width="12.7109375" style="391" hidden="1"/>
    <col min="9243" max="9243" width="7.7109375" style="391" hidden="1"/>
    <col min="9244" max="9246" width="12.7109375" style="391" hidden="1"/>
    <col min="9247" max="9247" width="14" style="391" hidden="1"/>
    <col min="9248" max="9248" width="13.7109375" style="391" hidden="1"/>
    <col min="9249" max="9249" width="12.7109375" style="391" hidden="1"/>
    <col min="9250" max="9251" width="13.85546875" style="391" hidden="1"/>
    <col min="9252" max="9252" width="15.28515625" style="391" hidden="1"/>
    <col min="9253" max="9292" width="9.140625" style="391" hidden="1"/>
    <col min="9293" max="9293" width="16.5703125" style="391" hidden="1"/>
    <col min="9294" max="9294" width="18" style="391" hidden="1"/>
    <col min="9295" max="9295" width="16.85546875" style="391" hidden="1"/>
    <col min="9296" max="9469" width="9.140625" style="391" hidden="1"/>
    <col min="9470" max="9470" width="11.85546875" style="391" hidden="1"/>
    <col min="9471" max="9471" width="11.7109375" style="391" hidden="1"/>
    <col min="9472" max="9472" width="11.28515625" style="391" hidden="1"/>
    <col min="9473" max="9473" width="9.140625" style="391" hidden="1"/>
    <col min="9474" max="9474" width="10.28515625" style="391" hidden="1"/>
    <col min="9475" max="9475" width="12.7109375" style="391" hidden="1"/>
    <col min="9476" max="9476" width="10.5703125" style="391" hidden="1"/>
    <col min="9477" max="9477" width="17" style="391" hidden="1"/>
    <col min="9478" max="9478" width="10.85546875" style="391" hidden="1"/>
    <col min="9479" max="9479" width="9.140625" style="391" hidden="1"/>
    <col min="9480" max="9481" width="15.5703125" style="391" hidden="1"/>
    <col min="9482" max="9482" width="18.28515625" style="391" hidden="1"/>
    <col min="9483" max="9485" width="12.7109375" style="391" hidden="1"/>
    <col min="9486" max="9486" width="7.7109375" style="391" hidden="1"/>
    <col min="9487" max="9489" width="12.7109375" style="391" hidden="1"/>
    <col min="9490" max="9490" width="14" style="391" hidden="1"/>
    <col min="9491" max="9491" width="13.7109375" style="391" hidden="1"/>
    <col min="9492" max="9492" width="12.7109375" style="391" hidden="1"/>
    <col min="9493" max="9494" width="13.85546875" style="391" hidden="1"/>
    <col min="9495" max="9495" width="15.28515625" style="391" hidden="1"/>
    <col min="9496" max="9498" width="12.7109375" style="391" hidden="1"/>
    <col min="9499" max="9499" width="7.7109375" style="391" hidden="1"/>
    <col min="9500" max="9502" width="12.7109375" style="391" hidden="1"/>
    <col min="9503" max="9503" width="14" style="391" hidden="1"/>
    <col min="9504" max="9504" width="13.7109375" style="391" hidden="1"/>
    <col min="9505" max="9505" width="12.7109375" style="391" hidden="1"/>
    <col min="9506" max="9507" width="13.85546875" style="391" hidden="1"/>
    <col min="9508" max="9508" width="15.28515625" style="391" hidden="1"/>
    <col min="9509" max="9548" width="9.140625" style="391" hidden="1"/>
    <col min="9549" max="9549" width="16.5703125" style="391" hidden="1"/>
    <col min="9550" max="9550" width="18" style="391" hidden="1"/>
    <col min="9551" max="9551" width="16.85546875" style="391" hidden="1"/>
    <col min="9552" max="9725" width="9.140625" style="391" hidden="1"/>
    <col min="9726" max="9726" width="11.85546875" style="391" hidden="1"/>
    <col min="9727" max="9727" width="11.7109375" style="391" hidden="1"/>
    <col min="9728" max="9728" width="11.28515625" style="391" hidden="1"/>
    <col min="9729" max="9729" width="9.140625" style="391" hidden="1"/>
    <col min="9730" max="9730" width="10.28515625" style="391" hidden="1"/>
    <col min="9731" max="9731" width="12.7109375" style="391" hidden="1"/>
    <col min="9732" max="9732" width="10.5703125" style="391" hidden="1"/>
    <col min="9733" max="9733" width="17" style="391" hidden="1"/>
    <col min="9734" max="9734" width="10.85546875" style="391" hidden="1"/>
    <col min="9735" max="9735" width="9.140625" style="391" hidden="1"/>
    <col min="9736" max="9737" width="15.5703125" style="391" hidden="1"/>
    <col min="9738" max="9738" width="18.28515625" style="391" hidden="1"/>
    <col min="9739" max="9741" width="12.7109375" style="391" hidden="1"/>
    <col min="9742" max="9742" width="7.7109375" style="391" hidden="1"/>
    <col min="9743" max="9745" width="12.7109375" style="391" hidden="1"/>
    <col min="9746" max="9746" width="14" style="391" hidden="1"/>
    <col min="9747" max="9747" width="13.7109375" style="391" hidden="1"/>
    <col min="9748" max="9748" width="12.7109375" style="391" hidden="1"/>
    <col min="9749" max="9750" width="13.85546875" style="391" hidden="1"/>
    <col min="9751" max="9751" width="15.28515625" style="391" hidden="1"/>
    <col min="9752" max="9754" width="12.7109375" style="391" hidden="1"/>
    <col min="9755" max="9755" width="7.7109375" style="391" hidden="1"/>
    <col min="9756" max="9758" width="12.7109375" style="391" hidden="1"/>
    <col min="9759" max="9759" width="14" style="391" hidden="1"/>
    <col min="9760" max="9760" width="13.7109375" style="391" hidden="1"/>
    <col min="9761" max="9761" width="12.7109375" style="391" hidden="1"/>
    <col min="9762" max="9763" width="13.85546875" style="391" hidden="1"/>
    <col min="9764" max="9764" width="15.28515625" style="391" hidden="1"/>
    <col min="9765" max="9804" width="9.140625" style="391" hidden="1"/>
    <col min="9805" max="9805" width="16.5703125" style="391" hidden="1"/>
    <col min="9806" max="9806" width="18" style="391" hidden="1"/>
    <col min="9807" max="9807" width="16.85546875" style="391" hidden="1"/>
    <col min="9808" max="9981" width="9.140625" style="391" hidden="1"/>
    <col min="9982" max="9982" width="11.85546875" style="391" hidden="1"/>
    <col min="9983" max="9983" width="11.7109375" style="391" hidden="1"/>
    <col min="9984" max="9984" width="11.28515625" style="391" hidden="1"/>
    <col min="9985" max="9985" width="9.140625" style="391" hidden="1"/>
    <col min="9986" max="9986" width="10.28515625" style="391" hidden="1"/>
    <col min="9987" max="9987" width="12.7109375" style="391" hidden="1"/>
    <col min="9988" max="9988" width="10.5703125" style="391" hidden="1"/>
    <col min="9989" max="9989" width="17" style="391" hidden="1"/>
    <col min="9990" max="9990" width="10.85546875" style="391" hidden="1"/>
    <col min="9991" max="9991" width="9.140625" style="391" hidden="1"/>
    <col min="9992" max="9993" width="15.5703125" style="391" hidden="1"/>
    <col min="9994" max="9994" width="18.28515625" style="391" hidden="1"/>
    <col min="9995" max="9997" width="12.7109375" style="391" hidden="1"/>
    <col min="9998" max="9998" width="7.7109375" style="391" hidden="1"/>
    <col min="9999" max="10001" width="12.7109375" style="391" hidden="1"/>
    <col min="10002" max="10002" width="14" style="391" hidden="1"/>
    <col min="10003" max="10003" width="13.7109375" style="391" hidden="1"/>
    <col min="10004" max="10004" width="12.7109375" style="391" hidden="1"/>
    <col min="10005" max="10006" width="13.85546875" style="391" hidden="1"/>
    <col min="10007" max="10007" width="15.28515625" style="391" hidden="1"/>
    <col min="10008" max="10010" width="12.7109375" style="391" hidden="1"/>
    <col min="10011" max="10011" width="7.7109375" style="391" hidden="1"/>
    <col min="10012" max="10014" width="12.7109375" style="391" hidden="1"/>
    <col min="10015" max="10015" width="14" style="391" hidden="1"/>
    <col min="10016" max="10016" width="13.7109375" style="391" hidden="1"/>
    <col min="10017" max="10017" width="12.7109375" style="391" hidden="1"/>
    <col min="10018" max="10019" width="13.85546875" style="391" hidden="1"/>
    <col min="10020" max="10020" width="15.28515625" style="391" hidden="1"/>
    <col min="10021" max="10060" width="9.140625" style="391" hidden="1"/>
    <col min="10061" max="10061" width="16.5703125" style="391" hidden="1"/>
    <col min="10062" max="10062" width="18" style="391" hidden="1"/>
    <col min="10063" max="10063" width="16.85546875" style="391" hidden="1"/>
    <col min="10064" max="10237" width="9.140625" style="391" hidden="1"/>
    <col min="10238" max="10238" width="11.85546875" style="391" hidden="1"/>
    <col min="10239" max="10239" width="11.7109375" style="391" hidden="1"/>
    <col min="10240" max="10240" width="11.28515625" style="391" hidden="1"/>
    <col min="10241" max="10241" width="9.140625" style="391" hidden="1"/>
    <col min="10242" max="10242" width="10.28515625" style="391" hidden="1"/>
    <col min="10243" max="10243" width="12.7109375" style="391" hidden="1"/>
    <col min="10244" max="10244" width="10.5703125" style="391" hidden="1"/>
    <col min="10245" max="10245" width="17" style="391" hidden="1"/>
    <col min="10246" max="10246" width="10.85546875" style="391" hidden="1"/>
    <col min="10247" max="10247" width="9.140625" style="391" hidden="1"/>
    <col min="10248" max="10249" width="15.5703125" style="391" hidden="1"/>
    <col min="10250" max="10250" width="18.28515625" style="391" hidden="1"/>
    <col min="10251" max="10253" width="12.7109375" style="391" hidden="1"/>
    <col min="10254" max="10254" width="7.7109375" style="391" hidden="1"/>
    <col min="10255" max="10257" width="12.7109375" style="391" hidden="1"/>
    <col min="10258" max="10258" width="14" style="391" hidden="1"/>
    <col min="10259" max="10259" width="13.7109375" style="391" hidden="1"/>
    <col min="10260" max="10260" width="12.7109375" style="391" hidden="1"/>
    <col min="10261" max="10262" width="13.85546875" style="391" hidden="1"/>
    <col min="10263" max="10263" width="15.28515625" style="391" hidden="1"/>
    <col min="10264" max="10266" width="12.7109375" style="391" hidden="1"/>
    <col min="10267" max="10267" width="7.7109375" style="391" hidden="1"/>
    <col min="10268" max="10270" width="12.7109375" style="391" hidden="1"/>
    <col min="10271" max="10271" width="14" style="391" hidden="1"/>
    <col min="10272" max="10272" width="13.7109375" style="391" hidden="1"/>
    <col min="10273" max="10273" width="12.7109375" style="391" hidden="1"/>
    <col min="10274" max="10275" width="13.85546875" style="391" hidden="1"/>
    <col min="10276" max="10276" width="15.28515625" style="391" hidden="1"/>
    <col min="10277" max="10316" width="9.140625" style="391" hidden="1"/>
    <col min="10317" max="10317" width="16.5703125" style="391" hidden="1"/>
    <col min="10318" max="10318" width="18" style="391" hidden="1"/>
    <col min="10319" max="10319" width="16.85546875" style="391" hidden="1"/>
    <col min="10320" max="10493" width="9.140625" style="391" hidden="1"/>
    <col min="10494" max="10494" width="11.85546875" style="391" hidden="1"/>
    <col min="10495" max="10495" width="11.7109375" style="391" hidden="1"/>
    <col min="10496" max="10496" width="11.28515625" style="391" hidden="1"/>
    <col min="10497" max="10497" width="9.140625" style="391" hidden="1"/>
    <col min="10498" max="10498" width="10.28515625" style="391" hidden="1"/>
    <col min="10499" max="10499" width="12.7109375" style="391" hidden="1"/>
    <col min="10500" max="10500" width="10.5703125" style="391" hidden="1"/>
    <col min="10501" max="10501" width="17" style="391" hidden="1"/>
    <col min="10502" max="10502" width="10.85546875" style="391" hidden="1"/>
    <col min="10503" max="10503" width="9.140625" style="391" hidden="1"/>
    <col min="10504" max="10505" width="15.5703125" style="391" hidden="1"/>
    <col min="10506" max="10506" width="18.28515625" style="391" hidden="1"/>
    <col min="10507" max="10509" width="12.7109375" style="391" hidden="1"/>
    <col min="10510" max="10510" width="7.7109375" style="391" hidden="1"/>
    <col min="10511" max="10513" width="12.7109375" style="391" hidden="1"/>
    <col min="10514" max="10514" width="14" style="391" hidden="1"/>
    <col min="10515" max="10515" width="13.7109375" style="391" hidden="1"/>
    <col min="10516" max="10516" width="12.7109375" style="391" hidden="1"/>
    <col min="10517" max="10518" width="13.85546875" style="391" hidden="1"/>
    <col min="10519" max="10519" width="15.28515625" style="391" hidden="1"/>
    <col min="10520" max="10522" width="12.7109375" style="391" hidden="1"/>
    <col min="10523" max="10523" width="7.7109375" style="391" hidden="1"/>
    <col min="10524" max="10526" width="12.7109375" style="391" hidden="1"/>
    <col min="10527" max="10527" width="14" style="391" hidden="1"/>
    <col min="10528" max="10528" width="13.7109375" style="391" hidden="1"/>
    <col min="10529" max="10529" width="12.7109375" style="391" hidden="1"/>
    <col min="10530" max="10531" width="13.85546875" style="391" hidden="1"/>
    <col min="10532" max="10532" width="15.28515625" style="391" hidden="1"/>
    <col min="10533" max="10572" width="9.140625" style="391" hidden="1"/>
    <col min="10573" max="10573" width="16.5703125" style="391" hidden="1"/>
    <col min="10574" max="10574" width="18" style="391" hidden="1"/>
    <col min="10575" max="10575" width="16.85546875" style="391" hidden="1"/>
    <col min="10576" max="10749" width="9.140625" style="391" hidden="1"/>
    <col min="10750" max="10750" width="11.85546875" style="391" hidden="1"/>
    <col min="10751" max="10751" width="11.7109375" style="391" hidden="1"/>
    <col min="10752" max="10752" width="11.28515625" style="391" hidden="1"/>
    <col min="10753" max="10753" width="9.140625" style="391" hidden="1"/>
    <col min="10754" max="10754" width="10.28515625" style="391" hidden="1"/>
    <col min="10755" max="10755" width="12.7109375" style="391" hidden="1"/>
    <col min="10756" max="10756" width="10.5703125" style="391" hidden="1"/>
    <col min="10757" max="10757" width="17" style="391" hidden="1"/>
    <col min="10758" max="10758" width="10.85546875" style="391" hidden="1"/>
    <col min="10759" max="10759" width="9.140625" style="391" hidden="1"/>
    <col min="10760" max="10761" width="15.5703125" style="391" hidden="1"/>
    <col min="10762" max="10762" width="18.28515625" style="391" hidden="1"/>
    <col min="10763" max="10765" width="12.7109375" style="391" hidden="1"/>
    <col min="10766" max="10766" width="7.7109375" style="391" hidden="1"/>
    <col min="10767" max="10769" width="12.7109375" style="391" hidden="1"/>
    <col min="10770" max="10770" width="14" style="391" hidden="1"/>
    <col min="10771" max="10771" width="13.7109375" style="391" hidden="1"/>
    <col min="10772" max="10772" width="12.7109375" style="391" hidden="1"/>
    <col min="10773" max="10774" width="13.85546875" style="391" hidden="1"/>
    <col min="10775" max="10775" width="15.28515625" style="391" hidden="1"/>
    <col min="10776" max="10778" width="12.7109375" style="391" hidden="1"/>
    <col min="10779" max="10779" width="7.7109375" style="391" hidden="1"/>
    <col min="10780" max="10782" width="12.7109375" style="391" hidden="1"/>
    <col min="10783" max="10783" width="14" style="391" hidden="1"/>
    <col min="10784" max="10784" width="13.7109375" style="391" hidden="1"/>
    <col min="10785" max="10785" width="12.7109375" style="391" hidden="1"/>
    <col min="10786" max="10787" width="13.85546875" style="391" hidden="1"/>
    <col min="10788" max="10788" width="15.28515625" style="391" hidden="1"/>
    <col min="10789" max="10828" width="9.140625" style="391" hidden="1"/>
    <col min="10829" max="10829" width="16.5703125" style="391" hidden="1"/>
    <col min="10830" max="10830" width="18" style="391" hidden="1"/>
    <col min="10831" max="10831" width="16.85546875" style="391" hidden="1"/>
    <col min="10832" max="11005" width="9.140625" style="391" hidden="1"/>
    <col min="11006" max="11006" width="11.85546875" style="391" hidden="1"/>
    <col min="11007" max="11007" width="11.7109375" style="391" hidden="1"/>
    <col min="11008" max="11008" width="11.28515625" style="391" hidden="1"/>
    <col min="11009" max="11009" width="9.140625" style="391" hidden="1"/>
    <col min="11010" max="11010" width="10.28515625" style="391" hidden="1"/>
    <col min="11011" max="11011" width="12.7109375" style="391" hidden="1"/>
    <col min="11012" max="11012" width="10.5703125" style="391" hidden="1"/>
    <col min="11013" max="11013" width="17" style="391" hidden="1"/>
    <col min="11014" max="11014" width="10.85546875" style="391" hidden="1"/>
    <col min="11015" max="11015" width="9.140625" style="391" hidden="1"/>
    <col min="11016" max="11017" width="15.5703125" style="391" hidden="1"/>
    <col min="11018" max="11018" width="18.28515625" style="391" hidden="1"/>
    <col min="11019" max="11021" width="12.7109375" style="391" hidden="1"/>
    <col min="11022" max="11022" width="7.7109375" style="391" hidden="1"/>
    <col min="11023" max="11025" width="12.7109375" style="391" hidden="1"/>
    <col min="11026" max="11026" width="14" style="391" hidden="1"/>
    <col min="11027" max="11027" width="13.7109375" style="391" hidden="1"/>
    <col min="11028" max="11028" width="12.7109375" style="391" hidden="1"/>
    <col min="11029" max="11030" width="13.85546875" style="391" hidden="1"/>
    <col min="11031" max="11031" width="15.28515625" style="391" hidden="1"/>
    <col min="11032" max="11034" width="12.7109375" style="391" hidden="1"/>
    <col min="11035" max="11035" width="7.7109375" style="391" hidden="1"/>
    <col min="11036" max="11038" width="12.7109375" style="391" hidden="1"/>
    <col min="11039" max="11039" width="14" style="391" hidden="1"/>
    <col min="11040" max="11040" width="13.7109375" style="391" hidden="1"/>
    <col min="11041" max="11041" width="12.7109375" style="391" hidden="1"/>
    <col min="11042" max="11043" width="13.85546875" style="391" hidden="1"/>
    <col min="11044" max="11044" width="15.28515625" style="391" hidden="1"/>
    <col min="11045" max="11084" width="9.140625" style="391" hidden="1"/>
    <col min="11085" max="11085" width="16.5703125" style="391" hidden="1"/>
    <col min="11086" max="11086" width="18" style="391" hidden="1"/>
    <col min="11087" max="11087" width="16.85546875" style="391" hidden="1"/>
    <col min="11088" max="11261" width="9.140625" style="391" hidden="1"/>
    <col min="11262" max="11262" width="11.85546875" style="391" hidden="1"/>
    <col min="11263" max="11263" width="11.7109375" style="391" hidden="1"/>
    <col min="11264" max="11264" width="11.28515625" style="391" hidden="1"/>
    <col min="11265" max="11265" width="9.140625" style="391" hidden="1"/>
    <col min="11266" max="11266" width="10.28515625" style="391" hidden="1"/>
    <col min="11267" max="11267" width="12.7109375" style="391" hidden="1"/>
    <col min="11268" max="11268" width="10.5703125" style="391" hidden="1"/>
    <col min="11269" max="11269" width="17" style="391" hidden="1"/>
    <col min="11270" max="11270" width="10.85546875" style="391" hidden="1"/>
    <col min="11271" max="11271" width="9.140625" style="391" hidden="1"/>
    <col min="11272" max="11273" width="15.5703125" style="391" hidden="1"/>
    <col min="11274" max="11274" width="18.28515625" style="391" hidden="1"/>
    <col min="11275" max="11277" width="12.7109375" style="391" hidden="1"/>
    <col min="11278" max="11278" width="7.7109375" style="391" hidden="1"/>
    <col min="11279" max="11281" width="12.7109375" style="391" hidden="1"/>
    <col min="11282" max="11282" width="14" style="391" hidden="1"/>
    <col min="11283" max="11283" width="13.7109375" style="391" hidden="1"/>
    <col min="11284" max="11284" width="12.7109375" style="391" hidden="1"/>
    <col min="11285" max="11286" width="13.85546875" style="391" hidden="1"/>
    <col min="11287" max="11287" width="15.28515625" style="391" hidden="1"/>
    <col min="11288" max="11290" width="12.7109375" style="391" hidden="1"/>
    <col min="11291" max="11291" width="7.7109375" style="391" hidden="1"/>
    <col min="11292" max="11294" width="12.7109375" style="391" hidden="1"/>
    <col min="11295" max="11295" width="14" style="391" hidden="1"/>
    <col min="11296" max="11296" width="13.7109375" style="391" hidden="1"/>
    <col min="11297" max="11297" width="12.7109375" style="391" hidden="1"/>
    <col min="11298" max="11299" width="13.85546875" style="391" hidden="1"/>
    <col min="11300" max="11300" width="15.28515625" style="391" hidden="1"/>
    <col min="11301" max="11340" width="9.140625" style="391" hidden="1"/>
    <col min="11341" max="11341" width="16.5703125" style="391" hidden="1"/>
    <col min="11342" max="11342" width="18" style="391" hidden="1"/>
    <col min="11343" max="11343" width="16.85546875" style="391" hidden="1"/>
    <col min="11344" max="11517" width="9.140625" style="391" hidden="1"/>
    <col min="11518" max="11518" width="11.85546875" style="391" hidden="1"/>
    <col min="11519" max="11519" width="11.7109375" style="391" hidden="1"/>
    <col min="11520" max="11520" width="11.28515625" style="391" hidden="1"/>
    <col min="11521" max="11521" width="9.140625" style="391" hidden="1"/>
    <col min="11522" max="11522" width="10.28515625" style="391" hidden="1"/>
    <col min="11523" max="11523" width="12.7109375" style="391" hidden="1"/>
    <col min="11524" max="11524" width="10.5703125" style="391" hidden="1"/>
    <col min="11525" max="11525" width="17" style="391" hidden="1"/>
    <col min="11526" max="11526" width="10.85546875" style="391" hidden="1"/>
    <col min="11527" max="11527" width="9.140625" style="391" hidden="1"/>
    <col min="11528" max="11529" width="15.5703125" style="391" hidden="1"/>
    <col min="11530" max="11530" width="18.28515625" style="391" hidden="1"/>
    <col min="11531" max="11533" width="12.7109375" style="391" hidden="1"/>
    <col min="11534" max="11534" width="7.7109375" style="391" hidden="1"/>
    <col min="11535" max="11537" width="12.7109375" style="391" hidden="1"/>
    <col min="11538" max="11538" width="14" style="391" hidden="1"/>
    <col min="11539" max="11539" width="13.7109375" style="391" hidden="1"/>
    <col min="11540" max="11540" width="12.7109375" style="391" hidden="1"/>
    <col min="11541" max="11542" width="13.85546875" style="391" hidden="1"/>
    <col min="11543" max="11543" width="15.28515625" style="391" hidden="1"/>
    <col min="11544" max="11546" width="12.7109375" style="391" hidden="1"/>
    <col min="11547" max="11547" width="7.7109375" style="391" hidden="1"/>
    <col min="11548" max="11550" width="12.7109375" style="391" hidden="1"/>
    <col min="11551" max="11551" width="14" style="391" hidden="1"/>
    <col min="11552" max="11552" width="13.7109375" style="391" hidden="1"/>
    <col min="11553" max="11553" width="12.7109375" style="391" hidden="1"/>
    <col min="11554" max="11555" width="13.85546875" style="391" hidden="1"/>
    <col min="11556" max="11556" width="15.28515625" style="391" hidden="1"/>
    <col min="11557" max="11596" width="9.140625" style="391" hidden="1"/>
    <col min="11597" max="11597" width="16.5703125" style="391" hidden="1"/>
    <col min="11598" max="11598" width="18" style="391" hidden="1"/>
    <col min="11599" max="11599" width="16.85546875" style="391" hidden="1"/>
    <col min="11600" max="11773" width="9.140625" style="391" hidden="1"/>
    <col min="11774" max="11774" width="11.85546875" style="391" hidden="1"/>
    <col min="11775" max="11775" width="11.7109375" style="391" hidden="1"/>
    <col min="11776" max="11776" width="11.28515625" style="391" hidden="1"/>
    <col min="11777" max="11777" width="9.140625" style="391" hidden="1"/>
    <col min="11778" max="11778" width="10.28515625" style="391" hidden="1"/>
    <col min="11779" max="11779" width="12.7109375" style="391" hidden="1"/>
    <col min="11780" max="11780" width="10.5703125" style="391" hidden="1"/>
    <col min="11781" max="11781" width="17" style="391" hidden="1"/>
    <col min="11782" max="11782" width="10.85546875" style="391" hidden="1"/>
    <col min="11783" max="11783" width="9.140625" style="391" hidden="1"/>
    <col min="11784" max="11785" width="15.5703125" style="391" hidden="1"/>
    <col min="11786" max="11786" width="18.28515625" style="391" hidden="1"/>
    <col min="11787" max="11789" width="12.7109375" style="391" hidden="1"/>
    <col min="11790" max="11790" width="7.7109375" style="391" hidden="1"/>
    <col min="11791" max="11793" width="12.7109375" style="391" hidden="1"/>
    <col min="11794" max="11794" width="14" style="391" hidden="1"/>
    <col min="11795" max="11795" width="13.7109375" style="391" hidden="1"/>
    <col min="11796" max="11796" width="12.7109375" style="391" hidden="1"/>
    <col min="11797" max="11798" width="13.85546875" style="391" hidden="1"/>
    <col min="11799" max="11799" width="15.28515625" style="391" hidden="1"/>
    <col min="11800" max="11802" width="12.7109375" style="391" hidden="1"/>
    <col min="11803" max="11803" width="7.7109375" style="391" hidden="1"/>
    <col min="11804" max="11806" width="12.7109375" style="391" hidden="1"/>
    <col min="11807" max="11807" width="14" style="391" hidden="1"/>
    <col min="11808" max="11808" width="13.7109375" style="391" hidden="1"/>
    <col min="11809" max="11809" width="12.7109375" style="391" hidden="1"/>
    <col min="11810" max="11811" width="13.85546875" style="391" hidden="1"/>
    <col min="11812" max="11812" width="15.28515625" style="391" hidden="1"/>
    <col min="11813" max="11852" width="9.140625" style="391" hidden="1"/>
    <col min="11853" max="11853" width="16.5703125" style="391" hidden="1"/>
    <col min="11854" max="11854" width="18" style="391" hidden="1"/>
    <col min="11855" max="11855" width="16.85546875" style="391" hidden="1"/>
    <col min="11856" max="12029" width="9.140625" style="391" hidden="1"/>
    <col min="12030" max="12030" width="11.85546875" style="391" hidden="1"/>
    <col min="12031" max="12031" width="11.7109375" style="391" hidden="1"/>
    <col min="12032" max="12032" width="11.28515625" style="391" hidden="1"/>
    <col min="12033" max="12033" width="9.140625" style="391" hidden="1"/>
    <col min="12034" max="12034" width="10.28515625" style="391" hidden="1"/>
    <col min="12035" max="12035" width="12.7109375" style="391" hidden="1"/>
    <col min="12036" max="12036" width="10.5703125" style="391" hidden="1"/>
    <col min="12037" max="12037" width="17" style="391" hidden="1"/>
    <col min="12038" max="12038" width="10.85546875" style="391" hidden="1"/>
    <col min="12039" max="12039" width="9.140625" style="391" hidden="1"/>
    <col min="12040" max="12041" width="15.5703125" style="391" hidden="1"/>
    <col min="12042" max="12042" width="18.28515625" style="391" hidden="1"/>
    <col min="12043" max="12045" width="12.7109375" style="391" hidden="1"/>
    <col min="12046" max="12046" width="7.7109375" style="391" hidden="1"/>
    <col min="12047" max="12049" width="12.7109375" style="391" hidden="1"/>
    <col min="12050" max="12050" width="14" style="391" hidden="1"/>
    <col min="12051" max="12051" width="13.7109375" style="391" hidden="1"/>
    <col min="12052" max="12052" width="12.7109375" style="391" hidden="1"/>
    <col min="12053" max="12054" width="13.85546875" style="391" hidden="1"/>
    <col min="12055" max="12055" width="15.28515625" style="391" hidden="1"/>
    <col min="12056" max="12058" width="12.7109375" style="391" hidden="1"/>
    <col min="12059" max="12059" width="7.7109375" style="391" hidden="1"/>
    <col min="12060" max="12062" width="12.7109375" style="391" hidden="1"/>
    <col min="12063" max="12063" width="14" style="391" hidden="1"/>
    <col min="12064" max="12064" width="13.7109375" style="391" hidden="1"/>
    <col min="12065" max="12065" width="12.7109375" style="391" hidden="1"/>
    <col min="12066" max="12067" width="13.85546875" style="391" hidden="1"/>
    <col min="12068" max="12068" width="15.28515625" style="391" hidden="1"/>
    <col min="12069" max="12108" width="9.140625" style="391" hidden="1"/>
    <col min="12109" max="12109" width="16.5703125" style="391" hidden="1"/>
    <col min="12110" max="12110" width="18" style="391" hidden="1"/>
    <col min="12111" max="12111" width="16.85546875" style="391" hidden="1"/>
    <col min="12112" max="12285" width="9.140625" style="391" hidden="1"/>
    <col min="12286" max="12286" width="11.85546875" style="391" hidden="1"/>
    <col min="12287" max="12287" width="11.7109375" style="391" hidden="1"/>
    <col min="12288" max="12288" width="11.28515625" style="391" hidden="1"/>
    <col min="12289" max="12289" width="9.140625" style="391" hidden="1"/>
    <col min="12290" max="12290" width="10.28515625" style="391" hidden="1"/>
    <col min="12291" max="12291" width="12.7109375" style="391" hidden="1"/>
    <col min="12292" max="12292" width="10.5703125" style="391" hidden="1"/>
    <col min="12293" max="12293" width="17" style="391" hidden="1"/>
    <col min="12294" max="12294" width="10.85546875" style="391" hidden="1"/>
    <col min="12295" max="12295" width="9.140625" style="391" hidden="1"/>
    <col min="12296" max="12297" width="15.5703125" style="391" hidden="1"/>
    <col min="12298" max="12298" width="18.28515625" style="391" hidden="1"/>
    <col min="12299" max="12301" width="12.7109375" style="391" hidden="1"/>
    <col min="12302" max="12302" width="7.7109375" style="391" hidden="1"/>
    <col min="12303" max="12305" width="12.7109375" style="391" hidden="1"/>
    <col min="12306" max="12306" width="14" style="391" hidden="1"/>
    <col min="12307" max="12307" width="13.7109375" style="391" hidden="1"/>
    <col min="12308" max="12308" width="12.7109375" style="391" hidden="1"/>
    <col min="12309" max="12310" width="13.85546875" style="391" hidden="1"/>
    <col min="12311" max="12311" width="15.28515625" style="391" hidden="1"/>
    <col min="12312" max="12314" width="12.7109375" style="391" hidden="1"/>
    <col min="12315" max="12315" width="7.7109375" style="391" hidden="1"/>
    <col min="12316" max="12318" width="12.7109375" style="391" hidden="1"/>
    <col min="12319" max="12319" width="14" style="391" hidden="1"/>
    <col min="12320" max="12320" width="13.7109375" style="391" hidden="1"/>
    <col min="12321" max="12321" width="12.7109375" style="391" hidden="1"/>
    <col min="12322" max="12323" width="13.85546875" style="391" hidden="1"/>
    <col min="12324" max="12324" width="15.28515625" style="391" hidden="1"/>
    <col min="12325" max="12364" width="9.140625" style="391" hidden="1"/>
    <col min="12365" max="12365" width="16.5703125" style="391" hidden="1"/>
    <col min="12366" max="12366" width="18" style="391" hidden="1"/>
    <col min="12367" max="12367" width="16.85546875" style="391" hidden="1"/>
    <col min="12368" max="12541" width="9.140625" style="391" hidden="1"/>
    <col min="12542" max="12542" width="11.85546875" style="391" hidden="1"/>
    <col min="12543" max="12543" width="11.7109375" style="391" hidden="1"/>
    <col min="12544" max="12544" width="11.28515625" style="391" hidden="1"/>
    <col min="12545" max="12545" width="9.140625" style="391" hidden="1"/>
    <col min="12546" max="12546" width="10.28515625" style="391" hidden="1"/>
    <col min="12547" max="12547" width="12.7109375" style="391" hidden="1"/>
    <col min="12548" max="12548" width="10.5703125" style="391" hidden="1"/>
    <col min="12549" max="12549" width="17" style="391" hidden="1"/>
    <col min="12550" max="12550" width="10.85546875" style="391" hidden="1"/>
    <col min="12551" max="12551" width="9.140625" style="391" hidden="1"/>
    <col min="12552" max="12553" width="15.5703125" style="391" hidden="1"/>
    <col min="12554" max="12554" width="18.28515625" style="391" hidden="1"/>
    <col min="12555" max="12557" width="12.7109375" style="391" hidden="1"/>
    <col min="12558" max="12558" width="7.7109375" style="391" hidden="1"/>
    <col min="12559" max="12561" width="12.7109375" style="391" hidden="1"/>
    <col min="12562" max="12562" width="14" style="391" hidden="1"/>
    <col min="12563" max="12563" width="13.7109375" style="391" hidden="1"/>
    <col min="12564" max="12564" width="12.7109375" style="391" hidden="1"/>
    <col min="12565" max="12566" width="13.85546875" style="391" hidden="1"/>
    <col min="12567" max="12567" width="15.28515625" style="391" hidden="1"/>
    <col min="12568" max="12570" width="12.7109375" style="391" hidden="1"/>
    <col min="12571" max="12571" width="7.7109375" style="391" hidden="1"/>
    <col min="12572" max="12574" width="12.7109375" style="391" hidden="1"/>
    <col min="12575" max="12575" width="14" style="391" hidden="1"/>
    <col min="12576" max="12576" width="13.7109375" style="391" hidden="1"/>
    <col min="12577" max="12577" width="12.7109375" style="391" hidden="1"/>
    <col min="12578" max="12579" width="13.85546875" style="391" hidden="1"/>
    <col min="12580" max="12580" width="15.28515625" style="391" hidden="1"/>
    <col min="12581" max="12620" width="9.140625" style="391" hidden="1"/>
    <col min="12621" max="12621" width="16.5703125" style="391" hidden="1"/>
    <col min="12622" max="12622" width="18" style="391" hidden="1"/>
    <col min="12623" max="12623" width="16.85546875" style="391" hidden="1"/>
    <col min="12624" max="12797" width="9.140625" style="391" hidden="1"/>
    <col min="12798" max="12798" width="11.85546875" style="391" hidden="1"/>
    <col min="12799" max="12799" width="11.7109375" style="391" hidden="1"/>
    <col min="12800" max="12800" width="11.28515625" style="391" hidden="1"/>
    <col min="12801" max="12801" width="9.140625" style="391" hidden="1"/>
    <col min="12802" max="12802" width="10.28515625" style="391" hidden="1"/>
    <col min="12803" max="12803" width="12.7109375" style="391" hidden="1"/>
    <col min="12804" max="12804" width="10.5703125" style="391" hidden="1"/>
    <col min="12805" max="12805" width="17" style="391" hidden="1"/>
    <col min="12806" max="12806" width="10.85546875" style="391" hidden="1"/>
    <col min="12807" max="12807" width="9.140625" style="391" hidden="1"/>
    <col min="12808" max="12809" width="15.5703125" style="391" hidden="1"/>
    <col min="12810" max="12810" width="18.28515625" style="391" hidden="1"/>
    <col min="12811" max="12813" width="12.7109375" style="391" hidden="1"/>
    <col min="12814" max="12814" width="7.7109375" style="391" hidden="1"/>
    <col min="12815" max="12817" width="12.7109375" style="391" hidden="1"/>
    <col min="12818" max="12818" width="14" style="391" hidden="1"/>
    <col min="12819" max="12819" width="13.7109375" style="391" hidden="1"/>
    <col min="12820" max="12820" width="12.7109375" style="391" hidden="1"/>
    <col min="12821" max="12822" width="13.85546875" style="391" hidden="1"/>
    <col min="12823" max="12823" width="15.28515625" style="391" hidden="1"/>
    <col min="12824" max="12826" width="12.7109375" style="391" hidden="1"/>
    <col min="12827" max="12827" width="7.7109375" style="391" hidden="1"/>
    <col min="12828" max="12830" width="12.7109375" style="391" hidden="1"/>
    <col min="12831" max="12831" width="14" style="391" hidden="1"/>
    <col min="12832" max="12832" width="13.7109375" style="391" hidden="1"/>
    <col min="12833" max="12833" width="12.7109375" style="391" hidden="1"/>
    <col min="12834" max="12835" width="13.85546875" style="391" hidden="1"/>
    <col min="12836" max="12836" width="15.28515625" style="391" hidden="1"/>
    <col min="12837" max="12876" width="9.140625" style="391" hidden="1"/>
    <col min="12877" max="12877" width="16.5703125" style="391" hidden="1"/>
    <col min="12878" max="12878" width="18" style="391" hidden="1"/>
    <col min="12879" max="12879" width="16.85546875" style="391" hidden="1"/>
    <col min="12880" max="13053" width="9.140625" style="391" hidden="1"/>
    <col min="13054" max="13054" width="11.85546875" style="391" hidden="1"/>
    <col min="13055" max="13055" width="11.7109375" style="391" hidden="1"/>
    <col min="13056" max="13056" width="11.28515625" style="391" hidden="1"/>
    <col min="13057" max="13057" width="9.140625" style="391" hidden="1"/>
    <col min="13058" max="13058" width="10.28515625" style="391" hidden="1"/>
    <col min="13059" max="13059" width="12.7109375" style="391" hidden="1"/>
    <col min="13060" max="13060" width="10.5703125" style="391" hidden="1"/>
    <col min="13061" max="13061" width="17" style="391" hidden="1"/>
    <col min="13062" max="13062" width="10.85546875" style="391" hidden="1"/>
    <col min="13063" max="13063" width="9.140625" style="391" hidden="1"/>
    <col min="13064" max="13065" width="15.5703125" style="391" hidden="1"/>
    <col min="13066" max="13066" width="18.28515625" style="391" hidden="1"/>
    <col min="13067" max="13069" width="12.7109375" style="391" hidden="1"/>
    <col min="13070" max="13070" width="7.7109375" style="391" hidden="1"/>
    <col min="13071" max="13073" width="12.7109375" style="391" hidden="1"/>
    <col min="13074" max="13074" width="14" style="391" hidden="1"/>
    <col min="13075" max="13075" width="13.7109375" style="391" hidden="1"/>
    <col min="13076" max="13076" width="12.7109375" style="391" hidden="1"/>
    <col min="13077" max="13078" width="13.85546875" style="391" hidden="1"/>
    <col min="13079" max="13079" width="15.28515625" style="391" hidden="1"/>
    <col min="13080" max="13082" width="12.7109375" style="391" hidden="1"/>
    <col min="13083" max="13083" width="7.7109375" style="391" hidden="1"/>
    <col min="13084" max="13086" width="12.7109375" style="391" hidden="1"/>
    <col min="13087" max="13087" width="14" style="391" hidden="1"/>
    <col min="13088" max="13088" width="13.7109375" style="391" hidden="1"/>
    <col min="13089" max="13089" width="12.7109375" style="391" hidden="1"/>
    <col min="13090" max="13091" width="13.85546875" style="391" hidden="1"/>
    <col min="13092" max="13092" width="15.28515625" style="391" hidden="1"/>
    <col min="13093" max="13132" width="9.140625" style="391" hidden="1"/>
    <col min="13133" max="13133" width="16.5703125" style="391" hidden="1"/>
    <col min="13134" max="13134" width="18" style="391" hidden="1"/>
    <col min="13135" max="13135" width="16.85546875" style="391" hidden="1"/>
    <col min="13136" max="13309" width="9.140625" style="391" hidden="1"/>
    <col min="13310" max="13310" width="11.85546875" style="391" hidden="1"/>
    <col min="13311" max="13311" width="11.7109375" style="391" hidden="1"/>
    <col min="13312" max="13312" width="11.28515625" style="391" hidden="1"/>
    <col min="13313" max="13313" width="9.140625" style="391" hidden="1"/>
    <col min="13314" max="13314" width="10.28515625" style="391" hidden="1"/>
    <col min="13315" max="13315" width="12.7109375" style="391" hidden="1"/>
    <col min="13316" max="13316" width="10.5703125" style="391" hidden="1"/>
    <col min="13317" max="13317" width="17" style="391" hidden="1"/>
    <col min="13318" max="13318" width="10.85546875" style="391" hidden="1"/>
    <col min="13319" max="13319" width="9.140625" style="391" hidden="1"/>
    <col min="13320" max="13321" width="15.5703125" style="391" hidden="1"/>
    <col min="13322" max="13322" width="18.28515625" style="391" hidden="1"/>
    <col min="13323" max="13325" width="12.7109375" style="391" hidden="1"/>
    <col min="13326" max="13326" width="7.7109375" style="391" hidden="1"/>
    <col min="13327" max="13329" width="12.7109375" style="391" hidden="1"/>
    <col min="13330" max="13330" width="14" style="391" hidden="1"/>
    <col min="13331" max="13331" width="13.7109375" style="391" hidden="1"/>
    <col min="13332" max="13332" width="12.7109375" style="391" hidden="1"/>
    <col min="13333" max="13334" width="13.85546875" style="391" hidden="1"/>
    <col min="13335" max="13335" width="15.28515625" style="391" hidden="1"/>
    <col min="13336" max="13338" width="12.7109375" style="391" hidden="1"/>
    <col min="13339" max="13339" width="7.7109375" style="391" hidden="1"/>
    <col min="13340" max="13342" width="12.7109375" style="391" hidden="1"/>
    <col min="13343" max="13343" width="14" style="391" hidden="1"/>
    <col min="13344" max="13344" width="13.7109375" style="391" hidden="1"/>
    <col min="13345" max="13345" width="12.7109375" style="391" hidden="1"/>
    <col min="13346" max="13347" width="13.85546875" style="391" hidden="1"/>
    <col min="13348" max="13348" width="15.28515625" style="391" hidden="1"/>
    <col min="13349" max="13388" width="9.140625" style="391" hidden="1"/>
    <col min="13389" max="13389" width="16.5703125" style="391" hidden="1"/>
    <col min="13390" max="13390" width="18" style="391" hidden="1"/>
    <col min="13391" max="13391" width="16.85546875" style="391" hidden="1"/>
    <col min="13392" max="13565" width="9.140625" style="391" hidden="1"/>
    <col min="13566" max="13566" width="11.85546875" style="391" hidden="1"/>
    <col min="13567" max="13567" width="11.7109375" style="391" hidden="1"/>
    <col min="13568" max="13568" width="11.28515625" style="391" hidden="1"/>
    <col min="13569" max="13569" width="9.140625" style="391" hidden="1"/>
    <col min="13570" max="13570" width="10.28515625" style="391" hidden="1"/>
    <col min="13571" max="13571" width="12.7109375" style="391" hidden="1"/>
    <col min="13572" max="13572" width="10.5703125" style="391" hidden="1"/>
    <col min="13573" max="13573" width="17" style="391" hidden="1"/>
    <col min="13574" max="13574" width="10.85546875" style="391" hidden="1"/>
    <col min="13575" max="13575" width="9.140625" style="391" hidden="1"/>
    <col min="13576" max="13577" width="15.5703125" style="391" hidden="1"/>
    <col min="13578" max="13578" width="18.28515625" style="391" hidden="1"/>
    <col min="13579" max="13581" width="12.7109375" style="391" hidden="1"/>
    <col min="13582" max="13582" width="7.7109375" style="391" hidden="1"/>
    <col min="13583" max="13585" width="12.7109375" style="391" hidden="1"/>
    <col min="13586" max="13586" width="14" style="391" hidden="1"/>
    <col min="13587" max="13587" width="13.7109375" style="391" hidden="1"/>
    <col min="13588" max="13588" width="12.7109375" style="391" hidden="1"/>
    <col min="13589" max="13590" width="13.85546875" style="391" hidden="1"/>
    <col min="13591" max="13591" width="15.28515625" style="391" hidden="1"/>
    <col min="13592" max="13594" width="12.7109375" style="391" hidden="1"/>
    <col min="13595" max="13595" width="7.7109375" style="391" hidden="1"/>
    <col min="13596" max="13598" width="12.7109375" style="391" hidden="1"/>
    <col min="13599" max="13599" width="14" style="391" hidden="1"/>
    <col min="13600" max="13600" width="13.7109375" style="391" hidden="1"/>
    <col min="13601" max="13601" width="12.7109375" style="391" hidden="1"/>
    <col min="13602" max="13603" width="13.85546875" style="391" hidden="1"/>
    <col min="13604" max="13604" width="15.28515625" style="391" hidden="1"/>
    <col min="13605" max="13644" width="9.140625" style="391" hidden="1"/>
    <col min="13645" max="13645" width="16.5703125" style="391" hidden="1"/>
    <col min="13646" max="13646" width="18" style="391" hidden="1"/>
    <col min="13647" max="13647" width="16.85546875" style="391" hidden="1"/>
    <col min="13648" max="13821" width="9.140625" style="391" hidden="1"/>
    <col min="13822" max="13822" width="11.85546875" style="391" hidden="1"/>
    <col min="13823" max="13823" width="11.7109375" style="391" hidden="1"/>
    <col min="13824" max="13824" width="11.28515625" style="391" hidden="1"/>
    <col min="13825" max="13825" width="9.140625" style="391" hidden="1"/>
    <col min="13826" max="13826" width="10.28515625" style="391" hidden="1"/>
    <col min="13827" max="13827" width="12.7109375" style="391" hidden="1"/>
    <col min="13828" max="13828" width="10.5703125" style="391" hidden="1"/>
    <col min="13829" max="13829" width="17" style="391" hidden="1"/>
    <col min="13830" max="13830" width="10.85546875" style="391" hidden="1"/>
    <col min="13831" max="13831" width="9.140625" style="391" hidden="1"/>
    <col min="13832" max="13833" width="15.5703125" style="391" hidden="1"/>
    <col min="13834" max="13834" width="18.28515625" style="391" hidden="1"/>
    <col min="13835" max="13837" width="12.7109375" style="391" hidden="1"/>
    <col min="13838" max="13838" width="7.7109375" style="391" hidden="1"/>
    <col min="13839" max="13841" width="12.7109375" style="391" hidden="1"/>
    <col min="13842" max="13842" width="14" style="391" hidden="1"/>
    <col min="13843" max="13843" width="13.7109375" style="391" hidden="1"/>
    <col min="13844" max="13844" width="12.7109375" style="391" hidden="1"/>
    <col min="13845" max="13846" width="13.85546875" style="391" hidden="1"/>
    <col min="13847" max="13847" width="15.28515625" style="391" hidden="1"/>
    <col min="13848" max="13850" width="12.7109375" style="391" hidden="1"/>
    <col min="13851" max="13851" width="7.7109375" style="391" hidden="1"/>
    <col min="13852" max="13854" width="12.7109375" style="391" hidden="1"/>
    <col min="13855" max="13855" width="14" style="391" hidden="1"/>
    <col min="13856" max="13856" width="13.7109375" style="391" hidden="1"/>
    <col min="13857" max="13857" width="12.7109375" style="391" hidden="1"/>
    <col min="13858" max="13859" width="13.85546875" style="391" hidden="1"/>
    <col min="13860" max="13860" width="15.28515625" style="391" hidden="1"/>
    <col min="13861" max="13900" width="9.140625" style="391" hidden="1"/>
    <col min="13901" max="13901" width="16.5703125" style="391" hidden="1"/>
    <col min="13902" max="13902" width="18" style="391" hidden="1"/>
    <col min="13903" max="13903" width="16.85546875" style="391" hidden="1"/>
    <col min="13904" max="14077" width="9.140625" style="391" hidden="1"/>
    <col min="14078" max="14078" width="11.85546875" style="391" hidden="1"/>
    <col min="14079" max="14079" width="11.7109375" style="391" hidden="1"/>
    <col min="14080" max="14080" width="11.28515625" style="391" hidden="1"/>
    <col min="14081" max="14081" width="9.140625" style="391" hidden="1"/>
    <col min="14082" max="14082" width="10.28515625" style="391" hidden="1"/>
    <col min="14083" max="14083" width="12.7109375" style="391" hidden="1"/>
    <col min="14084" max="14084" width="10.5703125" style="391" hidden="1"/>
    <col min="14085" max="14085" width="17" style="391" hidden="1"/>
    <col min="14086" max="14086" width="10.85546875" style="391" hidden="1"/>
    <col min="14087" max="14087" width="9.140625" style="391" hidden="1"/>
    <col min="14088" max="14089" width="15.5703125" style="391" hidden="1"/>
    <col min="14090" max="14090" width="18.28515625" style="391" hidden="1"/>
    <col min="14091" max="14093" width="12.7109375" style="391" hidden="1"/>
    <col min="14094" max="14094" width="7.7109375" style="391" hidden="1"/>
    <col min="14095" max="14097" width="12.7109375" style="391" hidden="1"/>
    <col min="14098" max="14098" width="14" style="391" hidden="1"/>
    <col min="14099" max="14099" width="13.7109375" style="391" hidden="1"/>
    <col min="14100" max="14100" width="12.7109375" style="391" hidden="1"/>
    <col min="14101" max="14102" width="13.85546875" style="391" hidden="1"/>
    <col min="14103" max="14103" width="15.28515625" style="391" hidden="1"/>
    <col min="14104" max="14106" width="12.7109375" style="391" hidden="1"/>
    <col min="14107" max="14107" width="7.7109375" style="391" hidden="1"/>
    <col min="14108" max="14110" width="12.7109375" style="391" hidden="1"/>
    <col min="14111" max="14111" width="14" style="391" hidden="1"/>
    <col min="14112" max="14112" width="13.7109375" style="391" hidden="1"/>
    <col min="14113" max="14113" width="12.7109375" style="391" hidden="1"/>
    <col min="14114" max="14115" width="13.85546875" style="391" hidden="1"/>
    <col min="14116" max="14116" width="15.28515625" style="391" hidden="1"/>
    <col min="14117" max="14156" width="9.140625" style="391" hidden="1"/>
    <col min="14157" max="14157" width="16.5703125" style="391" hidden="1"/>
    <col min="14158" max="14158" width="18" style="391" hidden="1"/>
    <col min="14159" max="14159" width="16.85546875" style="391" hidden="1"/>
    <col min="14160" max="14333" width="9.140625" style="391" hidden="1"/>
    <col min="14334" max="14334" width="11.85546875" style="391" hidden="1"/>
    <col min="14335" max="14335" width="11.7109375" style="391" hidden="1"/>
    <col min="14336" max="14336" width="11.28515625" style="391" hidden="1"/>
    <col min="14337" max="14337" width="9.140625" style="391" hidden="1"/>
    <col min="14338" max="14338" width="10.28515625" style="391" hidden="1"/>
    <col min="14339" max="14339" width="12.7109375" style="391" hidden="1"/>
    <col min="14340" max="14340" width="10.5703125" style="391" hidden="1"/>
    <col min="14341" max="14341" width="17" style="391" hidden="1"/>
    <col min="14342" max="14342" width="10.85546875" style="391" hidden="1"/>
    <col min="14343" max="14343" width="9.140625" style="391" hidden="1"/>
    <col min="14344" max="14345" width="15.5703125" style="391" hidden="1"/>
    <col min="14346" max="14346" width="18.28515625" style="391" hidden="1"/>
    <col min="14347" max="14349" width="12.7109375" style="391" hidden="1"/>
    <col min="14350" max="14350" width="7.7109375" style="391" hidden="1"/>
    <col min="14351" max="14353" width="12.7109375" style="391" hidden="1"/>
    <col min="14354" max="14354" width="14" style="391" hidden="1"/>
    <col min="14355" max="14355" width="13.7109375" style="391" hidden="1"/>
    <col min="14356" max="14356" width="12.7109375" style="391" hidden="1"/>
    <col min="14357" max="14358" width="13.85546875" style="391" hidden="1"/>
    <col min="14359" max="14359" width="15.28515625" style="391" hidden="1"/>
    <col min="14360" max="14362" width="12.7109375" style="391" hidden="1"/>
    <col min="14363" max="14363" width="7.7109375" style="391" hidden="1"/>
    <col min="14364" max="14366" width="12.7109375" style="391" hidden="1"/>
    <col min="14367" max="14367" width="14" style="391" hidden="1"/>
    <col min="14368" max="14368" width="13.7109375" style="391" hidden="1"/>
    <col min="14369" max="14369" width="12.7109375" style="391" hidden="1"/>
    <col min="14370" max="14371" width="13.85546875" style="391" hidden="1"/>
    <col min="14372" max="14372" width="15.28515625" style="391" hidden="1"/>
    <col min="14373" max="14412" width="9.140625" style="391" hidden="1"/>
    <col min="14413" max="14413" width="16.5703125" style="391" hidden="1"/>
    <col min="14414" max="14414" width="18" style="391" hidden="1"/>
    <col min="14415" max="14415" width="16.85546875" style="391" hidden="1"/>
    <col min="14416" max="14589" width="9.140625" style="391" hidden="1"/>
    <col min="14590" max="14590" width="11.85546875" style="391" hidden="1"/>
    <col min="14591" max="14591" width="11.7109375" style="391" hidden="1"/>
    <col min="14592" max="14592" width="11.28515625" style="391" hidden="1"/>
    <col min="14593" max="14593" width="9.140625" style="391" hidden="1"/>
    <col min="14594" max="14594" width="10.28515625" style="391" hidden="1"/>
    <col min="14595" max="14595" width="12.7109375" style="391" hidden="1"/>
    <col min="14596" max="14596" width="10.5703125" style="391" hidden="1"/>
    <col min="14597" max="14597" width="17" style="391" hidden="1"/>
    <col min="14598" max="14598" width="10.85546875" style="391" hidden="1"/>
    <col min="14599" max="14599" width="9.140625" style="391" hidden="1"/>
    <col min="14600" max="14601" width="15.5703125" style="391" hidden="1"/>
    <col min="14602" max="14602" width="18.28515625" style="391" hidden="1"/>
    <col min="14603" max="14605" width="12.7109375" style="391" hidden="1"/>
    <col min="14606" max="14606" width="7.7109375" style="391" hidden="1"/>
    <col min="14607" max="14609" width="12.7109375" style="391" hidden="1"/>
    <col min="14610" max="14610" width="14" style="391" hidden="1"/>
    <col min="14611" max="14611" width="13.7109375" style="391" hidden="1"/>
    <col min="14612" max="14612" width="12.7109375" style="391" hidden="1"/>
    <col min="14613" max="14614" width="13.85546875" style="391" hidden="1"/>
    <col min="14615" max="14615" width="15.28515625" style="391" hidden="1"/>
    <col min="14616" max="14618" width="12.7109375" style="391" hidden="1"/>
    <col min="14619" max="14619" width="7.7109375" style="391" hidden="1"/>
    <col min="14620" max="14622" width="12.7109375" style="391" hidden="1"/>
    <col min="14623" max="14623" width="14" style="391" hidden="1"/>
    <col min="14624" max="14624" width="13.7109375" style="391" hidden="1"/>
    <col min="14625" max="14625" width="12.7109375" style="391" hidden="1"/>
    <col min="14626" max="14627" width="13.85546875" style="391" hidden="1"/>
    <col min="14628" max="14628" width="15.28515625" style="391" hidden="1"/>
    <col min="14629" max="14668" width="9.140625" style="391" hidden="1"/>
    <col min="14669" max="14669" width="16.5703125" style="391" hidden="1"/>
    <col min="14670" max="14670" width="18" style="391" hidden="1"/>
    <col min="14671" max="14671" width="16.85546875" style="391" hidden="1"/>
    <col min="14672" max="14845" width="9.140625" style="391" hidden="1"/>
    <col min="14846" max="14846" width="11.85546875" style="391" hidden="1"/>
    <col min="14847" max="14847" width="11.7109375" style="391" hidden="1"/>
    <col min="14848" max="14848" width="11.28515625" style="391" hidden="1"/>
    <col min="14849" max="14849" width="9.140625" style="391" hidden="1"/>
    <col min="14850" max="14850" width="10.28515625" style="391" hidden="1"/>
    <col min="14851" max="14851" width="12.7109375" style="391" hidden="1"/>
    <col min="14852" max="14852" width="10.5703125" style="391" hidden="1"/>
    <col min="14853" max="14853" width="17" style="391" hidden="1"/>
    <col min="14854" max="14854" width="10.85546875" style="391" hidden="1"/>
    <col min="14855" max="14855" width="9.140625" style="391" hidden="1"/>
    <col min="14856" max="14857" width="15.5703125" style="391" hidden="1"/>
    <col min="14858" max="14858" width="18.28515625" style="391" hidden="1"/>
    <col min="14859" max="14861" width="12.7109375" style="391" hidden="1"/>
    <col min="14862" max="14862" width="7.7109375" style="391" hidden="1"/>
    <col min="14863" max="14865" width="12.7109375" style="391" hidden="1"/>
    <col min="14866" max="14866" width="14" style="391" hidden="1"/>
    <col min="14867" max="14867" width="13.7109375" style="391" hidden="1"/>
    <col min="14868" max="14868" width="12.7109375" style="391" hidden="1"/>
    <col min="14869" max="14870" width="13.85546875" style="391" hidden="1"/>
    <col min="14871" max="14871" width="15.28515625" style="391" hidden="1"/>
    <col min="14872" max="14874" width="12.7109375" style="391" hidden="1"/>
    <col min="14875" max="14875" width="7.7109375" style="391" hidden="1"/>
    <col min="14876" max="14878" width="12.7109375" style="391" hidden="1"/>
    <col min="14879" max="14879" width="14" style="391" hidden="1"/>
    <col min="14880" max="14880" width="13.7109375" style="391" hidden="1"/>
    <col min="14881" max="14881" width="12.7109375" style="391" hidden="1"/>
    <col min="14882" max="14883" width="13.85546875" style="391" hidden="1"/>
    <col min="14884" max="14884" width="15.28515625" style="391" hidden="1"/>
    <col min="14885" max="14924" width="9.140625" style="391" hidden="1"/>
    <col min="14925" max="14925" width="16.5703125" style="391" hidden="1"/>
    <col min="14926" max="14926" width="18" style="391" hidden="1"/>
    <col min="14927" max="14927" width="16.85546875" style="391" hidden="1"/>
    <col min="14928" max="15101" width="9.140625" style="391" hidden="1"/>
    <col min="15102" max="15102" width="11.85546875" style="391" hidden="1"/>
    <col min="15103" max="15103" width="11.7109375" style="391" hidden="1"/>
    <col min="15104" max="15104" width="11.28515625" style="391" hidden="1"/>
    <col min="15105" max="15105" width="9.140625" style="391" hidden="1"/>
    <col min="15106" max="15106" width="10.28515625" style="391" hidden="1"/>
    <col min="15107" max="15107" width="12.7109375" style="391" hidden="1"/>
    <col min="15108" max="15108" width="10.5703125" style="391" hidden="1"/>
    <col min="15109" max="15109" width="17" style="391" hidden="1"/>
    <col min="15110" max="15110" width="10.85546875" style="391" hidden="1"/>
    <col min="15111" max="15111" width="9.140625" style="391" hidden="1"/>
    <col min="15112" max="15113" width="15.5703125" style="391" hidden="1"/>
    <col min="15114" max="15114" width="18.28515625" style="391" hidden="1"/>
    <col min="15115" max="15117" width="12.7109375" style="391" hidden="1"/>
    <col min="15118" max="15118" width="7.7109375" style="391" hidden="1"/>
    <col min="15119" max="15121" width="12.7109375" style="391" hidden="1"/>
    <col min="15122" max="15122" width="14" style="391" hidden="1"/>
    <col min="15123" max="15123" width="13.7109375" style="391" hidden="1"/>
    <col min="15124" max="15124" width="12.7109375" style="391" hidden="1"/>
    <col min="15125" max="15126" width="13.85546875" style="391" hidden="1"/>
    <col min="15127" max="15127" width="15.28515625" style="391" hidden="1"/>
    <col min="15128" max="15130" width="12.7109375" style="391" hidden="1"/>
    <col min="15131" max="15131" width="7.7109375" style="391" hidden="1"/>
    <col min="15132" max="15134" width="12.7109375" style="391" hidden="1"/>
    <col min="15135" max="15135" width="14" style="391" hidden="1"/>
    <col min="15136" max="15136" width="13.7109375" style="391" hidden="1"/>
    <col min="15137" max="15137" width="12.7109375" style="391" hidden="1"/>
    <col min="15138" max="15139" width="13.85546875" style="391" hidden="1"/>
    <col min="15140" max="15140" width="15.28515625" style="391" hidden="1"/>
    <col min="15141" max="15180" width="9.140625" style="391" hidden="1"/>
    <col min="15181" max="15181" width="16.5703125" style="391" hidden="1"/>
    <col min="15182" max="15182" width="18" style="391" hidden="1"/>
    <col min="15183" max="15183" width="16.85546875" style="391" hidden="1"/>
    <col min="15184" max="15357" width="9.140625" style="391" hidden="1"/>
    <col min="15358" max="15358" width="11.85546875" style="391" hidden="1"/>
    <col min="15359" max="15359" width="11.7109375" style="391" hidden="1"/>
    <col min="15360" max="15360" width="11.28515625" style="391" hidden="1"/>
    <col min="15361" max="15361" width="9.140625" style="391" hidden="1"/>
    <col min="15362" max="15362" width="10.28515625" style="391" hidden="1"/>
    <col min="15363" max="15363" width="12.7109375" style="391" hidden="1"/>
    <col min="15364" max="15364" width="10.5703125" style="391" hidden="1"/>
    <col min="15365" max="15365" width="17" style="391" hidden="1"/>
    <col min="15366" max="15366" width="10.85546875" style="391" hidden="1"/>
    <col min="15367" max="15367" width="9.140625" style="391" hidden="1"/>
    <col min="15368" max="15369" width="15.5703125" style="391" hidden="1"/>
    <col min="15370" max="15370" width="18.28515625" style="391" hidden="1"/>
    <col min="15371" max="15373" width="12.7109375" style="391" hidden="1"/>
    <col min="15374" max="15374" width="7.7109375" style="391" hidden="1"/>
    <col min="15375" max="15377" width="12.7109375" style="391" hidden="1"/>
    <col min="15378" max="15378" width="14" style="391" hidden="1"/>
    <col min="15379" max="15379" width="13.7109375" style="391" hidden="1"/>
    <col min="15380" max="15380" width="12.7109375" style="391" hidden="1"/>
    <col min="15381" max="15382" width="13.85546875" style="391" hidden="1"/>
    <col min="15383" max="15383" width="15.28515625" style="391" hidden="1"/>
    <col min="15384" max="15386" width="12.7109375" style="391" hidden="1"/>
    <col min="15387" max="15387" width="7.7109375" style="391" hidden="1"/>
    <col min="15388" max="15390" width="12.7109375" style="391" hidden="1"/>
    <col min="15391" max="15391" width="14" style="391" hidden="1"/>
    <col min="15392" max="15392" width="13.7109375" style="391" hidden="1"/>
    <col min="15393" max="15393" width="12.7109375" style="391" hidden="1"/>
    <col min="15394" max="15395" width="13.85546875" style="391" hidden="1"/>
    <col min="15396" max="15396" width="15.28515625" style="391" hidden="1"/>
    <col min="15397" max="15436" width="9.140625" style="391" hidden="1"/>
    <col min="15437" max="15437" width="16.5703125" style="391" hidden="1"/>
    <col min="15438" max="15438" width="18" style="391" hidden="1"/>
    <col min="15439" max="15439" width="16.85546875" style="391" hidden="1"/>
    <col min="15440" max="15613" width="9.140625" style="391" hidden="1"/>
    <col min="15614" max="15614" width="11.85546875" style="391" hidden="1"/>
    <col min="15615" max="15615" width="11.7109375" style="391" hidden="1"/>
    <col min="15616" max="15616" width="11.28515625" style="391" hidden="1"/>
    <col min="15617" max="15617" width="9.140625" style="391" hidden="1"/>
    <col min="15618" max="15618" width="10.28515625" style="391" hidden="1"/>
    <col min="15619" max="15619" width="12.7109375" style="391" hidden="1"/>
    <col min="15620" max="15620" width="10.5703125" style="391" hidden="1"/>
    <col min="15621" max="15621" width="17" style="391" hidden="1"/>
    <col min="15622" max="15622" width="10.85546875" style="391" hidden="1"/>
    <col min="15623" max="15623" width="9.140625" style="391" hidden="1"/>
    <col min="15624" max="15625" width="15.5703125" style="391" hidden="1"/>
    <col min="15626" max="15626" width="18.28515625" style="391" hidden="1"/>
    <col min="15627" max="15629" width="12.7109375" style="391" hidden="1"/>
    <col min="15630" max="15630" width="7.7109375" style="391" hidden="1"/>
    <col min="15631" max="15633" width="12.7109375" style="391" hidden="1"/>
    <col min="15634" max="15634" width="14" style="391" hidden="1"/>
    <col min="15635" max="15635" width="13.7109375" style="391" hidden="1"/>
    <col min="15636" max="15636" width="12.7109375" style="391" hidden="1"/>
    <col min="15637" max="15638" width="13.85546875" style="391" hidden="1"/>
    <col min="15639" max="15639" width="15.28515625" style="391" hidden="1"/>
    <col min="15640" max="15642" width="12.7109375" style="391" hidden="1"/>
    <col min="15643" max="15643" width="7.7109375" style="391" hidden="1"/>
    <col min="15644" max="15646" width="12.7109375" style="391" hidden="1"/>
    <col min="15647" max="15647" width="14" style="391" hidden="1"/>
    <col min="15648" max="15648" width="13.7109375" style="391" hidden="1"/>
    <col min="15649" max="15649" width="12.7109375" style="391" hidden="1"/>
    <col min="15650" max="15651" width="13.85546875" style="391" hidden="1"/>
    <col min="15652" max="15652" width="15.28515625" style="391" hidden="1"/>
    <col min="15653" max="15692" width="9.140625" style="391" hidden="1"/>
    <col min="15693" max="15693" width="16.5703125" style="391" hidden="1"/>
    <col min="15694" max="15694" width="18" style="391" hidden="1"/>
    <col min="15695" max="15695" width="16.85546875" style="391" hidden="1"/>
    <col min="15696" max="15869" width="9.140625" style="391" hidden="1"/>
    <col min="15870" max="15870" width="11.85546875" style="391" hidden="1"/>
    <col min="15871" max="15871" width="11.7109375" style="391" hidden="1"/>
    <col min="15872" max="15872" width="11.28515625" style="391" hidden="1"/>
    <col min="15873" max="15873" width="9.140625" style="391" hidden="1"/>
    <col min="15874" max="15874" width="10.28515625" style="391" hidden="1"/>
    <col min="15875" max="15875" width="12.7109375" style="391" hidden="1"/>
    <col min="15876" max="15876" width="10.5703125" style="391" hidden="1"/>
    <col min="15877" max="15877" width="17" style="391" hidden="1"/>
    <col min="15878" max="15878" width="10.85546875" style="391" hidden="1"/>
    <col min="15879" max="15879" width="9.140625" style="391" hidden="1"/>
    <col min="15880" max="15881" width="15.5703125" style="391" hidden="1"/>
    <col min="15882" max="15882" width="18.28515625" style="391" hidden="1"/>
    <col min="15883" max="15885" width="12.7109375" style="391" hidden="1"/>
    <col min="15886" max="15886" width="7.7109375" style="391" hidden="1"/>
    <col min="15887" max="15889" width="12.7109375" style="391" hidden="1"/>
    <col min="15890" max="15890" width="14" style="391" hidden="1"/>
    <col min="15891" max="15891" width="13.7109375" style="391" hidden="1"/>
    <col min="15892" max="15892" width="12.7109375" style="391" hidden="1"/>
    <col min="15893" max="15894" width="13.85546875" style="391" hidden="1"/>
    <col min="15895" max="15895" width="15.28515625" style="391" hidden="1"/>
    <col min="15896" max="15898" width="12.7109375" style="391" hidden="1"/>
    <col min="15899" max="15899" width="7.7109375" style="391" hidden="1"/>
    <col min="15900" max="15902" width="12.7109375" style="391" hidden="1"/>
    <col min="15903" max="15903" width="14" style="391" hidden="1"/>
    <col min="15904" max="15904" width="13.7109375" style="391" hidden="1"/>
    <col min="15905" max="15905" width="12.7109375" style="391" hidden="1"/>
    <col min="15906" max="15907" width="13.85546875" style="391" hidden="1"/>
    <col min="15908" max="15908" width="15.28515625" style="391" hidden="1"/>
    <col min="15909" max="15948" width="9.140625" style="391" hidden="1"/>
    <col min="15949" max="15949" width="16.5703125" style="391" hidden="1"/>
    <col min="15950" max="15950" width="18" style="391" hidden="1"/>
    <col min="15951" max="15951" width="16.85546875" style="391" hidden="1"/>
    <col min="15952" max="16125" width="9.140625" style="391" hidden="1"/>
    <col min="16126" max="16126" width="11.85546875" style="391" hidden="1"/>
    <col min="16127" max="16127" width="11.7109375" style="391" hidden="1"/>
    <col min="16128" max="16128" width="11.28515625" style="391" hidden="1"/>
    <col min="16129" max="16129" width="9.140625" style="391" hidden="1"/>
    <col min="16130" max="16130" width="10.28515625" style="391" hidden="1"/>
    <col min="16131" max="16131" width="12.7109375" style="391" hidden="1"/>
    <col min="16132" max="16132" width="10.5703125" style="391" hidden="1"/>
    <col min="16133" max="16133" width="17" style="391" hidden="1"/>
    <col min="16134" max="16134" width="10.85546875" style="391" hidden="1"/>
    <col min="16135" max="16135" width="9.140625" style="391" hidden="1"/>
    <col min="16136" max="16137" width="15.5703125" style="391" hidden="1"/>
    <col min="16138" max="16138" width="18.28515625" style="391" hidden="1"/>
    <col min="16139" max="16141" width="12.7109375" style="391" hidden="1"/>
    <col min="16142" max="16142" width="7.7109375" style="391" hidden="1"/>
    <col min="16143" max="16145" width="12.7109375" style="391" hidden="1"/>
    <col min="16146" max="16146" width="14" style="391" hidden="1"/>
    <col min="16147" max="16147" width="13.7109375" style="391" hidden="1"/>
    <col min="16148" max="16148" width="12.7109375" style="391" hidden="1"/>
    <col min="16149" max="16150" width="13.85546875" style="391" hidden="1"/>
    <col min="16151" max="16151" width="15.28515625" style="391" hidden="1"/>
    <col min="16152" max="16154" width="12.7109375" style="391" hidden="1"/>
    <col min="16155" max="16155" width="7.7109375" style="391" hidden="1"/>
    <col min="16156" max="16158" width="12.7109375" style="391" hidden="1"/>
    <col min="16159" max="16159" width="14" style="391" hidden="1"/>
    <col min="16160" max="16160" width="13.7109375" style="391" hidden="1"/>
    <col min="16161" max="16161" width="12.7109375" style="391" hidden="1"/>
    <col min="16162" max="16163" width="13.85546875" style="391" hidden="1"/>
    <col min="16164" max="16164" width="15.28515625" style="391" hidden="1"/>
    <col min="16165" max="16204" width="9.140625" style="391" hidden="1"/>
    <col min="16205" max="16205" width="16.5703125" style="391" hidden="1"/>
    <col min="16206" max="16206" width="18" style="391" hidden="1"/>
    <col min="16207" max="16207" width="16.85546875" style="391" hidden="1"/>
    <col min="16208" max="16384" width="9.140625" style="391" hidden="1"/>
  </cols>
  <sheetData>
    <row r="1" spans="1:91" s="684" customFormat="1" ht="9.75" customHeight="1">
      <c r="A1" s="391"/>
      <c r="B1" s="391"/>
      <c r="C1" s="697"/>
      <c r="D1" s="391"/>
      <c r="E1" s="391"/>
      <c r="F1" s="391"/>
      <c r="G1" s="391"/>
      <c r="H1" s="391"/>
      <c r="I1" s="391"/>
      <c r="J1" s="391"/>
      <c r="Q1" s="697"/>
      <c r="AE1" s="697"/>
      <c r="AS1" s="697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</row>
    <row r="2" spans="1:91" s="684" customFormat="1" ht="22.5">
      <c r="A2" s="391"/>
      <c r="B2" s="294" t="s">
        <v>336</v>
      </c>
      <c r="C2" s="685"/>
      <c r="D2" s="294"/>
      <c r="E2" s="294"/>
      <c r="F2" s="294"/>
      <c r="G2" s="720"/>
      <c r="H2" s="721" t="s">
        <v>460</v>
      </c>
      <c r="I2" s="1200">
        <v>2020</v>
      </c>
      <c r="J2" s="1200"/>
      <c r="K2" s="685"/>
      <c r="L2" s="683"/>
      <c r="M2" s="683"/>
      <c r="N2" s="685"/>
      <c r="O2" s="685"/>
      <c r="P2" s="685"/>
      <c r="Q2" s="685"/>
      <c r="R2" s="389"/>
      <c r="S2" s="389"/>
      <c r="T2" s="389"/>
      <c r="U2" s="389"/>
      <c r="V2" s="389"/>
      <c r="W2" s="390"/>
      <c r="X2" s="389"/>
      <c r="Y2" s="389"/>
      <c r="Z2" s="389"/>
      <c r="AA2" s="389"/>
      <c r="AB2" s="389"/>
      <c r="AC2" s="389"/>
      <c r="AD2" s="389"/>
      <c r="AE2" s="389"/>
      <c r="AF2" s="389"/>
      <c r="AG2" s="389"/>
      <c r="AH2" s="389"/>
      <c r="AI2" s="389"/>
      <c r="AJ2" s="389"/>
      <c r="AK2" s="390"/>
      <c r="AL2" s="389"/>
      <c r="AM2" s="389"/>
      <c r="AN2" s="389"/>
      <c r="AO2" s="389"/>
      <c r="AP2" s="389"/>
      <c r="AQ2" s="389"/>
      <c r="AR2" s="389"/>
      <c r="AS2" s="389"/>
      <c r="AT2" s="389"/>
      <c r="AU2" s="389"/>
      <c r="AV2" s="389"/>
      <c r="AW2" s="389"/>
      <c r="AX2" s="389"/>
      <c r="AY2" s="390"/>
      <c r="AZ2" s="389"/>
      <c r="BA2" s="389"/>
      <c r="BB2" s="389"/>
      <c r="BC2" s="389"/>
      <c r="BD2" s="389"/>
      <c r="BE2" s="389"/>
      <c r="BF2" s="389"/>
      <c r="BJ2" s="295"/>
      <c r="BK2" s="295"/>
      <c r="BL2" s="295"/>
      <c r="BM2" s="295"/>
      <c r="BN2" s="295"/>
      <c r="BO2" s="295"/>
      <c r="BP2" s="295"/>
      <c r="BQ2" s="295"/>
      <c r="BR2" s="295"/>
      <c r="BS2" s="295"/>
      <c r="BT2" s="295"/>
      <c r="BU2" s="295"/>
      <c r="BV2" s="295"/>
      <c r="BW2" s="295"/>
      <c r="BX2" s="295"/>
      <c r="BY2" s="295"/>
      <c r="BZ2" s="295"/>
      <c r="CA2" s="295"/>
      <c r="CB2" s="295"/>
      <c r="CC2" s="295"/>
      <c r="CD2" s="295"/>
      <c r="CE2" s="295"/>
      <c r="CF2" s="295"/>
      <c r="CG2" s="295"/>
      <c r="CH2" s="295"/>
      <c r="CI2" s="295"/>
      <c r="CJ2" s="295"/>
      <c r="CK2" s="295"/>
      <c r="CL2" s="295"/>
      <c r="CM2" s="295"/>
    </row>
    <row r="3" spans="1:91" ht="22.5">
      <c r="B3" s="294"/>
      <c r="C3" s="685"/>
      <c r="D3" s="294"/>
      <c r="E3" s="294"/>
      <c r="F3" s="294"/>
      <c r="G3" s="720"/>
      <c r="H3" s="721" t="s">
        <v>461</v>
      </c>
      <c r="I3" s="1200">
        <v>3</v>
      </c>
      <c r="J3" s="1200"/>
      <c r="K3" s="294"/>
      <c r="L3" s="683"/>
      <c r="M3" s="683"/>
      <c r="N3" s="294"/>
      <c r="O3" s="294"/>
      <c r="P3" s="294"/>
      <c r="Q3" s="685"/>
      <c r="R3" s="389"/>
      <c r="S3" s="389"/>
      <c r="T3" s="389"/>
      <c r="U3" s="389"/>
      <c r="V3" s="389"/>
      <c r="W3" s="390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90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389"/>
      <c r="AY3" s="390"/>
      <c r="AZ3" s="389"/>
      <c r="BA3" s="389"/>
      <c r="BB3" s="389"/>
      <c r="BC3" s="389"/>
      <c r="BD3" s="389"/>
      <c r="BE3" s="389"/>
      <c r="BF3" s="389"/>
      <c r="BJ3" s="295"/>
      <c r="BK3" s="295"/>
      <c r="BL3" s="295"/>
      <c r="BM3" s="295"/>
      <c r="BN3" s="295"/>
      <c r="BO3" s="295"/>
      <c r="BP3" s="295"/>
      <c r="BQ3" s="295"/>
      <c r="BR3" s="295"/>
      <c r="BS3" s="295"/>
      <c r="BT3" s="295"/>
      <c r="BU3" s="295"/>
      <c r="BV3" s="295"/>
      <c r="BW3" s="295"/>
      <c r="BX3" s="295"/>
      <c r="BY3" s="295"/>
      <c r="BZ3" s="295"/>
      <c r="CA3" s="295"/>
      <c r="CB3" s="295"/>
      <c r="CC3" s="295"/>
      <c r="CD3" s="295"/>
      <c r="CE3" s="295"/>
      <c r="CF3" s="295"/>
      <c r="CG3" s="295"/>
      <c r="CH3" s="295"/>
      <c r="CI3" s="295"/>
      <c r="CJ3" s="295"/>
      <c r="CK3" s="295"/>
      <c r="CL3" s="295"/>
      <c r="CM3" s="392"/>
    </row>
    <row r="4" spans="1:91" ht="9.75" customHeight="1">
      <c r="B4" s="294"/>
      <c r="C4" s="685"/>
      <c r="D4" s="294"/>
      <c r="E4" s="294"/>
      <c r="F4" s="294"/>
      <c r="G4" s="294"/>
      <c r="H4" s="658"/>
      <c r="I4" s="657"/>
      <c r="J4" s="657"/>
      <c r="K4" s="294"/>
      <c r="L4" s="683"/>
      <c r="M4" s="683"/>
      <c r="N4" s="294"/>
      <c r="O4" s="294"/>
      <c r="P4" s="294"/>
      <c r="Q4" s="685"/>
      <c r="R4" s="389"/>
      <c r="S4" s="389"/>
      <c r="T4" s="389"/>
      <c r="U4" s="389"/>
      <c r="V4" s="389"/>
      <c r="W4" s="390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90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90"/>
      <c r="AZ4" s="389"/>
      <c r="BA4" s="389"/>
      <c r="BB4" s="389"/>
      <c r="BC4" s="389"/>
      <c r="BD4" s="389"/>
      <c r="BE4" s="389"/>
      <c r="BF4" s="389"/>
      <c r="BJ4" s="295"/>
      <c r="BK4" s="295"/>
      <c r="BL4" s="295"/>
      <c r="BM4" s="295"/>
      <c r="BN4" s="295"/>
      <c r="BO4" s="295"/>
      <c r="BP4" s="295"/>
      <c r="BQ4" s="295"/>
      <c r="BR4" s="295"/>
      <c r="BS4" s="295"/>
      <c r="BT4" s="295"/>
      <c r="BU4" s="295"/>
      <c r="BV4" s="295"/>
      <c r="BW4" s="295"/>
      <c r="BX4" s="295"/>
      <c r="BY4" s="295"/>
      <c r="BZ4" s="295"/>
      <c r="CA4" s="295"/>
      <c r="CB4" s="295"/>
      <c r="CC4" s="295"/>
      <c r="CD4" s="295"/>
      <c r="CE4" s="295"/>
      <c r="CF4" s="295"/>
      <c r="CG4" s="295"/>
      <c r="CH4" s="295"/>
      <c r="CI4" s="295"/>
      <c r="CJ4" s="295"/>
      <c r="CK4" s="295"/>
      <c r="CL4" s="295"/>
      <c r="CM4" s="392"/>
    </row>
    <row r="5" spans="1:91" ht="18" customHeight="1">
      <c r="B5" s="1201" t="s">
        <v>106</v>
      </c>
      <c r="C5" s="695"/>
      <c r="D5" s="1204" t="s">
        <v>420</v>
      </c>
      <c r="E5" s="1205"/>
      <c r="F5" s="1205"/>
      <c r="G5" s="1205"/>
      <c r="H5" s="1205"/>
      <c r="I5" s="1205"/>
      <c r="J5" s="1205"/>
      <c r="K5" s="1205"/>
      <c r="L5" s="1205"/>
      <c r="M5" s="1205"/>
      <c r="N5" s="1205"/>
      <c r="O5" s="1205"/>
      <c r="P5" s="1205"/>
      <c r="Q5" s="1205"/>
      <c r="R5" s="1205"/>
      <c r="S5" s="1205"/>
      <c r="T5" s="1205"/>
      <c r="U5" s="1205"/>
      <c r="V5" s="1205"/>
      <c r="W5" s="1205"/>
      <c r="X5" s="1205"/>
      <c r="Y5" s="1205"/>
      <c r="Z5" s="1205"/>
      <c r="AA5" s="1205"/>
      <c r="AB5" s="1206"/>
      <c r="AC5" s="393"/>
      <c r="AD5" s="394"/>
      <c r="AE5" s="701"/>
      <c r="AF5" s="395"/>
      <c r="AG5" s="396"/>
      <c r="AH5" s="396"/>
      <c r="AI5" s="396"/>
      <c r="AJ5" s="396"/>
      <c r="AK5" s="396"/>
      <c r="AL5" s="396"/>
      <c r="AM5" s="396"/>
      <c r="AN5" s="396"/>
      <c r="AO5" s="396"/>
      <c r="AP5" s="396"/>
      <c r="AQ5" s="396"/>
      <c r="AR5" s="397"/>
      <c r="AS5" s="701"/>
      <c r="AT5" s="395"/>
      <c r="AU5" s="396"/>
      <c r="AV5" s="396"/>
      <c r="AW5" s="396"/>
      <c r="AX5" s="396"/>
      <c r="AY5" s="396"/>
      <c r="AZ5" s="396"/>
      <c r="BA5" s="396"/>
      <c r="BB5" s="396"/>
      <c r="BC5" s="396"/>
      <c r="BD5" s="396"/>
      <c r="BE5" s="396"/>
      <c r="BF5" s="397"/>
      <c r="BJ5" s="1145" t="s">
        <v>251</v>
      </c>
      <c r="BK5" s="1146"/>
      <c r="BL5" s="1146"/>
      <c r="BM5" s="1146"/>
      <c r="BN5" s="1146"/>
      <c r="BO5" s="1146"/>
      <c r="BP5" s="1146"/>
      <c r="BQ5" s="1146"/>
      <c r="BR5" s="1146"/>
      <c r="BS5" s="1146"/>
      <c r="BT5" s="1146"/>
      <c r="BU5" s="1146"/>
      <c r="BV5" s="1146"/>
      <c r="BW5" s="1146"/>
      <c r="BX5" s="1146"/>
      <c r="BY5" s="1146"/>
      <c r="BZ5" s="1146"/>
      <c r="CA5" s="1146"/>
      <c r="CB5" s="1146"/>
      <c r="CC5" s="1146"/>
      <c r="CD5" s="1146"/>
      <c r="CE5" s="1146"/>
      <c r="CF5" s="1146"/>
      <c r="CG5" s="1146"/>
      <c r="CH5" s="1146"/>
      <c r="CI5" s="1146"/>
      <c r="CJ5" s="1146"/>
      <c r="CK5" s="1146"/>
      <c r="CL5" s="1146"/>
      <c r="CM5" s="1147"/>
    </row>
    <row r="6" spans="1:91" ht="18" customHeight="1">
      <c r="B6" s="1202"/>
      <c r="C6" s="695"/>
      <c r="D6" s="1207" t="s">
        <v>421</v>
      </c>
      <c r="E6" s="1208"/>
      <c r="F6" s="1208"/>
      <c r="G6" s="1208"/>
      <c r="H6" s="1208"/>
      <c r="I6" s="1208"/>
      <c r="J6" s="1208"/>
      <c r="K6" s="1208"/>
      <c r="L6" s="1208"/>
      <c r="M6" s="1208"/>
      <c r="N6" s="1209"/>
      <c r="O6" s="398"/>
      <c r="P6" s="398"/>
      <c r="Q6" s="701"/>
      <c r="R6" s="1204" t="s">
        <v>422</v>
      </c>
      <c r="S6" s="1205"/>
      <c r="T6" s="1205"/>
      <c r="U6" s="1205"/>
      <c r="V6" s="1205"/>
      <c r="W6" s="1205"/>
      <c r="X6" s="1205"/>
      <c r="Y6" s="1205"/>
      <c r="Z6" s="1205"/>
      <c r="AA6" s="1205"/>
      <c r="AB6" s="1206"/>
      <c r="AC6" s="393"/>
      <c r="AD6" s="394"/>
      <c r="AE6" s="701"/>
      <c r="AF6" s="1210" t="s">
        <v>424</v>
      </c>
      <c r="AG6" s="1220"/>
      <c r="AH6" s="1220"/>
      <c r="AI6" s="1220"/>
      <c r="AJ6" s="1220"/>
      <c r="AK6" s="1220"/>
      <c r="AL6" s="1220"/>
      <c r="AM6" s="1220"/>
      <c r="AN6" s="1220"/>
      <c r="AO6" s="1220"/>
      <c r="AP6" s="1221"/>
      <c r="AQ6" s="396"/>
      <c r="AR6" s="397"/>
      <c r="AS6" s="701"/>
      <c r="AT6" s="1210" t="s">
        <v>423</v>
      </c>
      <c r="AU6" s="1211"/>
      <c r="AV6" s="1211"/>
      <c r="AW6" s="1211"/>
      <c r="AX6" s="1211"/>
      <c r="AY6" s="1211"/>
      <c r="AZ6" s="1211"/>
      <c r="BA6" s="1211"/>
      <c r="BB6" s="1211"/>
      <c r="BC6" s="1211"/>
      <c r="BD6" s="1212"/>
      <c r="BE6" s="396"/>
      <c r="BF6" s="397"/>
      <c r="BJ6" s="1145" t="s">
        <v>421</v>
      </c>
      <c r="BK6" s="1146"/>
      <c r="BL6" s="1146"/>
      <c r="BM6" s="1146"/>
      <c r="BN6" s="1146"/>
      <c r="BO6" s="1146"/>
      <c r="BP6" s="1146"/>
      <c r="BQ6" s="1146"/>
      <c r="BR6" s="1146"/>
      <c r="BS6" s="1146"/>
      <c r="BT6" s="1146"/>
      <c r="BU6" s="1146"/>
      <c r="BV6" s="1146"/>
      <c r="BW6" s="1146"/>
      <c r="BX6" s="1146"/>
      <c r="BY6" s="1213" t="s">
        <v>422</v>
      </c>
      <c r="BZ6" s="1214"/>
      <c r="CA6" s="1214"/>
      <c r="CB6" s="1214"/>
      <c r="CC6" s="1214"/>
      <c r="CD6" s="1214"/>
      <c r="CE6" s="1214"/>
      <c r="CF6" s="1214"/>
      <c r="CG6" s="1214"/>
      <c r="CH6" s="1214"/>
      <c r="CI6" s="1214"/>
      <c r="CJ6" s="1214"/>
      <c r="CK6" s="1214"/>
      <c r="CL6" s="1214"/>
      <c r="CM6" s="1215"/>
    </row>
    <row r="7" spans="1:91" ht="18" customHeight="1">
      <c r="B7" s="1202"/>
      <c r="C7" s="695"/>
      <c r="D7" s="1222" t="s">
        <v>362</v>
      </c>
      <c r="E7" s="1224" t="s">
        <v>363</v>
      </c>
      <c r="F7" s="1216" t="s">
        <v>364</v>
      </c>
      <c r="G7" s="1226" t="s">
        <v>365</v>
      </c>
      <c r="H7" s="1227"/>
      <c r="I7" s="1228" t="s">
        <v>366</v>
      </c>
      <c r="J7" s="1218" t="s">
        <v>367</v>
      </c>
      <c r="K7" s="1218" t="s">
        <v>368</v>
      </c>
      <c r="L7" s="1114" t="s">
        <v>369</v>
      </c>
      <c r="M7" s="1102" t="s">
        <v>370</v>
      </c>
      <c r="N7" s="301" t="s">
        <v>68</v>
      </c>
      <c r="O7" s="1100" t="s">
        <v>371</v>
      </c>
      <c r="P7" s="399" t="s">
        <v>68</v>
      </c>
      <c r="Q7" s="405"/>
      <c r="R7" s="1222" t="s">
        <v>362</v>
      </c>
      <c r="S7" s="1224" t="s">
        <v>363</v>
      </c>
      <c r="T7" s="1216" t="s">
        <v>364</v>
      </c>
      <c r="U7" s="1226" t="s">
        <v>365</v>
      </c>
      <c r="V7" s="1230"/>
      <c r="W7" s="1216" t="s">
        <v>366</v>
      </c>
      <c r="X7" s="1218" t="s">
        <v>367</v>
      </c>
      <c r="Y7" s="1218" t="s">
        <v>368</v>
      </c>
      <c r="Z7" s="1114" t="s">
        <v>369</v>
      </c>
      <c r="AA7" s="1102" t="s">
        <v>370</v>
      </c>
      <c r="AB7" s="301" t="s">
        <v>68</v>
      </c>
      <c r="AC7" s="1218" t="s">
        <v>371</v>
      </c>
      <c r="AD7" s="400" t="s">
        <v>68</v>
      </c>
      <c r="AE7" s="405"/>
      <c r="AF7" s="1222" t="s">
        <v>362</v>
      </c>
      <c r="AG7" s="1224" t="s">
        <v>363</v>
      </c>
      <c r="AH7" s="1216" t="s">
        <v>364</v>
      </c>
      <c r="AI7" s="1226" t="s">
        <v>365</v>
      </c>
      <c r="AJ7" s="1230"/>
      <c r="AK7" s="1216" t="s">
        <v>366</v>
      </c>
      <c r="AL7" s="1218" t="s">
        <v>367</v>
      </c>
      <c r="AM7" s="1218" t="s">
        <v>368</v>
      </c>
      <c r="AN7" s="1114" t="s">
        <v>369</v>
      </c>
      <c r="AO7" s="1102" t="s">
        <v>370</v>
      </c>
      <c r="AP7" s="301" t="s">
        <v>68</v>
      </c>
      <c r="AQ7" s="1218" t="s">
        <v>371</v>
      </c>
      <c r="AR7" s="400" t="s">
        <v>68</v>
      </c>
      <c r="AS7" s="405"/>
      <c r="AT7" s="1222" t="s">
        <v>362</v>
      </c>
      <c r="AU7" s="1224" t="s">
        <v>363</v>
      </c>
      <c r="AV7" s="1216" t="s">
        <v>364</v>
      </c>
      <c r="AW7" s="1226" t="s">
        <v>365</v>
      </c>
      <c r="AX7" s="1230"/>
      <c r="AY7" s="1216" t="s">
        <v>366</v>
      </c>
      <c r="AZ7" s="1218" t="s">
        <v>367</v>
      </c>
      <c r="BA7" s="1218" t="s">
        <v>368</v>
      </c>
      <c r="BB7" s="1114" t="s">
        <v>369</v>
      </c>
      <c r="BC7" s="1102" t="s">
        <v>370</v>
      </c>
      <c r="BD7" s="301" t="s">
        <v>68</v>
      </c>
      <c r="BE7" s="1218" t="s">
        <v>371</v>
      </c>
      <c r="BF7" s="400" t="s">
        <v>68</v>
      </c>
      <c r="BG7" s="401"/>
      <c r="BH7" s="401"/>
      <c r="BJ7" s="402" t="s">
        <v>372</v>
      </c>
      <c r="BK7" s="402" t="s">
        <v>372</v>
      </c>
      <c r="BL7" s="402" t="s">
        <v>372</v>
      </c>
      <c r="BM7" s="1233" t="s">
        <v>373</v>
      </c>
      <c r="BN7" s="1233"/>
      <c r="BO7" s="1234" t="s">
        <v>378</v>
      </c>
      <c r="BP7" s="1234"/>
      <c r="BQ7" s="1235" t="s">
        <v>379</v>
      </c>
      <c r="BR7" s="1235" t="s">
        <v>380</v>
      </c>
      <c r="BS7" s="402" t="s">
        <v>67</v>
      </c>
      <c r="BT7" s="402" t="s">
        <v>68</v>
      </c>
      <c r="BU7" s="402" t="s">
        <v>425</v>
      </c>
      <c r="BV7" s="402" t="s">
        <v>68</v>
      </c>
      <c r="BW7" s="1231" t="s">
        <v>374</v>
      </c>
      <c r="BX7" s="309" t="s">
        <v>68</v>
      </c>
      <c r="BY7" s="402" t="s">
        <v>372</v>
      </c>
      <c r="BZ7" s="402" t="s">
        <v>372</v>
      </c>
      <c r="CA7" s="402" t="s">
        <v>372</v>
      </c>
      <c r="CB7" s="1233" t="s">
        <v>373</v>
      </c>
      <c r="CC7" s="1233"/>
      <c r="CD7" s="1234" t="s">
        <v>378</v>
      </c>
      <c r="CE7" s="1234"/>
      <c r="CF7" s="1235" t="s">
        <v>379</v>
      </c>
      <c r="CG7" s="1235" t="s">
        <v>380</v>
      </c>
      <c r="CH7" s="402" t="s">
        <v>67</v>
      </c>
      <c r="CI7" s="402" t="s">
        <v>68</v>
      </c>
      <c r="CJ7" s="402" t="s">
        <v>425</v>
      </c>
      <c r="CK7" s="402" t="s">
        <v>68</v>
      </c>
      <c r="CL7" s="1231" t="s">
        <v>374</v>
      </c>
      <c r="CM7" s="309" t="s">
        <v>68</v>
      </c>
    </row>
    <row r="8" spans="1:91" ht="18" customHeight="1" thickBot="1">
      <c r="B8" s="1203"/>
      <c r="C8" s="695"/>
      <c r="D8" s="1223"/>
      <c r="E8" s="1225"/>
      <c r="F8" s="1217"/>
      <c r="G8" s="403" t="s">
        <v>402</v>
      </c>
      <c r="H8" s="404" t="s">
        <v>46</v>
      </c>
      <c r="I8" s="1229"/>
      <c r="J8" s="1219"/>
      <c r="K8" s="1219"/>
      <c r="L8" s="1115"/>
      <c r="M8" s="1116"/>
      <c r="N8" s="316" t="s">
        <v>403</v>
      </c>
      <c r="O8" s="1101"/>
      <c r="P8" s="405" t="s">
        <v>404</v>
      </c>
      <c r="Q8" s="405"/>
      <c r="R8" s="1223"/>
      <c r="S8" s="1225"/>
      <c r="T8" s="1217"/>
      <c r="U8" s="403" t="s">
        <v>402</v>
      </c>
      <c r="V8" s="404" t="s">
        <v>46</v>
      </c>
      <c r="W8" s="1217"/>
      <c r="X8" s="1219"/>
      <c r="Y8" s="1219"/>
      <c r="Z8" s="1115"/>
      <c r="AA8" s="1116"/>
      <c r="AB8" s="316" t="s">
        <v>403</v>
      </c>
      <c r="AC8" s="1219"/>
      <c r="AD8" s="406" t="s">
        <v>404</v>
      </c>
      <c r="AE8" s="405"/>
      <c r="AF8" s="1223"/>
      <c r="AG8" s="1225"/>
      <c r="AH8" s="1217"/>
      <c r="AI8" s="403" t="s">
        <v>402</v>
      </c>
      <c r="AJ8" s="404" t="s">
        <v>46</v>
      </c>
      <c r="AK8" s="1217"/>
      <c r="AL8" s="1219"/>
      <c r="AM8" s="1219"/>
      <c r="AN8" s="1115"/>
      <c r="AO8" s="1116"/>
      <c r="AP8" s="316" t="s">
        <v>403</v>
      </c>
      <c r="AQ8" s="1219"/>
      <c r="AR8" s="406" t="s">
        <v>404</v>
      </c>
      <c r="AS8" s="405"/>
      <c r="AT8" s="1223"/>
      <c r="AU8" s="1225"/>
      <c r="AV8" s="1217"/>
      <c r="AW8" s="403" t="s">
        <v>402</v>
      </c>
      <c r="AX8" s="404" t="s">
        <v>46</v>
      </c>
      <c r="AY8" s="1217"/>
      <c r="AZ8" s="1219"/>
      <c r="BA8" s="1219"/>
      <c r="BB8" s="1115"/>
      <c r="BC8" s="1116"/>
      <c r="BD8" s="316" t="s">
        <v>403</v>
      </c>
      <c r="BE8" s="1219"/>
      <c r="BF8" s="406" t="s">
        <v>404</v>
      </c>
      <c r="BG8" s="401"/>
      <c r="BH8" s="401"/>
      <c r="BJ8" s="407" t="s">
        <v>405</v>
      </c>
      <c r="BK8" s="407" t="s">
        <v>406</v>
      </c>
      <c r="BL8" s="407" t="s">
        <v>407</v>
      </c>
      <c r="BM8" s="408" t="s">
        <v>408</v>
      </c>
      <c r="BN8" s="407" t="s">
        <v>409</v>
      </c>
      <c r="BO8" s="409" t="s">
        <v>402</v>
      </c>
      <c r="BP8" s="407" t="s">
        <v>46</v>
      </c>
      <c r="BQ8" s="1238"/>
      <c r="BR8" s="1238"/>
      <c r="BS8" s="407" t="s">
        <v>411</v>
      </c>
      <c r="BT8" s="407" t="s">
        <v>413</v>
      </c>
      <c r="BU8" s="410" t="s">
        <v>426</v>
      </c>
      <c r="BV8" s="407" t="s">
        <v>403</v>
      </c>
      <c r="BW8" s="1232"/>
      <c r="BX8" s="411" t="s">
        <v>404</v>
      </c>
      <c r="BY8" s="412" t="s">
        <v>405</v>
      </c>
      <c r="BZ8" s="407" t="s">
        <v>406</v>
      </c>
      <c r="CA8" s="407" t="s">
        <v>407</v>
      </c>
      <c r="CB8" s="408" t="s">
        <v>408</v>
      </c>
      <c r="CC8" s="407" t="s">
        <v>409</v>
      </c>
      <c r="CD8" s="409" t="s">
        <v>402</v>
      </c>
      <c r="CE8" s="413" t="s">
        <v>46</v>
      </c>
      <c r="CF8" s="1236"/>
      <c r="CG8" s="1236"/>
      <c r="CH8" s="413" t="s">
        <v>411</v>
      </c>
      <c r="CI8" s="413" t="s">
        <v>413</v>
      </c>
      <c r="CJ8" s="414" t="s">
        <v>426</v>
      </c>
      <c r="CK8" s="413" t="s">
        <v>403</v>
      </c>
      <c r="CL8" s="1237"/>
      <c r="CM8" s="329" t="s">
        <v>404</v>
      </c>
    </row>
    <row r="9" spans="1:91">
      <c r="B9" s="568"/>
      <c r="C9" s="695"/>
      <c r="D9" s="405"/>
      <c r="E9" s="686"/>
      <c r="F9" s="572"/>
      <c r="G9" s="687"/>
      <c r="H9" s="572"/>
      <c r="I9" s="572"/>
      <c r="J9" s="569"/>
      <c r="K9" s="569"/>
      <c r="L9" s="570"/>
      <c r="M9" s="571"/>
      <c r="N9" s="688"/>
      <c r="O9" s="573"/>
      <c r="P9" s="405"/>
      <c r="Q9" s="405"/>
      <c r="R9" s="405"/>
      <c r="S9" s="686"/>
      <c r="T9" s="572"/>
      <c r="U9" s="687"/>
      <c r="V9" s="572"/>
      <c r="W9" s="572"/>
      <c r="X9" s="569"/>
      <c r="Y9" s="569"/>
      <c r="Z9" s="570"/>
      <c r="AA9" s="571"/>
      <c r="AB9" s="688"/>
      <c r="AC9" s="569"/>
      <c r="AD9" s="569"/>
      <c r="AE9" s="405"/>
      <c r="AF9" s="405"/>
      <c r="AG9" s="686"/>
      <c r="AH9" s="572"/>
      <c r="AI9" s="687"/>
      <c r="AJ9" s="572"/>
      <c r="AK9" s="572"/>
      <c r="AL9" s="569"/>
      <c r="AM9" s="569"/>
      <c r="AN9" s="570"/>
      <c r="AO9" s="571"/>
      <c r="AP9" s="688"/>
      <c r="AQ9" s="569"/>
      <c r="AR9" s="569"/>
      <c r="AS9" s="405"/>
      <c r="AT9" s="405"/>
      <c r="AU9" s="686"/>
      <c r="AV9" s="572"/>
      <c r="AW9" s="687"/>
      <c r="AX9" s="572"/>
      <c r="AY9" s="572"/>
      <c r="AZ9" s="569"/>
      <c r="BA9" s="569"/>
      <c r="BB9" s="570"/>
      <c r="BC9" s="571"/>
      <c r="BD9" s="688"/>
      <c r="BE9" s="569"/>
      <c r="BF9" s="569"/>
      <c r="BG9" s="401"/>
      <c r="BH9" s="401"/>
      <c r="BJ9" s="547"/>
      <c r="BK9" s="547"/>
      <c r="BL9" s="547"/>
      <c r="BM9" s="548"/>
      <c r="BN9" s="547"/>
      <c r="BO9" s="549"/>
      <c r="BP9" s="547"/>
      <c r="BQ9" s="689"/>
      <c r="BR9" s="689"/>
      <c r="BS9" s="547"/>
      <c r="BT9" s="547"/>
      <c r="BU9" s="689"/>
      <c r="BV9" s="547"/>
      <c r="BW9" s="690"/>
      <c r="BX9" s="691"/>
      <c r="BY9" s="591"/>
      <c r="BZ9" s="547"/>
      <c r="CA9" s="547"/>
      <c r="CB9" s="548"/>
      <c r="CC9" s="547"/>
      <c r="CD9" s="549"/>
      <c r="CE9" s="692"/>
      <c r="CF9" s="693"/>
      <c r="CG9" s="693"/>
      <c r="CH9" s="692"/>
      <c r="CI9" s="692"/>
      <c r="CJ9" s="693"/>
      <c r="CK9" s="692"/>
      <c r="CL9" s="694"/>
      <c r="CM9" s="691"/>
    </row>
    <row r="10" spans="1:91" ht="24.95" customHeight="1">
      <c r="B10" s="645">
        <f>DATE($I$2,$I$3,1)</f>
        <v>43891</v>
      </c>
      <c r="C10" s="696"/>
      <c r="D10" s="659">
        <f>SUMIFS(KB[BRUTO],KB[TANGGAL],B10,KB[TYPE],"A",KB[TRANSPORT],"LAUT")</f>
        <v>0</v>
      </c>
      <c r="E10" s="712">
        <f>SUMIFS(KB[TARRA],KB[TANGGAL],B10,KB[TYPE],"A",KB[TRANSPORT],"LAUT")</f>
        <v>0</v>
      </c>
      <c r="F10" s="660">
        <f>SUMIFS(KB[NETTO],KB[TANGGAL],B10,KB[TYPE],"A",KB[TRANSPORT],"LAUT")</f>
        <v>0</v>
      </c>
      <c r="G10" s="712">
        <f t="shared" ref="G10:G11" si="0">IFERROR(H10/F10%,0)</f>
        <v>0</v>
      </c>
      <c r="H10" s="712">
        <f>SUMIFS(KB[TPOT],KB[TANGGAL],B10,KB[TYPE],"A",KB[TRANSPORT],"LAUT")</f>
        <v>0</v>
      </c>
      <c r="I10" s="712">
        <f>SUMIFS(KB[NETTO2],KB[TANGGAL],B10,KB[TYPE],"A",KB[TRANSPORT],"LAUT")</f>
        <v>0</v>
      </c>
      <c r="J10" s="712">
        <f t="shared" ref="J10:J11" si="1">IFERROR(K10/I10,0)</f>
        <v>0</v>
      </c>
      <c r="K10" s="712">
        <f>SUMIFS(KB[TBAYAR],KB[TANGGAL],B10,KB[TYPE],"A",KB[TRANSPORT],"LAUT")</f>
        <v>0</v>
      </c>
      <c r="L10" s="712">
        <f t="shared" ref="L10:L11" si="2">ROUND(J10*0.5025%,2)</f>
        <v>0</v>
      </c>
      <c r="M10" s="712">
        <f>IFERROR(N10/I10,0)</f>
        <v>0</v>
      </c>
      <c r="N10" s="712">
        <f>SUMIFS(KB[TBAYAR2],KB[TANGGAL],B10,KB[TYPE],"A",KB[TRANSPORT],"LAUT")</f>
        <v>0</v>
      </c>
      <c r="O10" s="712">
        <f>SUMIFS(KB[POTPPH],KB[TANGGAL],B10,KB[TYPE],"A",KB[TRANSPORT],"LAUT")</f>
        <v>0</v>
      </c>
      <c r="P10" s="712">
        <f>SUMIFS(KB[TPEMBAYARAN],KB[TANGGAL],B10,KB[TYPE],"A",KB[TRANSPORT],"LAUT")</f>
        <v>0</v>
      </c>
      <c r="Q10" s="702"/>
      <c r="R10" s="659">
        <f>SUMIFS(KB[BRUTO],KB[TANGGAL],B10,KB[TYPE],"A",KB[TRANSPORT],"DARAT")</f>
        <v>0</v>
      </c>
      <c r="S10" s="660">
        <f>SUMIFS(KB[TARRA],KB[TANGGAL],B10,KB[TYPE],"A",KB[TRANSPORT],"DARAT")</f>
        <v>0</v>
      </c>
      <c r="T10" s="660">
        <f>SUMIFS(KB[NETTO],KB[TANGGAL],B10,KB[TYPE],"A",KB[TRANSPORT],"DARAT")</f>
        <v>0</v>
      </c>
      <c r="U10" s="660">
        <f t="shared" ref="U10:U11" si="3">IFERROR(V10/T10%,0)</f>
        <v>0</v>
      </c>
      <c r="V10" s="660">
        <f>SUMIFS(KB[TPOT],KB[TANGGAL],B10,KB[TYPE],"A",KB[TRANSPORT],"DARAT")</f>
        <v>0</v>
      </c>
      <c r="W10" s="660">
        <f>SUMIFS(KB[NETTO2],KB[TANGGAL],B10,KB[TYPE],"A",KB[TRANSPORT],"DARAT")</f>
        <v>0</v>
      </c>
      <c r="X10" s="660">
        <f t="shared" ref="X10:X11" si="4">IFERROR(Y10/W10,0)</f>
        <v>0</v>
      </c>
      <c r="Y10" s="660">
        <f>SUMIFS(KB[TBAYAR],KB[TANGGAL],B10,KB[TYPE],"A",KB[TRANSPORT],"DARAT")</f>
        <v>0</v>
      </c>
      <c r="Z10" s="660">
        <f t="shared" ref="Z10:Z11" si="5">ROUND(X10*0.5025%,2)</f>
        <v>0</v>
      </c>
      <c r="AA10" s="660">
        <f>IFERROR(AB10/W10,0)</f>
        <v>0</v>
      </c>
      <c r="AB10" s="660">
        <f>SUMIFS(KB[TBAYAR2],KB[TANGGAL],B10,KB[TYPE],"A",KB[TRANSPORT],"DARAT")</f>
        <v>0</v>
      </c>
      <c r="AC10" s="660">
        <f>SUMIFS(KB[POTPPH],KB[TANGGAL],B10,KB[TYPE],"A",KB[TRANSPORT],"DARAT")</f>
        <v>0</v>
      </c>
      <c r="AD10" s="660">
        <f>SUMIFS(KB[TPEMBAYARAN],KB[TANGGAL],B10,KB[TYPE],"A",KB[TRANSPORT],"DARAT")</f>
        <v>0</v>
      </c>
      <c r="AE10" s="702"/>
      <c r="AF10" s="713">
        <f>SUMIFS(KB[BRUTO],KB[TANGGAL],B10,KB[TYPE],"B",KB[TRANSPORT],"LAUT")</f>
        <v>0</v>
      </c>
      <c r="AG10" s="713">
        <f>SUMIFS(KB[TARRA],KB[TANGGAL],B10,KB[TYPE],"B",KB[TRANSPORT],"LAUT")</f>
        <v>0</v>
      </c>
      <c r="AH10" s="713">
        <f>SUMIFS(KB[NETTO],KB[TANGGAL],B10,KB[TYPE],"B",KB[TRANSPORT],"LAUT")</f>
        <v>0</v>
      </c>
      <c r="AI10" s="713">
        <f t="shared" ref="AI10:AI40" si="6">IFERROR(AJ10/AH10%,0)</f>
        <v>0</v>
      </c>
      <c r="AJ10" s="713">
        <f>SUMIFS(KB[TPOT],KB[TANGGAL],B10,KB[TYPE],"B",KB[TRANSPORT],"LAUT")</f>
        <v>0</v>
      </c>
      <c r="AK10" s="713">
        <f>SUMIFS(KB[NETTO2],KB[TANGGAL],B10,KB[TYPE],"B",KB[TRANSPORT],"LAUT")</f>
        <v>0</v>
      </c>
      <c r="AL10" s="713">
        <f t="shared" ref="AL10:AL11" si="7">IFERROR(AM10/AK10,0)</f>
        <v>0</v>
      </c>
      <c r="AM10" s="713">
        <f>SUMIFS(KB[TBAYAR],KB[TANGGAL],B10,KB[TYPE],"B",KB[TRANSPORT],"LAUT")</f>
        <v>0</v>
      </c>
      <c r="AN10" s="713">
        <f t="shared" ref="AN10:AN11" si="8">ROUND(AL10*0.5025%,2)</f>
        <v>0</v>
      </c>
      <c r="AO10" s="713">
        <f>IFERROR(AP10/AK10,0)</f>
        <v>0</v>
      </c>
      <c r="AP10" s="713">
        <f>SUMIFS(KB[TBAYAR2],KB[TANGGAL],B10,KB[TYPE],"B",KB[TRANSPORT],"LAUT")</f>
        <v>0</v>
      </c>
      <c r="AQ10" s="713">
        <f>SUMIFS(KB[POTPPH],KB[TANGGAL],B10,KB[TYPE],"B",KB[TRANSPORT],"LAUT")</f>
        <v>0</v>
      </c>
      <c r="AR10" s="713">
        <f>SUMIFS(KB[TPEMBAYARAN],KB[TANGGAL],B10,KB[TYPE],"B",KB[TRANSPORT],"LAUT")</f>
        <v>0</v>
      </c>
      <c r="AS10" s="714"/>
      <c r="AT10" s="659">
        <f>SUMIFS(KB[BRUTO],KB[TANGGAL],B10,KB[TYPE],"B",KB[TRANSPORT],"DARAT")</f>
        <v>0</v>
      </c>
      <c r="AU10" s="660">
        <f>SUMIFS(KB[TARRA],KB[TANGGAL],B10,KB[TYPE],"B",KB[TRANSPORT],"DARAT")</f>
        <v>0</v>
      </c>
      <c r="AV10" s="660">
        <f>SUMIFS(KB[NETTO],KB[TANGGAL],B10,KB[TYPE],"B",KB[TRANSPORT],"DARAT")</f>
        <v>0</v>
      </c>
      <c r="AW10" s="660">
        <f t="shared" ref="AW10:AW11" si="9">IFERROR(AX10/AV10%,0)</f>
        <v>0</v>
      </c>
      <c r="AX10" s="660">
        <f>SUMIFS(KB[TPOT],KB[TANGGAL],B10,KB[TYPE],"B",KB[TRANSPORT],"DARAT")</f>
        <v>0</v>
      </c>
      <c r="AY10" s="660">
        <f>SUMIFS(KB[NETTO2],KB[TANGGAL],B10,KB[TYPE],"B",KB[TRANSPORT],"DARAT")</f>
        <v>0</v>
      </c>
      <c r="AZ10" s="660">
        <f t="shared" ref="AZ10:AZ11" si="10">IFERROR(BA10/AY10,0)</f>
        <v>0</v>
      </c>
      <c r="BA10" s="660">
        <f>SUMIFS(KB[TBAYAR],KB[TANGGAL],B10,KB[TYPE],"B",KB[TRANSPORT],"DARAT")</f>
        <v>0</v>
      </c>
      <c r="BB10" s="660">
        <f t="shared" ref="BB10:BB11" si="11">ROUND(AZ10*0.5025%,2)</f>
        <v>0</v>
      </c>
      <c r="BC10" s="660">
        <f>IFERROR(BD10/AY10,0)</f>
        <v>0</v>
      </c>
      <c r="BD10" s="660">
        <f>SUMIFS(KB[TBAYAR2],KB[TANGGAL],B10,KB[TYPE],"B",KB[TRANSPORT],"DARAT")</f>
        <v>0</v>
      </c>
      <c r="BE10" s="660">
        <f>SUMIFS(KB[POTPPH],KB[TANGGAL],B10,KB[TYPE],"B",KB[TRANSPORT],"DARAT")</f>
        <v>0</v>
      </c>
      <c r="BF10" s="660">
        <f>SUMIFS(KB[TPEMBAYARAN],KB[TANGGAL],B10,KB[TYPE],"B",KB[TRANSPORT],"DARAT")</f>
        <v>0</v>
      </c>
      <c r="BG10" s="416"/>
      <c r="BH10" s="416"/>
      <c r="BI10" s="416"/>
      <c r="BJ10" s="416"/>
      <c r="BK10" s="416"/>
      <c r="BL10" s="416"/>
      <c r="BM10" s="416"/>
      <c r="BN10" s="416"/>
      <c r="BO10" s="416"/>
      <c r="BP10" s="416"/>
      <c r="BQ10" s="416"/>
      <c r="BR10" s="416"/>
      <c r="BS10" s="416"/>
      <c r="BT10" s="416"/>
      <c r="BU10" s="416"/>
      <c r="BV10" s="416"/>
      <c r="BW10" s="416"/>
      <c r="BX10" s="416"/>
      <c r="BY10" s="416"/>
      <c r="BZ10" s="416"/>
      <c r="CA10" s="416"/>
      <c r="CB10" s="416"/>
      <c r="CC10" s="416"/>
      <c r="CD10" s="416"/>
      <c r="CE10" s="416"/>
      <c r="CF10" s="416"/>
      <c r="CG10" s="416"/>
      <c r="CH10" s="416"/>
      <c r="CI10" s="416"/>
      <c r="CJ10" s="416"/>
      <c r="CK10" s="416"/>
      <c r="CL10" s="416"/>
      <c r="CM10" s="416"/>
    </row>
    <row r="11" spans="1:91" ht="24.95" customHeight="1">
      <c r="B11" s="645">
        <f>+B10+1</f>
        <v>43892</v>
      </c>
      <c r="C11" s="696"/>
      <c r="D11" s="659">
        <f>SUMIFS(KB[BRUTO],KB[TANGGAL],B11,KB[TYPE],"A",KB[TRANSPORT],"LAUT")</f>
        <v>35790</v>
      </c>
      <c r="E11" s="712">
        <f>SUMIFS(KB[TARRA],KB[TANGGAL],B11,KB[TYPE],"A",KB[TRANSPORT],"LAUT")</f>
        <v>19350</v>
      </c>
      <c r="F11" s="660">
        <f>SUMIFS(KB[NETTO],KB[TANGGAL],B11,KB[TYPE],"A",KB[TRANSPORT],"LAUT")</f>
        <v>16440</v>
      </c>
      <c r="G11" s="712">
        <f t="shared" si="0"/>
        <v>5.9999999999999991</v>
      </c>
      <c r="H11" s="712">
        <f>SUMIFS(KB[TPOT],KB[TANGGAL],B11,KB[TYPE],"A",KB[TRANSPORT],"LAUT")</f>
        <v>986.39999999999986</v>
      </c>
      <c r="I11" s="712">
        <f>SUMIFS(KB[NETTO2],KB[TANGGAL],B11,KB[TYPE],"A",KB[TRANSPORT],"LAUT")</f>
        <v>15453.599999999999</v>
      </c>
      <c r="J11" s="712">
        <f t="shared" si="1"/>
        <v>2850.0000000000005</v>
      </c>
      <c r="K11" s="712">
        <f>SUMIFS(KB[TBAYAR],KB[TANGGAL],B11,KB[TYPE],"A",KB[TRANSPORT],"LAUT")</f>
        <v>44042760</v>
      </c>
      <c r="L11" s="712">
        <f t="shared" si="2"/>
        <v>14.32</v>
      </c>
      <c r="M11" s="712">
        <f t="shared" ref="M11:M40" si="12">IFERROR(N11/I11,0)</f>
        <v>2864.3199642801678</v>
      </c>
      <c r="N11" s="712">
        <f>SUMIFS(KB[TBAYAR2],KB[TANGGAL],B11,KB[TYPE],"A",KB[TRANSPORT],"LAUT")</f>
        <v>44264055</v>
      </c>
      <c r="O11" s="712">
        <f>SUMIFS(KB[POTPPH],KB[TANGGAL],B11,KB[TYPE],"A",KB[TRANSPORT],"LAUT")</f>
        <v>221320</v>
      </c>
      <c r="P11" s="712">
        <f>SUMIFS(KB[TPEMBAYARAN],KB[TANGGAL],B11,KB[TYPE],"A",KB[TRANSPORT],"LAUT")</f>
        <v>44042735</v>
      </c>
      <c r="Q11" s="715"/>
      <c r="R11" s="659">
        <f>SUMIFS(KB[BRUTO],KB[TANGGAL],B11,KB[TYPE],"A",KB[TRANSPORT],"DARAT")</f>
        <v>145980</v>
      </c>
      <c r="S11" s="660">
        <f>SUMIFS(KB[TARRA],KB[TANGGAL],B11,KB[TYPE],"A",KB[TRANSPORT],"DARAT")</f>
        <v>56860</v>
      </c>
      <c r="T11" s="660">
        <f>SUMIFS(KB[NETTO],KB[TANGGAL],B11,KB[TYPE],"A",KB[TRANSPORT],"DARAT")</f>
        <v>89120</v>
      </c>
      <c r="U11" s="660">
        <f t="shared" si="3"/>
        <v>5</v>
      </c>
      <c r="V11" s="660">
        <f>SUMIFS(KB[TPOT],KB[TANGGAL],B11,KB[TYPE],"A",KB[TRANSPORT],"DARAT")</f>
        <v>4456</v>
      </c>
      <c r="W11" s="660">
        <f>SUMIFS(KB[NETTO2],KB[TANGGAL],B11,KB[TYPE],"A",KB[TRANSPORT],"DARAT")</f>
        <v>84664</v>
      </c>
      <c r="X11" s="660">
        <f t="shared" si="4"/>
        <v>2922.2116247755835</v>
      </c>
      <c r="Y11" s="660">
        <f>SUMIFS(KB[TBAYAR],KB[TANGGAL],B11,KB[TYPE],"A",KB[TRANSPORT],"DARAT")</f>
        <v>247406125</v>
      </c>
      <c r="Z11" s="660">
        <f t="shared" si="5"/>
        <v>14.68</v>
      </c>
      <c r="AA11" s="660">
        <f>IFERROR(AB11/W11,0)</f>
        <v>2936.8947840876876</v>
      </c>
      <c r="AB11" s="660">
        <f>SUMIFS(KB[TBAYAR2],KB[TANGGAL],B11,KB[TYPE],"A",KB[TRANSPORT],"DARAT")</f>
        <v>248649260</v>
      </c>
      <c r="AC11" s="660">
        <f>SUMIFS(KB[POTPPH],KB[TANGGAL],B11,KB[TYPE],"A",KB[TRANSPORT],"DARAT")</f>
        <v>1243247</v>
      </c>
      <c r="AD11" s="660">
        <f>SUMIFS(KB[TPEMBAYARAN],KB[TANGGAL],B11,KB[TYPE],"A",KB[TRANSPORT],"DARAT")</f>
        <v>247406013</v>
      </c>
      <c r="AE11" s="715"/>
      <c r="AF11" s="659">
        <f>SUMIFS(KB[BRUTO],KB[TANGGAL],B11,KB[TYPE],"B",KB[TRANSPORT],"LAUT")</f>
        <v>0</v>
      </c>
      <c r="AG11" s="712">
        <f>SUMIFS(KB[TARRA],KB[TANGGAL],B11,KB[TYPE],"B",KB[TRANSPORT],"LAUT")</f>
        <v>0</v>
      </c>
      <c r="AH11" s="712">
        <f>SUMIFS(KB[NETTO],KB[TANGGAL],B11,KB[TYPE],"B",KB[TRANSPORT],"LAUT")</f>
        <v>0</v>
      </c>
      <c r="AI11" s="712">
        <f t="shared" si="6"/>
        <v>0</v>
      </c>
      <c r="AJ11" s="712">
        <f>SUMIFS(KB[TPOT],KB[TANGGAL],B11,KB[TYPE],"B",KB[TRANSPORT],"LAUT")</f>
        <v>0</v>
      </c>
      <c r="AK11" s="712">
        <f>SUMIFS(KB[NETTO2],KB[TANGGAL],B11,KB[TYPE],"B",KB[TRANSPORT],"LAUT")</f>
        <v>0</v>
      </c>
      <c r="AL11" s="712">
        <f t="shared" si="7"/>
        <v>0</v>
      </c>
      <c r="AM11" s="712">
        <f>SUMIFS(KB[TBAYAR],KB[TANGGAL],B11,KB[TYPE],"B",KB[TRANSPORT],"LAUT")</f>
        <v>0</v>
      </c>
      <c r="AN11" s="716">
        <f t="shared" si="8"/>
        <v>0</v>
      </c>
      <c r="AO11" s="716">
        <f t="shared" ref="AO11:AO40" si="13">IFERROR(AP11/AK11,0)</f>
        <v>0</v>
      </c>
      <c r="AP11" s="712">
        <f>SUMIFS(KB[TBAYAR2],KB[TANGGAL],B11,KB[TYPE],"B",KB[TRANSPORT],"LAUT")</f>
        <v>0</v>
      </c>
      <c r="AQ11" s="712">
        <f>SUMIFS(KB[POTPPH],KB[TANGGAL],B11,KB[TYPE],"B",KB[TRANSPORT],"LAUT")</f>
        <v>0</v>
      </c>
      <c r="AR11" s="712">
        <f>SUMIFS(KB[TPEMBAYARAN],KB[TANGGAL],B11,KB[TYPE],"B",KB[TRANSPORT],"LAUT")</f>
        <v>0</v>
      </c>
      <c r="AS11" s="714"/>
      <c r="AT11" s="659">
        <f>SUMIFS(KB[BRUTO],KB[TANGGAL],B11,KB[TYPE],"B",KB[TRANSPORT],"DARAT")</f>
        <v>0</v>
      </c>
      <c r="AU11" s="660">
        <f>SUMIFS(KB[TARRA],KB[TANGGAL],B11,KB[TYPE],"B",KB[TRANSPORT],"DARAT")</f>
        <v>0</v>
      </c>
      <c r="AV11" s="660">
        <f>SUMIFS(KB[NETTO],KB[TANGGAL],B11,KB[TYPE],"B",KB[TRANSPORT],"DARAT")</f>
        <v>0</v>
      </c>
      <c r="AW11" s="660">
        <f t="shared" si="9"/>
        <v>0</v>
      </c>
      <c r="AX11" s="660">
        <f>SUMIFS(KB[TPOT],KB[TANGGAL],B11,KB[TYPE],"B",KB[TRANSPORT],"DARAT")</f>
        <v>0</v>
      </c>
      <c r="AY11" s="660">
        <f>SUMIFS(KB[NETTO2],KB[TANGGAL],B11,KB[TYPE],"B",KB[TRANSPORT],"DARAT")</f>
        <v>0</v>
      </c>
      <c r="AZ11" s="660">
        <f t="shared" si="10"/>
        <v>0</v>
      </c>
      <c r="BA11" s="660">
        <f>SUMIFS(KB[TBAYAR],KB[TANGGAL],B11,KB[TYPE],"B",KB[TRANSPORT],"DARAT")</f>
        <v>0</v>
      </c>
      <c r="BB11" s="660">
        <f t="shared" si="11"/>
        <v>0</v>
      </c>
      <c r="BC11" s="660">
        <f t="shared" ref="BC11:BC40" si="14">IFERROR(BD11/AY11,0)</f>
        <v>0</v>
      </c>
      <c r="BD11" s="660">
        <f>SUMIFS(KB[TBAYAR2],KB[TANGGAL],B11,KB[TYPE],"B",KB[TRANSPORT],"DARAT")</f>
        <v>0</v>
      </c>
      <c r="BE11" s="660">
        <f>SUMIFS(KB[POTPPH],KB[TANGGAL],B11,KB[TYPE],"B",KB[TRANSPORT],"DARAT")</f>
        <v>0</v>
      </c>
      <c r="BF11" s="660">
        <f>SUMIFS(KB[TPEMBAYARAN],KB[TANGGAL],B11,KB[TYPE],"B",KB[TRANSPORT],"DARAT")</f>
        <v>0</v>
      </c>
      <c r="BG11" s="417"/>
      <c r="BH11" s="417"/>
      <c r="BI11" s="417"/>
      <c r="BJ11" s="417"/>
      <c r="BK11" s="417"/>
      <c r="BL11" s="417"/>
      <c r="BM11" s="417"/>
      <c r="BN11" s="417"/>
      <c r="BO11" s="417"/>
      <c r="BP11" s="417"/>
      <c r="BQ11" s="417"/>
      <c r="BR11" s="417"/>
      <c r="BS11" s="417"/>
      <c r="BT11" s="417"/>
      <c r="BU11" s="417"/>
      <c r="BV11" s="417"/>
      <c r="BW11" s="417"/>
      <c r="BX11" s="417"/>
      <c r="BY11" s="417"/>
      <c r="BZ11" s="417"/>
      <c r="CA11" s="417"/>
      <c r="CB11" s="417"/>
      <c r="CC11" s="417"/>
      <c r="CD11" s="417"/>
      <c r="CE11" s="417"/>
      <c r="CF11" s="417"/>
      <c r="CG11" s="417"/>
      <c r="CH11" s="417"/>
      <c r="CI11" s="417"/>
      <c r="CJ11" s="417"/>
      <c r="CK11" s="417"/>
      <c r="CL11" s="417"/>
      <c r="CM11" s="417"/>
    </row>
    <row r="12" spans="1:91" ht="24.95" customHeight="1">
      <c r="B12" s="645">
        <f>+B11+1</f>
        <v>43893</v>
      </c>
      <c r="C12" s="696"/>
      <c r="D12" s="659">
        <f>SUMIFS(KB[BRUTO],KB[TANGGAL],B12,KB[TYPE],"A",KB[TRANSPORT],"LAUT")</f>
        <v>22380</v>
      </c>
      <c r="E12" s="712">
        <f>SUMIFS(KB[TARRA],KB[TANGGAL],B12,KB[TYPE],"A",KB[TRANSPORT],"LAUT")</f>
        <v>11680</v>
      </c>
      <c r="F12" s="660">
        <f>SUMIFS(KB[NETTO],KB[TANGGAL],B12,KB[TYPE],"A",KB[TRANSPORT],"LAUT")</f>
        <v>10700</v>
      </c>
      <c r="G12" s="712">
        <f t="shared" ref="G12" si="15">IFERROR(H12/F12%,0)</f>
        <v>6</v>
      </c>
      <c r="H12" s="712">
        <f>SUMIFS(KB[TPOT],KB[TANGGAL],B12,KB[TYPE],"A",KB[TRANSPORT],"LAUT")</f>
        <v>642</v>
      </c>
      <c r="I12" s="712">
        <f>SUMIFS(KB[NETTO2],KB[TANGGAL],B12,KB[TYPE],"A",KB[TRANSPORT],"LAUT")</f>
        <v>10058</v>
      </c>
      <c r="J12" s="712">
        <f t="shared" ref="J12" si="16">IFERROR(K12/I12,0)</f>
        <v>2926.7289719626169</v>
      </c>
      <c r="K12" s="712">
        <f>SUMIFS(KB[TBAYAR],KB[TANGGAL],B12,KB[TYPE],"A",KB[TRANSPORT],"LAUT")</f>
        <v>29437040</v>
      </c>
      <c r="L12" s="712">
        <f t="shared" ref="L12" si="17">ROUND(J12*0.5025%,2)</f>
        <v>14.71</v>
      </c>
      <c r="M12" s="712">
        <f t="shared" si="12"/>
        <v>2941.4325909723602</v>
      </c>
      <c r="N12" s="712">
        <f>SUMIFS(KB[TBAYAR2],KB[TANGGAL],B12,KB[TYPE],"A",KB[TRANSPORT],"LAUT")</f>
        <v>29584929</v>
      </c>
      <c r="O12" s="712">
        <f>SUMIFS(KB[POTPPH],KB[TANGGAL],B12,KB[TYPE],"A",KB[TRANSPORT],"LAUT")</f>
        <v>147925</v>
      </c>
      <c r="P12" s="712">
        <f>SUMIFS(KB[TPEMBAYARAN],KB[TANGGAL],B12,KB[TYPE],"A",KB[TRANSPORT],"LAUT")</f>
        <v>29437004</v>
      </c>
      <c r="Q12" s="715"/>
      <c r="R12" s="659">
        <f>SUMIFS(KB[BRUTO],KB[TANGGAL],B12,KB[TYPE],"A",KB[TRANSPORT],"DARAT")</f>
        <v>87980</v>
      </c>
      <c r="S12" s="660">
        <f>SUMIFS(KB[TARRA],KB[TANGGAL],B12,KB[TYPE],"A",KB[TRANSPORT],"DARAT")</f>
        <v>34250</v>
      </c>
      <c r="T12" s="660">
        <f>SUMIFS(KB[NETTO],KB[TANGGAL],B12,KB[TYPE],"A",KB[TRANSPORT],"DARAT")</f>
        <v>53730</v>
      </c>
      <c r="U12" s="660">
        <f t="shared" ref="U12:U40" si="18">IFERROR(V12/T12%,0)</f>
        <v>5.2257584217383224</v>
      </c>
      <c r="V12" s="660">
        <f>SUMIFS(KB[TPOT],KB[TANGGAL],B12,KB[TYPE],"A",KB[TRANSPORT],"DARAT")</f>
        <v>2807.8</v>
      </c>
      <c r="W12" s="660">
        <f>SUMIFS(KB[NETTO2],KB[TANGGAL],B12,KB[TYPE],"A",KB[TRANSPORT],"DARAT")</f>
        <v>50922.2</v>
      </c>
      <c r="X12" s="660">
        <f t="shared" ref="X12:X40" si="19">IFERROR(Y12/W12,0)</f>
        <v>2901.9681985460174</v>
      </c>
      <c r="Y12" s="660">
        <f>SUMIFS(KB[TBAYAR],KB[TANGGAL],B12,KB[TYPE],"A",KB[TRANSPORT],"DARAT")</f>
        <v>147774605</v>
      </c>
      <c r="Z12" s="660">
        <f t="shared" ref="Z12:Z40" si="20">ROUND(X12*0.5025%,2)</f>
        <v>14.58</v>
      </c>
      <c r="AA12" s="660">
        <f>IFERROR(AB12/W12,0)</f>
        <v>2916.5480281684609</v>
      </c>
      <c r="AB12" s="660">
        <f>SUMIFS(KB[TBAYAR2],KB[TANGGAL],B12,KB[TYPE],"A",KB[TRANSPORT],"DARAT")</f>
        <v>148517042</v>
      </c>
      <c r="AC12" s="660">
        <f>SUMIFS(KB[POTPPH],KB[TANGGAL],B12,KB[TYPE],"A",KB[TRANSPORT],"DARAT")</f>
        <v>742586</v>
      </c>
      <c r="AD12" s="660">
        <f>SUMIFS(KB[TPEMBAYARAN],KB[TANGGAL],B12,KB[TYPE],"A",KB[TRANSPORT],"DARAT")</f>
        <v>147774456</v>
      </c>
      <c r="AE12" s="715"/>
      <c r="AF12" s="659">
        <f>SUMIFS(KB[BRUTO],KB[TANGGAL],B12,KB[TYPE],"B",KB[TRANSPORT],"LAUT")</f>
        <v>0</v>
      </c>
      <c r="AG12" s="712">
        <f>SUMIFS(KB[TARRA],KB[TANGGAL],B12,KB[TYPE],"B",KB[TRANSPORT],"LAUT")</f>
        <v>0</v>
      </c>
      <c r="AH12" s="712">
        <f>SUMIFS(KB[NETTO],KB[TANGGAL],B12,KB[TYPE],"B",KB[TRANSPORT],"LAUT")</f>
        <v>0</v>
      </c>
      <c r="AI12" s="712">
        <f t="shared" si="6"/>
        <v>0</v>
      </c>
      <c r="AJ12" s="712">
        <f>SUMIFS(KB[TPOT],KB[TANGGAL],B12,KB[TYPE],"B",KB[TRANSPORT],"LAUT")</f>
        <v>0</v>
      </c>
      <c r="AK12" s="712">
        <f>SUMIFS(KB[NETTO2],KB[TANGGAL],B12,KB[TYPE],"B",KB[TRANSPORT],"LAUT")</f>
        <v>0</v>
      </c>
      <c r="AL12" s="712">
        <f t="shared" ref="AL12:AL40" si="21">IFERROR(AM12/AK12,0)</f>
        <v>0</v>
      </c>
      <c r="AM12" s="712">
        <f>SUMIFS(KB[TBAYAR],KB[TANGGAL],B12,KB[TYPE],"B",KB[TRANSPORT],"LAUT")</f>
        <v>0</v>
      </c>
      <c r="AN12" s="716">
        <f t="shared" ref="AN12:AN40" si="22">ROUND(AL12*0.5025%,2)</f>
        <v>0</v>
      </c>
      <c r="AO12" s="716">
        <f t="shared" si="13"/>
        <v>0</v>
      </c>
      <c r="AP12" s="712">
        <f>SUMIFS(KB[TBAYAR2],KB[TANGGAL],B12,KB[TYPE],"B",KB[TRANSPORT],"LAUT")</f>
        <v>0</v>
      </c>
      <c r="AQ12" s="712">
        <f>SUMIFS(KB[POTPPH],KB[TANGGAL],B12,KB[TYPE],"B",KB[TRANSPORT],"LAUT")</f>
        <v>0</v>
      </c>
      <c r="AR12" s="712">
        <f>SUMIFS(KB[TPEMBAYARAN],KB[TANGGAL],B12,KB[TYPE],"B",KB[TRANSPORT],"LAUT")</f>
        <v>0</v>
      </c>
      <c r="AS12" s="714"/>
      <c r="AT12" s="659">
        <f>SUMIFS(KB[BRUTO],KB[TANGGAL],B12,KB[TYPE],"B",KB[TRANSPORT],"DARAT")</f>
        <v>0</v>
      </c>
      <c r="AU12" s="660">
        <f>SUMIFS(KB[TARRA],KB[TANGGAL],B12,KB[TYPE],"B",KB[TRANSPORT],"DARAT")</f>
        <v>0</v>
      </c>
      <c r="AV12" s="660">
        <f>SUMIFS(KB[NETTO],KB[TANGGAL],B12,KB[TYPE],"B",KB[TRANSPORT],"DARAT")</f>
        <v>0</v>
      </c>
      <c r="AW12" s="660">
        <f t="shared" ref="AW12:AW40" si="23">IFERROR(AX12/AV12%,0)</f>
        <v>0</v>
      </c>
      <c r="AX12" s="660">
        <f>SUMIFS(KB[TPOT],KB[TANGGAL],B12,KB[TYPE],"B",KB[TRANSPORT],"DARAT")</f>
        <v>0</v>
      </c>
      <c r="AY12" s="660">
        <f>SUMIFS(KB[NETTO2],KB[TANGGAL],B12,KB[TYPE],"B",KB[TRANSPORT],"DARAT")</f>
        <v>0</v>
      </c>
      <c r="AZ12" s="660">
        <f t="shared" ref="AZ12:AZ40" si="24">IFERROR(BA12/AY12,0)</f>
        <v>0</v>
      </c>
      <c r="BA12" s="660">
        <f>SUMIFS(KB[TBAYAR],KB[TANGGAL],B12,KB[TYPE],"B",KB[TRANSPORT],"DARAT")</f>
        <v>0</v>
      </c>
      <c r="BB12" s="660">
        <f t="shared" ref="BB12:BB40" si="25">ROUND(AZ12*0.5025%,2)</f>
        <v>0</v>
      </c>
      <c r="BC12" s="660">
        <f t="shared" si="14"/>
        <v>0</v>
      </c>
      <c r="BD12" s="660">
        <f>SUMIFS(KB[TBAYAR2],KB[TANGGAL],B12,KB[TYPE],"B",KB[TRANSPORT],"DARAT")</f>
        <v>0</v>
      </c>
      <c r="BE12" s="660">
        <f>SUMIFS(KB[POTPPH],KB[TANGGAL],B12,KB[TYPE],"B",KB[TRANSPORT],"DARAT")</f>
        <v>0</v>
      </c>
      <c r="BF12" s="660">
        <f>SUMIFS(KB[TPEMBAYARAN],KB[TANGGAL],B12,KB[TYPE],"B",KB[TRANSPORT],"DARAT")</f>
        <v>0</v>
      </c>
      <c r="BG12" s="417"/>
      <c r="BH12" s="417"/>
      <c r="BI12" s="417"/>
      <c r="BJ12" s="417"/>
      <c r="BK12" s="417"/>
      <c r="BL12" s="417"/>
      <c r="BM12" s="417"/>
      <c r="BN12" s="417"/>
      <c r="BO12" s="417"/>
      <c r="BP12" s="417"/>
      <c r="BQ12" s="417"/>
      <c r="BR12" s="417"/>
      <c r="BS12" s="417"/>
      <c r="BT12" s="417"/>
      <c r="BU12" s="417"/>
      <c r="BV12" s="417"/>
      <c r="BW12" s="417"/>
      <c r="BX12" s="417"/>
      <c r="BY12" s="417"/>
      <c r="BZ12" s="417"/>
      <c r="CA12" s="417"/>
      <c r="CB12" s="417"/>
      <c r="CC12" s="417"/>
      <c r="CD12" s="417"/>
      <c r="CE12" s="417"/>
      <c r="CF12" s="417"/>
      <c r="CG12" s="417"/>
      <c r="CH12" s="417"/>
      <c r="CI12" s="417"/>
      <c r="CJ12" s="417"/>
      <c r="CK12" s="417"/>
      <c r="CL12" s="417"/>
      <c r="CM12" s="417"/>
    </row>
    <row r="13" spans="1:91" ht="24.95" customHeight="1">
      <c r="B13" s="645">
        <f t="shared" ref="B13:B37" si="26">+B12+1</f>
        <v>43894</v>
      </c>
      <c r="C13" s="696"/>
      <c r="D13" s="659">
        <f>SUMIFS(KB[BRUTO],KB[TANGGAL],B13,KB[TYPE],"A",KB[TRANSPORT],"LAUT")</f>
        <v>29540</v>
      </c>
      <c r="E13" s="712">
        <f>SUMIFS(KB[TARRA],KB[TANGGAL],B13,KB[TYPE],"A",KB[TRANSPORT],"LAUT")</f>
        <v>15460</v>
      </c>
      <c r="F13" s="660">
        <f>SUMIFS(KB[NETTO],KB[TANGGAL],B13,KB[TYPE],"A",KB[TRANSPORT],"LAUT")</f>
        <v>14080</v>
      </c>
      <c r="G13" s="712">
        <f t="shared" ref="G13:G40" si="27">IFERROR(H13/F13%,0)</f>
        <v>5.9999999999999982</v>
      </c>
      <c r="H13" s="712">
        <f>SUMIFS(KB[TPOT],KB[TANGGAL],B13,KB[TYPE],"A",KB[TRANSPORT],"LAUT")</f>
        <v>844.79999999999984</v>
      </c>
      <c r="I13" s="712">
        <f>SUMIFS(KB[NETTO2],KB[TANGGAL],B13,KB[TYPE],"A",KB[TRANSPORT],"LAUT")</f>
        <v>13235.200000000003</v>
      </c>
      <c r="J13" s="712">
        <f t="shared" ref="J13:J40" si="28">IFERROR(K13/I13,0)</f>
        <v>2886.0085227272721</v>
      </c>
      <c r="K13" s="712">
        <f>SUMIFS(KB[TBAYAR],KB[TANGGAL],B13,KB[TYPE],"A",KB[TRANSPORT],"LAUT")</f>
        <v>38196900</v>
      </c>
      <c r="L13" s="712">
        <f t="shared" ref="L13:L40" si="29">ROUND(J13*0.5025%,2)</f>
        <v>14.5</v>
      </c>
      <c r="M13" s="712">
        <f t="shared" si="12"/>
        <v>2900.5086436170209</v>
      </c>
      <c r="N13" s="712">
        <f>SUMIFS(KB[TBAYAR2],KB[TANGGAL],B13,KB[TYPE],"A",KB[TRANSPORT],"LAUT")</f>
        <v>38388812</v>
      </c>
      <c r="O13" s="712">
        <f>SUMIFS(KB[POTPPH],KB[TANGGAL],B13,KB[TYPE],"A",KB[TRANSPORT],"LAUT")</f>
        <v>191943</v>
      </c>
      <c r="P13" s="712">
        <f>SUMIFS(KB[TPEMBAYARAN],KB[TANGGAL],B13,KB[TYPE],"A",KB[TRANSPORT],"LAUT")</f>
        <v>38196869</v>
      </c>
      <c r="Q13" s="715"/>
      <c r="R13" s="659">
        <f>SUMIFS(KB[BRUTO],KB[TANGGAL],B13,KB[TYPE],"A",KB[TRANSPORT],"DARAT")</f>
        <v>85240</v>
      </c>
      <c r="S13" s="660">
        <f>SUMIFS(KB[TARRA],KB[TANGGAL],B13,KB[TYPE],"A",KB[TRANSPORT],"DARAT")</f>
        <v>33980</v>
      </c>
      <c r="T13" s="660">
        <f>SUMIFS(KB[NETTO],KB[TANGGAL],B13,KB[TYPE],"A",KB[TRANSPORT],"DARAT")</f>
        <v>51260</v>
      </c>
      <c r="U13" s="660">
        <f t="shared" si="18"/>
        <v>5</v>
      </c>
      <c r="V13" s="660">
        <f>SUMIFS(KB[TPOT],KB[TANGGAL],B13,KB[TYPE],"A",KB[TRANSPORT],"DARAT")</f>
        <v>2563</v>
      </c>
      <c r="W13" s="660">
        <f>SUMIFS(KB[NETTO2],KB[TANGGAL],B13,KB[TYPE],"A",KB[TRANSPORT],"DARAT")</f>
        <v>48697</v>
      </c>
      <c r="X13" s="660">
        <f t="shared" si="19"/>
        <v>2905.033164260632</v>
      </c>
      <c r="Y13" s="660">
        <f>SUMIFS(KB[TBAYAR],KB[TANGGAL],B13,KB[TYPE],"A",KB[TRANSPORT],"DARAT")</f>
        <v>141466400</v>
      </c>
      <c r="Z13" s="660">
        <f t="shared" si="20"/>
        <v>14.6</v>
      </c>
      <c r="AA13" s="660">
        <f t="shared" ref="AA13:AA40" si="30">IFERROR(AB13/W13,0)</f>
        <v>2919.6288272378174</v>
      </c>
      <c r="AB13" s="660">
        <f>SUMIFS(KB[TBAYAR2],KB[TANGGAL],B13,KB[TYPE],"A",KB[TRANSPORT],"DARAT")</f>
        <v>142177165</v>
      </c>
      <c r="AC13" s="660">
        <f>SUMIFS(KB[POTPPH],KB[TANGGAL],B13,KB[TYPE],"A",KB[TRANSPORT],"DARAT")</f>
        <v>710886</v>
      </c>
      <c r="AD13" s="660">
        <f>SUMIFS(KB[TPEMBAYARAN],KB[TANGGAL],B13,KB[TYPE],"A",KB[TRANSPORT],"DARAT")</f>
        <v>141466279</v>
      </c>
      <c r="AE13" s="715"/>
      <c r="AF13" s="659">
        <f>SUMIFS(KB[BRUTO],KB[TANGGAL],B13,KB[TYPE],"B",KB[TRANSPORT],"LAUT")</f>
        <v>0</v>
      </c>
      <c r="AG13" s="712">
        <f>SUMIFS(KB[TARRA],KB[TANGGAL],B13,KB[TYPE],"B",KB[TRANSPORT],"LAUT")</f>
        <v>0</v>
      </c>
      <c r="AH13" s="712">
        <f>SUMIFS(KB[NETTO],KB[TANGGAL],B13,KB[TYPE],"B",KB[TRANSPORT],"LAUT")</f>
        <v>0</v>
      </c>
      <c r="AI13" s="712">
        <f t="shared" si="6"/>
        <v>0</v>
      </c>
      <c r="AJ13" s="712">
        <f>SUMIFS(KB[TPOT],KB[TANGGAL],B13,KB[TYPE],"B",KB[TRANSPORT],"LAUT")</f>
        <v>0</v>
      </c>
      <c r="AK13" s="712">
        <f>SUMIFS(KB[NETTO2],KB[TANGGAL],B13,KB[TYPE],"B",KB[TRANSPORT],"LAUT")</f>
        <v>0</v>
      </c>
      <c r="AL13" s="712">
        <f t="shared" si="21"/>
        <v>0</v>
      </c>
      <c r="AM13" s="712">
        <f>SUMIFS(KB[TBAYAR],KB[TANGGAL],B13,KB[TYPE],"B",KB[TRANSPORT],"LAUT")</f>
        <v>0</v>
      </c>
      <c r="AN13" s="716">
        <f t="shared" si="22"/>
        <v>0</v>
      </c>
      <c r="AO13" s="716">
        <f t="shared" si="13"/>
        <v>0</v>
      </c>
      <c r="AP13" s="712">
        <f>SUMIFS(KB[TBAYAR2],KB[TANGGAL],B13,KB[TYPE],"B",KB[TRANSPORT],"LAUT")</f>
        <v>0</v>
      </c>
      <c r="AQ13" s="712">
        <f>SUMIFS(KB[POTPPH],KB[TANGGAL],B13,KB[TYPE],"B",KB[TRANSPORT],"LAUT")</f>
        <v>0</v>
      </c>
      <c r="AR13" s="712">
        <f>SUMIFS(KB[TPEMBAYARAN],KB[TANGGAL],B13,KB[TYPE],"B",KB[TRANSPORT],"LAUT")</f>
        <v>0</v>
      </c>
      <c r="AS13" s="714"/>
      <c r="AT13" s="659">
        <f>SUMIFS(KB[BRUTO],KB[TANGGAL],B13,KB[TYPE],"B",KB[TRANSPORT],"DARAT")</f>
        <v>0</v>
      </c>
      <c r="AU13" s="660">
        <f>SUMIFS(KB[TARRA],KB[TANGGAL],B13,KB[TYPE],"B",KB[TRANSPORT],"DARAT")</f>
        <v>0</v>
      </c>
      <c r="AV13" s="660">
        <f>SUMIFS(KB[NETTO],KB[TANGGAL],B13,KB[TYPE],"B",KB[TRANSPORT],"DARAT")</f>
        <v>0</v>
      </c>
      <c r="AW13" s="660">
        <f t="shared" si="23"/>
        <v>0</v>
      </c>
      <c r="AX13" s="660">
        <f>SUMIFS(KB[TPOT],KB[TANGGAL],B13,KB[TYPE],"B",KB[TRANSPORT],"DARAT")</f>
        <v>0</v>
      </c>
      <c r="AY13" s="660">
        <f>SUMIFS(KB[NETTO2],KB[TANGGAL],B13,KB[TYPE],"B",KB[TRANSPORT],"DARAT")</f>
        <v>0</v>
      </c>
      <c r="AZ13" s="660">
        <f t="shared" si="24"/>
        <v>0</v>
      </c>
      <c r="BA13" s="660">
        <f>SUMIFS(KB[TBAYAR],KB[TANGGAL],B13,KB[TYPE],"B",KB[TRANSPORT],"DARAT")</f>
        <v>0</v>
      </c>
      <c r="BB13" s="660">
        <f t="shared" si="25"/>
        <v>0</v>
      </c>
      <c r="BC13" s="660">
        <f t="shared" si="14"/>
        <v>0</v>
      </c>
      <c r="BD13" s="660">
        <f>SUMIFS(KB[TBAYAR2],KB[TANGGAL],B13,KB[TYPE],"B",KB[TRANSPORT],"DARAT")</f>
        <v>0</v>
      </c>
      <c r="BE13" s="660">
        <f>SUMIFS(KB[POTPPH],KB[TANGGAL],B13,KB[TYPE],"B",KB[TRANSPORT],"DARAT")</f>
        <v>0</v>
      </c>
      <c r="BF13" s="660">
        <f>SUMIFS(KB[TPEMBAYARAN],KB[TANGGAL],B13,KB[TYPE],"B",KB[TRANSPORT],"DARAT")</f>
        <v>0</v>
      </c>
      <c r="BG13" s="417"/>
      <c r="BH13" s="417"/>
      <c r="BI13" s="417"/>
      <c r="BJ13" s="417"/>
      <c r="BK13" s="417"/>
      <c r="BL13" s="417"/>
      <c r="BM13" s="417"/>
      <c r="BN13" s="417"/>
      <c r="BO13" s="417"/>
      <c r="BP13" s="417"/>
      <c r="BQ13" s="417"/>
      <c r="BR13" s="417"/>
      <c r="BS13" s="417"/>
      <c r="BT13" s="417"/>
      <c r="BU13" s="417"/>
      <c r="BV13" s="417"/>
      <c r="BW13" s="417"/>
      <c r="BX13" s="417"/>
      <c r="BY13" s="417"/>
      <c r="BZ13" s="417"/>
      <c r="CA13" s="417"/>
      <c r="CB13" s="417"/>
      <c r="CC13" s="417"/>
      <c r="CD13" s="417"/>
      <c r="CE13" s="417"/>
      <c r="CF13" s="417"/>
      <c r="CG13" s="417"/>
      <c r="CH13" s="417"/>
      <c r="CI13" s="417"/>
      <c r="CJ13" s="417"/>
      <c r="CK13" s="417"/>
      <c r="CL13" s="417"/>
      <c r="CM13" s="417"/>
    </row>
    <row r="14" spans="1:91" ht="24.95" customHeight="1">
      <c r="B14" s="645">
        <f t="shared" si="26"/>
        <v>43895</v>
      </c>
      <c r="C14" s="696"/>
      <c r="D14" s="659">
        <f>SUMIFS(KB[BRUTO],KB[TANGGAL],B14,KB[TYPE],"A",KB[TRANSPORT],"LAUT")</f>
        <v>46460</v>
      </c>
      <c r="E14" s="712">
        <f>SUMIFS(KB[TARRA],KB[TANGGAL],B14,KB[TYPE],"A",KB[TRANSPORT],"LAUT")</f>
        <v>23570</v>
      </c>
      <c r="F14" s="660">
        <f>SUMIFS(KB[NETTO],KB[TANGGAL],B14,KB[TYPE],"A",KB[TRANSPORT],"LAUT")</f>
        <v>22890</v>
      </c>
      <c r="G14" s="712">
        <f t="shared" si="27"/>
        <v>6</v>
      </c>
      <c r="H14" s="712">
        <f>SUMIFS(KB[TPOT],KB[TANGGAL],B14,KB[TYPE],"A",KB[TRANSPORT],"LAUT")</f>
        <v>1373.4</v>
      </c>
      <c r="I14" s="712">
        <f>SUMIFS(KB[NETTO2],KB[TANGGAL],B14,KB[TYPE],"A",KB[TRANSPORT],"LAUT")</f>
        <v>21516.6</v>
      </c>
      <c r="J14" s="712">
        <f t="shared" si="28"/>
        <v>2905.65749235474</v>
      </c>
      <c r="K14" s="712">
        <f>SUMIFS(KB[TBAYAR],KB[TANGGAL],B14,KB[TYPE],"A",KB[TRANSPORT],"LAUT")</f>
        <v>62519870</v>
      </c>
      <c r="L14" s="712">
        <f t="shared" si="29"/>
        <v>14.6</v>
      </c>
      <c r="M14" s="712">
        <f t="shared" si="12"/>
        <v>2920.255802496677</v>
      </c>
      <c r="N14" s="712">
        <f>SUMIFS(KB[TBAYAR2],KB[TANGGAL],B14,KB[TYPE],"A",KB[TRANSPORT],"LAUT")</f>
        <v>62833976</v>
      </c>
      <c r="O14" s="712">
        <f>SUMIFS(KB[POTPPH],KB[TANGGAL],B14,KB[TYPE],"A",KB[TRANSPORT],"LAUT")</f>
        <v>314169</v>
      </c>
      <c r="P14" s="712">
        <f>SUMIFS(KB[TPEMBAYARAN],KB[TANGGAL],B14,KB[TYPE],"A",KB[TRANSPORT],"LAUT")</f>
        <v>62519807</v>
      </c>
      <c r="Q14" s="715"/>
      <c r="R14" s="659">
        <f>SUMIFS(KB[BRUTO],KB[TANGGAL],B14,KB[TYPE],"A",KB[TRANSPORT],"DARAT")</f>
        <v>64950</v>
      </c>
      <c r="S14" s="660">
        <f>SUMIFS(KB[TARRA],KB[TANGGAL],B14,KB[TYPE],"A",KB[TRANSPORT],"DARAT")</f>
        <v>27660</v>
      </c>
      <c r="T14" s="660">
        <f>SUMIFS(KB[NETTO],KB[TANGGAL],B14,KB[TYPE],"A",KB[TRANSPORT],"DARAT")</f>
        <v>37290</v>
      </c>
      <c r="U14" s="660">
        <f t="shared" si="18"/>
        <v>5.1997854652721909</v>
      </c>
      <c r="V14" s="660">
        <f>SUMIFS(KB[TPOT],KB[TANGGAL],B14,KB[TYPE],"A",KB[TRANSPORT],"DARAT")</f>
        <v>1939</v>
      </c>
      <c r="W14" s="660">
        <f>SUMIFS(KB[NETTO2],KB[TANGGAL],B14,KB[TYPE],"A",KB[TRANSPORT],"DARAT")</f>
        <v>35351</v>
      </c>
      <c r="X14" s="660">
        <f t="shared" si="19"/>
        <v>2905.4552912223135</v>
      </c>
      <c r="Y14" s="660">
        <f>SUMIFS(KB[TBAYAR],KB[TANGGAL],B14,KB[TYPE],"A",KB[TRANSPORT],"DARAT")</f>
        <v>102710750</v>
      </c>
      <c r="Z14" s="660">
        <f t="shared" si="20"/>
        <v>14.6</v>
      </c>
      <c r="AA14" s="660">
        <f t="shared" si="30"/>
        <v>2920.0531243812056</v>
      </c>
      <c r="AB14" s="660">
        <f>SUMIFS(KB[TBAYAR2],KB[TANGGAL],B14,KB[TYPE],"A",KB[TRANSPORT],"DARAT")</f>
        <v>103226798</v>
      </c>
      <c r="AC14" s="660">
        <f>SUMIFS(KB[POTPPH],KB[TANGGAL],B14,KB[TYPE],"A",KB[TRANSPORT],"DARAT")</f>
        <v>516134</v>
      </c>
      <c r="AD14" s="660">
        <f>SUMIFS(KB[TPEMBAYARAN],KB[TANGGAL],B14,KB[TYPE],"A",KB[TRANSPORT],"DARAT")</f>
        <v>102710664</v>
      </c>
      <c r="AE14" s="715"/>
      <c r="AF14" s="659">
        <f>SUMIFS(KB[BRUTO],KB[TANGGAL],B14,KB[TYPE],"B",KB[TRANSPORT],"LAUT")</f>
        <v>0</v>
      </c>
      <c r="AG14" s="712">
        <f>SUMIFS(KB[TARRA],KB[TANGGAL],B14,KB[TYPE],"B",KB[TRANSPORT],"LAUT")</f>
        <v>0</v>
      </c>
      <c r="AH14" s="712">
        <f>SUMIFS(KB[NETTO],KB[TANGGAL],B14,KB[TYPE],"B",KB[TRANSPORT],"LAUT")</f>
        <v>0</v>
      </c>
      <c r="AI14" s="712">
        <f t="shared" si="6"/>
        <v>0</v>
      </c>
      <c r="AJ14" s="712">
        <f>SUMIFS(KB[TPOT],KB[TANGGAL],B14,KB[TYPE],"B",KB[TRANSPORT],"LAUT")</f>
        <v>0</v>
      </c>
      <c r="AK14" s="712">
        <f>SUMIFS(KB[NETTO2],KB[TANGGAL],B14,KB[TYPE],"B",KB[TRANSPORT],"LAUT")</f>
        <v>0</v>
      </c>
      <c r="AL14" s="712">
        <f t="shared" si="21"/>
        <v>0</v>
      </c>
      <c r="AM14" s="712">
        <f>SUMIFS(KB[TBAYAR],KB[TANGGAL],B14,KB[TYPE],"B",KB[TRANSPORT],"LAUT")</f>
        <v>0</v>
      </c>
      <c r="AN14" s="716">
        <f t="shared" si="22"/>
        <v>0</v>
      </c>
      <c r="AO14" s="716">
        <f t="shared" si="13"/>
        <v>0</v>
      </c>
      <c r="AP14" s="712">
        <f>SUMIFS(KB[TBAYAR2],KB[TANGGAL],B14,KB[TYPE],"B",KB[TRANSPORT],"LAUT")</f>
        <v>0</v>
      </c>
      <c r="AQ14" s="712">
        <f>SUMIFS(KB[POTPPH],KB[TANGGAL],B14,KB[TYPE],"B",KB[TRANSPORT],"LAUT")</f>
        <v>0</v>
      </c>
      <c r="AR14" s="712">
        <f>SUMIFS(KB[TPEMBAYARAN],KB[TANGGAL],B14,KB[TYPE],"B",KB[TRANSPORT],"LAUT")</f>
        <v>0</v>
      </c>
      <c r="AS14" s="714"/>
      <c r="AT14" s="659">
        <f>SUMIFS(KB[BRUTO],KB[TANGGAL],B14,KB[TYPE],"B",KB[TRANSPORT],"DARAT")</f>
        <v>0</v>
      </c>
      <c r="AU14" s="660">
        <f>SUMIFS(KB[TARRA],KB[TANGGAL],B14,KB[TYPE],"B",KB[TRANSPORT],"DARAT")</f>
        <v>0</v>
      </c>
      <c r="AV14" s="660">
        <f>SUMIFS(KB[NETTO],KB[TANGGAL],B14,KB[TYPE],"B",KB[TRANSPORT],"DARAT")</f>
        <v>0</v>
      </c>
      <c r="AW14" s="660">
        <f t="shared" si="23"/>
        <v>0</v>
      </c>
      <c r="AX14" s="660">
        <f>SUMIFS(KB[TPOT],KB[TANGGAL],B14,KB[TYPE],"B",KB[TRANSPORT],"DARAT")</f>
        <v>0</v>
      </c>
      <c r="AY14" s="660">
        <f>SUMIFS(KB[NETTO2],KB[TANGGAL],B14,KB[TYPE],"B",KB[TRANSPORT],"DARAT")</f>
        <v>0</v>
      </c>
      <c r="AZ14" s="660">
        <f t="shared" si="24"/>
        <v>0</v>
      </c>
      <c r="BA14" s="660">
        <f>SUMIFS(KB[TBAYAR],KB[TANGGAL],B14,KB[TYPE],"B",KB[TRANSPORT],"DARAT")</f>
        <v>0</v>
      </c>
      <c r="BB14" s="660">
        <f t="shared" si="25"/>
        <v>0</v>
      </c>
      <c r="BC14" s="660">
        <f t="shared" si="14"/>
        <v>0</v>
      </c>
      <c r="BD14" s="660">
        <f>SUMIFS(KB[TBAYAR2],KB[TANGGAL],B14,KB[TYPE],"B",KB[TRANSPORT],"DARAT")</f>
        <v>0</v>
      </c>
      <c r="BE14" s="660">
        <f>SUMIFS(KB[POTPPH],KB[TANGGAL],B14,KB[TYPE],"B",KB[TRANSPORT],"DARAT")</f>
        <v>0</v>
      </c>
      <c r="BF14" s="660">
        <f>SUMIFS(KB[TPEMBAYARAN],KB[TANGGAL],B14,KB[TYPE],"B",KB[TRANSPORT],"DARAT")</f>
        <v>0</v>
      </c>
      <c r="BG14" s="388"/>
      <c r="BH14" s="388"/>
      <c r="BI14" s="388"/>
      <c r="BJ14" s="388"/>
      <c r="BK14" s="388"/>
      <c r="BL14" s="388"/>
      <c r="BM14" s="388"/>
      <c r="BN14" s="388"/>
      <c r="BO14" s="388"/>
      <c r="BP14" s="388"/>
      <c r="BQ14" s="388"/>
      <c r="BR14" s="388"/>
      <c r="BS14" s="388"/>
      <c r="BT14" s="388"/>
      <c r="BU14" s="388"/>
      <c r="BV14" s="388"/>
      <c r="BW14" s="388"/>
      <c r="BX14" s="388"/>
      <c r="BY14" s="388"/>
      <c r="BZ14" s="388"/>
      <c r="CA14" s="388"/>
      <c r="CB14" s="388"/>
      <c r="CC14" s="388"/>
      <c r="CD14" s="388"/>
      <c r="CE14" s="388"/>
      <c r="CF14" s="388"/>
      <c r="CG14" s="388"/>
      <c r="CH14" s="388"/>
      <c r="CI14" s="388"/>
      <c r="CJ14" s="388"/>
      <c r="CK14" s="388"/>
      <c r="CL14" s="388"/>
      <c r="CM14" s="388"/>
    </row>
    <row r="15" spans="1:91" ht="24.95" customHeight="1">
      <c r="B15" s="645">
        <f t="shared" si="26"/>
        <v>43896</v>
      </c>
      <c r="C15" s="696"/>
      <c r="D15" s="659">
        <f>SUMIFS(KB[BRUTO],KB[TANGGAL],B15,KB[TYPE],"A",KB[TRANSPORT],"LAUT")</f>
        <v>84470</v>
      </c>
      <c r="E15" s="712">
        <f>SUMIFS(KB[TARRA],KB[TANGGAL],B15,KB[TYPE],"A",KB[TRANSPORT],"LAUT")</f>
        <v>42850</v>
      </c>
      <c r="F15" s="660">
        <f>SUMIFS(KB[NETTO],KB[TANGGAL],B15,KB[TYPE],"A",KB[TRANSPORT],"LAUT")</f>
        <v>41620</v>
      </c>
      <c r="G15" s="712">
        <f t="shared" si="27"/>
        <v>6.0000000000000009</v>
      </c>
      <c r="H15" s="712">
        <f>SUMIFS(KB[TPOT],KB[TANGGAL],B15,KB[TYPE],"A",KB[TRANSPORT],"LAUT")</f>
        <v>2497.2000000000003</v>
      </c>
      <c r="I15" s="712">
        <f>SUMIFS(KB[NETTO2],KB[TANGGAL],B15,KB[TYPE],"A",KB[TRANSPORT],"LAUT")</f>
        <v>39122.799999999996</v>
      </c>
      <c r="J15" s="712">
        <f t="shared" si="28"/>
        <v>3136.6770783277275</v>
      </c>
      <c r="K15" s="712">
        <f>SUMIFS(KB[TBAYAR],KB[TANGGAL],B15,KB[TYPE],"A",KB[TRANSPORT],"LAUT")</f>
        <v>122715590</v>
      </c>
      <c r="L15" s="712">
        <f t="shared" si="29"/>
        <v>15.76</v>
      </c>
      <c r="M15" s="712">
        <f t="shared" si="12"/>
        <v>3152.4386291369742</v>
      </c>
      <c r="N15" s="712">
        <f>SUMIFS(KB[TBAYAR2],KB[TANGGAL],B15,KB[TYPE],"A",KB[TRANSPORT],"LAUT")</f>
        <v>123332226</v>
      </c>
      <c r="O15" s="712">
        <f>SUMIFS(KB[POTPPH],KB[TANGGAL],B15,KB[TYPE],"A",KB[TRANSPORT],"LAUT")</f>
        <v>616662</v>
      </c>
      <c r="P15" s="712">
        <f>SUMIFS(KB[TPEMBAYARAN],KB[TANGGAL],B15,KB[TYPE],"A",KB[TRANSPORT],"LAUT")</f>
        <v>122715564</v>
      </c>
      <c r="Q15" s="715"/>
      <c r="R15" s="659">
        <f>SUMIFS(KB[BRUTO],KB[TANGGAL],B15,KB[TYPE],"A",KB[TRANSPORT],"DARAT")</f>
        <v>85600</v>
      </c>
      <c r="S15" s="660">
        <f>SUMIFS(KB[TARRA],KB[TANGGAL],B15,KB[TYPE],"A",KB[TRANSPORT],"DARAT")</f>
        <v>32780</v>
      </c>
      <c r="T15" s="660">
        <f>SUMIFS(KB[NETTO],KB[TANGGAL],B15,KB[TYPE],"A",KB[TRANSPORT],"DARAT")</f>
        <v>52820</v>
      </c>
      <c r="U15" s="660">
        <f t="shared" si="18"/>
        <v>5.1028019689511543</v>
      </c>
      <c r="V15" s="660">
        <f>SUMIFS(KB[TPOT],KB[TANGGAL],B15,KB[TYPE],"A",KB[TRANSPORT],"DARAT")</f>
        <v>2695.3</v>
      </c>
      <c r="W15" s="660">
        <f>SUMIFS(KB[NETTO2],KB[TANGGAL],B15,KB[TYPE],"A",KB[TRANSPORT],"DARAT")</f>
        <v>50124.7</v>
      </c>
      <c r="X15" s="660">
        <f t="shared" si="19"/>
        <v>2900</v>
      </c>
      <c r="Y15" s="660">
        <f>SUMIFS(KB[TBAYAR],KB[TANGGAL],B15,KB[TYPE],"A",KB[TRANSPORT],"DARAT")</f>
        <v>145361630</v>
      </c>
      <c r="Z15" s="660">
        <f t="shared" si="20"/>
        <v>14.57</v>
      </c>
      <c r="AA15" s="660">
        <f t="shared" si="30"/>
        <v>2914.5699625134916</v>
      </c>
      <c r="AB15" s="660">
        <f>SUMIFS(KB[TBAYAR2],KB[TANGGAL],B15,KB[TYPE],"A",KB[TRANSPORT],"DARAT")</f>
        <v>146091945</v>
      </c>
      <c r="AC15" s="660">
        <f>SUMIFS(KB[POTPPH],KB[TANGGAL],B15,KB[TYPE],"A",KB[TRANSPORT],"DARAT")</f>
        <v>730461</v>
      </c>
      <c r="AD15" s="660">
        <f>SUMIFS(KB[TPEMBAYARAN],KB[TANGGAL],B15,KB[TYPE],"A",KB[TRANSPORT],"DARAT")</f>
        <v>145361484</v>
      </c>
      <c r="AE15" s="715"/>
      <c r="AF15" s="659">
        <f>SUMIFS(KB[BRUTO],KB[TANGGAL],B15,KB[TYPE],"B",KB[TRANSPORT],"LAUT")</f>
        <v>0</v>
      </c>
      <c r="AG15" s="712">
        <f>SUMIFS(KB[TARRA],KB[TANGGAL],B15,KB[TYPE],"B",KB[TRANSPORT],"LAUT")</f>
        <v>0</v>
      </c>
      <c r="AH15" s="712">
        <f>SUMIFS(KB[NETTO],KB[TANGGAL],B15,KB[TYPE],"B",KB[TRANSPORT],"LAUT")</f>
        <v>0</v>
      </c>
      <c r="AI15" s="712">
        <f t="shared" si="6"/>
        <v>0</v>
      </c>
      <c r="AJ15" s="712">
        <f>SUMIFS(KB[TPOT],KB[TANGGAL],B15,KB[TYPE],"B",KB[TRANSPORT],"LAUT")</f>
        <v>0</v>
      </c>
      <c r="AK15" s="712">
        <f>SUMIFS(KB[NETTO2],KB[TANGGAL],B15,KB[TYPE],"B",KB[TRANSPORT],"LAUT")</f>
        <v>0</v>
      </c>
      <c r="AL15" s="712">
        <f t="shared" si="21"/>
        <v>0</v>
      </c>
      <c r="AM15" s="712">
        <f>SUMIFS(KB[TBAYAR],KB[TANGGAL],B15,KB[TYPE],"B",KB[TRANSPORT],"LAUT")</f>
        <v>0</v>
      </c>
      <c r="AN15" s="716">
        <f t="shared" si="22"/>
        <v>0</v>
      </c>
      <c r="AO15" s="716">
        <f t="shared" si="13"/>
        <v>0</v>
      </c>
      <c r="AP15" s="712">
        <f>SUMIFS(KB[TBAYAR2],KB[TANGGAL],B15,KB[TYPE],"B",KB[TRANSPORT],"LAUT")</f>
        <v>0</v>
      </c>
      <c r="AQ15" s="712">
        <f>SUMIFS(KB[POTPPH],KB[TANGGAL],B15,KB[TYPE],"B",KB[TRANSPORT],"LAUT")</f>
        <v>0</v>
      </c>
      <c r="AR15" s="712">
        <f>SUMIFS(KB[TPEMBAYARAN],KB[TANGGAL],B15,KB[TYPE],"B",KB[TRANSPORT],"LAUT")</f>
        <v>0</v>
      </c>
      <c r="AS15" s="714"/>
      <c r="AT15" s="659">
        <f>SUMIFS(KB[BRUTO],KB[TANGGAL],B15,KB[TYPE],"B",KB[TRANSPORT],"DARAT")</f>
        <v>0</v>
      </c>
      <c r="AU15" s="660">
        <f>SUMIFS(KB[TARRA],KB[TANGGAL],B15,KB[TYPE],"B",KB[TRANSPORT],"DARAT")</f>
        <v>0</v>
      </c>
      <c r="AV15" s="660">
        <f>SUMIFS(KB[NETTO],KB[TANGGAL],B15,KB[TYPE],"B",KB[TRANSPORT],"DARAT")</f>
        <v>0</v>
      </c>
      <c r="AW15" s="660">
        <f t="shared" si="23"/>
        <v>0</v>
      </c>
      <c r="AX15" s="660">
        <f>SUMIFS(KB[TPOT],KB[TANGGAL],B15,KB[TYPE],"B",KB[TRANSPORT],"DARAT")</f>
        <v>0</v>
      </c>
      <c r="AY15" s="660">
        <f>SUMIFS(KB[NETTO2],KB[TANGGAL],B15,KB[TYPE],"B",KB[TRANSPORT],"DARAT")</f>
        <v>0</v>
      </c>
      <c r="AZ15" s="660">
        <f t="shared" si="24"/>
        <v>0</v>
      </c>
      <c r="BA15" s="660">
        <f>SUMIFS(KB[TBAYAR],KB[TANGGAL],B15,KB[TYPE],"B",KB[TRANSPORT],"DARAT")</f>
        <v>0</v>
      </c>
      <c r="BB15" s="660">
        <f t="shared" si="25"/>
        <v>0</v>
      </c>
      <c r="BC15" s="660">
        <f t="shared" si="14"/>
        <v>0</v>
      </c>
      <c r="BD15" s="660">
        <f>SUMIFS(KB[TBAYAR2],KB[TANGGAL],B15,KB[TYPE],"B",KB[TRANSPORT],"DARAT")</f>
        <v>0</v>
      </c>
      <c r="BE15" s="660">
        <f>SUMIFS(KB[POTPPH],KB[TANGGAL],B15,KB[TYPE],"B",KB[TRANSPORT],"DARAT")</f>
        <v>0</v>
      </c>
      <c r="BF15" s="660">
        <f>SUMIFS(KB[TPEMBAYARAN],KB[TANGGAL],B15,KB[TYPE],"B",KB[TRANSPORT],"DARAT")</f>
        <v>0</v>
      </c>
      <c r="BG15" s="417"/>
      <c r="BH15" s="417"/>
      <c r="BI15" s="417"/>
      <c r="BJ15" s="417"/>
      <c r="BK15" s="417"/>
      <c r="BL15" s="417"/>
      <c r="BM15" s="417"/>
      <c r="BN15" s="417"/>
      <c r="BO15" s="417"/>
      <c r="BP15" s="417"/>
      <c r="BQ15" s="417"/>
      <c r="BR15" s="417"/>
      <c r="BS15" s="417"/>
      <c r="BT15" s="417"/>
      <c r="BU15" s="417"/>
      <c r="BV15" s="417"/>
      <c r="BW15" s="417"/>
      <c r="BX15" s="417"/>
      <c r="BY15" s="417"/>
      <c r="BZ15" s="417"/>
      <c r="CA15" s="417"/>
      <c r="CB15" s="417"/>
      <c r="CC15" s="417"/>
      <c r="CD15" s="417"/>
      <c r="CE15" s="417"/>
      <c r="CF15" s="417"/>
      <c r="CG15" s="417"/>
      <c r="CH15" s="417"/>
      <c r="CI15" s="417"/>
      <c r="CJ15" s="417"/>
      <c r="CK15" s="417"/>
      <c r="CL15" s="417"/>
      <c r="CM15" s="417"/>
    </row>
    <row r="16" spans="1:91" ht="24.95" customHeight="1">
      <c r="B16" s="645">
        <f t="shared" si="26"/>
        <v>43897</v>
      </c>
      <c r="C16" s="696"/>
      <c r="D16" s="659">
        <f>SUMIFS(KB[BRUTO],KB[TANGGAL],B16,KB[TYPE],"A",KB[TRANSPORT],"LAUT")</f>
        <v>89730</v>
      </c>
      <c r="E16" s="712">
        <f>SUMIFS(KB[TARRA],KB[TANGGAL],B16,KB[TYPE],"A",KB[TRANSPORT],"LAUT")</f>
        <v>42750</v>
      </c>
      <c r="F16" s="660">
        <f>SUMIFS(KB[NETTO],KB[TANGGAL],B16,KB[TYPE],"A",KB[TRANSPORT],"LAUT")</f>
        <v>46980</v>
      </c>
      <c r="G16" s="712">
        <f t="shared" si="27"/>
        <v>7.2447850148999562</v>
      </c>
      <c r="H16" s="712">
        <f>SUMIFS(KB[TPOT],KB[TANGGAL],B16,KB[TYPE],"A",KB[TRANSPORT],"LAUT")</f>
        <v>3403.5999999999995</v>
      </c>
      <c r="I16" s="712">
        <f>SUMIFS(KB[NETTO2],KB[TANGGAL],B16,KB[TYPE],"A",KB[TRANSPORT],"LAUT")</f>
        <v>43576.400000000009</v>
      </c>
      <c r="J16" s="712">
        <f t="shared" si="28"/>
        <v>3199.9999999999995</v>
      </c>
      <c r="K16" s="712">
        <f>SUMIFS(KB[TBAYAR],KB[TANGGAL],B16,KB[TYPE],"A",KB[TRANSPORT],"LAUT")</f>
        <v>139444480</v>
      </c>
      <c r="L16" s="712">
        <f t="shared" si="29"/>
        <v>16.079999999999998</v>
      </c>
      <c r="M16" s="712">
        <f t="shared" si="12"/>
        <v>3216.0800111987214</v>
      </c>
      <c r="N16" s="712">
        <f>SUMIFS(KB[TBAYAR2],KB[TANGGAL],B16,KB[TYPE],"A",KB[TRANSPORT],"LAUT")</f>
        <v>140145189</v>
      </c>
      <c r="O16" s="712">
        <f>SUMIFS(KB[POTPPH],KB[TANGGAL],B16,KB[TYPE],"A",KB[TRANSPORT],"LAUT")</f>
        <v>700727</v>
      </c>
      <c r="P16" s="712">
        <f>SUMIFS(KB[TPEMBAYARAN],KB[TANGGAL],B16,KB[TYPE],"A",KB[TRANSPORT],"LAUT")</f>
        <v>139444462</v>
      </c>
      <c r="Q16" s="715"/>
      <c r="R16" s="659">
        <f>SUMIFS(KB[BRUTO],KB[TANGGAL],B16,KB[TYPE],"A",KB[TRANSPORT],"DARAT")</f>
        <v>43640</v>
      </c>
      <c r="S16" s="660">
        <f>SUMIFS(KB[TARRA],KB[TANGGAL],B16,KB[TYPE],"A",KB[TRANSPORT],"DARAT")</f>
        <v>28190</v>
      </c>
      <c r="T16" s="660">
        <f>SUMIFS(KB[NETTO],KB[TANGGAL],B16,KB[TYPE],"A",KB[TRANSPORT],"DARAT")</f>
        <v>15450</v>
      </c>
      <c r="U16" s="660">
        <f t="shared" si="18"/>
        <v>5</v>
      </c>
      <c r="V16" s="660">
        <f>SUMIFS(KB[TPOT],KB[TANGGAL],B16,KB[TYPE],"A",KB[TRANSPORT],"DARAT")</f>
        <v>772.5</v>
      </c>
      <c r="W16" s="660">
        <f>SUMIFS(KB[NETTO2],KB[TANGGAL],B16,KB[TYPE],"A",KB[TRANSPORT],"DARAT")</f>
        <v>14677.5</v>
      </c>
      <c r="X16" s="660">
        <f t="shared" si="19"/>
        <v>2900</v>
      </c>
      <c r="Y16" s="660">
        <f>SUMIFS(KB[TBAYAR],KB[TANGGAL],B16,KB[TYPE],"A",KB[TRANSPORT],"DARAT")</f>
        <v>42564750</v>
      </c>
      <c r="Z16" s="660">
        <f t="shared" si="20"/>
        <v>14.57</v>
      </c>
      <c r="AA16" s="660">
        <f t="shared" si="30"/>
        <v>2914.5699880769885</v>
      </c>
      <c r="AB16" s="660">
        <f>SUMIFS(KB[TBAYAR2],KB[TANGGAL],B16,KB[TYPE],"A",KB[TRANSPORT],"DARAT")</f>
        <v>42778601</v>
      </c>
      <c r="AC16" s="660">
        <f>SUMIFS(KB[POTPPH],KB[TANGGAL],B16,KB[TYPE],"A",KB[TRANSPORT],"DARAT")</f>
        <v>213892</v>
      </c>
      <c r="AD16" s="660">
        <f>SUMIFS(KB[TPEMBAYARAN],KB[TANGGAL],B16,KB[TYPE],"A",KB[TRANSPORT],"DARAT")</f>
        <v>42564709</v>
      </c>
      <c r="AE16" s="715"/>
      <c r="AF16" s="659">
        <f>SUMIFS(KB[BRUTO],KB[TANGGAL],B16,KB[TYPE],"B",KB[TRANSPORT],"LAUT")</f>
        <v>0</v>
      </c>
      <c r="AG16" s="712">
        <f>SUMIFS(KB[TARRA],KB[TANGGAL],B16,KB[TYPE],"B",KB[TRANSPORT],"LAUT")</f>
        <v>0</v>
      </c>
      <c r="AH16" s="712">
        <f>SUMIFS(KB[NETTO],KB[TANGGAL],B16,KB[TYPE],"B",KB[TRANSPORT],"LAUT")</f>
        <v>0</v>
      </c>
      <c r="AI16" s="712">
        <f t="shared" si="6"/>
        <v>0</v>
      </c>
      <c r="AJ16" s="712">
        <f>SUMIFS(KB[TPOT],KB[TANGGAL],B16,KB[TYPE],"B",KB[TRANSPORT],"LAUT")</f>
        <v>0</v>
      </c>
      <c r="AK16" s="712">
        <f>SUMIFS(KB[NETTO2],KB[TANGGAL],B16,KB[TYPE],"B",KB[TRANSPORT],"LAUT")</f>
        <v>0</v>
      </c>
      <c r="AL16" s="712">
        <f t="shared" si="21"/>
        <v>0</v>
      </c>
      <c r="AM16" s="712">
        <f>SUMIFS(KB[TBAYAR],KB[TANGGAL],B16,KB[TYPE],"B",KB[TRANSPORT],"LAUT")</f>
        <v>0</v>
      </c>
      <c r="AN16" s="716">
        <f t="shared" si="22"/>
        <v>0</v>
      </c>
      <c r="AO16" s="716">
        <f t="shared" si="13"/>
        <v>0</v>
      </c>
      <c r="AP16" s="712">
        <f>SUMIFS(KB[TBAYAR2],KB[TANGGAL],B16,KB[TYPE],"B",KB[TRANSPORT],"LAUT")</f>
        <v>0</v>
      </c>
      <c r="AQ16" s="712">
        <f>SUMIFS(KB[POTPPH],KB[TANGGAL],B16,KB[TYPE],"B",KB[TRANSPORT],"LAUT")</f>
        <v>0</v>
      </c>
      <c r="AR16" s="712">
        <f>SUMIFS(KB[TPEMBAYARAN],KB[TANGGAL],B16,KB[TYPE],"B",KB[TRANSPORT],"LAUT")</f>
        <v>0</v>
      </c>
      <c r="AS16" s="714"/>
      <c r="AT16" s="659">
        <f>SUMIFS(KB[BRUTO],KB[TANGGAL],B16,KB[TYPE],"B",KB[TRANSPORT],"DARAT")</f>
        <v>0</v>
      </c>
      <c r="AU16" s="660">
        <f>SUMIFS(KB[TARRA],KB[TANGGAL],B16,KB[TYPE],"B",KB[TRANSPORT],"DARAT")</f>
        <v>0</v>
      </c>
      <c r="AV16" s="660">
        <f>SUMIFS(KB[NETTO],KB[TANGGAL],B16,KB[TYPE],"B",KB[TRANSPORT],"DARAT")</f>
        <v>0</v>
      </c>
      <c r="AW16" s="660">
        <f t="shared" si="23"/>
        <v>0</v>
      </c>
      <c r="AX16" s="660">
        <f>SUMIFS(KB[TPOT],KB[TANGGAL],B16,KB[TYPE],"B",KB[TRANSPORT],"DARAT")</f>
        <v>0</v>
      </c>
      <c r="AY16" s="660">
        <f>SUMIFS(KB[NETTO2],KB[TANGGAL],B16,KB[TYPE],"B",KB[TRANSPORT],"DARAT")</f>
        <v>0</v>
      </c>
      <c r="AZ16" s="660">
        <f t="shared" si="24"/>
        <v>0</v>
      </c>
      <c r="BA16" s="660">
        <f>SUMIFS(KB[TBAYAR],KB[TANGGAL],B16,KB[TYPE],"B",KB[TRANSPORT],"DARAT")</f>
        <v>0</v>
      </c>
      <c r="BB16" s="660">
        <f t="shared" si="25"/>
        <v>0</v>
      </c>
      <c r="BC16" s="660">
        <f t="shared" si="14"/>
        <v>0</v>
      </c>
      <c r="BD16" s="660">
        <f>SUMIFS(KB[TBAYAR2],KB[TANGGAL],B16,KB[TYPE],"B",KB[TRANSPORT],"DARAT")</f>
        <v>0</v>
      </c>
      <c r="BE16" s="660">
        <f>SUMIFS(KB[POTPPH],KB[TANGGAL],B16,KB[TYPE],"B",KB[TRANSPORT],"DARAT")</f>
        <v>0</v>
      </c>
      <c r="BF16" s="660">
        <f>SUMIFS(KB[TPEMBAYARAN],KB[TANGGAL],B16,KB[TYPE],"B",KB[TRANSPORT],"DARAT")</f>
        <v>0</v>
      </c>
      <c r="BG16" s="388"/>
      <c r="BH16" s="388"/>
      <c r="BI16" s="388"/>
      <c r="BJ16" s="388"/>
      <c r="BK16" s="388"/>
      <c r="BL16" s="388"/>
      <c r="BM16" s="388"/>
      <c r="BN16" s="388"/>
      <c r="BO16" s="388"/>
      <c r="BP16" s="388"/>
      <c r="BQ16" s="388"/>
      <c r="BR16" s="388"/>
      <c r="BS16" s="388"/>
      <c r="BT16" s="388"/>
      <c r="BU16" s="388"/>
      <c r="BV16" s="388"/>
      <c r="BW16" s="388"/>
      <c r="BX16" s="388"/>
      <c r="BY16" s="388"/>
      <c r="BZ16" s="388"/>
      <c r="CA16" s="388"/>
      <c r="CB16" s="388"/>
      <c r="CC16" s="388"/>
      <c r="CD16" s="388"/>
      <c r="CE16" s="388"/>
      <c r="CF16" s="388"/>
      <c r="CG16" s="388"/>
      <c r="CH16" s="388"/>
      <c r="CI16" s="388"/>
      <c r="CJ16" s="388"/>
      <c r="CK16" s="388"/>
      <c r="CL16" s="388"/>
      <c r="CM16" s="388"/>
    </row>
    <row r="17" spans="2:168" ht="24.95" customHeight="1">
      <c r="B17" s="645">
        <f t="shared" si="26"/>
        <v>43898</v>
      </c>
      <c r="C17" s="696"/>
      <c r="D17" s="659">
        <f>SUMIFS(KB[BRUTO],KB[TANGGAL],B17,KB[TYPE],"A",KB[TRANSPORT],"LAUT")</f>
        <v>0</v>
      </c>
      <c r="E17" s="712">
        <f>SUMIFS(KB[TARRA],KB[TANGGAL],B17,KB[TYPE],"A",KB[TRANSPORT],"LAUT")</f>
        <v>0</v>
      </c>
      <c r="F17" s="660">
        <f>SUMIFS(KB[NETTO],KB[TANGGAL],B17,KB[TYPE],"A",KB[TRANSPORT],"LAUT")</f>
        <v>0</v>
      </c>
      <c r="G17" s="712">
        <f t="shared" si="27"/>
        <v>0</v>
      </c>
      <c r="H17" s="712">
        <f>SUMIFS(KB[TPOT],KB[TANGGAL],B17,KB[TYPE],"A",KB[TRANSPORT],"LAUT")</f>
        <v>0</v>
      </c>
      <c r="I17" s="712">
        <f>SUMIFS(KB[NETTO2],KB[TANGGAL],B17,KB[TYPE],"A",KB[TRANSPORT],"LAUT")</f>
        <v>0</v>
      </c>
      <c r="J17" s="712">
        <f t="shared" si="28"/>
        <v>0</v>
      </c>
      <c r="K17" s="712">
        <f>SUMIFS(KB[TBAYAR],KB[TANGGAL],B17,KB[TYPE],"A",KB[TRANSPORT],"LAUT")</f>
        <v>0</v>
      </c>
      <c r="L17" s="712">
        <f t="shared" si="29"/>
        <v>0</v>
      </c>
      <c r="M17" s="712">
        <f t="shared" si="12"/>
        <v>0</v>
      </c>
      <c r="N17" s="712">
        <f>SUMIFS(KB[TBAYAR2],KB[TANGGAL],B17,KB[TYPE],"A",KB[TRANSPORT],"LAUT")</f>
        <v>0</v>
      </c>
      <c r="O17" s="712">
        <f>SUMIFS(KB[POTPPH],KB[TANGGAL],B17,KB[TYPE],"A",KB[TRANSPORT],"LAUT")</f>
        <v>0</v>
      </c>
      <c r="P17" s="712">
        <f>SUMIFS(KB[TPEMBAYARAN],KB[TANGGAL],B17,KB[TYPE],"A",KB[TRANSPORT],"LAUT")</f>
        <v>0</v>
      </c>
      <c r="Q17" s="715"/>
      <c r="R17" s="659">
        <f>SUMIFS(KB[BRUTO],KB[TANGGAL],B17,KB[TYPE],"A",KB[TRANSPORT],"DARAT")</f>
        <v>0</v>
      </c>
      <c r="S17" s="660">
        <f>SUMIFS(KB[TARRA],KB[TANGGAL],B17,KB[TYPE],"A",KB[TRANSPORT],"DARAT")</f>
        <v>0</v>
      </c>
      <c r="T17" s="660">
        <f>SUMIFS(KB[NETTO],KB[TANGGAL],B17,KB[TYPE],"A",KB[TRANSPORT],"DARAT")</f>
        <v>0</v>
      </c>
      <c r="U17" s="660">
        <f t="shared" si="18"/>
        <v>0</v>
      </c>
      <c r="V17" s="660">
        <f>SUMIFS(KB[TPOT],KB[TANGGAL],B17,KB[TYPE],"A",KB[TRANSPORT],"DARAT")</f>
        <v>0</v>
      </c>
      <c r="W17" s="660">
        <f>SUMIFS(KB[NETTO2],KB[TANGGAL],B17,KB[TYPE],"A",KB[TRANSPORT],"DARAT")</f>
        <v>0</v>
      </c>
      <c r="X17" s="660">
        <f t="shared" si="19"/>
        <v>0</v>
      </c>
      <c r="Y17" s="660">
        <f>SUMIFS(KB[TBAYAR],KB[TANGGAL],B17,KB[TYPE],"A",KB[TRANSPORT],"DARAT")</f>
        <v>0</v>
      </c>
      <c r="Z17" s="660">
        <f t="shared" si="20"/>
        <v>0</v>
      </c>
      <c r="AA17" s="660">
        <f t="shared" si="30"/>
        <v>0</v>
      </c>
      <c r="AB17" s="660">
        <f>SUMIFS(KB[TBAYAR2],KB[TANGGAL],B17,KB[TYPE],"A",KB[TRANSPORT],"DARAT")</f>
        <v>0</v>
      </c>
      <c r="AC17" s="660">
        <f>SUMIFS(KB[POTPPH],KB[TANGGAL],B17,KB[TYPE],"A",KB[TRANSPORT],"DARAT")</f>
        <v>0</v>
      </c>
      <c r="AD17" s="660">
        <f>SUMIFS(KB[TPEMBAYARAN],KB[TANGGAL],B17,KB[TYPE],"A",KB[TRANSPORT],"DARAT")</f>
        <v>0</v>
      </c>
      <c r="AE17" s="715"/>
      <c r="AF17" s="659">
        <f>SUMIFS(KB[BRUTO],KB[TANGGAL],B17,KB[TYPE],"B",KB[TRANSPORT],"LAUT")</f>
        <v>0</v>
      </c>
      <c r="AG17" s="712">
        <f>SUMIFS(KB[TARRA],KB[TANGGAL],B17,KB[TYPE],"B",KB[TRANSPORT],"LAUT")</f>
        <v>0</v>
      </c>
      <c r="AH17" s="712">
        <f>SUMIFS(KB[NETTO],KB[TANGGAL],B17,KB[TYPE],"B",KB[TRANSPORT],"LAUT")</f>
        <v>0</v>
      </c>
      <c r="AI17" s="712">
        <f t="shared" si="6"/>
        <v>0</v>
      </c>
      <c r="AJ17" s="712">
        <f>SUMIFS(KB[TPOT],KB[TANGGAL],B17,KB[TYPE],"B",KB[TRANSPORT],"LAUT")</f>
        <v>0</v>
      </c>
      <c r="AK17" s="712">
        <f>SUMIFS(KB[NETTO2],KB[TANGGAL],B17,KB[TYPE],"B",KB[TRANSPORT],"LAUT")</f>
        <v>0</v>
      </c>
      <c r="AL17" s="712">
        <f t="shared" si="21"/>
        <v>0</v>
      </c>
      <c r="AM17" s="712">
        <f>SUMIFS(KB[TBAYAR],KB[TANGGAL],B17,KB[TYPE],"B",KB[TRANSPORT],"LAUT")</f>
        <v>0</v>
      </c>
      <c r="AN17" s="716">
        <f t="shared" si="22"/>
        <v>0</v>
      </c>
      <c r="AO17" s="716">
        <f t="shared" si="13"/>
        <v>0</v>
      </c>
      <c r="AP17" s="712">
        <f>SUMIFS(KB[TBAYAR2],KB[TANGGAL],B17,KB[TYPE],"B",KB[TRANSPORT],"LAUT")</f>
        <v>0</v>
      </c>
      <c r="AQ17" s="712">
        <f>SUMIFS(KB[POTPPH],KB[TANGGAL],B17,KB[TYPE],"B",KB[TRANSPORT],"LAUT")</f>
        <v>0</v>
      </c>
      <c r="AR17" s="712">
        <f>SUMIFS(KB[TPEMBAYARAN],KB[TANGGAL],B17,KB[TYPE],"B",KB[TRANSPORT],"LAUT")</f>
        <v>0</v>
      </c>
      <c r="AS17" s="714"/>
      <c r="AT17" s="659">
        <f>SUMIFS(KB[BRUTO],KB[TANGGAL],B17,KB[TYPE],"B",KB[TRANSPORT],"DARAT")</f>
        <v>0</v>
      </c>
      <c r="AU17" s="660">
        <f>SUMIFS(KB[TARRA],KB[TANGGAL],B17,KB[TYPE],"B",KB[TRANSPORT],"DARAT")</f>
        <v>0</v>
      </c>
      <c r="AV17" s="660">
        <f>SUMIFS(KB[NETTO],KB[TANGGAL],B17,KB[TYPE],"B",KB[TRANSPORT],"DARAT")</f>
        <v>0</v>
      </c>
      <c r="AW17" s="660">
        <f t="shared" si="23"/>
        <v>0</v>
      </c>
      <c r="AX17" s="660">
        <f>SUMIFS(KB[TPOT],KB[TANGGAL],B17,KB[TYPE],"B",KB[TRANSPORT],"DARAT")</f>
        <v>0</v>
      </c>
      <c r="AY17" s="660">
        <f>SUMIFS(KB[NETTO2],KB[TANGGAL],B17,KB[TYPE],"B",KB[TRANSPORT],"DARAT")</f>
        <v>0</v>
      </c>
      <c r="AZ17" s="660">
        <f t="shared" si="24"/>
        <v>0</v>
      </c>
      <c r="BA17" s="660">
        <f>SUMIFS(KB[TBAYAR],KB[TANGGAL],B17,KB[TYPE],"B",KB[TRANSPORT],"DARAT")</f>
        <v>0</v>
      </c>
      <c r="BB17" s="660">
        <f t="shared" si="25"/>
        <v>0</v>
      </c>
      <c r="BC17" s="660">
        <f t="shared" si="14"/>
        <v>0</v>
      </c>
      <c r="BD17" s="660">
        <f>SUMIFS(KB[TBAYAR2],KB[TANGGAL],B17,KB[TYPE],"B",KB[TRANSPORT],"DARAT")</f>
        <v>0</v>
      </c>
      <c r="BE17" s="660">
        <f>SUMIFS(KB[POTPPH],KB[TANGGAL],B17,KB[TYPE],"B",KB[TRANSPORT],"DARAT")</f>
        <v>0</v>
      </c>
      <c r="BF17" s="660">
        <f>SUMIFS(KB[TPEMBAYARAN],KB[TANGGAL],B17,KB[TYPE],"B",KB[TRANSPORT],"DARAT")</f>
        <v>0</v>
      </c>
      <c r="BG17" s="417"/>
      <c r="BH17" s="417"/>
      <c r="BI17" s="417"/>
      <c r="BJ17" s="417"/>
      <c r="BK17" s="417"/>
      <c r="BL17" s="417"/>
      <c r="BM17" s="417"/>
      <c r="BN17" s="417"/>
      <c r="BO17" s="417"/>
      <c r="BP17" s="417"/>
      <c r="BQ17" s="417"/>
      <c r="BR17" s="417"/>
      <c r="BS17" s="417"/>
      <c r="BT17" s="417"/>
      <c r="BU17" s="417"/>
      <c r="BV17" s="417"/>
      <c r="BW17" s="417"/>
      <c r="BX17" s="417"/>
      <c r="BY17" s="417"/>
      <c r="BZ17" s="417"/>
      <c r="CA17" s="417"/>
      <c r="CB17" s="417"/>
      <c r="CC17" s="417"/>
      <c r="CD17" s="417"/>
      <c r="CE17" s="417"/>
      <c r="CF17" s="417"/>
      <c r="CG17" s="417"/>
      <c r="CH17" s="417"/>
      <c r="CI17" s="417"/>
      <c r="CJ17" s="417"/>
      <c r="CK17" s="417"/>
      <c r="CL17" s="417"/>
      <c r="CM17" s="417"/>
    </row>
    <row r="18" spans="2:168" ht="24.95" customHeight="1">
      <c r="B18" s="645">
        <f t="shared" si="26"/>
        <v>43899</v>
      </c>
      <c r="C18" s="696"/>
      <c r="D18" s="659">
        <f>SUMIFS(KB[BRUTO],KB[TANGGAL],B18,KB[TYPE],"A",KB[TRANSPORT],"LAUT")</f>
        <v>37320</v>
      </c>
      <c r="E18" s="712">
        <f>SUMIFS(KB[TARRA],KB[TANGGAL],B18,KB[TYPE],"A",KB[TRANSPORT],"LAUT")</f>
        <v>19410</v>
      </c>
      <c r="F18" s="660">
        <f>SUMIFS(KB[NETTO],KB[TANGGAL],B18,KB[TYPE],"A",KB[TRANSPORT],"LAUT")</f>
        <v>17910</v>
      </c>
      <c r="G18" s="712">
        <f t="shared" si="27"/>
        <v>6</v>
      </c>
      <c r="H18" s="712">
        <f>SUMIFS(KB[TPOT],KB[TANGGAL],B18,KB[TYPE],"A",KB[TRANSPORT],"LAUT")</f>
        <v>1074.5999999999999</v>
      </c>
      <c r="I18" s="712">
        <f>SUMIFS(KB[NETTO2],KB[TANGGAL],B18,KB[TYPE],"A",KB[TRANSPORT],"LAUT")</f>
        <v>16835.400000000001</v>
      </c>
      <c r="J18" s="712">
        <f t="shared" si="28"/>
        <v>2869.4304857621437</v>
      </c>
      <c r="K18" s="712">
        <f>SUMIFS(KB[TBAYAR],KB[TANGGAL],B18,KB[TYPE],"A",KB[TRANSPORT],"LAUT")</f>
        <v>48308010</v>
      </c>
      <c r="L18" s="712">
        <f t="shared" si="29"/>
        <v>14.42</v>
      </c>
      <c r="M18" s="712">
        <f t="shared" si="12"/>
        <v>2883.8476068284685</v>
      </c>
      <c r="N18" s="712">
        <f>SUMIFS(KB[TBAYAR2],KB[TANGGAL],B18,KB[TYPE],"A",KB[TRANSPORT],"LAUT")</f>
        <v>48550728</v>
      </c>
      <c r="O18" s="712">
        <f>SUMIFS(KB[POTPPH],KB[TANGGAL],B18,KB[TYPE],"A",KB[TRANSPORT],"LAUT")</f>
        <v>242754</v>
      </c>
      <c r="P18" s="712">
        <f>SUMIFS(KB[TPEMBAYARAN],KB[TANGGAL],B18,KB[TYPE],"A",KB[TRANSPORT],"LAUT")</f>
        <v>48307974</v>
      </c>
      <c r="Q18" s="715"/>
      <c r="R18" s="659">
        <f>SUMIFS(KB[BRUTO],KB[TANGGAL],B18,KB[TYPE],"A",KB[TRANSPORT],"DARAT")</f>
        <v>127080</v>
      </c>
      <c r="S18" s="660">
        <f>SUMIFS(KB[TARRA],KB[TANGGAL],B18,KB[TYPE],"A",KB[TRANSPORT],"DARAT")</f>
        <v>52060</v>
      </c>
      <c r="T18" s="660">
        <f>SUMIFS(KB[NETTO],KB[TANGGAL],B18,KB[TYPE],"A",KB[TRANSPORT],"DARAT")</f>
        <v>75020</v>
      </c>
      <c r="U18" s="660">
        <f t="shared" si="18"/>
        <v>5.1526259664089569</v>
      </c>
      <c r="V18" s="660">
        <f>SUMIFS(KB[TPOT],KB[TANGGAL],B18,KB[TYPE],"A",KB[TRANSPORT],"DARAT")</f>
        <v>3865.5</v>
      </c>
      <c r="W18" s="660">
        <f>SUMIFS(KB[NETTO2],KB[TANGGAL],B18,KB[TYPE],"A",KB[TRANSPORT],"DARAT")</f>
        <v>71154.5</v>
      </c>
      <c r="X18" s="660">
        <f t="shared" si="19"/>
        <v>2903.9386124559937</v>
      </c>
      <c r="Y18" s="660">
        <f>SUMIFS(KB[TBAYAR],KB[TANGGAL],B18,KB[TYPE],"A",KB[TRANSPORT],"DARAT")</f>
        <v>206628300</v>
      </c>
      <c r="Z18" s="660">
        <f t="shared" si="20"/>
        <v>14.59</v>
      </c>
      <c r="AA18" s="660">
        <f t="shared" si="30"/>
        <v>2918.5287086551098</v>
      </c>
      <c r="AB18" s="660">
        <f>SUMIFS(KB[TBAYAR2],KB[TANGGAL],B18,KB[TYPE],"A",KB[TRANSPORT],"DARAT")</f>
        <v>207666451</v>
      </c>
      <c r="AC18" s="660">
        <f>SUMIFS(KB[POTPPH],KB[TANGGAL],B18,KB[TYPE],"A",KB[TRANSPORT],"DARAT")</f>
        <v>1038332</v>
      </c>
      <c r="AD18" s="660">
        <f>SUMIFS(KB[TPEMBAYARAN],KB[TANGGAL],B18,KB[TYPE],"A",KB[TRANSPORT],"DARAT")</f>
        <v>206628119</v>
      </c>
      <c r="AE18" s="715"/>
      <c r="AF18" s="659">
        <f>SUMIFS(KB[BRUTO],KB[TANGGAL],B18,KB[TYPE],"B",KB[TRANSPORT],"LAUT")</f>
        <v>0</v>
      </c>
      <c r="AG18" s="712">
        <f>SUMIFS(KB[TARRA],KB[TANGGAL],B18,KB[TYPE],"B",KB[TRANSPORT],"LAUT")</f>
        <v>0</v>
      </c>
      <c r="AH18" s="712">
        <f>SUMIFS(KB[NETTO],KB[TANGGAL],B18,KB[TYPE],"B",KB[TRANSPORT],"LAUT")</f>
        <v>0</v>
      </c>
      <c r="AI18" s="712">
        <f t="shared" si="6"/>
        <v>0</v>
      </c>
      <c r="AJ18" s="712">
        <f>SUMIFS(KB[TPOT],KB[TANGGAL],B18,KB[TYPE],"B",KB[TRANSPORT],"LAUT")</f>
        <v>0</v>
      </c>
      <c r="AK18" s="712">
        <f>SUMIFS(KB[NETTO2],KB[TANGGAL],B18,KB[TYPE],"B",KB[TRANSPORT],"LAUT")</f>
        <v>0</v>
      </c>
      <c r="AL18" s="712">
        <f t="shared" si="21"/>
        <v>0</v>
      </c>
      <c r="AM18" s="712">
        <f>SUMIFS(KB[TBAYAR],KB[TANGGAL],B18,KB[TYPE],"B",KB[TRANSPORT],"LAUT")</f>
        <v>0</v>
      </c>
      <c r="AN18" s="716">
        <f t="shared" si="22"/>
        <v>0</v>
      </c>
      <c r="AO18" s="716">
        <f t="shared" si="13"/>
        <v>0</v>
      </c>
      <c r="AP18" s="712">
        <f>SUMIFS(KB[TBAYAR2],KB[TANGGAL],B18,KB[TYPE],"B",KB[TRANSPORT],"LAUT")</f>
        <v>0</v>
      </c>
      <c r="AQ18" s="712">
        <f>SUMIFS(KB[POTPPH],KB[TANGGAL],B18,KB[TYPE],"B",KB[TRANSPORT],"LAUT")</f>
        <v>0</v>
      </c>
      <c r="AR18" s="712">
        <f>SUMIFS(KB[TPEMBAYARAN],KB[TANGGAL],B18,KB[TYPE],"B",KB[TRANSPORT],"LAUT")</f>
        <v>0</v>
      </c>
      <c r="AS18" s="714"/>
      <c r="AT18" s="659">
        <f>SUMIFS(KB[BRUTO],KB[TANGGAL],B18,KB[TYPE],"B",KB[TRANSPORT],"DARAT")</f>
        <v>0</v>
      </c>
      <c r="AU18" s="660">
        <f>SUMIFS(KB[TARRA],KB[TANGGAL],B18,KB[TYPE],"B",KB[TRANSPORT],"DARAT")</f>
        <v>0</v>
      </c>
      <c r="AV18" s="660">
        <f>SUMIFS(KB[NETTO],KB[TANGGAL],B18,KB[TYPE],"B",KB[TRANSPORT],"DARAT")</f>
        <v>0</v>
      </c>
      <c r="AW18" s="660">
        <f t="shared" si="23"/>
        <v>0</v>
      </c>
      <c r="AX18" s="660">
        <f>SUMIFS(KB[TPOT],KB[TANGGAL],B18,KB[TYPE],"B",KB[TRANSPORT],"DARAT")</f>
        <v>0</v>
      </c>
      <c r="AY18" s="660">
        <f>SUMIFS(KB[NETTO2],KB[TANGGAL],B18,KB[TYPE],"B",KB[TRANSPORT],"DARAT")</f>
        <v>0</v>
      </c>
      <c r="AZ18" s="660">
        <f t="shared" si="24"/>
        <v>0</v>
      </c>
      <c r="BA18" s="660">
        <f>SUMIFS(KB[TBAYAR],KB[TANGGAL],B18,KB[TYPE],"B",KB[TRANSPORT],"DARAT")</f>
        <v>0</v>
      </c>
      <c r="BB18" s="660">
        <f t="shared" si="25"/>
        <v>0</v>
      </c>
      <c r="BC18" s="660">
        <f t="shared" si="14"/>
        <v>0</v>
      </c>
      <c r="BD18" s="660">
        <f>SUMIFS(KB[TBAYAR2],KB[TANGGAL],B18,KB[TYPE],"B",KB[TRANSPORT],"DARAT")</f>
        <v>0</v>
      </c>
      <c r="BE18" s="660">
        <f>SUMIFS(KB[POTPPH],KB[TANGGAL],B18,KB[TYPE],"B",KB[TRANSPORT],"DARAT")</f>
        <v>0</v>
      </c>
      <c r="BF18" s="660">
        <f>SUMIFS(KB[TPEMBAYARAN],KB[TANGGAL],B18,KB[TYPE],"B",KB[TRANSPORT],"DARAT")</f>
        <v>0</v>
      </c>
      <c r="BG18" s="388"/>
      <c r="BH18" s="388"/>
      <c r="BI18" s="388"/>
      <c r="BJ18" s="388"/>
      <c r="BK18" s="388"/>
      <c r="BL18" s="388"/>
      <c r="BM18" s="388"/>
      <c r="BN18" s="388"/>
      <c r="BO18" s="388"/>
      <c r="BP18" s="388"/>
      <c r="BQ18" s="388"/>
      <c r="BR18" s="388"/>
      <c r="BS18" s="388"/>
      <c r="BT18" s="388"/>
      <c r="BU18" s="388"/>
      <c r="BV18" s="388"/>
      <c r="BW18" s="388"/>
      <c r="BX18" s="388"/>
      <c r="BY18" s="388"/>
      <c r="BZ18" s="388"/>
      <c r="CA18" s="388"/>
      <c r="CB18" s="388"/>
      <c r="CC18" s="388"/>
      <c r="CD18" s="388"/>
      <c r="CE18" s="388"/>
      <c r="CF18" s="388"/>
      <c r="CG18" s="388"/>
      <c r="CH18" s="388"/>
      <c r="CI18" s="388"/>
      <c r="CJ18" s="388"/>
      <c r="CK18" s="388"/>
      <c r="CL18" s="388"/>
      <c r="CM18" s="388"/>
    </row>
    <row r="19" spans="2:168" ht="24.95" customHeight="1">
      <c r="B19" s="645">
        <f t="shared" si="26"/>
        <v>43900</v>
      </c>
      <c r="C19" s="696"/>
      <c r="D19" s="659">
        <f>SUMIFS(KB[BRUTO],KB[TANGGAL],B19,KB[TYPE],"A",KB[TRANSPORT],"LAUT")</f>
        <v>122150</v>
      </c>
      <c r="E19" s="712">
        <f>SUMIFS(KB[TARRA],KB[TANGGAL],B19,KB[TYPE],"A",KB[TRANSPORT],"LAUT")</f>
        <v>58180</v>
      </c>
      <c r="F19" s="660">
        <f>SUMIFS(KB[NETTO],KB[TANGGAL],B19,KB[TYPE],"A",KB[TRANSPORT],"LAUT")</f>
        <v>63970</v>
      </c>
      <c r="G19" s="712">
        <f t="shared" si="27"/>
        <v>6.1916523370329841</v>
      </c>
      <c r="H19" s="712">
        <f>SUMIFS(KB[TPOT],KB[TANGGAL],B19,KB[TYPE],"A",KB[TRANSPORT],"LAUT")</f>
        <v>3960.8</v>
      </c>
      <c r="I19" s="712">
        <f>SUMIFS(KB[NETTO2],KB[TANGGAL],B19,KB[TYPE],"A",KB[TRANSPORT],"LAUT")</f>
        <v>60009.2</v>
      </c>
      <c r="J19" s="712">
        <f t="shared" si="28"/>
        <v>2989.6046772828167</v>
      </c>
      <c r="K19" s="712">
        <f>SUMIFS(KB[TBAYAR],KB[TANGGAL],B19,KB[TYPE],"A",KB[TRANSPORT],"LAUT")</f>
        <v>179403785</v>
      </c>
      <c r="L19" s="712">
        <f t="shared" si="29"/>
        <v>15.02</v>
      </c>
      <c r="M19" s="712">
        <f t="shared" si="12"/>
        <v>3004.6306066403154</v>
      </c>
      <c r="N19" s="712">
        <f>SUMIFS(KB[TBAYAR2],KB[TANGGAL],B19,KB[TYPE],"A",KB[TRANSPORT],"LAUT")</f>
        <v>180305479</v>
      </c>
      <c r="O19" s="712">
        <f>SUMIFS(KB[POTPPH],KB[TANGGAL],B19,KB[TYPE],"A",KB[TRANSPORT],"LAUT")</f>
        <v>901527</v>
      </c>
      <c r="P19" s="712">
        <f>SUMIFS(KB[TPEMBAYARAN],KB[TANGGAL],B19,KB[TYPE],"A",KB[TRANSPORT],"LAUT")</f>
        <v>179403952</v>
      </c>
      <c r="Q19" s="715"/>
      <c r="R19" s="659">
        <f>SUMIFS(KB[BRUTO],KB[TANGGAL],B19,KB[TYPE],"A",KB[TRANSPORT],"DARAT")</f>
        <v>107570</v>
      </c>
      <c r="S19" s="660">
        <f>SUMIFS(KB[TARRA],KB[TANGGAL],B19,KB[TYPE],"A",KB[TRANSPORT],"DARAT")</f>
        <v>39650</v>
      </c>
      <c r="T19" s="660">
        <f>SUMIFS(KB[NETTO],KB[TANGGAL],B19,KB[TYPE],"A",KB[TRANSPORT],"DARAT")</f>
        <v>67920</v>
      </c>
      <c r="U19" s="660">
        <f t="shared" si="18"/>
        <v>5.107037691401648</v>
      </c>
      <c r="V19" s="660">
        <f>SUMIFS(KB[TPOT],KB[TANGGAL],B19,KB[TYPE],"A",KB[TRANSPORT],"DARAT")</f>
        <v>3468.7</v>
      </c>
      <c r="W19" s="660">
        <f>SUMIFS(KB[NETTO2],KB[TANGGAL],B19,KB[TYPE],"A",KB[TRANSPORT],"DARAT")</f>
        <v>64451.3</v>
      </c>
      <c r="X19" s="660">
        <f t="shared" si="19"/>
        <v>2905.9991031988493</v>
      </c>
      <c r="Y19" s="660">
        <f>SUMIFS(KB[TBAYAR],KB[TANGGAL],B19,KB[TYPE],"A",KB[TRANSPORT],"DARAT")</f>
        <v>187295420</v>
      </c>
      <c r="Z19" s="660">
        <f t="shared" si="20"/>
        <v>14.6</v>
      </c>
      <c r="AA19" s="660">
        <f t="shared" si="30"/>
        <v>2920.599693101613</v>
      </c>
      <c r="AB19" s="660">
        <f>SUMIFS(KB[TBAYAR2],KB[TANGGAL],B19,KB[TYPE],"A",KB[TRANSPORT],"DARAT")</f>
        <v>188236447</v>
      </c>
      <c r="AC19" s="660">
        <f>SUMIFS(KB[POTPPH],KB[TANGGAL],B19,KB[TYPE],"A",KB[TRANSPORT],"DARAT")</f>
        <v>941182</v>
      </c>
      <c r="AD19" s="660">
        <f>SUMIFS(KB[TPEMBAYARAN],KB[TANGGAL],B19,KB[TYPE],"A",KB[TRANSPORT],"DARAT")</f>
        <v>187295265</v>
      </c>
      <c r="AE19" s="715"/>
      <c r="AF19" s="659">
        <f>SUMIFS(KB[BRUTO],KB[TANGGAL],B19,KB[TYPE],"B",KB[TRANSPORT],"LAUT")</f>
        <v>0</v>
      </c>
      <c r="AG19" s="712">
        <f>SUMIFS(KB[TARRA],KB[TANGGAL],B19,KB[TYPE],"B",KB[TRANSPORT],"LAUT")</f>
        <v>0</v>
      </c>
      <c r="AH19" s="712">
        <f>SUMIFS(KB[NETTO],KB[TANGGAL],B19,KB[TYPE],"B",KB[TRANSPORT],"LAUT")</f>
        <v>0</v>
      </c>
      <c r="AI19" s="712">
        <f t="shared" si="6"/>
        <v>0</v>
      </c>
      <c r="AJ19" s="712">
        <f>SUMIFS(KB[TPOT],KB[TANGGAL],B19,KB[TYPE],"B",KB[TRANSPORT],"LAUT")</f>
        <v>0</v>
      </c>
      <c r="AK19" s="712">
        <f>SUMIFS(KB[NETTO2],KB[TANGGAL],B19,KB[TYPE],"B",KB[TRANSPORT],"LAUT")</f>
        <v>0</v>
      </c>
      <c r="AL19" s="712">
        <f t="shared" si="21"/>
        <v>0</v>
      </c>
      <c r="AM19" s="712">
        <f>SUMIFS(KB[TBAYAR],KB[TANGGAL],B19,KB[TYPE],"B",KB[TRANSPORT],"LAUT")</f>
        <v>0</v>
      </c>
      <c r="AN19" s="716">
        <f t="shared" si="22"/>
        <v>0</v>
      </c>
      <c r="AO19" s="716">
        <f t="shared" si="13"/>
        <v>0</v>
      </c>
      <c r="AP19" s="712">
        <f>SUMIFS(KB[TBAYAR2],KB[TANGGAL],B19,KB[TYPE],"B",KB[TRANSPORT],"LAUT")</f>
        <v>0</v>
      </c>
      <c r="AQ19" s="712">
        <f>SUMIFS(KB[POTPPH],KB[TANGGAL],B19,KB[TYPE],"B",KB[TRANSPORT],"LAUT")</f>
        <v>0</v>
      </c>
      <c r="AR19" s="712">
        <f>SUMIFS(KB[TPEMBAYARAN],KB[TANGGAL],B19,KB[TYPE],"B",KB[TRANSPORT],"LAUT")</f>
        <v>0</v>
      </c>
      <c r="AS19" s="714"/>
      <c r="AT19" s="659">
        <f>SUMIFS(KB[BRUTO],KB[TANGGAL],B19,KB[TYPE],"B",KB[TRANSPORT],"DARAT")</f>
        <v>0</v>
      </c>
      <c r="AU19" s="660">
        <f>SUMIFS(KB[TARRA],KB[TANGGAL],B19,KB[TYPE],"B",KB[TRANSPORT],"DARAT")</f>
        <v>0</v>
      </c>
      <c r="AV19" s="660">
        <f>SUMIFS(KB[NETTO],KB[TANGGAL],B19,KB[TYPE],"B",KB[TRANSPORT],"DARAT")</f>
        <v>0</v>
      </c>
      <c r="AW19" s="660">
        <f t="shared" si="23"/>
        <v>0</v>
      </c>
      <c r="AX19" s="660">
        <f>SUMIFS(KB[TPOT],KB[TANGGAL],B19,KB[TYPE],"B",KB[TRANSPORT],"DARAT")</f>
        <v>0</v>
      </c>
      <c r="AY19" s="660">
        <f>SUMIFS(KB[NETTO2],KB[TANGGAL],B19,KB[TYPE],"B",KB[TRANSPORT],"DARAT")</f>
        <v>0</v>
      </c>
      <c r="AZ19" s="660">
        <f t="shared" si="24"/>
        <v>0</v>
      </c>
      <c r="BA19" s="660">
        <f>SUMIFS(KB[TBAYAR],KB[TANGGAL],B19,KB[TYPE],"B",KB[TRANSPORT],"DARAT")</f>
        <v>0</v>
      </c>
      <c r="BB19" s="660">
        <f t="shared" si="25"/>
        <v>0</v>
      </c>
      <c r="BC19" s="660">
        <f t="shared" si="14"/>
        <v>0</v>
      </c>
      <c r="BD19" s="660">
        <f>SUMIFS(KB[TBAYAR2],KB[TANGGAL],B19,KB[TYPE],"B",KB[TRANSPORT],"DARAT")</f>
        <v>0</v>
      </c>
      <c r="BE19" s="660">
        <f>SUMIFS(KB[POTPPH],KB[TANGGAL],B19,KB[TYPE],"B",KB[TRANSPORT],"DARAT")</f>
        <v>0</v>
      </c>
      <c r="BF19" s="660">
        <f>SUMIFS(KB[TPEMBAYARAN],KB[TANGGAL],B19,KB[TYPE],"B",KB[TRANSPORT],"DARAT")</f>
        <v>0</v>
      </c>
      <c r="BG19" s="417"/>
      <c r="BH19" s="417"/>
      <c r="BI19" s="417"/>
      <c r="BJ19" s="417"/>
      <c r="BK19" s="417"/>
      <c r="BL19" s="417"/>
      <c r="BM19" s="417"/>
      <c r="BN19" s="417"/>
      <c r="BO19" s="417"/>
      <c r="BP19" s="417"/>
      <c r="BQ19" s="417"/>
      <c r="BR19" s="417"/>
      <c r="BS19" s="417"/>
      <c r="BT19" s="417"/>
      <c r="BU19" s="417"/>
      <c r="BV19" s="417"/>
      <c r="BW19" s="417"/>
      <c r="BX19" s="417"/>
      <c r="BY19" s="417"/>
      <c r="BZ19" s="417"/>
      <c r="CA19" s="417"/>
      <c r="CB19" s="417"/>
      <c r="CC19" s="417"/>
      <c r="CD19" s="417"/>
      <c r="CE19" s="417"/>
      <c r="CF19" s="417"/>
      <c r="CG19" s="417"/>
      <c r="CH19" s="417"/>
      <c r="CI19" s="417"/>
      <c r="CJ19" s="417"/>
      <c r="CK19" s="417"/>
      <c r="CL19" s="417"/>
      <c r="CM19" s="417"/>
    </row>
    <row r="20" spans="2:168" ht="24.95" customHeight="1">
      <c r="B20" s="645">
        <f t="shared" si="26"/>
        <v>43901</v>
      </c>
      <c r="C20" s="696"/>
      <c r="D20" s="659">
        <f>SUMIFS(KB[BRUTO],KB[TANGGAL],B20,KB[TYPE],"A",KB[TRANSPORT],"LAUT")</f>
        <v>48740</v>
      </c>
      <c r="E20" s="712">
        <f>SUMIFS(KB[TARRA],KB[TANGGAL],B20,KB[TYPE],"A",KB[TRANSPORT],"LAUT")</f>
        <v>27130</v>
      </c>
      <c r="F20" s="660">
        <f>SUMIFS(KB[NETTO],KB[TANGGAL],B20,KB[TYPE],"A",KB[TRANSPORT],"LAUT")</f>
        <v>21610</v>
      </c>
      <c r="G20" s="712">
        <f t="shared" si="27"/>
        <v>6</v>
      </c>
      <c r="H20" s="712">
        <f>SUMIFS(KB[TPOT],KB[TANGGAL],B20,KB[TYPE],"A",KB[TRANSPORT],"LAUT")</f>
        <v>1296.5999999999999</v>
      </c>
      <c r="I20" s="712">
        <f>SUMIFS(KB[NETTO2],KB[TANGGAL],B20,KB[TYPE],"A",KB[TRANSPORT],"LAUT")</f>
        <v>20313.399999999998</v>
      </c>
      <c r="J20" s="712">
        <f t="shared" si="28"/>
        <v>2950.0000000000005</v>
      </c>
      <c r="K20" s="712">
        <f>SUMIFS(KB[TBAYAR],KB[TANGGAL],B20,KB[TYPE],"A",KB[TRANSPORT],"LAUT")</f>
        <v>59924530</v>
      </c>
      <c r="L20" s="712">
        <f t="shared" si="29"/>
        <v>14.82</v>
      </c>
      <c r="M20" s="712">
        <f t="shared" si="12"/>
        <v>2964.8200202821786</v>
      </c>
      <c r="N20" s="712">
        <f>SUMIFS(KB[TBAYAR2],KB[TANGGAL],B20,KB[TYPE],"A",KB[TRANSPORT],"LAUT")</f>
        <v>60225575</v>
      </c>
      <c r="O20" s="712">
        <f>SUMIFS(KB[POTPPH],KB[TANGGAL],B20,KB[TYPE],"A",KB[TRANSPORT],"LAUT")</f>
        <v>301128</v>
      </c>
      <c r="P20" s="712">
        <f>SUMIFS(KB[TPEMBAYARAN],KB[TANGGAL],B20,KB[TYPE],"A",KB[TRANSPORT],"LAUT")</f>
        <v>59924447</v>
      </c>
      <c r="Q20" s="715"/>
      <c r="R20" s="659">
        <f>SUMIFS(KB[BRUTO],KB[TANGGAL],B20,KB[TYPE],"A",KB[TRANSPORT],"DARAT")</f>
        <v>60200</v>
      </c>
      <c r="S20" s="660">
        <f>SUMIFS(KB[TARRA],KB[TANGGAL],B20,KB[TYPE],"A",KB[TRANSPORT],"DARAT")</f>
        <v>23770</v>
      </c>
      <c r="T20" s="660">
        <f>SUMIFS(KB[NETTO],KB[TANGGAL],B20,KB[TYPE],"A",KB[TRANSPORT],"DARAT")</f>
        <v>36430</v>
      </c>
      <c r="U20" s="660">
        <f t="shared" si="18"/>
        <v>5</v>
      </c>
      <c r="V20" s="660">
        <f>SUMIFS(KB[TPOT],KB[TANGGAL],B20,KB[TYPE],"A",KB[TRANSPORT],"DARAT")</f>
        <v>1821.5</v>
      </c>
      <c r="W20" s="660">
        <f>SUMIFS(KB[NETTO2],KB[TANGGAL],B20,KB[TYPE],"A",KB[TRANSPORT],"DARAT")</f>
        <v>34608.5</v>
      </c>
      <c r="X20" s="660">
        <f t="shared" si="19"/>
        <v>2915.4542959099645</v>
      </c>
      <c r="Y20" s="660">
        <f>SUMIFS(KB[TBAYAR],KB[TANGGAL],B20,KB[TYPE],"A",KB[TRANSPORT],"DARAT")</f>
        <v>100899500</v>
      </c>
      <c r="Z20" s="660">
        <f t="shared" si="20"/>
        <v>14.65</v>
      </c>
      <c r="AA20" s="660">
        <f t="shared" si="30"/>
        <v>2930.1031249548523</v>
      </c>
      <c r="AB20" s="660">
        <f>SUMIFS(KB[TBAYAR2],KB[TANGGAL],B20,KB[TYPE],"A",KB[TRANSPORT],"DARAT")</f>
        <v>101406474</v>
      </c>
      <c r="AC20" s="660">
        <f>SUMIFS(KB[POTPPH],KB[TANGGAL],B20,KB[TYPE],"A",KB[TRANSPORT],"DARAT")</f>
        <v>507033</v>
      </c>
      <c r="AD20" s="660">
        <f>SUMIFS(KB[TPEMBAYARAN],KB[TANGGAL],B20,KB[TYPE],"A",KB[TRANSPORT],"DARAT")</f>
        <v>100899441</v>
      </c>
      <c r="AE20" s="715"/>
      <c r="AF20" s="659">
        <f>SUMIFS(KB[BRUTO],KB[TANGGAL],B20,KB[TYPE],"B",KB[TRANSPORT],"LAUT")</f>
        <v>0</v>
      </c>
      <c r="AG20" s="712">
        <f>SUMIFS(KB[TARRA],KB[TANGGAL],B20,KB[TYPE],"B",KB[TRANSPORT],"LAUT")</f>
        <v>0</v>
      </c>
      <c r="AH20" s="712">
        <f>SUMIFS(KB[NETTO],KB[TANGGAL],B20,KB[TYPE],"B",KB[TRANSPORT],"LAUT")</f>
        <v>0</v>
      </c>
      <c r="AI20" s="712">
        <f t="shared" si="6"/>
        <v>0</v>
      </c>
      <c r="AJ20" s="712">
        <f>SUMIFS(KB[TPOT],KB[TANGGAL],B20,KB[TYPE],"B",KB[TRANSPORT],"LAUT")</f>
        <v>0</v>
      </c>
      <c r="AK20" s="712">
        <f>SUMIFS(KB[NETTO2],KB[TANGGAL],B20,KB[TYPE],"B",KB[TRANSPORT],"LAUT")</f>
        <v>0</v>
      </c>
      <c r="AL20" s="712">
        <f t="shared" si="21"/>
        <v>0</v>
      </c>
      <c r="AM20" s="712">
        <f>SUMIFS(KB[TBAYAR],KB[TANGGAL],B20,KB[TYPE],"B",KB[TRANSPORT],"LAUT")</f>
        <v>0</v>
      </c>
      <c r="AN20" s="716">
        <f t="shared" si="22"/>
        <v>0</v>
      </c>
      <c r="AO20" s="716">
        <f t="shared" si="13"/>
        <v>0</v>
      </c>
      <c r="AP20" s="712">
        <f>SUMIFS(KB[TBAYAR2],KB[TANGGAL],B20,KB[TYPE],"B",KB[TRANSPORT],"LAUT")</f>
        <v>0</v>
      </c>
      <c r="AQ20" s="712">
        <f>SUMIFS(KB[POTPPH],KB[TANGGAL],B20,KB[TYPE],"B",KB[TRANSPORT],"LAUT")</f>
        <v>0</v>
      </c>
      <c r="AR20" s="712">
        <f>SUMIFS(KB[TPEMBAYARAN],KB[TANGGAL],B20,KB[TYPE],"B",KB[TRANSPORT],"LAUT")</f>
        <v>0</v>
      </c>
      <c r="AS20" s="714"/>
      <c r="AT20" s="659">
        <f>SUMIFS(KB[BRUTO],KB[TANGGAL],B20,KB[TYPE],"B",KB[TRANSPORT],"DARAT")</f>
        <v>0</v>
      </c>
      <c r="AU20" s="660">
        <f>SUMIFS(KB[TARRA],KB[TANGGAL],B20,KB[TYPE],"B",KB[TRANSPORT],"DARAT")</f>
        <v>0</v>
      </c>
      <c r="AV20" s="660">
        <f>SUMIFS(KB[NETTO],KB[TANGGAL],B20,KB[TYPE],"B",KB[TRANSPORT],"DARAT")</f>
        <v>0</v>
      </c>
      <c r="AW20" s="660">
        <f t="shared" si="23"/>
        <v>0</v>
      </c>
      <c r="AX20" s="660">
        <f>SUMIFS(KB[TPOT],KB[TANGGAL],B20,KB[TYPE],"B",KB[TRANSPORT],"DARAT")</f>
        <v>0</v>
      </c>
      <c r="AY20" s="660">
        <f>SUMIFS(KB[NETTO2],KB[TANGGAL],B20,KB[TYPE],"B",KB[TRANSPORT],"DARAT")</f>
        <v>0</v>
      </c>
      <c r="AZ20" s="660">
        <f t="shared" si="24"/>
        <v>0</v>
      </c>
      <c r="BA20" s="660">
        <f>SUMIFS(KB[TBAYAR],KB[TANGGAL],B20,KB[TYPE],"B",KB[TRANSPORT],"DARAT")</f>
        <v>0</v>
      </c>
      <c r="BB20" s="660">
        <f t="shared" si="25"/>
        <v>0</v>
      </c>
      <c r="BC20" s="660">
        <f t="shared" si="14"/>
        <v>0</v>
      </c>
      <c r="BD20" s="660">
        <f>SUMIFS(KB[TBAYAR2],KB[TANGGAL],B20,KB[TYPE],"B",KB[TRANSPORT],"DARAT")</f>
        <v>0</v>
      </c>
      <c r="BE20" s="660">
        <f>SUMIFS(KB[POTPPH],KB[TANGGAL],B20,KB[TYPE],"B",KB[TRANSPORT],"DARAT")</f>
        <v>0</v>
      </c>
      <c r="BF20" s="660">
        <f>SUMIFS(KB[TPEMBAYARAN],KB[TANGGAL],B20,KB[TYPE],"B",KB[TRANSPORT],"DARAT")</f>
        <v>0</v>
      </c>
      <c r="BG20" s="388"/>
      <c r="BH20" s="388"/>
      <c r="BI20" s="388"/>
      <c r="BJ20" s="388"/>
      <c r="BK20" s="388"/>
      <c r="BL20" s="388"/>
      <c r="BM20" s="388"/>
      <c r="BN20" s="388"/>
      <c r="BO20" s="388"/>
      <c r="BP20" s="388"/>
      <c r="BQ20" s="388"/>
      <c r="BR20" s="388"/>
      <c r="BS20" s="388"/>
      <c r="BT20" s="388"/>
      <c r="BU20" s="388"/>
      <c r="BV20" s="388"/>
      <c r="BW20" s="388"/>
      <c r="BX20" s="388"/>
      <c r="BY20" s="388"/>
      <c r="BZ20" s="388"/>
      <c r="CA20" s="388"/>
      <c r="CB20" s="388"/>
      <c r="CC20" s="388"/>
      <c r="CD20" s="388"/>
      <c r="CE20" s="388"/>
      <c r="CF20" s="388"/>
      <c r="CG20" s="388"/>
      <c r="CH20" s="388"/>
      <c r="CI20" s="388"/>
      <c r="CJ20" s="388"/>
      <c r="CK20" s="388"/>
      <c r="CL20" s="388"/>
      <c r="CM20" s="388"/>
    </row>
    <row r="21" spans="2:168" s="418" customFormat="1" ht="24.95" customHeight="1">
      <c r="B21" s="645">
        <f t="shared" si="26"/>
        <v>43902</v>
      </c>
      <c r="C21" s="696"/>
      <c r="D21" s="659">
        <f>SUMIFS(KB[BRUTO],KB[TANGGAL],B21,KB[TYPE],"A",KB[TRANSPORT],"LAUT")</f>
        <v>48560</v>
      </c>
      <c r="E21" s="712">
        <f>SUMIFS(KB[TARRA],KB[TANGGAL],B21,KB[TYPE],"A",KB[TRANSPORT],"LAUT")</f>
        <v>23340</v>
      </c>
      <c r="F21" s="660">
        <f>SUMIFS(KB[NETTO],KB[TANGGAL],B21,KB[TYPE],"A",KB[TRANSPORT],"LAUT")</f>
        <v>25220</v>
      </c>
      <c r="G21" s="712">
        <f t="shared" si="27"/>
        <v>5.9999999999999991</v>
      </c>
      <c r="H21" s="712">
        <f>SUMIFS(KB[TPOT],KB[TANGGAL],B21,KB[TYPE],"A",KB[TRANSPORT],"LAUT")</f>
        <v>1513.1999999999998</v>
      </c>
      <c r="I21" s="712">
        <f>SUMIFS(KB[NETTO2],KB[TANGGAL],B21,KB[TYPE],"A",KB[TRANSPORT],"LAUT")</f>
        <v>23706.800000000003</v>
      </c>
      <c r="J21" s="712">
        <f t="shared" si="28"/>
        <v>2984.8334655035683</v>
      </c>
      <c r="K21" s="712">
        <f>SUMIFS(KB[TBAYAR],KB[TANGGAL],B21,KB[TYPE],"A",KB[TRANSPORT],"LAUT")</f>
        <v>70760850</v>
      </c>
      <c r="L21" s="712">
        <f t="shared" si="29"/>
        <v>15</v>
      </c>
      <c r="M21" s="712">
        <f t="shared" si="12"/>
        <v>2999.8346044172977</v>
      </c>
      <c r="N21" s="712">
        <f>SUMIFS(KB[TBAYAR2],KB[TANGGAL],B21,KB[TYPE],"A",KB[TRANSPORT],"LAUT")</f>
        <v>71116479</v>
      </c>
      <c r="O21" s="712">
        <f>SUMIFS(KB[POTPPH],KB[TANGGAL],B21,KB[TYPE],"A",KB[TRANSPORT],"LAUT")</f>
        <v>355582</v>
      </c>
      <c r="P21" s="712">
        <f>SUMIFS(KB[TPEMBAYARAN],KB[TANGGAL],B21,KB[TYPE],"A",KB[TRANSPORT],"LAUT")</f>
        <v>70760897</v>
      </c>
      <c r="Q21" s="715"/>
      <c r="R21" s="659">
        <f>SUMIFS(KB[BRUTO],KB[TANGGAL],B21,KB[TYPE],"A",KB[TRANSPORT],"DARAT")</f>
        <v>82650</v>
      </c>
      <c r="S21" s="660">
        <f>SUMIFS(KB[TARRA],KB[TANGGAL],B21,KB[TYPE],"A",KB[TRANSPORT],"DARAT")</f>
        <v>31240</v>
      </c>
      <c r="T21" s="660">
        <f>SUMIFS(KB[NETTO],KB[TANGGAL],B21,KB[TYPE],"A",KB[TRANSPORT],"DARAT")</f>
        <v>51410</v>
      </c>
      <c r="U21" s="660">
        <f t="shared" si="18"/>
        <v>5</v>
      </c>
      <c r="V21" s="660">
        <f>SUMIFS(KB[TPOT],KB[TANGGAL],B21,KB[TYPE],"A",KB[TRANSPORT],"DARAT")</f>
        <v>2570.5</v>
      </c>
      <c r="W21" s="660">
        <f>SUMIFS(KB[NETTO2],KB[TANGGAL],B21,KB[TYPE],"A",KB[TRANSPORT],"DARAT")</f>
        <v>48839.5</v>
      </c>
      <c r="X21" s="660">
        <f t="shared" si="19"/>
        <v>2911.8653958373857</v>
      </c>
      <c r="Y21" s="660">
        <f>SUMIFS(KB[TBAYAR],KB[TANGGAL],B21,KB[TYPE],"A",KB[TRANSPORT],"DARAT")</f>
        <v>142214050</v>
      </c>
      <c r="Z21" s="660">
        <f t="shared" si="20"/>
        <v>14.63</v>
      </c>
      <c r="AA21" s="660">
        <f t="shared" si="30"/>
        <v>2926.4959510232497</v>
      </c>
      <c r="AB21" s="660">
        <f>SUMIFS(KB[TBAYAR2],KB[TANGGAL],B21,KB[TYPE],"A",KB[TRANSPORT],"DARAT")</f>
        <v>142928599</v>
      </c>
      <c r="AC21" s="660">
        <f>SUMIFS(KB[POTPPH],KB[TANGGAL],B21,KB[TYPE],"A",KB[TRANSPORT],"DARAT")</f>
        <v>714643</v>
      </c>
      <c r="AD21" s="660">
        <f>SUMIFS(KB[TPEMBAYARAN],KB[TANGGAL],B21,KB[TYPE],"A",KB[TRANSPORT],"DARAT")</f>
        <v>142213956</v>
      </c>
      <c r="AE21" s="715"/>
      <c r="AF21" s="659">
        <f>SUMIFS(KB[BRUTO],KB[TANGGAL],B21,KB[TYPE],"B",KB[TRANSPORT],"LAUT")</f>
        <v>0</v>
      </c>
      <c r="AG21" s="712">
        <f>SUMIFS(KB[TARRA],KB[TANGGAL],B21,KB[TYPE],"B",KB[TRANSPORT],"LAUT")</f>
        <v>0</v>
      </c>
      <c r="AH21" s="712">
        <f>SUMIFS(KB[NETTO],KB[TANGGAL],B21,KB[TYPE],"B",KB[TRANSPORT],"LAUT")</f>
        <v>0</v>
      </c>
      <c r="AI21" s="712">
        <f t="shared" si="6"/>
        <v>0</v>
      </c>
      <c r="AJ21" s="712">
        <f>SUMIFS(KB[TPOT],KB[TANGGAL],B21,KB[TYPE],"B",KB[TRANSPORT],"LAUT")</f>
        <v>0</v>
      </c>
      <c r="AK21" s="712">
        <f>SUMIFS(KB[NETTO2],KB[TANGGAL],B21,KB[TYPE],"B",KB[TRANSPORT],"LAUT")</f>
        <v>0</v>
      </c>
      <c r="AL21" s="712">
        <f t="shared" si="21"/>
        <v>0</v>
      </c>
      <c r="AM21" s="712">
        <f>SUMIFS(KB[TBAYAR],KB[TANGGAL],B21,KB[TYPE],"B",KB[TRANSPORT],"LAUT")</f>
        <v>0</v>
      </c>
      <c r="AN21" s="716">
        <f t="shared" si="22"/>
        <v>0</v>
      </c>
      <c r="AO21" s="716">
        <f t="shared" si="13"/>
        <v>0</v>
      </c>
      <c r="AP21" s="712">
        <f>SUMIFS(KB[TBAYAR2],KB[TANGGAL],B21,KB[TYPE],"B",KB[TRANSPORT],"LAUT")</f>
        <v>0</v>
      </c>
      <c r="AQ21" s="712">
        <f>SUMIFS(KB[POTPPH],KB[TANGGAL],B21,KB[TYPE],"B",KB[TRANSPORT],"LAUT")</f>
        <v>0</v>
      </c>
      <c r="AR21" s="712">
        <f>SUMIFS(KB[TPEMBAYARAN],KB[TANGGAL],B21,KB[TYPE],"B",KB[TRANSPORT],"LAUT")</f>
        <v>0</v>
      </c>
      <c r="AS21" s="714"/>
      <c r="AT21" s="659">
        <f>SUMIFS(KB[BRUTO],KB[TANGGAL],B21,KB[TYPE],"B",KB[TRANSPORT],"DARAT")</f>
        <v>0</v>
      </c>
      <c r="AU21" s="660">
        <f>SUMIFS(KB[TARRA],KB[TANGGAL],B21,KB[TYPE],"B",KB[TRANSPORT],"DARAT")</f>
        <v>0</v>
      </c>
      <c r="AV21" s="660">
        <f>SUMIFS(KB[NETTO],KB[TANGGAL],B21,KB[TYPE],"B",KB[TRANSPORT],"DARAT")</f>
        <v>0</v>
      </c>
      <c r="AW21" s="660">
        <f t="shared" si="23"/>
        <v>0</v>
      </c>
      <c r="AX21" s="660">
        <f>SUMIFS(KB[TPOT],KB[TANGGAL],B21,KB[TYPE],"B",KB[TRANSPORT],"DARAT")</f>
        <v>0</v>
      </c>
      <c r="AY21" s="660">
        <f>SUMIFS(KB[NETTO2],KB[TANGGAL],B21,KB[TYPE],"B",KB[TRANSPORT],"DARAT")</f>
        <v>0</v>
      </c>
      <c r="AZ21" s="660">
        <f t="shared" si="24"/>
        <v>0</v>
      </c>
      <c r="BA21" s="660">
        <f>SUMIFS(KB[TBAYAR],KB[TANGGAL],B21,KB[TYPE],"B",KB[TRANSPORT],"DARAT")</f>
        <v>0</v>
      </c>
      <c r="BB21" s="660">
        <f t="shared" si="25"/>
        <v>0</v>
      </c>
      <c r="BC21" s="660">
        <f t="shared" si="14"/>
        <v>0</v>
      </c>
      <c r="BD21" s="660">
        <f>SUMIFS(KB[TBAYAR2],KB[TANGGAL],B21,KB[TYPE],"B",KB[TRANSPORT],"DARAT")</f>
        <v>0</v>
      </c>
      <c r="BE21" s="660">
        <f>SUMIFS(KB[POTPPH],KB[TANGGAL],B21,KB[TYPE],"B",KB[TRANSPORT],"DARAT")</f>
        <v>0</v>
      </c>
      <c r="BF21" s="660">
        <f>SUMIFS(KB[TPEMBAYARAN],KB[TANGGAL],B21,KB[TYPE],"B",KB[TRANSPORT],"DARAT")</f>
        <v>0</v>
      </c>
      <c r="BG21" s="417"/>
      <c r="BH21" s="417"/>
      <c r="BI21" s="417"/>
      <c r="BJ21" s="417"/>
      <c r="BK21" s="417"/>
      <c r="BL21" s="417"/>
      <c r="BM21" s="417"/>
      <c r="BN21" s="417"/>
      <c r="BO21" s="417"/>
      <c r="BP21" s="417"/>
      <c r="BQ21" s="417"/>
      <c r="BR21" s="417"/>
      <c r="BS21" s="417"/>
      <c r="BT21" s="417"/>
      <c r="BU21" s="417"/>
      <c r="BV21" s="417"/>
      <c r="BW21" s="417"/>
      <c r="BX21" s="417"/>
      <c r="BY21" s="417"/>
      <c r="BZ21" s="417"/>
      <c r="CA21" s="417"/>
      <c r="CB21" s="417"/>
      <c r="CC21" s="417"/>
      <c r="CD21" s="417"/>
      <c r="CE21" s="417"/>
      <c r="CF21" s="417"/>
      <c r="CG21" s="417"/>
      <c r="CH21" s="417"/>
      <c r="CI21" s="417"/>
      <c r="CJ21" s="417"/>
      <c r="CK21" s="417"/>
      <c r="CL21" s="417"/>
      <c r="CM21" s="417"/>
    </row>
    <row r="22" spans="2:168" ht="24.95" customHeight="1">
      <c r="B22" s="645">
        <f t="shared" si="26"/>
        <v>43903</v>
      </c>
      <c r="C22" s="696"/>
      <c r="D22" s="659">
        <f>SUMIFS(KB[BRUTO],KB[TANGGAL],B22,KB[TYPE],"A",KB[TRANSPORT],"LAUT")</f>
        <v>233730</v>
      </c>
      <c r="E22" s="712">
        <f>SUMIFS(KB[TARRA],KB[TANGGAL],B22,KB[TYPE],"A",KB[TRANSPORT],"LAUT")</f>
        <v>108340</v>
      </c>
      <c r="F22" s="660">
        <f>SUMIFS(KB[NETTO],KB[TANGGAL],B22,KB[TYPE],"A",KB[TRANSPORT],"LAUT")</f>
        <v>125390</v>
      </c>
      <c r="G22" s="712">
        <f t="shared" si="27"/>
        <v>6.0000000000000009</v>
      </c>
      <c r="H22" s="712">
        <f>SUMIFS(KB[TPOT],KB[TANGGAL],B22,KB[TYPE],"A",KB[TRANSPORT],"LAUT")</f>
        <v>7523.4000000000015</v>
      </c>
      <c r="I22" s="712">
        <f>SUMIFS(KB[NETTO2],KB[TANGGAL],B22,KB[TYPE],"A",KB[TRANSPORT],"LAUT")</f>
        <v>117866.59999999998</v>
      </c>
      <c r="J22" s="712">
        <f t="shared" si="28"/>
        <v>3212.5568227131357</v>
      </c>
      <c r="K22" s="712">
        <f>SUMIFS(KB[TBAYAR],KB[TANGGAL],B22,KB[TYPE],"A",KB[TRANSPORT],"LAUT")</f>
        <v>378653150</v>
      </c>
      <c r="L22" s="712">
        <f t="shared" si="29"/>
        <v>16.14</v>
      </c>
      <c r="M22" s="712">
        <f t="shared" si="12"/>
        <v>3228.6983505081175</v>
      </c>
      <c r="N22" s="712">
        <f>SUMIFS(KB[TBAYAR2],KB[TANGGAL],B22,KB[TYPE],"A",KB[TRANSPORT],"LAUT")</f>
        <v>380555697</v>
      </c>
      <c r="O22" s="712">
        <f>SUMIFS(KB[POTPPH],KB[TANGGAL],B22,KB[TYPE],"A",KB[TRANSPORT],"LAUT")</f>
        <v>1902781</v>
      </c>
      <c r="P22" s="712">
        <f>SUMIFS(KB[TPEMBAYARAN],KB[TANGGAL],B22,KB[TYPE],"A",KB[TRANSPORT],"LAUT")</f>
        <v>378652916</v>
      </c>
      <c r="Q22" s="715"/>
      <c r="R22" s="659">
        <f>SUMIFS(KB[BRUTO],KB[TANGGAL],B22,KB[TYPE],"A",KB[TRANSPORT],"DARAT")</f>
        <v>40230</v>
      </c>
      <c r="S22" s="660">
        <f>SUMIFS(KB[TARRA],KB[TANGGAL],B22,KB[TYPE],"A",KB[TRANSPORT],"DARAT")</f>
        <v>19540</v>
      </c>
      <c r="T22" s="660">
        <f>SUMIFS(KB[NETTO],KB[TANGGAL],B22,KB[TYPE],"A",KB[TRANSPORT],"DARAT")</f>
        <v>20690</v>
      </c>
      <c r="U22" s="660">
        <f t="shared" si="18"/>
        <v>5.2295795070082161</v>
      </c>
      <c r="V22" s="660">
        <f>SUMIFS(KB[TPOT],KB[TANGGAL],B22,KB[TYPE],"A",KB[TRANSPORT],"DARAT")</f>
        <v>1082</v>
      </c>
      <c r="W22" s="660">
        <f>SUMIFS(KB[NETTO2],KB[TANGGAL],B22,KB[TYPE],"A",KB[TRANSPORT],"DARAT")</f>
        <v>19608</v>
      </c>
      <c r="X22" s="660">
        <f t="shared" si="19"/>
        <v>2900</v>
      </c>
      <c r="Y22" s="660">
        <f>SUMIFS(KB[TBAYAR],KB[TANGGAL],B22,KB[TYPE],"A",KB[TRANSPORT],"DARAT")</f>
        <v>56863200</v>
      </c>
      <c r="Z22" s="660">
        <f t="shared" si="20"/>
        <v>14.57</v>
      </c>
      <c r="AA22" s="660">
        <f t="shared" si="30"/>
        <v>2914.5700224398206</v>
      </c>
      <c r="AB22" s="660">
        <f>SUMIFS(KB[TBAYAR2],KB[TANGGAL],B22,KB[TYPE],"A",KB[TRANSPORT],"DARAT")</f>
        <v>57148889</v>
      </c>
      <c r="AC22" s="660">
        <f>SUMIFS(KB[POTPPH],KB[TANGGAL],B22,KB[TYPE],"A",KB[TRANSPORT],"DARAT")</f>
        <v>285745</v>
      </c>
      <c r="AD22" s="660">
        <f>SUMIFS(KB[TPEMBAYARAN],KB[TANGGAL],B22,KB[TYPE],"A",KB[TRANSPORT],"DARAT")</f>
        <v>56863144</v>
      </c>
      <c r="AE22" s="715"/>
      <c r="AF22" s="659">
        <f>SUMIFS(KB[BRUTO],KB[TANGGAL],B22,KB[TYPE],"B",KB[TRANSPORT],"LAUT")</f>
        <v>0</v>
      </c>
      <c r="AG22" s="712">
        <f>SUMIFS(KB[TARRA],KB[TANGGAL],B22,KB[TYPE],"B",KB[TRANSPORT],"LAUT")</f>
        <v>0</v>
      </c>
      <c r="AH22" s="712">
        <f>SUMIFS(KB[NETTO],KB[TANGGAL],B22,KB[TYPE],"B",KB[TRANSPORT],"LAUT")</f>
        <v>0</v>
      </c>
      <c r="AI22" s="712">
        <f t="shared" si="6"/>
        <v>0</v>
      </c>
      <c r="AJ22" s="712">
        <f>SUMIFS(KB[TPOT],KB[TANGGAL],B22,KB[TYPE],"B",KB[TRANSPORT],"LAUT")</f>
        <v>0</v>
      </c>
      <c r="AK22" s="712">
        <f>SUMIFS(KB[NETTO2],KB[TANGGAL],B22,KB[TYPE],"B",KB[TRANSPORT],"LAUT")</f>
        <v>0</v>
      </c>
      <c r="AL22" s="712">
        <f t="shared" si="21"/>
        <v>0</v>
      </c>
      <c r="AM22" s="712">
        <f>SUMIFS(KB[TBAYAR],KB[TANGGAL],B22,KB[TYPE],"B",KB[TRANSPORT],"LAUT")</f>
        <v>0</v>
      </c>
      <c r="AN22" s="716">
        <f t="shared" si="22"/>
        <v>0</v>
      </c>
      <c r="AO22" s="716">
        <f t="shared" si="13"/>
        <v>0</v>
      </c>
      <c r="AP22" s="712">
        <f>SUMIFS(KB[TBAYAR2],KB[TANGGAL],B22,KB[TYPE],"B",KB[TRANSPORT],"LAUT")</f>
        <v>0</v>
      </c>
      <c r="AQ22" s="712">
        <f>SUMIFS(KB[POTPPH],KB[TANGGAL],B22,KB[TYPE],"B",KB[TRANSPORT],"LAUT")</f>
        <v>0</v>
      </c>
      <c r="AR22" s="712">
        <f>SUMIFS(KB[TPEMBAYARAN],KB[TANGGAL],B22,KB[TYPE],"B",KB[TRANSPORT],"LAUT")</f>
        <v>0</v>
      </c>
      <c r="AS22" s="714"/>
      <c r="AT22" s="659">
        <f>SUMIFS(KB[BRUTO],KB[TANGGAL],B22,KB[TYPE],"B",KB[TRANSPORT],"DARAT")</f>
        <v>0</v>
      </c>
      <c r="AU22" s="660">
        <f>SUMIFS(KB[TARRA],KB[TANGGAL],B22,KB[TYPE],"B",KB[TRANSPORT],"DARAT")</f>
        <v>0</v>
      </c>
      <c r="AV22" s="660">
        <f>SUMIFS(KB[NETTO],KB[TANGGAL],B22,KB[TYPE],"B",KB[TRANSPORT],"DARAT")</f>
        <v>0</v>
      </c>
      <c r="AW22" s="660">
        <f t="shared" si="23"/>
        <v>0</v>
      </c>
      <c r="AX22" s="660">
        <f>SUMIFS(KB[TPOT],KB[TANGGAL],B22,KB[TYPE],"B",KB[TRANSPORT],"DARAT")</f>
        <v>0</v>
      </c>
      <c r="AY22" s="660">
        <f>SUMIFS(KB[NETTO2],KB[TANGGAL],B22,KB[TYPE],"B",KB[TRANSPORT],"DARAT")</f>
        <v>0</v>
      </c>
      <c r="AZ22" s="660">
        <f t="shared" si="24"/>
        <v>0</v>
      </c>
      <c r="BA22" s="660">
        <f>SUMIFS(KB[TBAYAR],KB[TANGGAL],B22,KB[TYPE],"B",KB[TRANSPORT],"DARAT")</f>
        <v>0</v>
      </c>
      <c r="BB22" s="660">
        <f t="shared" si="25"/>
        <v>0</v>
      </c>
      <c r="BC22" s="660">
        <f t="shared" si="14"/>
        <v>0</v>
      </c>
      <c r="BD22" s="660">
        <f>SUMIFS(KB[TBAYAR2],KB[TANGGAL],B22,KB[TYPE],"B",KB[TRANSPORT],"DARAT")</f>
        <v>0</v>
      </c>
      <c r="BE22" s="660">
        <f>SUMIFS(KB[POTPPH],KB[TANGGAL],B22,KB[TYPE],"B",KB[TRANSPORT],"DARAT")</f>
        <v>0</v>
      </c>
      <c r="BF22" s="660">
        <f>SUMIFS(KB[TPEMBAYARAN],KB[TANGGAL],B22,KB[TYPE],"B",KB[TRANSPORT],"DARAT")</f>
        <v>0</v>
      </c>
      <c r="BG22" s="388"/>
      <c r="BH22" s="388"/>
      <c r="BI22" s="388"/>
      <c r="BJ22" s="388"/>
      <c r="BK22" s="388"/>
      <c r="BL22" s="388"/>
      <c r="BM22" s="388"/>
      <c r="BN22" s="388"/>
      <c r="BO22" s="388"/>
      <c r="BP22" s="388"/>
      <c r="BQ22" s="388"/>
      <c r="BR22" s="388"/>
      <c r="BS22" s="388"/>
      <c r="BT22" s="388"/>
      <c r="BU22" s="388"/>
      <c r="BV22" s="388"/>
      <c r="BW22" s="388"/>
      <c r="BX22" s="388"/>
      <c r="BY22" s="388"/>
      <c r="BZ22" s="388"/>
      <c r="CA22" s="388"/>
      <c r="CB22" s="388"/>
      <c r="CC22" s="388"/>
      <c r="CD22" s="388"/>
      <c r="CE22" s="388"/>
      <c r="CF22" s="388"/>
      <c r="CG22" s="388"/>
      <c r="CH22" s="388"/>
      <c r="CI22" s="388"/>
      <c r="CJ22" s="388"/>
      <c r="CK22" s="388"/>
      <c r="CL22" s="388"/>
      <c r="CM22" s="388"/>
    </row>
    <row r="23" spans="2:168" ht="24.95" customHeight="1">
      <c r="B23" s="645">
        <f t="shared" si="26"/>
        <v>43904</v>
      </c>
      <c r="C23" s="696"/>
      <c r="D23" s="659">
        <f>SUMIFS(KB[BRUTO],KB[TANGGAL],B23,KB[TYPE],"A",KB[TRANSPORT],"LAUT")</f>
        <v>7310</v>
      </c>
      <c r="E23" s="712">
        <f>SUMIFS(KB[TARRA],KB[TANGGAL],B23,KB[TYPE],"A",KB[TRANSPORT],"LAUT")</f>
        <v>3880</v>
      </c>
      <c r="F23" s="660">
        <f>SUMIFS(KB[NETTO],KB[TANGGAL],B23,KB[TYPE],"A",KB[TRANSPORT],"LAUT")</f>
        <v>3430</v>
      </c>
      <c r="G23" s="712">
        <f t="shared" si="27"/>
        <v>6</v>
      </c>
      <c r="H23" s="712">
        <f>SUMIFS(KB[TPOT],KB[TANGGAL],B23,KB[TYPE],"A",KB[TRANSPORT],"LAUT")</f>
        <v>205.79999999999998</v>
      </c>
      <c r="I23" s="712">
        <f>SUMIFS(KB[NETTO2],KB[TANGGAL],B23,KB[TYPE],"A",KB[TRANSPORT],"LAUT")</f>
        <v>3224.2</v>
      </c>
      <c r="J23" s="712">
        <f t="shared" si="28"/>
        <v>2950</v>
      </c>
      <c r="K23" s="712">
        <f>SUMIFS(KB[TBAYAR],KB[TANGGAL],B23,KB[TYPE],"A",KB[TRANSPORT],"LAUT")</f>
        <v>9511390</v>
      </c>
      <c r="L23" s="712">
        <f t="shared" si="29"/>
        <v>14.82</v>
      </c>
      <c r="M23" s="712">
        <f t="shared" si="12"/>
        <v>2964.8201104149866</v>
      </c>
      <c r="N23" s="712">
        <f>SUMIFS(KB[TBAYAR2],KB[TANGGAL],B23,KB[TYPE],"A",KB[TRANSPORT],"LAUT")</f>
        <v>9559173</v>
      </c>
      <c r="O23" s="712">
        <f>SUMIFS(KB[POTPPH],KB[TANGGAL],B23,KB[TYPE],"A",KB[TRANSPORT],"LAUT")</f>
        <v>47796</v>
      </c>
      <c r="P23" s="712">
        <f>SUMIFS(KB[TPEMBAYARAN],KB[TANGGAL],B23,KB[TYPE],"A",KB[TRANSPORT],"LAUT")</f>
        <v>9511377</v>
      </c>
      <c r="Q23" s="715"/>
      <c r="R23" s="659">
        <f>SUMIFS(KB[BRUTO],KB[TANGGAL],B23,KB[TYPE],"A",KB[TRANSPORT],"DARAT")</f>
        <v>132620</v>
      </c>
      <c r="S23" s="660">
        <f>SUMIFS(KB[TARRA],KB[TANGGAL],B23,KB[TYPE],"A",KB[TRANSPORT],"DARAT")</f>
        <v>50630</v>
      </c>
      <c r="T23" s="660">
        <f>SUMIFS(KB[NETTO],KB[TANGGAL],B23,KB[TYPE],"A",KB[TRANSPORT],"DARAT")</f>
        <v>81990</v>
      </c>
      <c r="U23" s="660">
        <f t="shared" si="18"/>
        <v>5</v>
      </c>
      <c r="V23" s="660">
        <f>SUMIFS(KB[TPOT],KB[TANGGAL],B23,KB[TYPE],"A",KB[TRANSPORT],"DARAT")</f>
        <v>4099.5</v>
      </c>
      <c r="W23" s="660">
        <f>SUMIFS(KB[NETTO2],KB[TANGGAL],B23,KB[TYPE],"A",KB[TRANSPORT],"DARAT")</f>
        <v>77890.5</v>
      </c>
      <c r="X23" s="660">
        <f t="shared" si="19"/>
        <v>2906.3422368581532</v>
      </c>
      <c r="Y23" s="660">
        <f>SUMIFS(KB[TBAYAR],KB[TANGGAL],B23,KB[TYPE],"A",KB[TRANSPORT],"DARAT")</f>
        <v>226376450</v>
      </c>
      <c r="Z23" s="660">
        <f t="shared" si="20"/>
        <v>14.6</v>
      </c>
      <c r="AA23" s="660">
        <f t="shared" si="30"/>
        <v>2920.9445824587083</v>
      </c>
      <c r="AB23" s="660">
        <f>SUMIFS(KB[TBAYAR2],KB[TANGGAL],B23,KB[TYPE],"A",KB[TRANSPORT],"DARAT")</f>
        <v>227513834</v>
      </c>
      <c r="AC23" s="660">
        <f>SUMIFS(KB[POTPPH],KB[TANGGAL],B23,KB[TYPE],"A",KB[TRANSPORT],"DARAT")</f>
        <v>1137569</v>
      </c>
      <c r="AD23" s="660">
        <f>SUMIFS(KB[TPEMBAYARAN],KB[TANGGAL],B23,KB[TYPE],"A",KB[TRANSPORT],"DARAT")</f>
        <v>226376265</v>
      </c>
      <c r="AE23" s="715"/>
      <c r="AF23" s="659">
        <f>SUMIFS(KB[BRUTO],KB[TANGGAL],B23,KB[TYPE],"B",KB[TRANSPORT],"LAUT")</f>
        <v>0</v>
      </c>
      <c r="AG23" s="712">
        <f>SUMIFS(KB[TARRA],KB[TANGGAL],B23,KB[TYPE],"B",KB[TRANSPORT],"LAUT")</f>
        <v>0</v>
      </c>
      <c r="AH23" s="712">
        <f>SUMIFS(KB[NETTO],KB[TANGGAL],B23,KB[TYPE],"B",KB[TRANSPORT],"LAUT")</f>
        <v>0</v>
      </c>
      <c r="AI23" s="712">
        <f t="shared" si="6"/>
        <v>0</v>
      </c>
      <c r="AJ23" s="712">
        <f>SUMIFS(KB[TPOT],KB[TANGGAL],B23,KB[TYPE],"B",KB[TRANSPORT],"LAUT")</f>
        <v>0</v>
      </c>
      <c r="AK23" s="712">
        <f>SUMIFS(KB[NETTO2],KB[TANGGAL],B23,KB[TYPE],"B",KB[TRANSPORT],"LAUT")</f>
        <v>0</v>
      </c>
      <c r="AL23" s="712">
        <f t="shared" si="21"/>
        <v>0</v>
      </c>
      <c r="AM23" s="712">
        <f>SUMIFS(KB[TBAYAR],KB[TANGGAL],B23,KB[TYPE],"B",KB[TRANSPORT],"LAUT")</f>
        <v>0</v>
      </c>
      <c r="AN23" s="716">
        <f t="shared" si="22"/>
        <v>0</v>
      </c>
      <c r="AO23" s="716">
        <f t="shared" si="13"/>
        <v>0</v>
      </c>
      <c r="AP23" s="712">
        <f>SUMIFS(KB[TBAYAR2],KB[TANGGAL],B23,KB[TYPE],"B",KB[TRANSPORT],"LAUT")</f>
        <v>0</v>
      </c>
      <c r="AQ23" s="712">
        <f>SUMIFS(KB[POTPPH],KB[TANGGAL],B23,KB[TYPE],"B",KB[TRANSPORT],"LAUT")</f>
        <v>0</v>
      </c>
      <c r="AR23" s="712">
        <f>SUMIFS(KB[TPEMBAYARAN],KB[TANGGAL],B23,KB[TYPE],"B",KB[TRANSPORT],"LAUT")</f>
        <v>0</v>
      </c>
      <c r="AS23" s="714"/>
      <c r="AT23" s="659">
        <f>SUMIFS(KB[BRUTO],KB[TANGGAL],B23,KB[TYPE],"B",KB[TRANSPORT],"DARAT")</f>
        <v>0</v>
      </c>
      <c r="AU23" s="660">
        <f>SUMIFS(KB[TARRA],KB[TANGGAL],B23,KB[TYPE],"B",KB[TRANSPORT],"DARAT")</f>
        <v>0</v>
      </c>
      <c r="AV23" s="660">
        <f>SUMIFS(KB[NETTO],KB[TANGGAL],B23,KB[TYPE],"B",KB[TRANSPORT],"DARAT")</f>
        <v>0</v>
      </c>
      <c r="AW23" s="660">
        <f t="shared" si="23"/>
        <v>0</v>
      </c>
      <c r="AX23" s="660">
        <f>SUMIFS(KB[TPOT],KB[TANGGAL],B23,KB[TYPE],"B",KB[TRANSPORT],"DARAT")</f>
        <v>0</v>
      </c>
      <c r="AY23" s="660">
        <f>SUMIFS(KB[NETTO2],KB[TANGGAL],B23,KB[TYPE],"B",KB[TRANSPORT],"DARAT")</f>
        <v>0</v>
      </c>
      <c r="AZ23" s="660">
        <f t="shared" si="24"/>
        <v>0</v>
      </c>
      <c r="BA23" s="660">
        <f>SUMIFS(KB[TBAYAR],KB[TANGGAL],B23,KB[TYPE],"B",KB[TRANSPORT],"DARAT")</f>
        <v>0</v>
      </c>
      <c r="BB23" s="660">
        <f t="shared" si="25"/>
        <v>0</v>
      </c>
      <c r="BC23" s="660">
        <f t="shared" si="14"/>
        <v>0</v>
      </c>
      <c r="BD23" s="660">
        <f>SUMIFS(KB[TBAYAR2],KB[TANGGAL],B23,KB[TYPE],"B",KB[TRANSPORT],"DARAT")</f>
        <v>0</v>
      </c>
      <c r="BE23" s="660">
        <f>SUMIFS(KB[POTPPH],KB[TANGGAL],B23,KB[TYPE],"B",KB[TRANSPORT],"DARAT")</f>
        <v>0</v>
      </c>
      <c r="BF23" s="660">
        <f>SUMIFS(KB[TPEMBAYARAN],KB[TANGGAL],B23,KB[TYPE],"B",KB[TRANSPORT],"DARAT")</f>
        <v>0</v>
      </c>
      <c r="BG23" s="417"/>
      <c r="BH23" s="417"/>
      <c r="BI23" s="417"/>
      <c r="BJ23" s="417"/>
      <c r="BK23" s="417"/>
      <c r="BL23" s="417"/>
      <c r="BM23" s="417"/>
      <c r="BN23" s="417"/>
      <c r="BO23" s="417"/>
      <c r="BP23" s="417"/>
      <c r="BQ23" s="417"/>
      <c r="BR23" s="417"/>
      <c r="BS23" s="417"/>
      <c r="BT23" s="417"/>
      <c r="BU23" s="417"/>
      <c r="BV23" s="417"/>
      <c r="BW23" s="417"/>
      <c r="BX23" s="417"/>
      <c r="BY23" s="417"/>
      <c r="BZ23" s="417"/>
      <c r="CA23" s="417"/>
      <c r="CB23" s="417"/>
      <c r="CC23" s="417"/>
      <c r="CD23" s="417"/>
      <c r="CE23" s="417"/>
      <c r="CF23" s="417"/>
      <c r="CG23" s="417"/>
      <c r="CH23" s="417"/>
      <c r="CI23" s="417"/>
      <c r="CJ23" s="417"/>
      <c r="CK23" s="417"/>
      <c r="CL23" s="417"/>
      <c r="CM23" s="417"/>
    </row>
    <row r="24" spans="2:168" ht="24.95" customHeight="1">
      <c r="B24" s="645">
        <f t="shared" si="26"/>
        <v>43905</v>
      </c>
      <c r="C24" s="696"/>
      <c r="D24" s="659">
        <f>SUMIFS(KB[BRUTO],KB[TANGGAL],B24,KB[TYPE],"A",KB[TRANSPORT],"LAUT")</f>
        <v>0</v>
      </c>
      <c r="E24" s="712">
        <f>SUMIFS(KB[TARRA],KB[TANGGAL],B24,KB[TYPE],"A",KB[TRANSPORT],"LAUT")</f>
        <v>0</v>
      </c>
      <c r="F24" s="660">
        <f>SUMIFS(KB[NETTO],KB[TANGGAL],B24,KB[TYPE],"A",KB[TRANSPORT],"LAUT")</f>
        <v>0</v>
      </c>
      <c r="G24" s="712">
        <f t="shared" si="27"/>
        <v>0</v>
      </c>
      <c r="H24" s="712">
        <f>SUMIFS(KB[TPOT],KB[TANGGAL],B24,KB[TYPE],"A",KB[TRANSPORT],"LAUT")</f>
        <v>0</v>
      </c>
      <c r="I24" s="712">
        <f>SUMIFS(KB[NETTO2],KB[TANGGAL],B24,KB[TYPE],"A",KB[TRANSPORT],"LAUT")</f>
        <v>0</v>
      </c>
      <c r="J24" s="712">
        <f t="shared" si="28"/>
        <v>0</v>
      </c>
      <c r="K24" s="712">
        <f>SUMIFS(KB[TBAYAR],KB[TANGGAL],B24,KB[TYPE],"A",KB[TRANSPORT],"LAUT")</f>
        <v>0</v>
      </c>
      <c r="L24" s="712">
        <f t="shared" si="29"/>
        <v>0</v>
      </c>
      <c r="M24" s="712">
        <f t="shared" si="12"/>
        <v>0</v>
      </c>
      <c r="N24" s="712">
        <f>SUMIFS(KB[TBAYAR2],KB[TANGGAL],B24,KB[TYPE],"A",KB[TRANSPORT],"LAUT")</f>
        <v>0</v>
      </c>
      <c r="O24" s="712">
        <f>SUMIFS(KB[POTPPH],KB[TANGGAL],B24,KB[TYPE],"A",KB[TRANSPORT],"LAUT")</f>
        <v>0</v>
      </c>
      <c r="P24" s="712">
        <f>SUMIFS(KB[TPEMBAYARAN],KB[TANGGAL],B24,KB[TYPE],"A",KB[TRANSPORT],"LAUT")</f>
        <v>0</v>
      </c>
      <c r="Q24" s="715"/>
      <c r="R24" s="659">
        <f>SUMIFS(KB[BRUTO],KB[TANGGAL],B24,KB[TYPE],"A",KB[TRANSPORT],"DARAT")</f>
        <v>0</v>
      </c>
      <c r="S24" s="660">
        <f>SUMIFS(KB[TARRA],KB[TANGGAL],B24,KB[TYPE],"A",KB[TRANSPORT],"DARAT")</f>
        <v>0</v>
      </c>
      <c r="T24" s="660">
        <f>SUMIFS(KB[NETTO],KB[TANGGAL],B24,KB[TYPE],"A",KB[TRANSPORT],"DARAT")</f>
        <v>0</v>
      </c>
      <c r="U24" s="660">
        <f t="shared" si="18"/>
        <v>0</v>
      </c>
      <c r="V24" s="660">
        <f>SUMIFS(KB[TPOT],KB[TANGGAL],B24,KB[TYPE],"A",KB[TRANSPORT],"DARAT")</f>
        <v>0</v>
      </c>
      <c r="W24" s="660">
        <f>SUMIFS(KB[NETTO2],KB[TANGGAL],B24,KB[TYPE],"A",KB[TRANSPORT],"DARAT")</f>
        <v>0</v>
      </c>
      <c r="X24" s="660">
        <f t="shared" si="19"/>
        <v>0</v>
      </c>
      <c r="Y24" s="660">
        <f>SUMIFS(KB[TBAYAR],KB[TANGGAL],B24,KB[TYPE],"A",KB[TRANSPORT],"DARAT")</f>
        <v>0</v>
      </c>
      <c r="Z24" s="660">
        <f t="shared" si="20"/>
        <v>0</v>
      </c>
      <c r="AA24" s="660">
        <f t="shared" si="30"/>
        <v>0</v>
      </c>
      <c r="AB24" s="660">
        <f>SUMIFS(KB[TBAYAR2],KB[TANGGAL],B24,KB[TYPE],"A",KB[TRANSPORT],"DARAT")</f>
        <v>0</v>
      </c>
      <c r="AC24" s="660">
        <f>SUMIFS(KB[POTPPH],KB[TANGGAL],B24,KB[TYPE],"A",KB[TRANSPORT],"DARAT")</f>
        <v>0</v>
      </c>
      <c r="AD24" s="660">
        <f>SUMIFS(KB[TPEMBAYARAN],KB[TANGGAL],B24,KB[TYPE],"A",KB[TRANSPORT],"DARAT")</f>
        <v>0</v>
      </c>
      <c r="AE24" s="715"/>
      <c r="AF24" s="659">
        <f>SUMIFS(KB[BRUTO],KB[TANGGAL],B24,KB[TYPE],"B",KB[TRANSPORT],"LAUT")</f>
        <v>0</v>
      </c>
      <c r="AG24" s="712">
        <f>SUMIFS(KB[TARRA],KB[TANGGAL],B24,KB[TYPE],"B",KB[TRANSPORT],"LAUT")</f>
        <v>0</v>
      </c>
      <c r="AH24" s="712">
        <f>SUMIFS(KB[NETTO],KB[TANGGAL],B24,KB[TYPE],"B",KB[TRANSPORT],"LAUT")</f>
        <v>0</v>
      </c>
      <c r="AI24" s="712">
        <f t="shared" si="6"/>
        <v>0</v>
      </c>
      <c r="AJ24" s="712">
        <f>SUMIFS(KB[TPOT],KB[TANGGAL],B24,KB[TYPE],"B",KB[TRANSPORT],"LAUT")</f>
        <v>0</v>
      </c>
      <c r="AK24" s="712">
        <f>SUMIFS(KB[NETTO2],KB[TANGGAL],B24,KB[TYPE],"B",KB[TRANSPORT],"LAUT")</f>
        <v>0</v>
      </c>
      <c r="AL24" s="712">
        <f t="shared" si="21"/>
        <v>0</v>
      </c>
      <c r="AM24" s="712">
        <f>SUMIFS(KB[TBAYAR],KB[TANGGAL],B24,KB[TYPE],"B",KB[TRANSPORT],"LAUT")</f>
        <v>0</v>
      </c>
      <c r="AN24" s="716">
        <f t="shared" si="22"/>
        <v>0</v>
      </c>
      <c r="AO24" s="716">
        <f t="shared" si="13"/>
        <v>0</v>
      </c>
      <c r="AP24" s="712">
        <f>SUMIFS(KB[TBAYAR2],KB[TANGGAL],B24,KB[TYPE],"B",KB[TRANSPORT],"LAUT")</f>
        <v>0</v>
      </c>
      <c r="AQ24" s="712">
        <f>SUMIFS(KB[POTPPH],KB[TANGGAL],B24,KB[TYPE],"B",KB[TRANSPORT],"LAUT")</f>
        <v>0</v>
      </c>
      <c r="AR24" s="712">
        <f>SUMIFS(KB[TPEMBAYARAN],KB[TANGGAL],B24,KB[TYPE],"B",KB[TRANSPORT],"LAUT")</f>
        <v>0</v>
      </c>
      <c r="AS24" s="714"/>
      <c r="AT24" s="659">
        <f>SUMIFS(KB[BRUTO],KB[TANGGAL],B24,KB[TYPE],"B",KB[TRANSPORT],"DARAT")</f>
        <v>0</v>
      </c>
      <c r="AU24" s="660">
        <f>SUMIFS(KB[TARRA],KB[TANGGAL],B24,KB[TYPE],"B",KB[TRANSPORT],"DARAT")</f>
        <v>0</v>
      </c>
      <c r="AV24" s="660">
        <f>SUMIFS(KB[NETTO],KB[TANGGAL],B24,KB[TYPE],"B",KB[TRANSPORT],"DARAT")</f>
        <v>0</v>
      </c>
      <c r="AW24" s="660">
        <f t="shared" si="23"/>
        <v>0</v>
      </c>
      <c r="AX24" s="660">
        <f>SUMIFS(KB[TPOT],KB[TANGGAL],B24,KB[TYPE],"B",KB[TRANSPORT],"DARAT")</f>
        <v>0</v>
      </c>
      <c r="AY24" s="660">
        <f>SUMIFS(KB[NETTO2],KB[TANGGAL],B24,KB[TYPE],"B",KB[TRANSPORT],"DARAT")</f>
        <v>0</v>
      </c>
      <c r="AZ24" s="660">
        <f t="shared" si="24"/>
        <v>0</v>
      </c>
      <c r="BA24" s="660">
        <f>SUMIFS(KB[TBAYAR],KB[TANGGAL],B24,KB[TYPE],"B",KB[TRANSPORT],"DARAT")</f>
        <v>0</v>
      </c>
      <c r="BB24" s="660">
        <f t="shared" si="25"/>
        <v>0</v>
      </c>
      <c r="BC24" s="660">
        <f t="shared" si="14"/>
        <v>0</v>
      </c>
      <c r="BD24" s="660">
        <f>SUMIFS(KB[TBAYAR2],KB[TANGGAL],B24,KB[TYPE],"B",KB[TRANSPORT],"DARAT")</f>
        <v>0</v>
      </c>
      <c r="BE24" s="660">
        <f>SUMIFS(KB[POTPPH],KB[TANGGAL],B24,KB[TYPE],"B",KB[TRANSPORT],"DARAT")</f>
        <v>0</v>
      </c>
      <c r="BF24" s="660">
        <f>SUMIFS(KB[TPEMBAYARAN],KB[TANGGAL],B24,KB[TYPE],"B",KB[TRANSPORT],"DARAT")</f>
        <v>0</v>
      </c>
      <c r="BG24" s="388"/>
      <c r="BH24" s="388"/>
      <c r="BI24" s="388"/>
      <c r="BJ24" s="388"/>
      <c r="BK24" s="388"/>
      <c r="BL24" s="388"/>
      <c r="BM24" s="388"/>
      <c r="BN24" s="388"/>
      <c r="BO24" s="388"/>
      <c r="BP24" s="388"/>
      <c r="BQ24" s="388"/>
      <c r="BR24" s="388"/>
      <c r="BS24" s="388"/>
      <c r="BT24" s="388"/>
      <c r="BU24" s="388"/>
      <c r="BV24" s="388"/>
      <c r="BW24" s="388"/>
      <c r="BX24" s="388"/>
      <c r="BY24" s="388"/>
      <c r="BZ24" s="388"/>
      <c r="CA24" s="388"/>
      <c r="CB24" s="388"/>
      <c r="CC24" s="388"/>
      <c r="CD24" s="388"/>
      <c r="CE24" s="388"/>
      <c r="CF24" s="388"/>
      <c r="CG24" s="388"/>
      <c r="CH24" s="388"/>
      <c r="CI24" s="388"/>
      <c r="CJ24" s="388"/>
      <c r="CK24" s="388"/>
      <c r="CL24" s="388"/>
      <c r="CM24" s="388"/>
    </row>
    <row r="25" spans="2:168" ht="24.95" customHeight="1">
      <c r="B25" s="645">
        <f t="shared" si="26"/>
        <v>43906</v>
      </c>
      <c r="C25" s="696"/>
      <c r="D25" s="659">
        <f>SUMIFS(KB[BRUTO],KB[TANGGAL],B25,KB[TYPE],"A",KB[TRANSPORT],"LAUT")</f>
        <v>45070</v>
      </c>
      <c r="E25" s="712">
        <f>SUMIFS(KB[TARRA],KB[TANGGAL],B25,KB[TYPE],"A",KB[TRANSPORT],"LAUT")</f>
        <v>23460</v>
      </c>
      <c r="F25" s="660">
        <f>SUMIFS(KB[NETTO],KB[TANGGAL],B25,KB[TYPE],"A",KB[TRANSPORT],"LAUT")</f>
        <v>21610</v>
      </c>
      <c r="G25" s="712">
        <f t="shared" si="27"/>
        <v>6</v>
      </c>
      <c r="H25" s="712">
        <f>SUMIFS(KB[TPOT],KB[TANGGAL],B25,KB[TYPE],"A",KB[TRANSPORT],"LAUT")</f>
        <v>1296.5999999999999</v>
      </c>
      <c r="I25" s="712">
        <f>SUMIFS(KB[NETTO2],KB[TANGGAL],B25,KB[TYPE],"A",KB[TRANSPORT],"LAUT")</f>
        <v>20313.400000000001</v>
      </c>
      <c r="J25" s="712">
        <f t="shared" si="28"/>
        <v>2950</v>
      </c>
      <c r="K25" s="712">
        <f>SUMIFS(KB[TBAYAR],KB[TANGGAL],B25,KB[TYPE],"A",KB[TRANSPORT],"LAUT")</f>
        <v>59924530</v>
      </c>
      <c r="L25" s="712">
        <f t="shared" si="29"/>
        <v>14.82</v>
      </c>
      <c r="M25" s="712">
        <f t="shared" si="12"/>
        <v>2964.8199710535901</v>
      </c>
      <c r="N25" s="712">
        <f>SUMIFS(KB[TBAYAR2],KB[TANGGAL],B25,KB[TYPE],"A",KB[TRANSPORT],"LAUT")</f>
        <v>60225574</v>
      </c>
      <c r="O25" s="712">
        <f>SUMIFS(KB[POTPPH],KB[TANGGAL],B25,KB[TYPE],"A",KB[TRANSPORT],"LAUT")</f>
        <v>301127</v>
      </c>
      <c r="P25" s="712">
        <f>SUMIFS(KB[TPEMBAYARAN],KB[TANGGAL],B25,KB[TYPE],"A",KB[TRANSPORT],"LAUT")</f>
        <v>59924447</v>
      </c>
      <c r="Q25" s="715"/>
      <c r="R25" s="659">
        <f>SUMIFS(KB[BRUTO],KB[TANGGAL],B25,KB[TYPE],"A",KB[TRANSPORT],"DARAT")</f>
        <v>115970</v>
      </c>
      <c r="S25" s="660">
        <f>SUMIFS(KB[TARRA],KB[TANGGAL],B25,KB[TYPE],"A",KB[TRANSPORT],"DARAT")</f>
        <v>43740</v>
      </c>
      <c r="T25" s="660">
        <f>SUMIFS(KB[NETTO],KB[TANGGAL],B25,KB[TYPE],"A",KB[TRANSPORT],"DARAT")</f>
        <v>72230</v>
      </c>
      <c r="U25" s="660">
        <f t="shared" si="18"/>
        <v>5</v>
      </c>
      <c r="V25" s="660">
        <f>SUMIFS(KB[TPOT],KB[TANGGAL],B25,KB[TYPE],"A",KB[TRANSPORT],"DARAT")</f>
        <v>3611.5</v>
      </c>
      <c r="W25" s="660">
        <f>SUMIFS(KB[NETTO2],KB[TANGGAL],B25,KB[TYPE],"A",KB[TRANSPORT],"DARAT")</f>
        <v>68618.5</v>
      </c>
      <c r="X25" s="660">
        <f t="shared" si="19"/>
        <v>2907.9883704831786</v>
      </c>
      <c r="Y25" s="660">
        <f>SUMIFS(KB[TBAYAR],KB[TANGGAL],B25,KB[TYPE],"A",KB[TRANSPORT],"DARAT")</f>
        <v>199541800</v>
      </c>
      <c r="Z25" s="660">
        <f t="shared" si="20"/>
        <v>14.61</v>
      </c>
      <c r="AA25" s="660">
        <f t="shared" si="30"/>
        <v>2922.5990804229182</v>
      </c>
      <c r="AB25" s="660">
        <f>SUMIFS(KB[TBAYAR2],KB[TANGGAL],B25,KB[TYPE],"A",KB[TRANSPORT],"DARAT")</f>
        <v>200544365</v>
      </c>
      <c r="AC25" s="660">
        <f>SUMIFS(KB[POTPPH],KB[TANGGAL],B25,KB[TYPE],"A",KB[TRANSPORT],"DARAT")</f>
        <v>1002722</v>
      </c>
      <c r="AD25" s="660">
        <f>SUMIFS(KB[TPEMBAYARAN],KB[TANGGAL],B25,KB[TYPE],"A",KB[TRANSPORT],"DARAT")</f>
        <v>199541643</v>
      </c>
      <c r="AE25" s="715"/>
      <c r="AF25" s="659">
        <f>SUMIFS(KB[BRUTO],KB[TANGGAL],B25,KB[TYPE],"B",KB[TRANSPORT],"LAUT")</f>
        <v>0</v>
      </c>
      <c r="AG25" s="712">
        <f>SUMIFS(KB[TARRA],KB[TANGGAL],B25,KB[TYPE],"B",KB[TRANSPORT],"LAUT")</f>
        <v>0</v>
      </c>
      <c r="AH25" s="712">
        <f>SUMIFS(KB[NETTO],KB[TANGGAL],B25,KB[TYPE],"B",KB[TRANSPORT],"LAUT")</f>
        <v>0</v>
      </c>
      <c r="AI25" s="712">
        <f t="shared" si="6"/>
        <v>0</v>
      </c>
      <c r="AJ25" s="712">
        <f>SUMIFS(KB[TPOT],KB[TANGGAL],B25,KB[TYPE],"B",KB[TRANSPORT],"LAUT")</f>
        <v>0</v>
      </c>
      <c r="AK25" s="712">
        <f>SUMIFS(KB[NETTO2],KB[TANGGAL],B25,KB[TYPE],"B",KB[TRANSPORT],"LAUT")</f>
        <v>0</v>
      </c>
      <c r="AL25" s="712">
        <f t="shared" si="21"/>
        <v>0</v>
      </c>
      <c r="AM25" s="712">
        <f>SUMIFS(KB[TBAYAR],KB[TANGGAL],B25,KB[TYPE],"B",KB[TRANSPORT],"LAUT")</f>
        <v>0</v>
      </c>
      <c r="AN25" s="716">
        <f t="shared" si="22"/>
        <v>0</v>
      </c>
      <c r="AO25" s="716">
        <f t="shared" si="13"/>
        <v>0</v>
      </c>
      <c r="AP25" s="712">
        <f>SUMIFS(KB[TBAYAR2],KB[TANGGAL],B25,KB[TYPE],"B",KB[TRANSPORT],"LAUT")</f>
        <v>0</v>
      </c>
      <c r="AQ25" s="712">
        <f>SUMIFS(KB[POTPPH],KB[TANGGAL],B25,KB[TYPE],"B",KB[TRANSPORT],"LAUT")</f>
        <v>0</v>
      </c>
      <c r="AR25" s="712">
        <f>SUMIFS(KB[TPEMBAYARAN],KB[TANGGAL],B25,KB[TYPE],"B",KB[TRANSPORT],"LAUT")</f>
        <v>0</v>
      </c>
      <c r="AS25" s="714"/>
      <c r="AT25" s="659">
        <f>SUMIFS(KB[BRUTO],KB[TANGGAL],B25,KB[TYPE],"B",KB[TRANSPORT],"DARAT")</f>
        <v>0</v>
      </c>
      <c r="AU25" s="660">
        <f>SUMIFS(KB[TARRA],KB[TANGGAL],B25,KB[TYPE],"B",KB[TRANSPORT],"DARAT")</f>
        <v>0</v>
      </c>
      <c r="AV25" s="660">
        <f>SUMIFS(KB[NETTO],KB[TANGGAL],B25,KB[TYPE],"B",KB[TRANSPORT],"DARAT")</f>
        <v>0</v>
      </c>
      <c r="AW25" s="660">
        <f t="shared" si="23"/>
        <v>0</v>
      </c>
      <c r="AX25" s="660">
        <f>SUMIFS(KB[TPOT],KB[TANGGAL],B25,KB[TYPE],"B",KB[TRANSPORT],"DARAT")</f>
        <v>0</v>
      </c>
      <c r="AY25" s="660">
        <f>SUMIFS(KB[NETTO2],KB[TANGGAL],B25,KB[TYPE],"B",KB[TRANSPORT],"DARAT")</f>
        <v>0</v>
      </c>
      <c r="AZ25" s="660">
        <f t="shared" si="24"/>
        <v>0</v>
      </c>
      <c r="BA25" s="660">
        <f>SUMIFS(KB[TBAYAR],KB[TANGGAL],B25,KB[TYPE],"B",KB[TRANSPORT],"DARAT")</f>
        <v>0</v>
      </c>
      <c r="BB25" s="660">
        <f t="shared" si="25"/>
        <v>0</v>
      </c>
      <c r="BC25" s="660">
        <f t="shared" si="14"/>
        <v>0</v>
      </c>
      <c r="BD25" s="660">
        <f>SUMIFS(KB[TBAYAR2],KB[TANGGAL],B25,KB[TYPE],"B",KB[TRANSPORT],"DARAT")</f>
        <v>0</v>
      </c>
      <c r="BE25" s="660">
        <f>SUMIFS(KB[POTPPH],KB[TANGGAL],B25,KB[TYPE],"B",KB[TRANSPORT],"DARAT")</f>
        <v>0</v>
      </c>
      <c r="BF25" s="660">
        <f>SUMIFS(KB[TPEMBAYARAN],KB[TANGGAL],B25,KB[TYPE],"B",KB[TRANSPORT],"DARAT")</f>
        <v>0</v>
      </c>
      <c r="BG25" s="417"/>
      <c r="BH25" s="417"/>
      <c r="BI25" s="417"/>
      <c r="BJ25" s="417"/>
      <c r="BK25" s="417"/>
      <c r="BL25" s="417"/>
      <c r="BM25" s="417"/>
      <c r="BN25" s="417"/>
      <c r="BO25" s="417"/>
      <c r="BP25" s="417"/>
      <c r="BQ25" s="417"/>
      <c r="BR25" s="417"/>
      <c r="BS25" s="417"/>
      <c r="BT25" s="417"/>
      <c r="BU25" s="417"/>
      <c r="BV25" s="417"/>
      <c r="BW25" s="417"/>
      <c r="BX25" s="417"/>
      <c r="BY25" s="417"/>
      <c r="BZ25" s="417"/>
      <c r="CA25" s="417"/>
      <c r="CB25" s="417"/>
      <c r="CC25" s="417"/>
      <c r="CD25" s="417"/>
      <c r="CE25" s="417"/>
      <c r="CF25" s="417"/>
      <c r="CG25" s="417"/>
      <c r="CH25" s="417"/>
      <c r="CI25" s="417"/>
      <c r="CJ25" s="417"/>
      <c r="CK25" s="417"/>
      <c r="CL25" s="417"/>
      <c r="CM25" s="417"/>
    </row>
    <row r="26" spans="2:168" ht="24.95" customHeight="1">
      <c r="B26" s="645">
        <f t="shared" si="26"/>
        <v>43907</v>
      </c>
      <c r="C26" s="696"/>
      <c r="D26" s="659">
        <f>SUMIFS(KB[BRUTO],KB[TANGGAL],B26,KB[TYPE],"A",KB[TRANSPORT],"LAUT")</f>
        <v>6820</v>
      </c>
      <c r="E26" s="712">
        <f>SUMIFS(KB[TARRA],KB[TANGGAL],B26,KB[TYPE],"A",KB[TRANSPORT],"LAUT")</f>
        <v>3800</v>
      </c>
      <c r="F26" s="660">
        <f>SUMIFS(KB[NETTO],KB[TANGGAL],B26,KB[TYPE],"A",KB[TRANSPORT],"LAUT")</f>
        <v>3020</v>
      </c>
      <c r="G26" s="712">
        <f t="shared" si="27"/>
        <v>6</v>
      </c>
      <c r="H26" s="712">
        <f>SUMIFS(KB[TPOT],KB[TANGGAL],B26,KB[TYPE],"A",KB[TRANSPORT],"LAUT")</f>
        <v>181.2</v>
      </c>
      <c r="I26" s="712">
        <f>SUMIFS(KB[NETTO2],KB[TANGGAL],B26,KB[TYPE],"A",KB[TRANSPORT],"LAUT")</f>
        <v>2838.8</v>
      </c>
      <c r="J26" s="712">
        <f t="shared" si="28"/>
        <v>2950</v>
      </c>
      <c r="K26" s="712">
        <f>SUMIFS(KB[TBAYAR],KB[TANGGAL],B26,KB[TYPE],"A",KB[TRANSPORT],"LAUT")</f>
        <v>8374460</v>
      </c>
      <c r="L26" s="712">
        <f t="shared" si="29"/>
        <v>14.82</v>
      </c>
      <c r="M26" s="712">
        <f t="shared" si="12"/>
        <v>2964.8199943638156</v>
      </c>
      <c r="N26" s="712">
        <f>SUMIFS(KB[TBAYAR2],KB[TANGGAL],B26,KB[TYPE],"A",KB[TRANSPORT],"LAUT")</f>
        <v>8416531</v>
      </c>
      <c r="O26" s="712">
        <f>SUMIFS(KB[POTPPH],KB[TANGGAL],B26,KB[TYPE],"A",KB[TRANSPORT],"LAUT")</f>
        <v>42083</v>
      </c>
      <c r="P26" s="712">
        <f>SUMIFS(KB[TPEMBAYARAN],KB[TANGGAL],B26,KB[TYPE],"A",KB[TRANSPORT],"LAUT")</f>
        <v>8374448</v>
      </c>
      <c r="Q26" s="715"/>
      <c r="R26" s="659">
        <f>SUMIFS(KB[BRUTO],KB[TANGGAL],B26,KB[TYPE],"A",KB[TRANSPORT],"DARAT")</f>
        <v>34770</v>
      </c>
      <c r="S26" s="660">
        <f>SUMIFS(KB[TARRA],KB[TANGGAL],B26,KB[TYPE],"A",KB[TRANSPORT],"DARAT")</f>
        <v>15050</v>
      </c>
      <c r="T26" s="660">
        <f>SUMIFS(KB[NETTO],KB[TANGGAL],B26,KB[TYPE],"A",KB[TRANSPORT],"DARAT")</f>
        <v>19720</v>
      </c>
      <c r="U26" s="660">
        <f t="shared" si="18"/>
        <v>5</v>
      </c>
      <c r="V26" s="660">
        <f>SUMIFS(KB[TPOT],KB[TANGGAL],B26,KB[TYPE],"A",KB[TRANSPORT],"DARAT")</f>
        <v>986</v>
      </c>
      <c r="W26" s="660">
        <f>SUMIFS(KB[NETTO2],KB[TANGGAL],B26,KB[TYPE],"A",KB[TRANSPORT],"DARAT")</f>
        <v>18734</v>
      </c>
      <c r="X26" s="660">
        <f t="shared" si="19"/>
        <v>2925.4563894523326</v>
      </c>
      <c r="Y26" s="660">
        <f>SUMIFS(KB[TBAYAR],KB[TANGGAL],B26,KB[TYPE],"A",KB[TRANSPORT],"DARAT")</f>
        <v>54805500</v>
      </c>
      <c r="Z26" s="660">
        <f t="shared" si="20"/>
        <v>14.7</v>
      </c>
      <c r="AA26" s="660">
        <f t="shared" si="30"/>
        <v>2940.1561866125762</v>
      </c>
      <c r="AB26" s="660">
        <f>SUMIFS(KB[TBAYAR2],KB[TANGGAL],B26,KB[TYPE],"A",KB[TRANSPORT],"DARAT")</f>
        <v>55080886</v>
      </c>
      <c r="AC26" s="660">
        <f>SUMIFS(KB[POTPPH],KB[TANGGAL],B26,KB[TYPE],"A",KB[TRANSPORT],"DARAT")</f>
        <v>275405</v>
      </c>
      <c r="AD26" s="660">
        <f>SUMIFS(KB[TPEMBAYARAN],KB[TANGGAL],B26,KB[TYPE],"A",KB[TRANSPORT],"DARAT")</f>
        <v>54805481</v>
      </c>
      <c r="AE26" s="715"/>
      <c r="AF26" s="659">
        <f>SUMIFS(KB[BRUTO],KB[TANGGAL],B26,KB[TYPE],"B",KB[TRANSPORT],"LAUT")</f>
        <v>0</v>
      </c>
      <c r="AG26" s="712">
        <f>SUMIFS(KB[TARRA],KB[TANGGAL],B26,KB[TYPE],"B",KB[TRANSPORT],"LAUT")</f>
        <v>0</v>
      </c>
      <c r="AH26" s="712">
        <f>SUMIFS(KB[NETTO],KB[TANGGAL],B26,KB[TYPE],"B",KB[TRANSPORT],"LAUT")</f>
        <v>0</v>
      </c>
      <c r="AI26" s="712">
        <f t="shared" si="6"/>
        <v>0</v>
      </c>
      <c r="AJ26" s="712">
        <f>SUMIFS(KB[TPOT],KB[TANGGAL],B26,KB[TYPE],"B",KB[TRANSPORT],"LAUT")</f>
        <v>0</v>
      </c>
      <c r="AK26" s="712">
        <f>SUMIFS(KB[NETTO2],KB[TANGGAL],B26,KB[TYPE],"B",KB[TRANSPORT],"LAUT")</f>
        <v>0</v>
      </c>
      <c r="AL26" s="712">
        <f t="shared" si="21"/>
        <v>0</v>
      </c>
      <c r="AM26" s="712">
        <f>SUMIFS(KB[TBAYAR],KB[TANGGAL],B26,KB[TYPE],"B",KB[TRANSPORT],"LAUT")</f>
        <v>0</v>
      </c>
      <c r="AN26" s="716">
        <f t="shared" si="22"/>
        <v>0</v>
      </c>
      <c r="AO26" s="716">
        <f t="shared" si="13"/>
        <v>0</v>
      </c>
      <c r="AP26" s="712">
        <f>SUMIFS(KB[TBAYAR2],KB[TANGGAL],B26,KB[TYPE],"B",KB[TRANSPORT],"LAUT")</f>
        <v>0</v>
      </c>
      <c r="AQ26" s="712">
        <f>SUMIFS(KB[POTPPH],KB[TANGGAL],B26,KB[TYPE],"B",KB[TRANSPORT],"LAUT")</f>
        <v>0</v>
      </c>
      <c r="AR26" s="712">
        <f>SUMIFS(KB[TPEMBAYARAN],KB[TANGGAL],B26,KB[TYPE],"B",KB[TRANSPORT],"LAUT")</f>
        <v>0</v>
      </c>
      <c r="AS26" s="714"/>
      <c r="AT26" s="659">
        <f>SUMIFS(KB[BRUTO],KB[TANGGAL],B26,KB[TYPE],"B",KB[TRANSPORT],"DARAT")</f>
        <v>0</v>
      </c>
      <c r="AU26" s="660">
        <f>SUMIFS(KB[TARRA],KB[TANGGAL],B26,KB[TYPE],"B",KB[TRANSPORT],"DARAT")</f>
        <v>0</v>
      </c>
      <c r="AV26" s="660">
        <f>SUMIFS(KB[NETTO],KB[TANGGAL],B26,KB[TYPE],"B",KB[TRANSPORT],"DARAT")</f>
        <v>0</v>
      </c>
      <c r="AW26" s="660">
        <f t="shared" si="23"/>
        <v>0</v>
      </c>
      <c r="AX26" s="660">
        <f>SUMIFS(KB[TPOT],KB[TANGGAL],B26,KB[TYPE],"B",KB[TRANSPORT],"DARAT")</f>
        <v>0</v>
      </c>
      <c r="AY26" s="660">
        <f>SUMIFS(KB[NETTO2],KB[TANGGAL],B26,KB[TYPE],"B",KB[TRANSPORT],"DARAT")</f>
        <v>0</v>
      </c>
      <c r="AZ26" s="660">
        <f t="shared" si="24"/>
        <v>0</v>
      </c>
      <c r="BA26" s="660">
        <f>SUMIFS(KB[TBAYAR],KB[TANGGAL],B26,KB[TYPE],"B",KB[TRANSPORT],"DARAT")</f>
        <v>0</v>
      </c>
      <c r="BB26" s="660">
        <f t="shared" si="25"/>
        <v>0</v>
      </c>
      <c r="BC26" s="660">
        <f t="shared" si="14"/>
        <v>0</v>
      </c>
      <c r="BD26" s="660">
        <f>SUMIFS(KB[TBAYAR2],KB[TANGGAL],B26,KB[TYPE],"B",KB[TRANSPORT],"DARAT")</f>
        <v>0</v>
      </c>
      <c r="BE26" s="660">
        <f>SUMIFS(KB[POTPPH],KB[TANGGAL],B26,KB[TYPE],"B",KB[TRANSPORT],"DARAT")</f>
        <v>0</v>
      </c>
      <c r="BF26" s="660">
        <f>SUMIFS(KB[TPEMBAYARAN],KB[TANGGAL],B26,KB[TYPE],"B",KB[TRANSPORT],"DARAT")</f>
        <v>0</v>
      </c>
      <c r="BG26" s="417"/>
      <c r="BH26" s="417"/>
      <c r="BI26" s="417"/>
      <c r="BJ26" s="417"/>
      <c r="BK26" s="417"/>
      <c r="BL26" s="417"/>
      <c r="BM26" s="417"/>
      <c r="BN26" s="417"/>
      <c r="BO26" s="417"/>
      <c r="BP26" s="417"/>
      <c r="BQ26" s="417"/>
      <c r="BR26" s="417"/>
      <c r="BS26" s="417"/>
      <c r="BT26" s="417"/>
      <c r="BU26" s="417"/>
      <c r="BV26" s="417"/>
      <c r="BW26" s="417"/>
      <c r="BX26" s="417"/>
      <c r="BY26" s="417"/>
      <c r="BZ26" s="417"/>
      <c r="CA26" s="417"/>
      <c r="CB26" s="417"/>
      <c r="CC26" s="417"/>
      <c r="CD26" s="417"/>
      <c r="CE26" s="417"/>
      <c r="CF26" s="417"/>
      <c r="CG26" s="417"/>
      <c r="CH26" s="417"/>
      <c r="CI26" s="417"/>
      <c r="CJ26" s="417"/>
      <c r="CK26" s="417"/>
      <c r="CL26" s="417"/>
      <c r="CM26" s="417"/>
      <c r="EZ26" s="391">
        <v>0</v>
      </c>
      <c r="FA26" s="391">
        <v>3150</v>
      </c>
      <c r="FI26" s="391">
        <v>19800</v>
      </c>
      <c r="FJ26" s="391">
        <v>27460</v>
      </c>
    </row>
    <row r="27" spans="2:168" ht="24.95" customHeight="1">
      <c r="B27" s="645">
        <f t="shared" si="26"/>
        <v>43908</v>
      </c>
      <c r="C27" s="696"/>
      <c r="D27" s="659">
        <f>SUMIFS(KB[BRUTO],KB[TANGGAL],B27,KB[TYPE],"A",KB[TRANSPORT],"LAUT")</f>
        <v>21410</v>
      </c>
      <c r="E27" s="712">
        <f>SUMIFS(KB[TARRA],KB[TANGGAL],B27,KB[TYPE],"A",KB[TRANSPORT],"LAUT")</f>
        <v>11740</v>
      </c>
      <c r="F27" s="660">
        <f>SUMIFS(KB[NETTO],KB[TANGGAL],B27,KB[TYPE],"A",KB[TRANSPORT],"LAUT")</f>
        <v>9670</v>
      </c>
      <c r="G27" s="712">
        <f t="shared" si="27"/>
        <v>6</v>
      </c>
      <c r="H27" s="712">
        <f>SUMIFS(KB[TPOT],KB[TANGGAL],B27,KB[TYPE],"A",KB[TRANSPORT],"LAUT")</f>
        <v>580.20000000000005</v>
      </c>
      <c r="I27" s="712">
        <f>SUMIFS(KB[NETTO2],KB[TANGGAL],B27,KB[TYPE],"A",KB[TRANSPORT],"LAUT")</f>
        <v>9089.7999999999993</v>
      </c>
      <c r="J27" s="712">
        <f t="shared" si="28"/>
        <v>2950.0000000000005</v>
      </c>
      <c r="K27" s="712">
        <f>SUMIFS(KB[TBAYAR],KB[TANGGAL],B27,KB[TYPE],"A",KB[TRANSPORT],"LAUT")</f>
        <v>26814910</v>
      </c>
      <c r="L27" s="712">
        <f t="shared" si="29"/>
        <v>14.82</v>
      </c>
      <c r="M27" s="712">
        <f t="shared" si="12"/>
        <v>2964.8199080287795</v>
      </c>
      <c r="N27" s="712">
        <f>SUMIFS(KB[TBAYAR2],KB[TANGGAL],B27,KB[TYPE],"A",KB[TRANSPORT],"LAUT")</f>
        <v>26949620</v>
      </c>
      <c r="O27" s="712">
        <f>SUMIFS(KB[POTPPH],KB[TANGGAL],B27,KB[TYPE],"A",KB[TRANSPORT],"LAUT")</f>
        <v>134748</v>
      </c>
      <c r="P27" s="712">
        <f>SUMIFS(KB[TPEMBAYARAN],KB[TANGGAL],B27,KB[TYPE],"A",KB[TRANSPORT],"LAUT")</f>
        <v>26814872</v>
      </c>
      <c r="Q27" s="715"/>
      <c r="R27" s="659">
        <f>SUMIFS(KB[BRUTO],KB[TANGGAL],B27,KB[TYPE],"A",KB[TRANSPORT],"DARAT")</f>
        <v>54390</v>
      </c>
      <c r="S27" s="660">
        <f>SUMIFS(KB[TARRA],KB[TANGGAL],B27,KB[TYPE],"A",KB[TRANSPORT],"DARAT")</f>
        <v>21340</v>
      </c>
      <c r="T27" s="660">
        <f>SUMIFS(KB[NETTO],KB[TANGGAL],B27,KB[TYPE],"A",KB[TRANSPORT],"DARAT")</f>
        <v>33050</v>
      </c>
      <c r="U27" s="660">
        <f t="shared" si="18"/>
        <v>5.230257186081694</v>
      </c>
      <c r="V27" s="660">
        <f>SUMIFS(KB[TPOT],KB[TANGGAL],B27,KB[TYPE],"A",KB[TRANSPORT],"DARAT")</f>
        <v>1728.6</v>
      </c>
      <c r="W27" s="660">
        <f>SUMIFS(KB[NETTO2],KB[TANGGAL],B27,KB[TYPE],"A",KB[TRANSPORT],"DARAT")</f>
        <v>31321.4</v>
      </c>
      <c r="X27" s="660">
        <f t="shared" si="19"/>
        <v>2935.6082422880204</v>
      </c>
      <c r="Y27" s="660">
        <f>SUMIFS(KB[TBAYAR],KB[TANGGAL],B27,KB[TYPE],"A",KB[TRANSPORT],"DARAT")</f>
        <v>91947360</v>
      </c>
      <c r="Z27" s="660">
        <f t="shared" si="20"/>
        <v>14.75</v>
      </c>
      <c r="AA27" s="660">
        <f t="shared" si="30"/>
        <v>2950.3598498151423</v>
      </c>
      <c r="AB27" s="660">
        <f>SUMIFS(KB[TBAYAR2],KB[TANGGAL],B27,KB[TYPE],"A",KB[TRANSPORT],"DARAT")</f>
        <v>92409401</v>
      </c>
      <c r="AC27" s="660">
        <f>SUMIFS(KB[POTPPH],KB[TANGGAL],B27,KB[TYPE],"A",KB[TRANSPORT],"DARAT")</f>
        <v>462048</v>
      </c>
      <c r="AD27" s="660">
        <f>SUMIFS(KB[TPEMBAYARAN],KB[TANGGAL],B27,KB[TYPE],"A",KB[TRANSPORT],"DARAT")</f>
        <v>91947353</v>
      </c>
      <c r="AE27" s="715"/>
      <c r="AF27" s="659">
        <f>SUMIFS(KB[BRUTO],KB[TANGGAL],B27,KB[TYPE],"B",KB[TRANSPORT],"LAUT")</f>
        <v>0</v>
      </c>
      <c r="AG27" s="712">
        <f>SUMIFS(KB[TARRA],KB[TANGGAL],B27,KB[TYPE],"B",KB[TRANSPORT],"LAUT")</f>
        <v>0</v>
      </c>
      <c r="AH27" s="712">
        <f>SUMIFS(KB[NETTO],KB[TANGGAL],B27,KB[TYPE],"B",KB[TRANSPORT],"LAUT")</f>
        <v>0</v>
      </c>
      <c r="AI27" s="712">
        <f t="shared" si="6"/>
        <v>0</v>
      </c>
      <c r="AJ27" s="712">
        <f>SUMIFS(KB[TPOT],KB[TANGGAL],B27,KB[TYPE],"B",KB[TRANSPORT],"LAUT")</f>
        <v>0</v>
      </c>
      <c r="AK27" s="712">
        <f>SUMIFS(KB[NETTO2],KB[TANGGAL],B27,KB[TYPE],"B",KB[TRANSPORT],"LAUT")</f>
        <v>0</v>
      </c>
      <c r="AL27" s="712">
        <f t="shared" si="21"/>
        <v>0</v>
      </c>
      <c r="AM27" s="712">
        <f>SUMIFS(KB[TBAYAR],KB[TANGGAL],B27,KB[TYPE],"B",KB[TRANSPORT],"LAUT")</f>
        <v>0</v>
      </c>
      <c r="AN27" s="716">
        <f t="shared" si="22"/>
        <v>0</v>
      </c>
      <c r="AO27" s="716">
        <f t="shared" si="13"/>
        <v>0</v>
      </c>
      <c r="AP27" s="712">
        <f>SUMIFS(KB[TBAYAR2],KB[TANGGAL],B27,KB[TYPE],"B",KB[TRANSPORT],"LAUT")</f>
        <v>0</v>
      </c>
      <c r="AQ27" s="712">
        <f>SUMIFS(KB[POTPPH],KB[TANGGAL],B27,KB[TYPE],"B",KB[TRANSPORT],"LAUT")</f>
        <v>0</v>
      </c>
      <c r="AR27" s="712">
        <f>SUMIFS(KB[TPEMBAYARAN],KB[TANGGAL],B27,KB[TYPE],"B",KB[TRANSPORT],"LAUT")</f>
        <v>0</v>
      </c>
      <c r="AS27" s="714"/>
      <c r="AT27" s="659">
        <f>SUMIFS(KB[BRUTO],KB[TANGGAL],B27,KB[TYPE],"B",KB[TRANSPORT],"DARAT")</f>
        <v>0</v>
      </c>
      <c r="AU27" s="660">
        <f>SUMIFS(KB[TARRA],KB[TANGGAL],B27,KB[TYPE],"B",KB[TRANSPORT],"DARAT")</f>
        <v>0</v>
      </c>
      <c r="AV27" s="660">
        <f>SUMIFS(KB[NETTO],KB[TANGGAL],B27,KB[TYPE],"B",KB[TRANSPORT],"DARAT")</f>
        <v>0</v>
      </c>
      <c r="AW27" s="660">
        <f t="shared" si="23"/>
        <v>0</v>
      </c>
      <c r="AX27" s="660">
        <f>SUMIFS(KB[TPOT],KB[TANGGAL],B27,KB[TYPE],"B",KB[TRANSPORT],"DARAT")</f>
        <v>0</v>
      </c>
      <c r="AY27" s="660">
        <f>SUMIFS(KB[NETTO2],KB[TANGGAL],B27,KB[TYPE],"B",KB[TRANSPORT],"DARAT")</f>
        <v>0</v>
      </c>
      <c r="AZ27" s="660">
        <f t="shared" si="24"/>
        <v>0</v>
      </c>
      <c r="BA27" s="660">
        <f>SUMIFS(KB[TBAYAR],KB[TANGGAL],B27,KB[TYPE],"B",KB[TRANSPORT],"DARAT")</f>
        <v>0</v>
      </c>
      <c r="BB27" s="660">
        <f t="shared" si="25"/>
        <v>0</v>
      </c>
      <c r="BC27" s="660">
        <f t="shared" si="14"/>
        <v>0</v>
      </c>
      <c r="BD27" s="660">
        <f>SUMIFS(KB[TBAYAR2],KB[TANGGAL],B27,KB[TYPE],"B",KB[TRANSPORT],"DARAT")</f>
        <v>0</v>
      </c>
      <c r="BE27" s="660">
        <f>SUMIFS(KB[POTPPH],KB[TANGGAL],B27,KB[TYPE],"B",KB[TRANSPORT],"DARAT")</f>
        <v>0</v>
      </c>
      <c r="BF27" s="660">
        <f>SUMIFS(KB[TPEMBAYARAN],KB[TANGGAL],B27,KB[TYPE],"B",KB[TRANSPORT],"DARAT")</f>
        <v>0</v>
      </c>
      <c r="BG27" s="417"/>
      <c r="BH27" s="417"/>
      <c r="BI27" s="417"/>
      <c r="BJ27" s="417"/>
      <c r="BK27" s="417"/>
      <c r="BL27" s="417"/>
      <c r="BM27" s="417"/>
      <c r="BN27" s="417"/>
      <c r="BO27" s="417"/>
      <c r="BP27" s="417"/>
      <c r="BQ27" s="417"/>
      <c r="BR27" s="417"/>
      <c r="BS27" s="417"/>
      <c r="BT27" s="417"/>
      <c r="BU27" s="417"/>
      <c r="BV27" s="417"/>
      <c r="BW27" s="417"/>
      <c r="BX27" s="417"/>
      <c r="BY27" s="417"/>
      <c r="BZ27" s="417"/>
      <c r="CA27" s="417"/>
      <c r="CB27" s="417"/>
      <c r="CC27" s="417"/>
      <c r="CD27" s="417"/>
      <c r="CE27" s="417"/>
      <c r="CF27" s="417"/>
      <c r="CG27" s="417"/>
      <c r="CH27" s="417"/>
      <c r="CI27" s="417"/>
      <c r="CJ27" s="417"/>
      <c r="CK27" s="417"/>
      <c r="CL27" s="417"/>
      <c r="CM27" s="417"/>
      <c r="EZ27" s="391">
        <v>0</v>
      </c>
      <c r="FA27" s="391">
        <v>3540</v>
      </c>
      <c r="FI27" s="391">
        <v>20430</v>
      </c>
      <c r="FJ27" s="391">
        <v>23470</v>
      </c>
    </row>
    <row r="28" spans="2:168" ht="24.95" customHeight="1">
      <c r="B28" s="645">
        <f t="shared" si="26"/>
        <v>43909</v>
      </c>
      <c r="C28" s="696"/>
      <c r="D28" s="659">
        <f>SUMIFS(KB[BRUTO],KB[TANGGAL],B28,KB[TYPE],"A",KB[TRANSPORT],"LAUT")</f>
        <v>13240</v>
      </c>
      <c r="E28" s="712">
        <f>SUMIFS(KB[TARRA],KB[TANGGAL],B28,KB[TYPE],"A",KB[TRANSPORT],"LAUT")</f>
        <v>7840</v>
      </c>
      <c r="F28" s="660">
        <f>SUMIFS(KB[NETTO],KB[TANGGAL],B28,KB[TYPE],"A",KB[TRANSPORT],"LAUT")</f>
        <v>5400</v>
      </c>
      <c r="G28" s="712">
        <f t="shared" si="27"/>
        <v>6</v>
      </c>
      <c r="H28" s="712">
        <f>SUMIFS(KB[TPOT],KB[TANGGAL],B28,KB[TYPE],"A",KB[TRANSPORT],"LAUT")</f>
        <v>324</v>
      </c>
      <c r="I28" s="712">
        <f>SUMIFS(KB[NETTO2],KB[TANGGAL],B28,KB[TYPE],"A",KB[TRANSPORT],"LAUT")</f>
        <v>5076</v>
      </c>
      <c r="J28" s="712">
        <f t="shared" si="28"/>
        <v>2950</v>
      </c>
      <c r="K28" s="712">
        <f>SUMIFS(KB[TBAYAR],KB[TANGGAL],B28,KB[TYPE],"A",KB[TRANSPORT],"LAUT")</f>
        <v>14974200</v>
      </c>
      <c r="L28" s="712">
        <f t="shared" si="29"/>
        <v>14.82</v>
      </c>
      <c r="M28" s="712">
        <f t="shared" si="12"/>
        <v>2964.8201339637508</v>
      </c>
      <c r="N28" s="712">
        <f>SUMIFS(KB[TBAYAR2],KB[TANGGAL],B28,KB[TYPE],"A",KB[TRANSPORT],"LAUT")</f>
        <v>15049427</v>
      </c>
      <c r="O28" s="712">
        <f>SUMIFS(KB[POTPPH],KB[TANGGAL],B28,KB[TYPE],"A",KB[TRANSPORT],"LAUT")</f>
        <v>75247</v>
      </c>
      <c r="P28" s="712">
        <f>SUMIFS(KB[TPEMBAYARAN],KB[TANGGAL],B28,KB[TYPE],"A",KB[TRANSPORT],"LAUT")</f>
        <v>14974180</v>
      </c>
      <c r="Q28" s="715"/>
      <c r="R28" s="659">
        <f>SUMIFS(KB[BRUTO],KB[TANGGAL],B28,KB[TYPE],"A",KB[TRANSPORT],"DARAT")</f>
        <v>54770</v>
      </c>
      <c r="S28" s="660">
        <f>SUMIFS(KB[TARRA],KB[TANGGAL],B28,KB[TYPE],"A",KB[TRANSPORT],"DARAT")</f>
        <v>20560</v>
      </c>
      <c r="T28" s="660">
        <f>SUMIFS(KB[NETTO],KB[TANGGAL],B28,KB[TYPE],"A",KB[TRANSPORT],"DARAT")</f>
        <v>34210</v>
      </c>
      <c r="U28" s="660">
        <f t="shared" si="18"/>
        <v>5</v>
      </c>
      <c r="V28" s="660">
        <f>SUMIFS(KB[TPOT],KB[TANGGAL],B28,KB[TYPE],"A",KB[TRANSPORT],"DARAT")</f>
        <v>1710.5</v>
      </c>
      <c r="W28" s="660">
        <f>SUMIFS(KB[NETTO2],KB[TANGGAL],B28,KB[TYPE],"A",KB[TRANSPORT],"DARAT")</f>
        <v>32499.5</v>
      </c>
      <c r="X28" s="660">
        <f t="shared" si="19"/>
        <v>2924.43729903537</v>
      </c>
      <c r="Y28" s="660">
        <f>SUMIFS(KB[TBAYAR],KB[TANGGAL],B28,KB[TYPE],"A",KB[TRANSPORT],"DARAT")</f>
        <v>95042750</v>
      </c>
      <c r="Z28" s="660">
        <f t="shared" si="20"/>
        <v>14.7</v>
      </c>
      <c r="AA28" s="660">
        <f t="shared" si="30"/>
        <v>2939.131894336836</v>
      </c>
      <c r="AB28" s="660">
        <f>SUMIFS(KB[TBAYAR2],KB[TANGGAL],B28,KB[TYPE],"A",KB[TRANSPORT],"DARAT")</f>
        <v>95520317</v>
      </c>
      <c r="AC28" s="660">
        <f>SUMIFS(KB[POTPPH],KB[TANGGAL],B28,KB[TYPE],"A",KB[TRANSPORT],"DARAT")</f>
        <v>477601</v>
      </c>
      <c r="AD28" s="660">
        <f>SUMIFS(KB[TPEMBAYARAN],KB[TANGGAL],B28,KB[TYPE],"A",KB[TRANSPORT],"DARAT")</f>
        <v>95042716</v>
      </c>
      <c r="AE28" s="715"/>
      <c r="AF28" s="659">
        <f>SUMIFS(KB[BRUTO],KB[TANGGAL],B28,KB[TYPE],"B",KB[TRANSPORT],"LAUT")</f>
        <v>0</v>
      </c>
      <c r="AG28" s="712">
        <f>SUMIFS(KB[TARRA],KB[TANGGAL],B28,KB[TYPE],"B",KB[TRANSPORT],"LAUT")</f>
        <v>0</v>
      </c>
      <c r="AH28" s="712">
        <f>SUMIFS(KB[NETTO],KB[TANGGAL],B28,KB[TYPE],"B",KB[TRANSPORT],"LAUT")</f>
        <v>0</v>
      </c>
      <c r="AI28" s="712">
        <f t="shared" si="6"/>
        <v>0</v>
      </c>
      <c r="AJ28" s="712">
        <f>SUMIFS(KB[TPOT],KB[TANGGAL],B28,KB[TYPE],"B",KB[TRANSPORT],"LAUT")</f>
        <v>0</v>
      </c>
      <c r="AK28" s="712">
        <f>SUMIFS(KB[NETTO2],KB[TANGGAL],B28,KB[TYPE],"B",KB[TRANSPORT],"LAUT")</f>
        <v>0</v>
      </c>
      <c r="AL28" s="712">
        <f t="shared" si="21"/>
        <v>0</v>
      </c>
      <c r="AM28" s="712">
        <f>SUMIFS(KB[TBAYAR],KB[TANGGAL],B28,KB[TYPE],"B",KB[TRANSPORT],"LAUT")</f>
        <v>0</v>
      </c>
      <c r="AN28" s="716">
        <f t="shared" si="22"/>
        <v>0</v>
      </c>
      <c r="AO28" s="716">
        <f t="shared" si="13"/>
        <v>0</v>
      </c>
      <c r="AP28" s="712">
        <f>SUMIFS(KB[TBAYAR2],KB[TANGGAL],B28,KB[TYPE],"B",KB[TRANSPORT],"LAUT")</f>
        <v>0</v>
      </c>
      <c r="AQ28" s="712">
        <f>SUMIFS(KB[POTPPH],KB[TANGGAL],B28,KB[TYPE],"B",KB[TRANSPORT],"LAUT")</f>
        <v>0</v>
      </c>
      <c r="AR28" s="712">
        <f>SUMIFS(KB[TPEMBAYARAN],KB[TANGGAL],B28,KB[TYPE],"B",KB[TRANSPORT],"LAUT")</f>
        <v>0</v>
      </c>
      <c r="AS28" s="714"/>
      <c r="AT28" s="659">
        <f>SUMIFS(KB[BRUTO],KB[TANGGAL],B28,KB[TYPE],"B",KB[TRANSPORT],"DARAT")</f>
        <v>0</v>
      </c>
      <c r="AU28" s="660">
        <f>SUMIFS(KB[TARRA],KB[TANGGAL],B28,KB[TYPE],"B",KB[TRANSPORT],"DARAT")</f>
        <v>0</v>
      </c>
      <c r="AV28" s="660">
        <f>SUMIFS(KB[NETTO],KB[TANGGAL],B28,KB[TYPE],"B",KB[TRANSPORT],"DARAT")</f>
        <v>0</v>
      </c>
      <c r="AW28" s="660">
        <f t="shared" si="23"/>
        <v>0</v>
      </c>
      <c r="AX28" s="660">
        <f>SUMIFS(KB[TPOT],KB[TANGGAL],B28,KB[TYPE],"B",KB[TRANSPORT],"DARAT")</f>
        <v>0</v>
      </c>
      <c r="AY28" s="660">
        <f>SUMIFS(KB[NETTO2],KB[TANGGAL],B28,KB[TYPE],"B",KB[TRANSPORT],"DARAT")</f>
        <v>0</v>
      </c>
      <c r="AZ28" s="660">
        <f t="shared" si="24"/>
        <v>0</v>
      </c>
      <c r="BA28" s="660">
        <f>SUMIFS(KB[TBAYAR],KB[TANGGAL],B28,KB[TYPE],"B",KB[TRANSPORT],"DARAT")</f>
        <v>0</v>
      </c>
      <c r="BB28" s="660">
        <f t="shared" si="25"/>
        <v>0</v>
      </c>
      <c r="BC28" s="660">
        <f t="shared" si="14"/>
        <v>0</v>
      </c>
      <c r="BD28" s="660">
        <f>SUMIFS(KB[TBAYAR2],KB[TANGGAL],B28,KB[TYPE],"B",KB[TRANSPORT],"DARAT")</f>
        <v>0</v>
      </c>
      <c r="BE28" s="660">
        <f>SUMIFS(KB[POTPPH],KB[TANGGAL],B28,KB[TYPE],"B",KB[TRANSPORT],"DARAT")</f>
        <v>0</v>
      </c>
      <c r="BF28" s="660">
        <f>SUMIFS(KB[TPEMBAYARAN],KB[TANGGAL],B28,KB[TYPE],"B",KB[TRANSPORT],"DARAT")</f>
        <v>0</v>
      </c>
      <c r="BG28" s="417"/>
      <c r="BH28" s="417"/>
      <c r="BI28" s="417"/>
      <c r="BJ28" s="417"/>
      <c r="BK28" s="417"/>
      <c r="BL28" s="417"/>
      <c r="BM28" s="417"/>
      <c r="BN28" s="417"/>
      <c r="BO28" s="417"/>
      <c r="BP28" s="417"/>
      <c r="BQ28" s="417"/>
      <c r="BR28" s="417"/>
      <c r="BS28" s="417"/>
      <c r="BT28" s="417"/>
      <c r="BU28" s="417"/>
      <c r="BV28" s="417"/>
      <c r="BW28" s="417"/>
      <c r="BX28" s="417"/>
      <c r="BY28" s="417"/>
      <c r="BZ28" s="417"/>
      <c r="CA28" s="417"/>
      <c r="CB28" s="417"/>
      <c r="CC28" s="417"/>
      <c r="CD28" s="417"/>
      <c r="CE28" s="417"/>
      <c r="CF28" s="417"/>
      <c r="CG28" s="417"/>
      <c r="CH28" s="417"/>
      <c r="CI28" s="417"/>
      <c r="CJ28" s="417"/>
      <c r="CK28" s="417"/>
      <c r="CL28" s="417"/>
      <c r="CM28" s="417"/>
      <c r="FA28" s="391">
        <v>5690</v>
      </c>
      <c r="FI28" s="391">
        <v>21300</v>
      </c>
      <c r="FJ28" s="391">
        <v>26030</v>
      </c>
      <c r="FL28" s="391">
        <v>52090</v>
      </c>
    </row>
    <row r="29" spans="2:168" ht="24.95" customHeight="1">
      <c r="B29" s="645">
        <f t="shared" si="26"/>
        <v>43910</v>
      </c>
      <c r="C29" s="696"/>
      <c r="D29" s="659">
        <f>SUMIFS(KB[BRUTO],KB[TANGGAL],B29,KB[TYPE],"A",KB[TRANSPORT],"LAUT")</f>
        <v>5320</v>
      </c>
      <c r="E29" s="712">
        <f>SUMIFS(KB[TARRA],KB[TANGGAL],B29,KB[TYPE],"A",KB[TRANSPORT],"LAUT")</f>
        <v>3800</v>
      </c>
      <c r="F29" s="660">
        <f>SUMIFS(KB[NETTO],KB[TANGGAL],B29,KB[TYPE],"A",KB[TRANSPORT],"LAUT")</f>
        <v>1520</v>
      </c>
      <c r="G29" s="712">
        <f t="shared" si="27"/>
        <v>6.0000000000000009</v>
      </c>
      <c r="H29" s="712">
        <f>SUMIFS(KB[TPOT],KB[TANGGAL],B29,KB[TYPE],"A",KB[TRANSPORT],"LAUT")</f>
        <v>91.2</v>
      </c>
      <c r="I29" s="712">
        <f>SUMIFS(KB[NETTO2],KB[TANGGAL],B29,KB[TYPE],"A",KB[TRANSPORT],"LAUT")</f>
        <v>1428.8</v>
      </c>
      <c r="J29" s="712">
        <f t="shared" si="28"/>
        <v>2950</v>
      </c>
      <c r="K29" s="712">
        <f>SUMIFS(KB[TBAYAR],KB[TANGGAL],B29,KB[TYPE],"A",KB[TRANSPORT],"LAUT")</f>
        <v>4214960</v>
      </c>
      <c r="L29" s="712">
        <f t="shared" si="29"/>
        <v>14.82</v>
      </c>
      <c r="M29" s="712">
        <f t="shared" si="12"/>
        <v>2964.8201287793954</v>
      </c>
      <c r="N29" s="712">
        <f>SUMIFS(KB[TBAYAR2],KB[TANGGAL],B29,KB[TYPE],"A",KB[TRANSPORT],"LAUT")</f>
        <v>4236135</v>
      </c>
      <c r="O29" s="712">
        <f>SUMIFS(KB[POTPPH],KB[TANGGAL],B29,KB[TYPE],"A",KB[TRANSPORT],"LAUT")</f>
        <v>21181</v>
      </c>
      <c r="P29" s="712">
        <f>SUMIFS(KB[TPEMBAYARAN],KB[TANGGAL],B29,KB[TYPE],"A",KB[TRANSPORT],"LAUT")</f>
        <v>4214954</v>
      </c>
      <c r="Q29" s="715"/>
      <c r="R29" s="659">
        <f>SUMIFS(KB[BRUTO],KB[TANGGAL],B29,KB[TYPE],"A",KB[TRANSPORT],"DARAT")</f>
        <v>40110</v>
      </c>
      <c r="S29" s="660">
        <f>SUMIFS(KB[TARRA],KB[TANGGAL],B29,KB[TYPE],"A",KB[TRANSPORT],"DARAT")</f>
        <v>14860</v>
      </c>
      <c r="T29" s="660">
        <f>SUMIFS(KB[NETTO],KB[TANGGAL],B29,KB[TYPE],"A",KB[TRANSPORT],"DARAT")</f>
        <v>25250</v>
      </c>
      <c r="U29" s="660">
        <f t="shared" si="18"/>
        <v>5</v>
      </c>
      <c r="V29" s="660">
        <f>SUMIFS(KB[TPOT],KB[TANGGAL],B29,KB[TYPE],"A",KB[TRANSPORT],"DARAT")</f>
        <v>1262.5</v>
      </c>
      <c r="W29" s="660">
        <f>SUMIFS(KB[NETTO2],KB[TANGGAL],B29,KB[TYPE],"A",KB[TRANSPORT],"DARAT")</f>
        <v>23987.5</v>
      </c>
      <c r="X29" s="660">
        <f t="shared" si="19"/>
        <v>2900</v>
      </c>
      <c r="Y29" s="660">
        <f>SUMIFS(KB[TBAYAR],KB[TANGGAL],B29,KB[TYPE],"A",KB[TRANSPORT],"DARAT")</f>
        <v>69563750</v>
      </c>
      <c r="Z29" s="660">
        <f t="shared" si="20"/>
        <v>14.57</v>
      </c>
      <c r="AA29" s="660">
        <f t="shared" si="30"/>
        <v>2914.5699635226679</v>
      </c>
      <c r="AB29" s="660">
        <f>SUMIFS(KB[TBAYAR2],KB[TANGGAL],B29,KB[TYPE],"A",KB[TRANSPORT],"DARAT")</f>
        <v>69913247</v>
      </c>
      <c r="AC29" s="660">
        <f>SUMIFS(KB[POTPPH],KB[TANGGAL],B29,KB[TYPE],"A",KB[TRANSPORT],"DARAT")</f>
        <v>349565</v>
      </c>
      <c r="AD29" s="660">
        <f>SUMIFS(KB[TPEMBAYARAN],KB[TANGGAL],B29,KB[TYPE],"A",KB[TRANSPORT],"DARAT")</f>
        <v>69563682</v>
      </c>
      <c r="AE29" s="715"/>
      <c r="AF29" s="659">
        <f>SUMIFS(KB[BRUTO],KB[TANGGAL],B29,KB[TYPE],"B",KB[TRANSPORT],"LAUT")</f>
        <v>0</v>
      </c>
      <c r="AG29" s="712">
        <f>SUMIFS(KB[TARRA],KB[TANGGAL],B29,KB[TYPE],"B",KB[TRANSPORT],"LAUT")</f>
        <v>0</v>
      </c>
      <c r="AH29" s="712">
        <f>SUMIFS(KB[NETTO],KB[TANGGAL],B29,KB[TYPE],"B",KB[TRANSPORT],"LAUT")</f>
        <v>0</v>
      </c>
      <c r="AI29" s="712">
        <f t="shared" si="6"/>
        <v>0</v>
      </c>
      <c r="AJ29" s="712">
        <f>SUMIFS(KB[TPOT],KB[TANGGAL],B29,KB[TYPE],"B",KB[TRANSPORT],"LAUT")</f>
        <v>0</v>
      </c>
      <c r="AK29" s="712">
        <f>SUMIFS(KB[NETTO2],KB[TANGGAL],B29,KB[TYPE],"B",KB[TRANSPORT],"LAUT")</f>
        <v>0</v>
      </c>
      <c r="AL29" s="712">
        <f t="shared" si="21"/>
        <v>0</v>
      </c>
      <c r="AM29" s="712">
        <f>SUMIFS(KB[TBAYAR],KB[TANGGAL],B29,KB[TYPE],"B",KB[TRANSPORT],"LAUT")</f>
        <v>0</v>
      </c>
      <c r="AN29" s="716">
        <f t="shared" si="22"/>
        <v>0</v>
      </c>
      <c r="AO29" s="716">
        <f t="shared" si="13"/>
        <v>0</v>
      </c>
      <c r="AP29" s="712">
        <f>SUMIFS(KB[TBAYAR2],KB[TANGGAL],B29,KB[TYPE],"B",KB[TRANSPORT],"LAUT")</f>
        <v>0</v>
      </c>
      <c r="AQ29" s="712">
        <f>SUMIFS(KB[POTPPH],KB[TANGGAL],B29,KB[TYPE],"B",KB[TRANSPORT],"LAUT")</f>
        <v>0</v>
      </c>
      <c r="AR29" s="712">
        <f>SUMIFS(KB[TPEMBAYARAN],KB[TANGGAL],B29,KB[TYPE],"B",KB[TRANSPORT],"LAUT")</f>
        <v>0</v>
      </c>
      <c r="AS29" s="714"/>
      <c r="AT29" s="659">
        <f>SUMIFS(KB[BRUTO],KB[TANGGAL],B29,KB[TYPE],"B",KB[TRANSPORT],"DARAT")</f>
        <v>0</v>
      </c>
      <c r="AU29" s="660">
        <f>SUMIFS(KB[TARRA],KB[TANGGAL],B29,KB[TYPE],"B",KB[TRANSPORT],"DARAT")</f>
        <v>0</v>
      </c>
      <c r="AV29" s="660">
        <f>SUMIFS(KB[NETTO],KB[TANGGAL],B29,KB[TYPE],"B",KB[TRANSPORT],"DARAT")</f>
        <v>0</v>
      </c>
      <c r="AW29" s="660">
        <f t="shared" si="23"/>
        <v>0</v>
      </c>
      <c r="AX29" s="660">
        <f>SUMIFS(KB[TPOT],KB[TANGGAL],B29,KB[TYPE],"B",KB[TRANSPORT],"DARAT")</f>
        <v>0</v>
      </c>
      <c r="AY29" s="660">
        <f>SUMIFS(KB[NETTO2],KB[TANGGAL],B29,KB[TYPE],"B",KB[TRANSPORT],"DARAT")</f>
        <v>0</v>
      </c>
      <c r="AZ29" s="660">
        <f t="shared" si="24"/>
        <v>0</v>
      </c>
      <c r="BA29" s="660">
        <f>SUMIFS(KB[TBAYAR],KB[TANGGAL],B29,KB[TYPE],"B",KB[TRANSPORT],"DARAT")</f>
        <v>0</v>
      </c>
      <c r="BB29" s="660">
        <f t="shared" si="25"/>
        <v>0</v>
      </c>
      <c r="BC29" s="660">
        <f t="shared" si="14"/>
        <v>0</v>
      </c>
      <c r="BD29" s="660">
        <f>SUMIFS(KB[TBAYAR2],KB[TANGGAL],B29,KB[TYPE],"B",KB[TRANSPORT],"DARAT")</f>
        <v>0</v>
      </c>
      <c r="BE29" s="660">
        <f>SUMIFS(KB[POTPPH],KB[TANGGAL],B29,KB[TYPE],"B",KB[TRANSPORT],"DARAT")</f>
        <v>0</v>
      </c>
      <c r="BF29" s="660">
        <f>SUMIFS(KB[TPEMBAYARAN],KB[TANGGAL],B29,KB[TYPE],"B",KB[TRANSPORT],"DARAT")</f>
        <v>0</v>
      </c>
      <c r="BG29" s="417"/>
      <c r="BH29" s="417"/>
      <c r="BI29" s="417"/>
      <c r="BJ29" s="417"/>
      <c r="BK29" s="417"/>
      <c r="BL29" s="417"/>
      <c r="BM29" s="417"/>
      <c r="BN29" s="417"/>
      <c r="BO29" s="417"/>
      <c r="BP29" s="417"/>
      <c r="BQ29" s="417"/>
      <c r="BR29" s="417"/>
      <c r="BS29" s="417"/>
      <c r="BT29" s="417"/>
      <c r="BU29" s="417"/>
      <c r="BV29" s="417"/>
      <c r="BW29" s="417"/>
      <c r="BX29" s="417"/>
      <c r="BY29" s="417"/>
      <c r="BZ29" s="417"/>
      <c r="CA29" s="417"/>
      <c r="CB29" s="417"/>
      <c r="CC29" s="417"/>
      <c r="CD29" s="417"/>
      <c r="CE29" s="417"/>
      <c r="CF29" s="417"/>
      <c r="CG29" s="417"/>
      <c r="CH29" s="417"/>
      <c r="CI29" s="417"/>
      <c r="CJ29" s="417"/>
      <c r="CK29" s="417"/>
      <c r="CL29" s="417"/>
      <c r="CM29" s="417"/>
      <c r="EZ29" s="391">
        <v>0</v>
      </c>
      <c r="FA29" s="391">
        <v>2440</v>
      </c>
      <c r="FI29" s="391">
        <v>20870</v>
      </c>
      <c r="FJ29" s="391">
        <v>40350</v>
      </c>
      <c r="FL29" s="391">
        <v>59780</v>
      </c>
    </row>
    <row r="30" spans="2:168" ht="24.95" customHeight="1">
      <c r="B30" s="645">
        <f t="shared" si="26"/>
        <v>43911</v>
      </c>
      <c r="C30" s="696"/>
      <c r="D30" s="659">
        <f>SUMIFS(KB[BRUTO],KB[TANGGAL],B30,KB[TYPE],"A",KB[TRANSPORT],"LAUT")</f>
        <v>0</v>
      </c>
      <c r="E30" s="712">
        <f>SUMIFS(KB[TARRA],KB[TANGGAL],B30,KB[TYPE],"A",KB[TRANSPORT],"LAUT")</f>
        <v>0</v>
      </c>
      <c r="F30" s="660">
        <f>SUMIFS(KB[NETTO],KB[TANGGAL],B30,KB[TYPE],"A",KB[TRANSPORT],"LAUT")</f>
        <v>0</v>
      </c>
      <c r="G30" s="712">
        <f t="shared" si="27"/>
        <v>0</v>
      </c>
      <c r="H30" s="712">
        <f>SUMIFS(KB[TPOT],KB[TANGGAL],B30,KB[TYPE],"A",KB[TRANSPORT],"LAUT")</f>
        <v>0</v>
      </c>
      <c r="I30" s="712">
        <f>SUMIFS(KB[NETTO2],KB[TANGGAL],B30,KB[TYPE],"A",KB[TRANSPORT],"LAUT")</f>
        <v>0</v>
      </c>
      <c r="J30" s="712">
        <f t="shared" si="28"/>
        <v>0</v>
      </c>
      <c r="K30" s="712">
        <f>SUMIFS(KB[TBAYAR],KB[TANGGAL],B30,KB[TYPE],"A",KB[TRANSPORT],"LAUT")</f>
        <v>0</v>
      </c>
      <c r="L30" s="712">
        <f t="shared" si="29"/>
        <v>0</v>
      </c>
      <c r="M30" s="712">
        <f t="shared" si="12"/>
        <v>0</v>
      </c>
      <c r="N30" s="712">
        <f>SUMIFS(KB[TBAYAR2],KB[TANGGAL],B30,KB[TYPE],"A",KB[TRANSPORT],"LAUT")</f>
        <v>0</v>
      </c>
      <c r="O30" s="712">
        <f>SUMIFS(KB[POTPPH],KB[TANGGAL],B30,KB[TYPE],"A",KB[TRANSPORT],"LAUT")</f>
        <v>0</v>
      </c>
      <c r="P30" s="712">
        <f>SUMIFS(KB[TPEMBAYARAN],KB[TANGGAL],B30,KB[TYPE],"A",KB[TRANSPORT],"LAUT")</f>
        <v>0</v>
      </c>
      <c r="Q30" s="715"/>
      <c r="R30" s="659">
        <f>SUMIFS(KB[BRUTO],KB[TANGGAL],B30,KB[TYPE],"A",KB[TRANSPORT],"DARAT")</f>
        <v>46670</v>
      </c>
      <c r="S30" s="660">
        <f>SUMIFS(KB[TARRA],KB[TANGGAL],B30,KB[TYPE],"A",KB[TRANSPORT],"DARAT")</f>
        <v>16670</v>
      </c>
      <c r="T30" s="660">
        <f>SUMIFS(KB[NETTO],KB[TANGGAL],B30,KB[TYPE],"A",KB[TRANSPORT],"DARAT")</f>
        <v>30000</v>
      </c>
      <c r="U30" s="660">
        <f t="shared" si="18"/>
        <v>5</v>
      </c>
      <c r="V30" s="660">
        <f>SUMIFS(KB[TPOT],KB[TANGGAL],B30,KB[TYPE],"A",KB[TRANSPORT],"DARAT")</f>
        <v>1500</v>
      </c>
      <c r="W30" s="660">
        <f>SUMIFS(KB[NETTO2],KB[TANGGAL],B30,KB[TYPE],"A",KB[TRANSPORT],"DARAT")</f>
        <v>28500</v>
      </c>
      <c r="X30" s="660">
        <f t="shared" si="19"/>
        <v>2900</v>
      </c>
      <c r="Y30" s="660">
        <f>SUMIFS(KB[TBAYAR],KB[TANGGAL],B30,KB[TYPE],"A",KB[TRANSPORT],"DARAT")</f>
        <v>82650000</v>
      </c>
      <c r="Z30" s="660">
        <f t="shared" si="20"/>
        <v>14.57</v>
      </c>
      <c r="AA30" s="660">
        <f t="shared" si="30"/>
        <v>2914.5700350877191</v>
      </c>
      <c r="AB30" s="660">
        <f>SUMIFS(KB[TBAYAR2],KB[TANGGAL],B30,KB[TYPE],"A",KB[TRANSPORT],"DARAT")</f>
        <v>83065246</v>
      </c>
      <c r="AC30" s="660">
        <f>SUMIFS(KB[POTPPH],KB[TANGGAL],B30,KB[TYPE],"A",KB[TRANSPORT],"DARAT")</f>
        <v>415327</v>
      </c>
      <c r="AD30" s="660">
        <f>SUMIFS(KB[TPEMBAYARAN],KB[TANGGAL],B30,KB[TYPE],"A",KB[TRANSPORT],"DARAT")</f>
        <v>82649919</v>
      </c>
      <c r="AE30" s="715"/>
      <c r="AF30" s="659">
        <f>SUMIFS(KB[BRUTO],KB[TANGGAL],B30,KB[TYPE],"B",KB[TRANSPORT],"LAUT")</f>
        <v>0</v>
      </c>
      <c r="AG30" s="712">
        <f>SUMIFS(KB[TARRA],KB[TANGGAL],B30,KB[TYPE],"B",KB[TRANSPORT],"LAUT")</f>
        <v>0</v>
      </c>
      <c r="AH30" s="712">
        <f>SUMIFS(KB[NETTO],KB[TANGGAL],B30,KB[TYPE],"B",KB[TRANSPORT],"LAUT")</f>
        <v>0</v>
      </c>
      <c r="AI30" s="712">
        <f t="shared" si="6"/>
        <v>0</v>
      </c>
      <c r="AJ30" s="712">
        <f>SUMIFS(KB[TPOT],KB[TANGGAL],B30,KB[TYPE],"B",KB[TRANSPORT],"LAUT")</f>
        <v>0</v>
      </c>
      <c r="AK30" s="712">
        <f>SUMIFS(KB[NETTO2],KB[TANGGAL],B30,KB[TYPE],"B",KB[TRANSPORT],"LAUT")</f>
        <v>0</v>
      </c>
      <c r="AL30" s="712">
        <f t="shared" si="21"/>
        <v>0</v>
      </c>
      <c r="AM30" s="712">
        <f>SUMIFS(KB[TBAYAR],KB[TANGGAL],B30,KB[TYPE],"B",KB[TRANSPORT],"LAUT")</f>
        <v>0</v>
      </c>
      <c r="AN30" s="716">
        <f t="shared" si="22"/>
        <v>0</v>
      </c>
      <c r="AO30" s="716">
        <f t="shared" si="13"/>
        <v>0</v>
      </c>
      <c r="AP30" s="712">
        <f>SUMIFS(KB[TBAYAR2],KB[TANGGAL],B30,KB[TYPE],"B",KB[TRANSPORT],"LAUT")</f>
        <v>0</v>
      </c>
      <c r="AQ30" s="712">
        <f>SUMIFS(KB[POTPPH],KB[TANGGAL],B30,KB[TYPE],"B",KB[TRANSPORT],"LAUT")</f>
        <v>0</v>
      </c>
      <c r="AR30" s="712">
        <f>SUMIFS(KB[TPEMBAYARAN],KB[TANGGAL],B30,KB[TYPE],"B",KB[TRANSPORT],"LAUT")</f>
        <v>0</v>
      </c>
      <c r="AS30" s="714"/>
      <c r="AT30" s="659">
        <f>SUMIFS(KB[BRUTO],KB[TANGGAL],B30,KB[TYPE],"B",KB[TRANSPORT],"DARAT")</f>
        <v>0</v>
      </c>
      <c r="AU30" s="660">
        <f>SUMIFS(KB[TARRA],KB[TANGGAL],B30,KB[TYPE],"B",KB[TRANSPORT],"DARAT")</f>
        <v>0</v>
      </c>
      <c r="AV30" s="660">
        <f>SUMIFS(KB[NETTO],KB[TANGGAL],B30,KB[TYPE],"B",KB[TRANSPORT],"DARAT")</f>
        <v>0</v>
      </c>
      <c r="AW30" s="660">
        <f t="shared" si="23"/>
        <v>0</v>
      </c>
      <c r="AX30" s="660">
        <f>SUMIFS(KB[TPOT],KB[TANGGAL],B30,KB[TYPE],"B",KB[TRANSPORT],"DARAT")</f>
        <v>0</v>
      </c>
      <c r="AY30" s="660">
        <f>SUMIFS(KB[NETTO2],KB[TANGGAL],B30,KB[TYPE],"B",KB[TRANSPORT],"DARAT")</f>
        <v>0</v>
      </c>
      <c r="AZ30" s="660">
        <f t="shared" si="24"/>
        <v>0</v>
      </c>
      <c r="BA30" s="660">
        <f>SUMIFS(KB[TBAYAR],KB[TANGGAL],B30,KB[TYPE],"B",KB[TRANSPORT],"DARAT")</f>
        <v>0</v>
      </c>
      <c r="BB30" s="660">
        <f t="shared" si="25"/>
        <v>0</v>
      </c>
      <c r="BC30" s="660">
        <f t="shared" si="14"/>
        <v>0</v>
      </c>
      <c r="BD30" s="660">
        <f>SUMIFS(KB[TBAYAR2],KB[TANGGAL],B30,KB[TYPE],"B",KB[TRANSPORT],"DARAT")</f>
        <v>0</v>
      </c>
      <c r="BE30" s="660">
        <f>SUMIFS(KB[POTPPH],KB[TANGGAL],B30,KB[TYPE],"B",KB[TRANSPORT],"DARAT")</f>
        <v>0</v>
      </c>
      <c r="BF30" s="660">
        <f>SUMIFS(KB[TPEMBAYARAN],KB[TANGGAL],B30,KB[TYPE],"B",KB[TRANSPORT],"DARAT")</f>
        <v>0</v>
      </c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V30" s="417"/>
      <c r="BW30" s="417"/>
      <c r="BX30" s="417"/>
      <c r="BY30" s="417"/>
      <c r="BZ30" s="417"/>
      <c r="CA30" s="417"/>
      <c r="CB30" s="417"/>
      <c r="CC30" s="417"/>
      <c r="CD30" s="417"/>
      <c r="CE30" s="417"/>
      <c r="CF30" s="417"/>
      <c r="CG30" s="417"/>
      <c r="CH30" s="417"/>
      <c r="CI30" s="417"/>
      <c r="CJ30" s="417"/>
      <c r="CK30" s="417"/>
      <c r="CL30" s="417"/>
      <c r="CM30" s="417"/>
      <c r="EZ30" s="391">
        <v>0</v>
      </c>
      <c r="FA30" s="391">
        <v>2920</v>
      </c>
      <c r="FI30" s="391">
        <v>20550</v>
      </c>
      <c r="FJ30" s="391">
        <v>34419</v>
      </c>
      <c r="FL30" s="391">
        <v>40480</v>
      </c>
    </row>
    <row r="31" spans="2:168" s="418" customFormat="1" ht="24.95" customHeight="1">
      <c r="B31" s="645">
        <f t="shared" si="26"/>
        <v>43912</v>
      </c>
      <c r="C31" s="696"/>
      <c r="D31" s="659">
        <f>SUMIFS(KB[BRUTO],KB[TANGGAL],B31,KB[TYPE],"A",KB[TRANSPORT],"LAUT")</f>
        <v>0</v>
      </c>
      <c r="E31" s="712">
        <f>SUMIFS(KB[TARRA],KB[TANGGAL],B31,KB[TYPE],"A",KB[TRANSPORT],"LAUT")</f>
        <v>0</v>
      </c>
      <c r="F31" s="660">
        <f>SUMIFS(KB[NETTO],KB[TANGGAL],B31,KB[TYPE],"A",KB[TRANSPORT],"LAUT")</f>
        <v>0</v>
      </c>
      <c r="G31" s="712">
        <f t="shared" si="27"/>
        <v>0</v>
      </c>
      <c r="H31" s="712">
        <f>SUMIFS(KB[TPOT],KB[TANGGAL],B31,KB[TYPE],"A",KB[TRANSPORT],"LAUT")</f>
        <v>0</v>
      </c>
      <c r="I31" s="712">
        <f>SUMIFS(KB[NETTO2],KB[TANGGAL],B31,KB[TYPE],"A",KB[TRANSPORT],"LAUT")</f>
        <v>0</v>
      </c>
      <c r="J31" s="712">
        <f t="shared" si="28"/>
        <v>0</v>
      </c>
      <c r="K31" s="712">
        <f>SUMIFS(KB[TBAYAR],KB[TANGGAL],B31,KB[TYPE],"A",KB[TRANSPORT],"LAUT")</f>
        <v>0</v>
      </c>
      <c r="L31" s="712">
        <f t="shared" si="29"/>
        <v>0</v>
      </c>
      <c r="M31" s="712">
        <f t="shared" si="12"/>
        <v>0</v>
      </c>
      <c r="N31" s="712">
        <f>SUMIFS(KB[TBAYAR2],KB[TANGGAL],B31,KB[TYPE],"A",KB[TRANSPORT],"LAUT")</f>
        <v>0</v>
      </c>
      <c r="O31" s="712">
        <f>SUMIFS(KB[POTPPH],KB[TANGGAL],B31,KB[TYPE],"A",KB[TRANSPORT],"LAUT")</f>
        <v>0</v>
      </c>
      <c r="P31" s="712">
        <f>SUMIFS(KB[TPEMBAYARAN],KB[TANGGAL],B31,KB[TYPE],"A",KB[TRANSPORT],"LAUT")</f>
        <v>0</v>
      </c>
      <c r="Q31" s="715"/>
      <c r="R31" s="659">
        <f>SUMIFS(KB[BRUTO],KB[TANGGAL],B31,KB[TYPE],"A",KB[TRANSPORT],"DARAT")</f>
        <v>0</v>
      </c>
      <c r="S31" s="660">
        <f>SUMIFS(KB[TARRA],KB[TANGGAL],B31,KB[TYPE],"A",KB[TRANSPORT],"DARAT")</f>
        <v>0</v>
      </c>
      <c r="T31" s="660">
        <f>SUMIFS(KB[NETTO],KB[TANGGAL],B31,KB[TYPE],"A",KB[TRANSPORT],"DARAT")</f>
        <v>0</v>
      </c>
      <c r="U31" s="660">
        <f t="shared" si="18"/>
        <v>0</v>
      </c>
      <c r="V31" s="660">
        <f>SUMIFS(KB[TPOT],KB[TANGGAL],B31,KB[TYPE],"A",KB[TRANSPORT],"DARAT")</f>
        <v>0</v>
      </c>
      <c r="W31" s="660">
        <f>SUMIFS(KB[NETTO2],KB[TANGGAL],B31,KB[TYPE],"A",KB[TRANSPORT],"DARAT")</f>
        <v>0</v>
      </c>
      <c r="X31" s="660">
        <f t="shared" si="19"/>
        <v>0</v>
      </c>
      <c r="Y31" s="660">
        <f>SUMIFS(KB[TBAYAR],KB[TANGGAL],B31,KB[TYPE],"A",KB[TRANSPORT],"DARAT")</f>
        <v>0</v>
      </c>
      <c r="Z31" s="660">
        <f t="shared" si="20"/>
        <v>0</v>
      </c>
      <c r="AA31" s="660">
        <f t="shared" si="30"/>
        <v>0</v>
      </c>
      <c r="AB31" s="660">
        <f>SUMIFS(KB[TBAYAR2],KB[TANGGAL],B31,KB[TYPE],"A",KB[TRANSPORT],"DARAT")</f>
        <v>0</v>
      </c>
      <c r="AC31" s="660">
        <f>SUMIFS(KB[POTPPH],KB[TANGGAL],B31,KB[TYPE],"A",KB[TRANSPORT],"DARAT")</f>
        <v>0</v>
      </c>
      <c r="AD31" s="660">
        <f>SUMIFS(KB[TPEMBAYARAN],KB[TANGGAL],B31,KB[TYPE],"A",KB[TRANSPORT],"DARAT")</f>
        <v>0</v>
      </c>
      <c r="AE31" s="715"/>
      <c r="AF31" s="659">
        <f>SUMIFS(KB[BRUTO],KB[TANGGAL],B31,KB[TYPE],"B",KB[TRANSPORT],"LAUT")</f>
        <v>0</v>
      </c>
      <c r="AG31" s="712">
        <f>SUMIFS(KB[TARRA],KB[TANGGAL],B31,KB[TYPE],"B",KB[TRANSPORT],"LAUT")</f>
        <v>0</v>
      </c>
      <c r="AH31" s="712">
        <f>SUMIFS(KB[NETTO],KB[TANGGAL],B31,KB[TYPE],"B",KB[TRANSPORT],"LAUT")</f>
        <v>0</v>
      </c>
      <c r="AI31" s="712">
        <f t="shared" si="6"/>
        <v>0</v>
      </c>
      <c r="AJ31" s="712">
        <f>SUMIFS(KB[TPOT],KB[TANGGAL],B31,KB[TYPE],"B",KB[TRANSPORT],"LAUT")</f>
        <v>0</v>
      </c>
      <c r="AK31" s="712">
        <f>SUMIFS(KB[NETTO2],KB[TANGGAL],B31,KB[TYPE],"B",KB[TRANSPORT],"LAUT")</f>
        <v>0</v>
      </c>
      <c r="AL31" s="712">
        <f t="shared" si="21"/>
        <v>0</v>
      </c>
      <c r="AM31" s="712">
        <f>SUMIFS(KB[TBAYAR],KB[TANGGAL],B31,KB[TYPE],"B",KB[TRANSPORT],"LAUT")</f>
        <v>0</v>
      </c>
      <c r="AN31" s="716">
        <f t="shared" si="22"/>
        <v>0</v>
      </c>
      <c r="AO31" s="716">
        <f t="shared" si="13"/>
        <v>0</v>
      </c>
      <c r="AP31" s="712">
        <f>SUMIFS(KB[TBAYAR2],KB[TANGGAL],B31,KB[TYPE],"B",KB[TRANSPORT],"LAUT")</f>
        <v>0</v>
      </c>
      <c r="AQ31" s="712">
        <f>SUMIFS(KB[POTPPH],KB[TANGGAL],B31,KB[TYPE],"B",KB[TRANSPORT],"LAUT")</f>
        <v>0</v>
      </c>
      <c r="AR31" s="712">
        <f>SUMIFS(KB[TPEMBAYARAN],KB[TANGGAL],B31,KB[TYPE],"B",KB[TRANSPORT],"LAUT")</f>
        <v>0</v>
      </c>
      <c r="AS31" s="714"/>
      <c r="AT31" s="659">
        <f>SUMIFS(KB[BRUTO],KB[TANGGAL],B31,KB[TYPE],"B",KB[TRANSPORT],"DARAT")</f>
        <v>0</v>
      </c>
      <c r="AU31" s="660">
        <f>SUMIFS(KB[TARRA],KB[TANGGAL],B31,KB[TYPE],"B",KB[TRANSPORT],"DARAT")</f>
        <v>0</v>
      </c>
      <c r="AV31" s="660">
        <f>SUMIFS(KB[NETTO],KB[TANGGAL],B31,KB[TYPE],"B",KB[TRANSPORT],"DARAT")</f>
        <v>0</v>
      </c>
      <c r="AW31" s="660">
        <f t="shared" si="23"/>
        <v>0</v>
      </c>
      <c r="AX31" s="660">
        <f>SUMIFS(KB[TPOT],KB[TANGGAL],B31,KB[TYPE],"B",KB[TRANSPORT],"DARAT")</f>
        <v>0</v>
      </c>
      <c r="AY31" s="660">
        <f>SUMIFS(KB[NETTO2],KB[TANGGAL],B31,KB[TYPE],"B",KB[TRANSPORT],"DARAT")</f>
        <v>0</v>
      </c>
      <c r="AZ31" s="660">
        <f t="shared" si="24"/>
        <v>0</v>
      </c>
      <c r="BA31" s="660">
        <f>SUMIFS(KB[TBAYAR],KB[TANGGAL],B31,KB[TYPE],"B",KB[TRANSPORT],"DARAT")</f>
        <v>0</v>
      </c>
      <c r="BB31" s="660">
        <f t="shared" si="25"/>
        <v>0</v>
      </c>
      <c r="BC31" s="660">
        <f t="shared" si="14"/>
        <v>0</v>
      </c>
      <c r="BD31" s="660">
        <f>SUMIFS(KB[TBAYAR2],KB[TANGGAL],B31,KB[TYPE],"B",KB[TRANSPORT],"DARAT")</f>
        <v>0</v>
      </c>
      <c r="BE31" s="660">
        <f>SUMIFS(KB[POTPPH],KB[TANGGAL],B31,KB[TYPE],"B",KB[TRANSPORT],"DARAT")</f>
        <v>0</v>
      </c>
      <c r="BF31" s="660">
        <f>SUMIFS(KB[TPEMBAYARAN],KB[TANGGAL],B31,KB[TYPE],"B",KB[TRANSPORT],"DARAT")</f>
        <v>0</v>
      </c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V31" s="417"/>
      <c r="BW31" s="417"/>
      <c r="BX31" s="417"/>
      <c r="BY31" s="417"/>
      <c r="BZ31" s="417"/>
      <c r="CA31" s="417"/>
      <c r="CB31" s="417"/>
      <c r="CC31" s="417"/>
      <c r="CD31" s="417"/>
      <c r="CE31" s="417"/>
      <c r="CF31" s="417"/>
      <c r="CG31" s="417"/>
      <c r="CH31" s="417"/>
      <c r="CI31" s="417"/>
      <c r="CJ31" s="417"/>
      <c r="CK31" s="417"/>
      <c r="CL31" s="417"/>
      <c r="CM31" s="417"/>
      <c r="FA31" s="418">
        <v>2640</v>
      </c>
      <c r="FI31" s="418">
        <v>24440</v>
      </c>
      <c r="FJ31" s="418">
        <v>33899</v>
      </c>
      <c r="FL31" s="418">
        <v>51170</v>
      </c>
    </row>
    <row r="32" spans="2:168" s="418" customFormat="1" ht="24.95" customHeight="1">
      <c r="B32" s="645">
        <f t="shared" si="26"/>
        <v>43913</v>
      </c>
      <c r="C32" s="696"/>
      <c r="D32" s="659">
        <f>SUMIFS(KB[BRUTO],KB[TANGGAL],B32,KB[TYPE],"A",KB[TRANSPORT],"LAUT")</f>
        <v>258330</v>
      </c>
      <c r="E32" s="712">
        <f>SUMIFS(KB[TARRA],KB[TANGGAL],B32,KB[TYPE],"A",KB[TRANSPORT],"LAUT")</f>
        <v>120680</v>
      </c>
      <c r="F32" s="660">
        <f>SUMIFS(KB[NETTO],KB[TANGGAL],B32,KB[TYPE],"A",KB[TRANSPORT],"LAUT")</f>
        <v>137650</v>
      </c>
      <c r="G32" s="712">
        <f t="shared" si="27"/>
        <v>6.0000000000000009</v>
      </c>
      <c r="H32" s="712">
        <f>SUMIFS(KB[TPOT],KB[TANGGAL],B32,KB[TYPE],"A",KB[TRANSPORT],"LAUT")</f>
        <v>8259.0000000000018</v>
      </c>
      <c r="I32" s="712">
        <f>SUMIFS(KB[NETTO2],KB[TANGGAL],B32,KB[TYPE],"A",KB[TRANSPORT],"LAUT")</f>
        <v>129390.99999999999</v>
      </c>
      <c r="J32" s="712">
        <f t="shared" si="28"/>
        <v>3177.4282600799133</v>
      </c>
      <c r="K32" s="712">
        <f>SUMIFS(KB[TBAYAR],KB[TANGGAL],B32,KB[TYPE],"A",KB[TRANSPORT],"LAUT")</f>
        <v>411130620</v>
      </c>
      <c r="L32" s="712">
        <f t="shared" si="29"/>
        <v>15.97</v>
      </c>
      <c r="M32" s="712">
        <f t="shared" si="12"/>
        <v>3193.3952052306577</v>
      </c>
      <c r="N32" s="712">
        <f>SUMIFS(KB[TBAYAR2],KB[TANGGAL],B32,KB[TYPE],"A",KB[TRANSPORT],"LAUT")</f>
        <v>413196599</v>
      </c>
      <c r="O32" s="712">
        <f>SUMIFS(KB[POTPPH],KB[TANGGAL],B32,KB[TYPE],"A",KB[TRANSPORT],"LAUT")</f>
        <v>2065982</v>
      </c>
      <c r="P32" s="712">
        <f>SUMIFS(KB[TPEMBAYARAN],KB[TANGGAL],B32,KB[TYPE],"A",KB[TRANSPORT],"LAUT")</f>
        <v>411130617</v>
      </c>
      <c r="Q32" s="715"/>
      <c r="R32" s="659">
        <f>SUMIFS(KB[BRUTO],KB[TANGGAL],B32,KB[TYPE],"A",KB[TRANSPORT],"DARAT")</f>
        <v>65070</v>
      </c>
      <c r="S32" s="660">
        <f>SUMIFS(KB[TARRA],KB[TANGGAL],B32,KB[TYPE],"A",KB[TRANSPORT],"DARAT")</f>
        <v>27040</v>
      </c>
      <c r="T32" s="660">
        <f>SUMIFS(KB[NETTO],KB[TANGGAL],B32,KB[TYPE],"A",KB[TRANSPORT],"DARAT")</f>
        <v>38030</v>
      </c>
      <c r="U32" s="660">
        <f t="shared" si="18"/>
        <v>5.2035235340520645</v>
      </c>
      <c r="V32" s="660">
        <f>SUMIFS(KB[TPOT],KB[TANGGAL],B32,KB[TYPE],"A",KB[TRANSPORT],"DARAT")</f>
        <v>1978.9</v>
      </c>
      <c r="W32" s="660">
        <f>SUMIFS(KB[NETTO2],KB[TANGGAL],B32,KB[TYPE],"A",KB[TRANSPORT],"DARAT")</f>
        <v>36051.1</v>
      </c>
      <c r="X32" s="660">
        <f t="shared" si="19"/>
        <v>2900</v>
      </c>
      <c r="Y32" s="660">
        <f>SUMIFS(KB[TBAYAR],KB[TANGGAL],B32,KB[TYPE],"A",KB[TRANSPORT],"DARAT")</f>
        <v>104548190</v>
      </c>
      <c r="Z32" s="660">
        <f t="shared" si="20"/>
        <v>14.57</v>
      </c>
      <c r="AA32" s="660">
        <f t="shared" si="30"/>
        <v>2914.569985381861</v>
      </c>
      <c r="AB32" s="660">
        <f>SUMIFS(KB[TBAYAR2],KB[TANGGAL],B32,KB[TYPE],"A",KB[TRANSPORT],"DARAT")</f>
        <v>105073454</v>
      </c>
      <c r="AC32" s="660">
        <f>SUMIFS(KB[POTPPH],KB[TANGGAL],B32,KB[TYPE],"A",KB[TRANSPORT],"DARAT")</f>
        <v>525368</v>
      </c>
      <c r="AD32" s="660">
        <f>SUMIFS(KB[TPEMBAYARAN],KB[TANGGAL],B32,KB[TYPE],"A",KB[TRANSPORT],"DARAT")</f>
        <v>104548086</v>
      </c>
      <c r="AE32" s="715"/>
      <c r="AF32" s="659">
        <f>SUMIFS(KB[BRUTO],KB[TANGGAL],B32,KB[TYPE],"B",KB[TRANSPORT],"LAUT")</f>
        <v>0</v>
      </c>
      <c r="AG32" s="712">
        <f>SUMIFS(KB[TARRA],KB[TANGGAL],B32,KB[TYPE],"B",KB[TRANSPORT],"LAUT")</f>
        <v>0</v>
      </c>
      <c r="AH32" s="712">
        <f>SUMIFS(KB[NETTO],KB[TANGGAL],B32,KB[TYPE],"B",KB[TRANSPORT],"LAUT")</f>
        <v>0</v>
      </c>
      <c r="AI32" s="712">
        <f t="shared" si="6"/>
        <v>0</v>
      </c>
      <c r="AJ32" s="712">
        <f>SUMIFS(KB[TPOT],KB[TANGGAL],B32,KB[TYPE],"B",KB[TRANSPORT],"LAUT")</f>
        <v>0</v>
      </c>
      <c r="AK32" s="712">
        <f>SUMIFS(KB[NETTO2],KB[TANGGAL],B32,KB[TYPE],"B",KB[TRANSPORT],"LAUT")</f>
        <v>0</v>
      </c>
      <c r="AL32" s="712">
        <f t="shared" si="21"/>
        <v>0</v>
      </c>
      <c r="AM32" s="712">
        <f>SUMIFS(KB[TBAYAR],KB[TANGGAL],B32,KB[TYPE],"B",KB[TRANSPORT],"LAUT")</f>
        <v>0</v>
      </c>
      <c r="AN32" s="716">
        <f t="shared" si="22"/>
        <v>0</v>
      </c>
      <c r="AO32" s="716">
        <f t="shared" si="13"/>
        <v>0</v>
      </c>
      <c r="AP32" s="712">
        <f>SUMIFS(KB[TBAYAR2],KB[TANGGAL],B32,KB[TYPE],"B",KB[TRANSPORT],"LAUT")</f>
        <v>0</v>
      </c>
      <c r="AQ32" s="712">
        <f>SUMIFS(KB[POTPPH],KB[TANGGAL],B32,KB[TYPE],"B",KB[TRANSPORT],"LAUT")</f>
        <v>0</v>
      </c>
      <c r="AR32" s="712">
        <f>SUMIFS(KB[TPEMBAYARAN],KB[TANGGAL],B32,KB[TYPE],"B",KB[TRANSPORT],"LAUT")</f>
        <v>0</v>
      </c>
      <c r="AS32" s="714"/>
      <c r="AT32" s="659">
        <f>SUMIFS(KB[BRUTO],KB[TANGGAL],B32,KB[TYPE],"B",KB[TRANSPORT],"DARAT")</f>
        <v>0</v>
      </c>
      <c r="AU32" s="660">
        <f>SUMIFS(KB[TARRA],KB[TANGGAL],B32,KB[TYPE],"B",KB[TRANSPORT],"DARAT")</f>
        <v>0</v>
      </c>
      <c r="AV32" s="660">
        <f>SUMIFS(KB[NETTO],KB[TANGGAL],B32,KB[TYPE],"B",KB[TRANSPORT],"DARAT")</f>
        <v>0</v>
      </c>
      <c r="AW32" s="660">
        <f t="shared" si="23"/>
        <v>0</v>
      </c>
      <c r="AX32" s="660">
        <f>SUMIFS(KB[TPOT],KB[TANGGAL],B32,KB[TYPE],"B",KB[TRANSPORT],"DARAT")</f>
        <v>0</v>
      </c>
      <c r="AY32" s="660">
        <f>SUMIFS(KB[NETTO2],KB[TANGGAL],B32,KB[TYPE],"B",KB[TRANSPORT],"DARAT")</f>
        <v>0</v>
      </c>
      <c r="AZ32" s="660">
        <f t="shared" si="24"/>
        <v>0</v>
      </c>
      <c r="BA32" s="660">
        <f>SUMIFS(KB[TBAYAR],KB[TANGGAL],B32,KB[TYPE],"B",KB[TRANSPORT],"DARAT")</f>
        <v>0</v>
      </c>
      <c r="BB32" s="660">
        <f t="shared" si="25"/>
        <v>0</v>
      </c>
      <c r="BC32" s="660">
        <f t="shared" si="14"/>
        <v>0</v>
      </c>
      <c r="BD32" s="660">
        <f>SUMIFS(KB[TBAYAR2],KB[TANGGAL],B32,KB[TYPE],"B",KB[TRANSPORT],"DARAT")</f>
        <v>0</v>
      </c>
      <c r="BE32" s="660">
        <f>SUMIFS(KB[POTPPH],KB[TANGGAL],B32,KB[TYPE],"B",KB[TRANSPORT],"DARAT")</f>
        <v>0</v>
      </c>
      <c r="BF32" s="660">
        <f>SUMIFS(KB[TPEMBAYARAN],KB[TANGGAL],B32,KB[TYPE],"B",KB[TRANSPORT],"DARAT")</f>
        <v>0</v>
      </c>
      <c r="BG32" s="388"/>
      <c r="BH32" s="388"/>
      <c r="BI32" s="388"/>
      <c r="BJ32" s="388"/>
      <c r="BK32" s="388"/>
      <c r="BL32" s="388"/>
      <c r="BM32" s="388"/>
      <c r="BN32" s="388"/>
      <c r="BO32" s="388"/>
      <c r="BP32" s="388"/>
      <c r="BQ32" s="388"/>
      <c r="BR32" s="388"/>
      <c r="BS32" s="388"/>
      <c r="BT32" s="388"/>
      <c r="BU32" s="388"/>
      <c r="BV32" s="388"/>
      <c r="BW32" s="388"/>
      <c r="BX32" s="388"/>
      <c r="BY32" s="388"/>
      <c r="BZ32" s="388"/>
      <c r="CA32" s="388"/>
      <c r="CB32" s="388"/>
      <c r="CC32" s="388"/>
      <c r="CD32" s="388"/>
      <c r="CE32" s="388"/>
      <c r="CF32" s="388"/>
      <c r="CG32" s="388"/>
      <c r="CH32" s="388"/>
      <c r="CI32" s="388"/>
      <c r="CJ32" s="388"/>
      <c r="CK32" s="388"/>
      <c r="CL32" s="388"/>
      <c r="CM32" s="388"/>
    </row>
    <row r="33" spans="2:91" s="418" customFormat="1" ht="24.95" customHeight="1">
      <c r="B33" s="645">
        <f t="shared" si="26"/>
        <v>43914</v>
      </c>
      <c r="C33" s="696"/>
      <c r="D33" s="659">
        <f>SUMIFS(KB[BRUTO],KB[TANGGAL],B33,KB[TYPE],"A",KB[TRANSPORT],"LAUT")</f>
        <v>255860</v>
      </c>
      <c r="E33" s="712">
        <f>SUMIFS(KB[TARRA],KB[TANGGAL],B33,KB[TYPE],"A",KB[TRANSPORT],"LAUT")</f>
        <v>124580</v>
      </c>
      <c r="F33" s="660">
        <f>SUMIFS(KB[NETTO],KB[TANGGAL],B33,KB[TYPE],"A",KB[TRANSPORT],"LAUT")</f>
        <v>131280</v>
      </c>
      <c r="G33" s="712">
        <f t="shared" si="27"/>
        <v>6</v>
      </c>
      <c r="H33" s="712">
        <f>SUMIFS(KB[TPOT],KB[TANGGAL],B33,KB[TYPE],"A",KB[TRANSPORT],"LAUT")</f>
        <v>7876.7999999999993</v>
      </c>
      <c r="I33" s="712">
        <f>SUMIFS(KB[NETTO2],KB[TANGGAL],B33,KB[TYPE],"A",KB[TRANSPORT],"LAUT")</f>
        <v>123403.20000000001</v>
      </c>
      <c r="J33" s="712">
        <f t="shared" si="28"/>
        <v>3172.8633455210233</v>
      </c>
      <c r="K33" s="712">
        <f>SUMIFS(KB[TBAYAR],KB[TANGGAL],B33,KB[TYPE],"A",KB[TRANSPORT],"LAUT")</f>
        <v>391541490</v>
      </c>
      <c r="L33" s="712">
        <f t="shared" si="29"/>
        <v>15.94</v>
      </c>
      <c r="M33" s="712">
        <f t="shared" si="12"/>
        <v>3188.8065625526724</v>
      </c>
      <c r="N33" s="712">
        <f>SUMIFS(KB[TBAYAR2],KB[TANGGAL],B33,KB[TYPE],"A",KB[TRANSPORT],"LAUT")</f>
        <v>393508934</v>
      </c>
      <c r="O33" s="712">
        <f>SUMIFS(KB[POTPPH],KB[TANGGAL],B33,KB[TYPE],"A",KB[TRANSPORT],"LAUT")</f>
        <v>1967546</v>
      </c>
      <c r="P33" s="712">
        <f>SUMIFS(KB[TPEMBAYARAN],KB[TANGGAL],B33,KB[TYPE],"A",KB[TRANSPORT],"LAUT")</f>
        <v>391541388</v>
      </c>
      <c r="Q33" s="715"/>
      <c r="R33" s="659">
        <f>SUMIFS(KB[BRUTO],KB[TANGGAL],B33,KB[TYPE],"A",KB[TRANSPORT],"DARAT")</f>
        <v>44800</v>
      </c>
      <c r="S33" s="660">
        <f>SUMIFS(KB[TARRA],KB[TANGGAL],B33,KB[TYPE],"A",KB[TRANSPORT],"DARAT")</f>
        <v>16940</v>
      </c>
      <c r="T33" s="660">
        <f>SUMIFS(KB[NETTO],KB[TANGGAL],B33,KB[TYPE],"A",KB[TRANSPORT],"DARAT")</f>
        <v>27860</v>
      </c>
      <c r="U33" s="660">
        <f t="shared" si="18"/>
        <v>5.2096195262024407</v>
      </c>
      <c r="V33" s="660">
        <f>SUMIFS(KB[TPOT],KB[TANGGAL],B33,KB[TYPE],"A",KB[TRANSPORT],"DARAT")</f>
        <v>1451.4</v>
      </c>
      <c r="W33" s="660">
        <f>SUMIFS(KB[NETTO2],KB[TANGGAL],B33,KB[TYPE],"A",KB[TRANSPORT],"DARAT")</f>
        <v>26408.6</v>
      </c>
      <c r="X33" s="660">
        <f t="shared" si="19"/>
        <v>2869.6027051793735</v>
      </c>
      <c r="Y33" s="660">
        <f>SUMIFS(KB[TBAYAR],KB[TANGGAL],B33,KB[TYPE],"A",KB[TRANSPORT],"DARAT")</f>
        <v>75782190</v>
      </c>
      <c r="Z33" s="660">
        <f t="shared" si="20"/>
        <v>14.42</v>
      </c>
      <c r="AA33" s="660">
        <f t="shared" si="30"/>
        <v>2884.0206978029887</v>
      </c>
      <c r="AB33" s="660">
        <f>SUMIFS(KB[TBAYAR2],KB[TANGGAL],B33,KB[TYPE],"A",KB[TRANSPORT],"DARAT")</f>
        <v>76162949</v>
      </c>
      <c r="AC33" s="660">
        <f>SUMIFS(KB[POTPPH],KB[TANGGAL],B33,KB[TYPE],"A",KB[TRANSPORT],"DARAT")</f>
        <v>380815</v>
      </c>
      <c r="AD33" s="660">
        <f>SUMIFS(KB[TPEMBAYARAN],KB[TANGGAL],B33,KB[TYPE],"A",KB[TRANSPORT],"DARAT")</f>
        <v>75782134</v>
      </c>
      <c r="AE33" s="715"/>
      <c r="AF33" s="659">
        <f>SUMIFS(KB[BRUTO],KB[TANGGAL],B33,KB[TYPE],"B",KB[TRANSPORT],"LAUT")</f>
        <v>0</v>
      </c>
      <c r="AG33" s="712">
        <f>SUMIFS(KB[TARRA],KB[TANGGAL],B33,KB[TYPE],"B",KB[TRANSPORT],"LAUT")</f>
        <v>0</v>
      </c>
      <c r="AH33" s="712">
        <f>SUMIFS(KB[NETTO],KB[TANGGAL],B33,KB[TYPE],"B",KB[TRANSPORT],"LAUT")</f>
        <v>0</v>
      </c>
      <c r="AI33" s="712">
        <f t="shared" si="6"/>
        <v>0</v>
      </c>
      <c r="AJ33" s="712">
        <f>SUMIFS(KB[TPOT],KB[TANGGAL],B33,KB[TYPE],"B",KB[TRANSPORT],"LAUT")</f>
        <v>0</v>
      </c>
      <c r="AK33" s="712">
        <f>SUMIFS(KB[NETTO2],KB[TANGGAL],B33,KB[TYPE],"B",KB[TRANSPORT],"LAUT")</f>
        <v>0</v>
      </c>
      <c r="AL33" s="712">
        <f t="shared" si="21"/>
        <v>0</v>
      </c>
      <c r="AM33" s="712">
        <f>SUMIFS(KB[TBAYAR],KB[TANGGAL],B33,KB[TYPE],"B",KB[TRANSPORT],"LAUT")</f>
        <v>0</v>
      </c>
      <c r="AN33" s="716">
        <f t="shared" si="22"/>
        <v>0</v>
      </c>
      <c r="AO33" s="716">
        <f t="shared" si="13"/>
        <v>0</v>
      </c>
      <c r="AP33" s="712">
        <f>SUMIFS(KB[TBAYAR2],KB[TANGGAL],B33,KB[TYPE],"B",KB[TRANSPORT],"LAUT")</f>
        <v>0</v>
      </c>
      <c r="AQ33" s="712">
        <f>SUMIFS(KB[POTPPH],KB[TANGGAL],B33,KB[TYPE],"B",KB[TRANSPORT],"LAUT")</f>
        <v>0</v>
      </c>
      <c r="AR33" s="712">
        <f>SUMIFS(KB[TPEMBAYARAN],KB[TANGGAL],B33,KB[TYPE],"B",KB[TRANSPORT],"LAUT")</f>
        <v>0</v>
      </c>
      <c r="AS33" s="714"/>
      <c r="AT33" s="659">
        <f>SUMIFS(KB[BRUTO],KB[TANGGAL],B33,KB[TYPE],"B",KB[TRANSPORT],"DARAT")</f>
        <v>0</v>
      </c>
      <c r="AU33" s="660">
        <f>SUMIFS(KB[TARRA],KB[TANGGAL],B33,KB[TYPE],"B",KB[TRANSPORT],"DARAT")</f>
        <v>0</v>
      </c>
      <c r="AV33" s="660">
        <f>SUMIFS(KB[NETTO],KB[TANGGAL],B33,KB[TYPE],"B",KB[TRANSPORT],"DARAT")</f>
        <v>0</v>
      </c>
      <c r="AW33" s="660">
        <f t="shared" si="23"/>
        <v>0</v>
      </c>
      <c r="AX33" s="660">
        <f>SUMIFS(KB[TPOT],KB[TANGGAL],B33,KB[TYPE],"B",KB[TRANSPORT],"DARAT")</f>
        <v>0</v>
      </c>
      <c r="AY33" s="660">
        <f>SUMIFS(KB[NETTO2],KB[TANGGAL],B33,KB[TYPE],"B",KB[TRANSPORT],"DARAT")</f>
        <v>0</v>
      </c>
      <c r="AZ33" s="660">
        <f t="shared" si="24"/>
        <v>0</v>
      </c>
      <c r="BA33" s="660">
        <f>SUMIFS(KB[TBAYAR],KB[TANGGAL],B33,KB[TYPE],"B",KB[TRANSPORT],"DARAT")</f>
        <v>0</v>
      </c>
      <c r="BB33" s="660">
        <f t="shared" si="25"/>
        <v>0</v>
      </c>
      <c r="BC33" s="660">
        <f t="shared" si="14"/>
        <v>0</v>
      </c>
      <c r="BD33" s="660">
        <f>SUMIFS(KB[TBAYAR2],KB[TANGGAL],B33,KB[TYPE],"B",KB[TRANSPORT],"DARAT")</f>
        <v>0</v>
      </c>
      <c r="BE33" s="660">
        <f>SUMIFS(KB[POTPPH],KB[TANGGAL],B33,KB[TYPE],"B",KB[TRANSPORT],"DARAT")</f>
        <v>0</v>
      </c>
      <c r="BF33" s="660">
        <f>SUMIFS(KB[TPEMBAYARAN],KB[TANGGAL],B33,KB[TYPE],"B",KB[TRANSPORT],"DARAT")</f>
        <v>0</v>
      </c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BV33" s="417"/>
      <c r="BW33" s="417"/>
      <c r="BX33" s="417"/>
      <c r="BY33" s="417"/>
      <c r="BZ33" s="417"/>
      <c r="CA33" s="417"/>
      <c r="CB33" s="417"/>
      <c r="CC33" s="417"/>
      <c r="CD33" s="417"/>
      <c r="CE33" s="417"/>
      <c r="CF33" s="417"/>
      <c r="CG33" s="417"/>
      <c r="CH33" s="417"/>
      <c r="CI33" s="417"/>
      <c r="CJ33" s="417"/>
      <c r="CK33" s="417"/>
      <c r="CL33" s="417"/>
      <c r="CM33" s="417"/>
    </row>
    <row r="34" spans="2:91" s="418" customFormat="1" ht="24.95" customHeight="1">
      <c r="B34" s="645">
        <f t="shared" si="26"/>
        <v>43915</v>
      </c>
      <c r="C34" s="696"/>
      <c r="D34" s="659">
        <f>SUMIFS(KB[BRUTO],KB[TANGGAL],B34,KB[TYPE],"A",KB[TRANSPORT],"LAUT")</f>
        <v>0</v>
      </c>
      <c r="E34" s="712">
        <f>SUMIFS(KB[TARRA],KB[TANGGAL],B34,KB[TYPE],"A",KB[TRANSPORT],"LAUT")</f>
        <v>0</v>
      </c>
      <c r="F34" s="660">
        <f>SUMIFS(KB[NETTO],KB[TANGGAL],B34,KB[TYPE],"A",KB[TRANSPORT],"LAUT")</f>
        <v>0</v>
      </c>
      <c r="G34" s="712">
        <f t="shared" si="27"/>
        <v>0</v>
      </c>
      <c r="H34" s="712">
        <f>SUMIFS(KB[TPOT],KB[TANGGAL],B34,KB[TYPE],"A",KB[TRANSPORT],"LAUT")</f>
        <v>0</v>
      </c>
      <c r="I34" s="712">
        <f>SUMIFS(KB[NETTO2],KB[TANGGAL],B34,KB[TYPE],"A",KB[TRANSPORT],"LAUT")</f>
        <v>0</v>
      </c>
      <c r="J34" s="712">
        <f t="shared" si="28"/>
        <v>0</v>
      </c>
      <c r="K34" s="712">
        <f>SUMIFS(KB[TBAYAR],KB[TANGGAL],B34,KB[TYPE],"A",KB[TRANSPORT],"LAUT")</f>
        <v>0</v>
      </c>
      <c r="L34" s="712">
        <f t="shared" si="29"/>
        <v>0</v>
      </c>
      <c r="M34" s="712">
        <f t="shared" si="12"/>
        <v>0</v>
      </c>
      <c r="N34" s="712">
        <f>SUMIFS(KB[TBAYAR2],KB[TANGGAL],B34,KB[TYPE],"A",KB[TRANSPORT],"LAUT")</f>
        <v>0</v>
      </c>
      <c r="O34" s="712">
        <f>SUMIFS(KB[POTPPH],KB[TANGGAL],B34,KB[TYPE],"A",KB[TRANSPORT],"LAUT")</f>
        <v>0</v>
      </c>
      <c r="P34" s="712">
        <f>SUMIFS(KB[TPEMBAYARAN],KB[TANGGAL],B34,KB[TYPE],"A",KB[TRANSPORT],"LAUT")</f>
        <v>0</v>
      </c>
      <c r="Q34" s="715"/>
      <c r="R34" s="659">
        <f>SUMIFS(KB[BRUTO],KB[TANGGAL],B34,KB[TYPE],"A",KB[TRANSPORT],"DARAT")</f>
        <v>0</v>
      </c>
      <c r="S34" s="660">
        <f>SUMIFS(KB[TARRA],KB[TANGGAL],B34,KB[TYPE],"A",KB[TRANSPORT],"DARAT")</f>
        <v>0</v>
      </c>
      <c r="T34" s="660">
        <f>SUMIFS(KB[NETTO],KB[TANGGAL],B34,KB[TYPE],"A",KB[TRANSPORT],"DARAT")</f>
        <v>0</v>
      </c>
      <c r="U34" s="660">
        <f t="shared" si="18"/>
        <v>0</v>
      </c>
      <c r="V34" s="660">
        <f>SUMIFS(KB[TPOT],KB[TANGGAL],B34,KB[TYPE],"A",KB[TRANSPORT],"DARAT")</f>
        <v>0</v>
      </c>
      <c r="W34" s="660">
        <f>SUMIFS(KB[NETTO2],KB[TANGGAL],B34,KB[TYPE],"A",KB[TRANSPORT],"DARAT")</f>
        <v>0</v>
      </c>
      <c r="X34" s="660">
        <f t="shared" si="19"/>
        <v>0</v>
      </c>
      <c r="Y34" s="660">
        <f>SUMIFS(KB[TBAYAR],KB[TANGGAL],B34,KB[TYPE],"A",KB[TRANSPORT],"DARAT")</f>
        <v>0</v>
      </c>
      <c r="Z34" s="660">
        <f t="shared" si="20"/>
        <v>0</v>
      </c>
      <c r="AA34" s="660">
        <f t="shared" si="30"/>
        <v>0</v>
      </c>
      <c r="AB34" s="660">
        <f>SUMIFS(KB[TBAYAR2],KB[TANGGAL],B34,KB[TYPE],"A",KB[TRANSPORT],"DARAT")</f>
        <v>0</v>
      </c>
      <c r="AC34" s="660">
        <f>SUMIFS(KB[POTPPH],KB[TANGGAL],B34,KB[TYPE],"A",KB[TRANSPORT],"DARAT")</f>
        <v>0</v>
      </c>
      <c r="AD34" s="660">
        <f>SUMIFS(KB[TPEMBAYARAN],KB[TANGGAL],B34,KB[TYPE],"A",KB[TRANSPORT],"DARAT")</f>
        <v>0</v>
      </c>
      <c r="AE34" s="715"/>
      <c r="AF34" s="659">
        <f>SUMIFS(KB[BRUTO],KB[TANGGAL],B34,KB[TYPE],"B",KB[TRANSPORT],"LAUT")</f>
        <v>0</v>
      </c>
      <c r="AG34" s="712">
        <f>SUMIFS(KB[TARRA],KB[TANGGAL],B34,KB[TYPE],"B",KB[TRANSPORT],"LAUT")</f>
        <v>0</v>
      </c>
      <c r="AH34" s="712">
        <f>SUMIFS(KB[NETTO],KB[TANGGAL],B34,KB[TYPE],"B",KB[TRANSPORT],"LAUT")</f>
        <v>0</v>
      </c>
      <c r="AI34" s="712">
        <f t="shared" si="6"/>
        <v>0</v>
      </c>
      <c r="AJ34" s="712">
        <f>SUMIFS(KB[TPOT],KB[TANGGAL],B34,KB[TYPE],"B",KB[TRANSPORT],"LAUT")</f>
        <v>0</v>
      </c>
      <c r="AK34" s="712">
        <f>SUMIFS(KB[NETTO2],KB[TANGGAL],B34,KB[TYPE],"B",KB[TRANSPORT],"LAUT")</f>
        <v>0</v>
      </c>
      <c r="AL34" s="712">
        <f t="shared" si="21"/>
        <v>0</v>
      </c>
      <c r="AM34" s="712">
        <f>SUMIFS(KB[TBAYAR],KB[TANGGAL],B34,KB[TYPE],"B",KB[TRANSPORT],"LAUT")</f>
        <v>0</v>
      </c>
      <c r="AN34" s="716">
        <f t="shared" si="22"/>
        <v>0</v>
      </c>
      <c r="AO34" s="716">
        <f t="shared" si="13"/>
        <v>0</v>
      </c>
      <c r="AP34" s="712">
        <f>SUMIFS(KB[TBAYAR2],KB[TANGGAL],B34,KB[TYPE],"B",KB[TRANSPORT],"LAUT")</f>
        <v>0</v>
      </c>
      <c r="AQ34" s="712">
        <f>SUMIFS(KB[POTPPH],KB[TANGGAL],B34,KB[TYPE],"B",KB[TRANSPORT],"LAUT")</f>
        <v>0</v>
      </c>
      <c r="AR34" s="712">
        <f>SUMIFS(KB[TPEMBAYARAN],KB[TANGGAL],B34,KB[TYPE],"B",KB[TRANSPORT],"LAUT")</f>
        <v>0</v>
      </c>
      <c r="AS34" s="714"/>
      <c r="AT34" s="659">
        <f>SUMIFS(KB[BRUTO],KB[TANGGAL],B34,KB[TYPE],"B",KB[TRANSPORT],"DARAT")</f>
        <v>0</v>
      </c>
      <c r="AU34" s="660">
        <f>SUMIFS(KB[TARRA],KB[TANGGAL],B34,KB[TYPE],"B",KB[TRANSPORT],"DARAT")</f>
        <v>0</v>
      </c>
      <c r="AV34" s="660">
        <f>SUMIFS(KB[NETTO],KB[TANGGAL],B34,KB[TYPE],"B",KB[TRANSPORT],"DARAT")</f>
        <v>0</v>
      </c>
      <c r="AW34" s="660">
        <f t="shared" si="23"/>
        <v>0</v>
      </c>
      <c r="AX34" s="660">
        <f>SUMIFS(KB[TPOT],KB[TANGGAL],B34,KB[TYPE],"B",KB[TRANSPORT],"DARAT")</f>
        <v>0</v>
      </c>
      <c r="AY34" s="660">
        <f>SUMIFS(KB[NETTO2],KB[TANGGAL],B34,KB[TYPE],"B",KB[TRANSPORT],"DARAT")</f>
        <v>0</v>
      </c>
      <c r="AZ34" s="660">
        <f t="shared" si="24"/>
        <v>0</v>
      </c>
      <c r="BA34" s="660">
        <f>SUMIFS(KB[TBAYAR],KB[TANGGAL],B34,KB[TYPE],"B",KB[TRANSPORT],"DARAT")</f>
        <v>0</v>
      </c>
      <c r="BB34" s="660">
        <f t="shared" si="25"/>
        <v>0</v>
      </c>
      <c r="BC34" s="660">
        <f t="shared" si="14"/>
        <v>0</v>
      </c>
      <c r="BD34" s="660">
        <f>SUMIFS(KB[TBAYAR2],KB[TANGGAL],B34,KB[TYPE],"B",KB[TRANSPORT],"DARAT")</f>
        <v>0</v>
      </c>
      <c r="BE34" s="660">
        <f>SUMIFS(KB[POTPPH],KB[TANGGAL],B34,KB[TYPE],"B",KB[TRANSPORT],"DARAT")</f>
        <v>0</v>
      </c>
      <c r="BF34" s="660">
        <f>SUMIFS(KB[TPEMBAYARAN],KB[TANGGAL],B34,KB[TYPE],"B",KB[TRANSPORT],"DARAT")</f>
        <v>0</v>
      </c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BV34" s="417"/>
      <c r="BW34" s="417"/>
      <c r="BX34" s="417"/>
      <c r="BY34" s="417"/>
      <c r="BZ34" s="417"/>
      <c r="CA34" s="417"/>
      <c r="CB34" s="417"/>
      <c r="CC34" s="417"/>
      <c r="CD34" s="417"/>
      <c r="CE34" s="417"/>
      <c r="CF34" s="417"/>
      <c r="CG34" s="417"/>
      <c r="CH34" s="417"/>
      <c r="CI34" s="417"/>
      <c r="CJ34" s="417"/>
      <c r="CK34" s="417"/>
      <c r="CL34" s="417"/>
      <c r="CM34" s="417"/>
    </row>
    <row r="35" spans="2:91" s="418" customFormat="1" ht="24.95" customHeight="1">
      <c r="B35" s="645">
        <f t="shared" si="26"/>
        <v>43916</v>
      </c>
      <c r="C35" s="696"/>
      <c r="D35" s="659">
        <f>SUMIFS(KB[BRUTO],KB[TANGGAL],B35,KB[TYPE],"A",KB[TRANSPORT],"LAUT")</f>
        <v>87470</v>
      </c>
      <c r="E35" s="712">
        <f>SUMIFS(KB[TARRA],KB[TANGGAL],B35,KB[TYPE],"A",KB[TRANSPORT],"LAUT")</f>
        <v>42620</v>
      </c>
      <c r="F35" s="660">
        <f>SUMIFS(KB[NETTO],KB[TANGGAL],B35,KB[TYPE],"A",KB[TRANSPORT],"LAUT")</f>
        <v>44850</v>
      </c>
      <c r="G35" s="712">
        <f t="shared" si="27"/>
        <v>6</v>
      </c>
      <c r="H35" s="712">
        <f>SUMIFS(KB[TPOT],KB[TANGGAL],B35,KB[TYPE],"A",KB[TRANSPORT],"LAUT")</f>
        <v>2691</v>
      </c>
      <c r="I35" s="712">
        <f>SUMIFS(KB[NETTO2],KB[TANGGAL],B35,KB[TYPE],"A",KB[TRANSPORT],"LAUT")</f>
        <v>42159</v>
      </c>
      <c r="J35" s="712">
        <f t="shared" si="28"/>
        <v>3177.2909698996655</v>
      </c>
      <c r="K35" s="712">
        <f>SUMIFS(KB[TBAYAR],KB[TANGGAL],B35,KB[TYPE],"A",KB[TRANSPORT],"LAUT")</f>
        <v>133951410</v>
      </c>
      <c r="L35" s="712">
        <f t="shared" si="29"/>
        <v>15.97</v>
      </c>
      <c r="M35" s="712">
        <f t="shared" si="12"/>
        <v>3193.2567660523259</v>
      </c>
      <c r="N35" s="712">
        <f>SUMIFS(KB[TBAYAR2],KB[TANGGAL],B35,KB[TYPE],"A",KB[TRANSPORT],"LAUT")</f>
        <v>134624512</v>
      </c>
      <c r="O35" s="712">
        <f>SUMIFS(KB[POTPPH],KB[TANGGAL],B35,KB[TYPE],"A",KB[TRANSPORT],"LAUT")</f>
        <v>673123</v>
      </c>
      <c r="P35" s="712">
        <f>SUMIFS(KB[TPEMBAYARAN],KB[TANGGAL],B35,KB[TYPE],"A",KB[TRANSPORT],"LAUT")</f>
        <v>133951389</v>
      </c>
      <c r="Q35" s="715"/>
      <c r="R35" s="659">
        <f>SUMIFS(KB[BRUTO],KB[TANGGAL],B35,KB[TYPE],"A",KB[TRANSPORT],"DARAT")</f>
        <v>57910</v>
      </c>
      <c r="S35" s="660">
        <f>SUMIFS(KB[TARRA],KB[TANGGAL],B35,KB[TYPE],"A",KB[TRANSPORT],"DARAT")</f>
        <v>22770</v>
      </c>
      <c r="T35" s="660">
        <f>SUMIFS(KB[NETTO],KB[TANGGAL],B35,KB[TYPE],"A",KB[TRANSPORT],"DARAT")</f>
        <v>35140</v>
      </c>
      <c r="U35" s="660">
        <f t="shared" si="18"/>
        <v>5.4208878770631763</v>
      </c>
      <c r="V35" s="660">
        <f>SUMIFS(KB[TPOT],KB[TANGGAL],B35,KB[TYPE],"A",KB[TRANSPORT],"DARAT")</f>
        <v>1904.9</v>
      </c>
      <c r="W35" s="660">
        <f>SUMIFS(KB[NETTO2],KB[TANGGAL],B35,KB[TYPE],"A",KB[TRANSPORT],"DARAT")</f>
        <v>33235.1</v>
      </c>
      <c r="X35" s="660">
        <f t="shared" si="19"/>
        <v>2800</v>
      </c>
      <c r="Y35" s="660">
        <f>SUMIFS(KB[TBAYAR],KB[TANGGAL],B35,KB[TYPE],"A",KB[TRANSPORT],"DARAT")</f>
        <v>93058280</v>
      </c>
      <c r="Z35" s="660">
        <f t="shared" si="20"/>
        <v>14.07</v>
      </c>
      <c r="AA35" s="660">
        <f t="shared" si="30"/>
        <v>2814.0699742140087</v>
      </c>
      <c r="AB35" s="660">
        <f>SUMIFS(KB[TBAYAR2],KB[TANGGAL],B35,KB[TYPE],"A",KB[TRANSPORT],"DARAT")</f>
        <v>93525897</v>
      </c>
      <c r="AC35" s="660">
        <f>SUMIFS(KB[POTPPH],KB[TANGGAL],B35,KB[TYPE],"A",KB[TRANSPORT],"DARAT")</f>
        <v>467630</v>
      </c>
      <c r="AD35" s="660">
        <f>SUMIFS(KB[TPEMBAYARAN],KB[TANGGAL],B35,KB[TYPE],"A",KB[TRANSPORT],"DARAT")</f>
        <v>93058267</v>
      </c>
      <c r="AE35" s="715"/>
      <c r="AF35" s="659">
        <f>SUMIFS(KB[BRUTO],KB[TANGGAL],B35,KB[TYPE],"B",KB[TRANSPORT],"LAUT")</f>
        <v>0</v>
      </c>
      <c r="AG35" s="712">
        <f>SUMIFS(KB[TARRA],KB[TANGGAL],B35,KB[TYPE],"B",KB[TRANSPORT],"LAUT")</f>
        <v>0</v>
      </c>
      <c r="AH35" s="712">
        <f>SUMIFS(KB[NETTO],KB[TANGGAL],B35,KB[TYPE],"B",KB[TRANSPORT],"LAUT")</f>
        <v>0</v>
      </c>
      <c r="AI35" s="712">
        <f t="shared" si="6"/>
        <v>0</v>
      </c>
      <c r="AJ35" s="712">
        <f>SUMIFS(KB[TPOT],KB[TANGGAL],B35,KB[TYPE],"B",KB[TRANSPORT],"LAUT")</f>
        <v>0</v>
      </c>
      <c r="AK35" s="712">
        <f>SUMIFS(KB[NETTO2],KB[TANGGAL],B35,KB[TYPE],"B",KB[TRANSPORT],"LAUT")</f>
        <v>0</v>
      </c>
      <c r="AL35" s="712">
        <f t="shared" si="21"/>
        <v>0</v>
      </c>
      <c r="AM35" s="712">
        <f>SUMIFS(KB[TBAYAR],KB[TANGGAL],B35,KB[TYPE],"B",KB[TRANSPORT],"LAUT")</f>
        <v>0</v>
      </c>
      <c r="AN35" s="716">
        <f t="shared" si="22"/>
        <v>0</v>
      </c>
      <c r="AO35" s="716">
        <f t="shared" si="13"/>
        <v>0</v>
      </c>
      <c r="AP35" s="712">
        <f>SUMIFS(KB[TBAYAR2],KB[TANGGAL],B35,KB[TYPE],"B",KB[TRANSPORT],"LAUT")</f>
        <v>0</v>
      </c>
      <c r="AQ35" s="712">
        <f>SUMIFS(KB[POTPPH],KB[TANGGAL],B35,KB[TYPE],"B",KB[TRANSPORT],"LAUT")</f>
        <v>0</v>
      </c>
      <c r="AR35" s="712">
        <f>SUMIFS(KB[TPEMBAYARAN],KB[TANGGAL],B35,KB[TYPE],"B",KB[TRANSPORT],"LAUT")</f>
        <v>0</v>
      </c>
      <c r="AS35" s="714"/>
      <c r="AT35" s="659">
        <f>SUMIFS(KB[BRUTO],KB[TANGGAL],B35,KB[TYPE],"B",KB[TRANSPORT],"DARAT")</f>
        <v>0</v>
      </c>
      <c r="AU35" s="660">
        <f>SUMIFS(KB[TARRA],KB[TANGGAL],B35,KB[TYPE],"B",KB[TRANSPORT],"DARAT")</f>
        <v>0</v>
      </c>
      <c r="AV35" s="660">
        <f>SUMIFS(KB[NETTO],KB[TANGGAL],B35,KB[TYPE],"B",KB[TRANSPORT],"DARAT")</f>
        <v>0</v>
      </c>
      <c r="AW35" s="660">
        <f t="shared" si="23"/>
        <v>0</v>
      </c>
      <c r="AX35" s="660">
        <f>SUMIFS(KB[TPOT],KB[TANGGAL],B35,KB[TYPE],"B",KB[TRANSPORT],"DARAT")</f>
        <v>0</v>
      </c>
      <c r="AY35" s="660">
        <f>SUMIFS(KB[NETTO2],KB[TANGGAL],B35,KB[TYPE],"B",KB[TRANSPORT],"DARAT")</f>
        <v>0</v>
      </c>
      <c r="AZ35" s="660">
        <f t="shared" si="24"/>
        <v>0</v>
      </c>
      <c r="BA35" s="660">
        <f>SUMIFS(KB[TBAYAR],KB[TANGGAL],B35,KB[TYPE],"B",KB[TRANSPORT],"DARAT")</f>
        <v>0</v>
      </c>
      <c r="BB35" s="660">
        <f t="shared" si="25"/>
        <v>0</v>
      </c>
      <c r="BC35" s="660">
        <f t="shared" si="14"/>
        <v>0</v>
      </c>
      <c r="BD35" s="660">
        <f>SUMIFS(KB[TBAYAR2],KB[TANGGAL],B35,KB[TYPE],"B",KB[TRANSPORT],"DARAT")</f>
        <v>0</v>
      </c>
      <c r="BE35" s="660">
        <f>SUMIFS(KB[POTPPH],KB[TANGGAL],B35,KB[TYPE],"B",KB[TRANSPORT],"DARAT")</f>
        <v>0</v>
      </c>
      <c r="BF35" s="660">
        <f>SUMIFS(KB[TPEMBAYARAN],KB[TANGGAL],B35,KB[TYPE],"B",KB[TRANSPORT],"DARAT")</f>
        <v>0</v>
      </c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BV35" s="417"/>
      <c r="BW35" s="417"/>
      <c r="BX35" s="417"/>
      <c r="BY35" s="417"/>
      <c r="BZ35" s="417"/>
      <c r="CA35" s="417"/>
      <c r="CB35" s="417"/>
      <c r="CC35" s="417"/>
      <c r="CD35" s="417"/>
      <c r="CE35" s="417"/>
      <c r="CF35" s="417"/>
      <c r="CG35" s="417"/>
      <c r="CH35" s="417"/>
      <c r="CI35" s="417"/>
      <c r="CJ35" s="417"/>
      <c r="CK35" s="417"/>
      <c r="CL35" s="417"/>
      <c r="CM35" s="417"/>
    </row>
    <row r="36" spans="2:91" ht="24.95" customHeight="1">
      <c r="B36" s="645">
        <f t="shared" si="26"/>
        <v>43917</v>
      </c>
      <c r="C36" s="696"/>
      <c r="D36" s="659">
        <f>SUMIFS(KB[BRUTO],KB[TANGGAL],B36,KB[TYPE],"A",KB[TRANSPORT],"LAUT")</f>
        <v>12920</v>
      </c>
      <c r="E36" s="712">
        <f>SUMIFS(KB[TARRA],KB[TANGGAL],B36,KB[TYPE],"A",KB[TRANSPORT],"LAUT")</f>
        <v>7730</v>
      </c>
      <c r="F36" s="660">
        <f>SUMIFS(KB[NETTO],KB[TANGGAL],B36,KB[TYPE],"A",KB[TRANSPORT],"LAUT")</f>
        <v>5190</v>
      </c>
      <c r="G36" s="712">
        <f t="shared" si="27"/>
        <v>6</v>
      </c>
      <c r="H36" s="712">
        <f>SUMIFS(KB[TPOT],KB[TANGGAL],B36,KB[TYPE],"A",KB[TRANSPORT],"LAUT")</f>
        <v>311.39999999999998</v>
      </c>
      <c r="I36" s="712">
        <f>SUMIFS(KB[NETTO2],KB[TANGGAL],B36,KB[TYPE],"A",KB[TRANSPORT],"LAUT")</f>
        <v>4878.6000000000004</v>
      </c>
      <c r="J36" s="712">
        <f t="shared" si="28"/>
        <v>2850</v>
      </c>
      <c r="K36" s="712">
        <f>SUMIFS(KB[TBAYAR],KB[TANGGAL],B36,KB[TYPE],"A",KB[TRANSPORT],"LAUT")</f>
        <v>13904010</v>
      </c>
      <c r="L36" s="712">
        <f t="shared" si="29"/>
        <v>14.32</v>
      </c>
      <c r="M36" s="712">
        <f t="shared" si="12"/>
        <v>2864.3200918296229</v>
      </c>
      <c r="N36" s="712">
        <f>SUMIFS(KB[TBAYAR2],KB[TANGGAL],B36,KB[TYPE],"A",KB[TRANSPORT],"LAUT")</f>
        <v>13973872</v>
      </c>
      <c r="O36" s="712">
        <f>SUMIFS(KB[POTPPH],KB[TANGGAL],B36,KB[TYPE],"A",KB[TRANSPORT],"LAUT")</f>
        <v>69869</v>
      </c>
      <c r="P36" s="712">
        <f>SUMIFS(KB[TPEMBAYARAN],KB[TANGGAL],B36,KB[TYPE],"A",KB[TRANSPORT],"LAUT")</f>
        <v>13904003</v>
      </c>
      <c r="Q36" s="715"/>
      <c r="R36" s="659">
        <f>SUMIFS(KB[BRUTO],KB[TANGGAL],B36,KB[TYPE],"A",KB[TRANSPORT],"DARAT")</f>
        <v>29810</v>
      </c>
      <c r="S36" s="660">
        <f>SUMIFS(KB[TARRA],KB[TANGGAL],B36,KB[TYPE],"A",KB[TRANSPORT],"DARAT")</f>
        <v>10590</v>
      </c>
      <c r="T36" s="660">
        <f>SUMIFS(KB[NETTO],KB[TANGGAL],B36,KB[TYPE],"A",KB[TRANSPORT],"DARAT")</f>
        <v>19220</v>
      </c>
      <c r="U36" s="660">
        <f t="shared" si="18"/>
        <v>5</v>
      </c>
      <c r="V36" s="660">
        <f>SUMIFS(KB[TPOT],KB[TANGGAL],B36,KB[TYPE],"A",KB[TRANSPORT],"DARAT")</f>
        <v>961</v>
      </c>
      <c r="W36" s="660">
        <f>SUMIFS(KB[NETTO2],KB[TANGGAL],B36,KB[TYPE],"A",KB[TRANSPORT],"DARAT")</f>
        <v>18259</v>
      </c>
      <c r="X36" s="660">
        <f t="shared" si="19"/>
        <v>2800</v>
      </c>
      <c r="Y36" s="660">
        <f>SUMIFS(KB[TBAYAR],KB[TANGGAL],B36,KB[TYPE],"A",KB[TRANSPORT],"DARAT")</f>
        <v>51125200</v>
      </c>
      <c r="Z36" s="660">
        <f t="shared" si="20"/>
        <v>14.07</v>
      </c>
      <c r="AA36" s="660">
        <f t="shared" si="30"/>
        <v>2814.0699928802233</v>
      </c>
      <c r="AB36" s="660">
        <f>SUMIFS(KB[TBAYAR2],KB[TANGGAL],B36,KB[TYPE],"A",KB[TRANSPORT],"DARAT")</f>
        <v>51382104</v>
      </c>
      <c r="AC36" s="660">
        <f>SUMIFS(KB[POTPPH],KB[TANGGAL],B36,KB[TYPE],"A",KB[TRANSPORT],"DARAT")</f>
        <v>256910</v>
      </c>
      <c r="AD36" s="660">
        <f>SUMIFS(KB[TPEMBAYARAN],KB[TANGGAL],B36,KB[TYPE],"A",KB[TRANSPORT],"DARAT")</f>
        <v>51125194</v>
      </c>
      <c r="AE36" s="715"/>
      <c r="AF36" s="659">
        <f>SUMIFS(KB[BRUTO],KB[TANGGAL],B36,KB[TYPE],"B",KB[TRANSPORT],"LAUT")</f>
        <v>0</v>
      </c>
      <c r="AG36" s="712">
        <f>SUMIFS(KB[TARRA],KB[TANGGAL],B36,KB[TYPE],"B",KB[TRANSPORT],"LAUT")</f>
        <v>0</v>
      </c>
      <c r="AH36" s="712">
        <f>SUMIFS(KB[NETTO],KB[TANGGAL],B36,KB[TYPE],"B",KB[TRANSPORT],"LAUT")</f>
        <v>0</v>
      </c>
      <c r="AI36" s="712">
        <f t="shared" si="6"/>
        <v>0</v>
      </c>
      <c r="AJ36" s="712">
        <f>SUMIFS(KB[TPOT],KB[TANGGAL],B36,KB[TYPE],"B",KB[TRANSPORT],"LAUT")</f>
        <v>0</v>
      </c>
      <c r="AK36" s="712">
        <f>SUMIFS(KB[NETTO2],KB[TANGGAL],B36,KB[TYPE],"B",KB[TRANSPORT],"LAUT")</f>
        <v>0</v>
      </c>
      <c r="AL36" s="712">
        <f t="shared" si="21"/>
        <v>0</v>
      </c>
      <c r="AM36" s="712">
        <f>SUMIFS(KB[TBAYAR],KB[TANGGAL],B36,KB[TYPE],"B",KB[TRANSPORT],"LAUT")</f>
        <v>0</v>
      </c>
      <c r="AN36" s="716">
        <f t="shared" si="22"/>
        <v>0</v>
      </c>
      <c r="AO36" s="716">
        <f t="shared" si="13"/>
        <v>0</v>
      </c>
      <c r="AP36" s="712">
        <f>SUMIFS(KB[TBAYAR2],KB[TANGGAL],B36,KB[TYPE],"B",KB[TRANSPORT],"LAUT")</f>
        <v>0</v>
      </c>
      <c r="AQ36" s="712">
        <f>SUMIFS(KB[POTPPH],KB[TANGGAL],B36,KB[TYPE],"B",KB[TRANSPORT],"LAUT")</f>
        <v>0</v>
      </c>
      <c r="AR36" s="712">
        <f>SUMIFS(KB[TPEMBAYARAN],KB[TANGGAL],B36,KB[TYPE],"B",KB[TRANSPORT],"LAUT")</f>
        <v>0</v>
      </c>
      <c r="AS36" s="714"/>
      <c r="AT36" s="659">
        <f>SUMIFS(KB[BRUTO],KB[TANGGAL],B36,KB[TYPE],"B",KB[TRANSPORT],"DARAT")</f>
        <v>0</v>
      </c>
      <c r="AU36" s="660">
        <f>SUMIFS(KB[TARRA],KB[TANGGAL],B36,KB[TYPE],"B",KB[TRANSPORT],"DARAT")</f>
        <v>0</v>
      </c>
      <c r="AV36" s="660">
        <f>SUMIFS(KB[NETTO],KB[TANGGAL],B36,KB[TYPE],"B",KB[TRANSPORT],"DARAT")</f>
        <v>0</v>
      </c>
      <c r="AW36" s="660">
        <f t="shared" si="23"/>
        <v>0</v>
      </c>
      <c r="AX36" s="660">
        <f>SUMIFS(KB[TPOT],KB[TANGGAL],B36,KB[TYPE],"B",KB[TRANSPORT],"DARAT")</f>
        <v>0</v>
      </c>
      <c r="AY36" s="660">
        <f>SUMIFS(KB[NETTO2],KB[TANGGAL],B36,KB[TYPE],"B",KB[TRANSPORT],"DARAT")</f>
        <v>0</v>
      </c>
      <c r="AZ36" s="660">
        <f t="shared" si="24"/>
        <v>0</v>
      </c>
      <c r="BA36" s="660">
        <f>SUMIFS(KB[TBAYAR],KB[TANGGAL],B36,KB[TYPE],"B",KB[TRANSPORT],"DARAT")</f>
        <v>0</v>
      </c>
      <c r="BB36" s="660">
        <f t="shared" si="25"/>
        <v>0</v>
      </c>
      <c r="BC36" s="660">
        <f t="shared" si="14"/>
        <v>0</v>
      </c>
      <c r="BD36" s="660">
        <f>SUMIFS(KB[TBAYAR2],KB[TANGGAL],B36,KB[TYPE],"B",KB[TRANSPORT],"DARAT")</f>
        <v>0</v>
      </c>
      <c r="BE36" s="660">
        <f>SUMIFS(KB[POTPPH],KB[TANGGAL],B36,KB[TYPE],"B",KB[TRANSPORT],"DARAT")</f>
        <v>0</v>
      </c>
      <c r="BF36" s="660">
        <f>SUMIFS(KB[TPEMBAYARAN],KB[TANGGAL],B36,KB[TYPE],"B",KB[TRANSPORT],"DARAT")</f>
        <v>0</v>
      </c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BV36" s="417"/>
      <c r="BW36" s="417"/>
      <c r="BX36" s="417"/>
      <c r="BY36" s="417"/>
      <c r="BZ36" s="417"/>
      <c r="CA36" s="417"/>
      <c r="CB36" s="417"/>
      <c r="CC36" s="417"/>
      <c r="CD36" s="417"/>
      <c r="CE36" s="417"/>
      <c r="CF36" s="417"/>
      <c r="CG36" s="417"/>
      <c r="CH36" s="417"/>
      <c r="CI36" s="417"/>
      <c r="CJ36" s="417"/>
      <c r="CK36" s="417"/>
      <c r="CL36" s="417"/>
      <c r="CM36" s="417"/>
    </row>
    <row r="37" spans="2:91" ht="24.95" customHeight="1">
      <c r="B37" s="645">
        <f t="shared" si="26"/>
        <v>43918</v>
      </c>
      <c r="C37" s="696"/>
      <c r="D37" s="659">
        <f>SUMIFS(KB[BRUTO],KB[TANGGAL],B37,KB[TYPE],"A",KB[TRANSPORT],"LAUT")</f>
        <v>7800</v>
      </c>
      <c r="E37" s="712">
        <f>SUMIFS(KB[TARRA],KB[TANGGAL],B37,KB[TYPE],"A",KB[TRANSPORT],"LAUT")</f>
        <v>3860</v>
      </c>
      <c r="F37" s="660">
        <f>SUMIFS(KB[NETTO],KB[TANGGAL],B37,KB[TYPE],"A",KB[TRANSPORT],"LAUT")</f>
        <v>3940</v>
      </c>
      <c r="G37" s="712">
        <f t="shared" si="27"/>
        <v>6</v>
      </c>
      <c r="H37" s="712">
        <f>SUMIFS(KB[TPOT],KB[TANGGAL],B37,KB[TYPE],"A",KB[TRANSPORT],"LAUT")</f>
        <v>236.39999999999998</v>
      </c>
      <c r="I37" s="712">
        <f>SUMIFS(KB[NETTO2],KB[TANGGAL],B37,KB[TYPE],"A",KB[TRANSPORT],"LAUT")</f>
        <v>3703.6</v>
      </c>
      <c r="J37" s="712">
        <f t="shared" si="28"/>
        <v>2850</v>
      </c>
      <c r="K37" s="712">
        <f>SUMIFS(KB[TBAYAR],KB[TANGGAL],B37,KB[TYPE],"A",KB[TRANSPORT],"LAUT")</f>
        <v>10555260</v>
      </c>
      <c r="L37" s="712">
        <f t="shared" si="29"/>
        <v>14.32</v>
      </c>
      <c r="M37" s="712">
        <f t="shared" si="12"/>
        <v>2864.3201209633871</v>
      </c>
      <c r="N37" s="712">
        <f>SUMIFS(KB[TBAYAR2],KB[TANGGAL],B37,KB[TYPE],"A",KB[TRANSPORT],"LAUT")</f>
        <v>10608296</v>
      </c>
      <c r="O37" s="712">
        <f>SUMIFS(KB[POTPPH],KB[TANGGAL],B37,KB[TYPE],"A",KB[TRANSPORT],"LAUT")</f>
        <v>53041</v>
      </c>
      <c r="P37" s="712">
        <f>SUMIFS(KB[TPEMBAYARAN],KB[TANGGAL],B37,KB[TYPE],"A",KB[TRANSPORT],"LAUT")</f>
        <v>10555255</v>
      </c>
      <c r="Q37" s="715"/>
      <c r="R37" s="659">
        <f>SUMIFS(KB[BRUTO],KB[TANGGAL],B37,KB[TYPE],"A",KB[TRANSPORT],"DARAT")</f>
        <v>69070</v>
      </c>
      <c r="S37" s="660">
        <f>SUMIFS(KB[TARRA],KB[TANGGAL],B37,KB[TYPE],"A",KB[TRANSPORT],"DARAT")</f>
        <v>28250</v>
      </c>
      <c r="T37" s="660">
        <f>SUMIFS(KB[NETTO],KB[TANGGAL],B37,KB[TYPE],"A",KB[TRANSPORT],"DARAT")</f>
        <v>40820</v>
      </c>
      <c r="U37" s="660">
        <f t="shared" si="18"/>
        <v>5</v>
      </c>
      <c r="V37" s="660">
        <f>SUMIFS(KB[TPOT],KB[TANGGAL],B37,KB[TYPE],"A",KB[TRANSPORT],"DARAT")</f>
        <v>2041</v>
      </c>
      <c r="W37" s="660">
        <f>SUMIFS(KB[NETTO2],KB[TANGGAL],B37,KB[TYPE],"A",KB[TRANSPORT],"DARAT")</f>
        <v>38779</v>
      </c>
      <c r="X37" s="660">
        <f t="shared" si="19"/>
        <v>2807.7413032827044</v>
      </c>
      <c r="Y37" s="660">
        <f>SUMIFS(KB[TBAYAR],KB[TANGGAL],B37,KB[TYPE],"A",KB[TRANSPORT],"DARAT")</f>
        <v>108881400</v>
      </c>
      <c r="Z37" s="660">
        <f t="shared" si="20"/>
        <v>14.11</v>
      </c>
      <c r="AA37" s="660">
        <f t="shared" si="30"/>
        <v>2821.8500219190801</v>
      </c>
      <c r="AB37" s="660">
        <f>SUMIFS(KB[TBAYAR2],KB[TANGGAL],B37,KB[TYPE],"A",KB[TRANSPORT],"DARAT")</f>
        <v>109428522</v>
      </c>
      <c r="AC37" s="660">
        <f>SUMIFS(KB[POTPPH],KB[TANGGAL],B37,KB[TYPE],"A",KB[TRANSPORT],"DARAT")</f>
        <v>547143</v>
      </c>
      <c r="AD37" s="660">
        <f>SUMIFS(KB[TPEMBAYARAN],KB[TANGGAL],B37,KB[TYPE],"A",KB[TRANSPORT],"DARAT")</f>
        <v>108881379</v>
      </c>
      <c r="AE37" s="715"/>
      <c r="AF37" s="659">
        <f>SUMIFS(KB[BRUTO],KB[TANGGAL],B37,KB[TYPE],"B",KB[TRANSPORT],"LAUT")</f>
        <v>0</v>
      </c>
      <c r="AG37" s="712">
        <f>SUMIFS(KB[TARRA],KB[TANGGAL],B37,KB[TYPE],"B",KB[TRANSPORT],"LAUT")</f>
        <v>0</v>
      </c>
      <c r="AH37" s="712">
        <f>SUMIFS(KB[NETTO],KB[TANGGAL],B37,KB[TYPE],"B",KB[TRANSPORT],"LAUT")</f>
        <v>0</v>
      </c>
      <c r="AI37" s="712">
        <f t="shared" si="6"/>
        <v>0</v>
      </c>
      <c r="AJ37" s="712">
        <f>SUMIFS(KB[TPOT],KB[TANGGAL],B37,KB[TYPE],"B",KB[TRANSPORT],"LAUT")</f>
        <v>0</v>
      </c>
      <c r="AK37" s="712">
        <f>SUMIFS(KB[NETTO2],KB[TANGGAL],B37,KB[TYPE],"B",KB[TRANSPORT],"LAUT")</f>
        <v>0</v>
      </c>
      <c r="AL37" s="712">
        <f t="shared" si="21"/>
        <v>0</v>
      </c>
      <c r="AM37" s="712">
        <f>SUMIFS(KB[TBAYAR],KB[TANGGAL],B37,KB[TYPE],"B",KB[TRANSPORT],"LAUT")</f>
        <v>0</v>
      </c>
      <c r="AN37" s="716">
        <f t="shared" si="22"/>
        <v>0</v>
      </c>
      <c r="AO37" s="716">
        <f t="shared" si="13"/>
        <v>0</v>
      </c>
      <c r="AP37" s="712">
        <f>SUMIFS(KB[TBAYAR2],KB[TANGGAL],B37,KB[TYPE],"B",KB[TRANSPORT],"LAUT")</f>
        <v>0</v>
      </c>
      <c r="AQ37" s="712">
        <f>SUMIFS(KB[POTPPH],KB[TANGGAL],B37,KB[TYPE],"B",KB[TRANSPORT],"LAUT")</f>
        <v>0</v>
      </c>
      <c r="AR37" s="712">
        <f>SUMIFS(KB[TPEMBAYARAN],KB[TANGGAL],B37,KB[TYPE],"B",KB[TRANSPORT],"LAUT")</f>
        <v>0</v>
      </c>
      <c r="AS37" s="714"/>
      <c r="AT37" s="659">
        <f>SUMIFS(KB[BRUTO],KB[TANGGAL],B37,KB[TYPE],"B",KB[TRANSPORT],"DARAT")</f>
        <v>0</v>
      </c>
      <c r="AU37" s="660">
        <f>SUMIFS(KB[TARRA],KB[TANGGAL],B37,KB[TYPE],"B",KB[TRANSPORT],"DARAT")</f>
        <v>0</v>
      </c>
      <c r="AV37" s="660">
        <f>SUMIFS(KB[NETTO],KB[TANGGAL],B37,KB[TYPE],"B",KB[TRANSPORT],"DARAT")</f>
        <v>0</v>
      </c>
      <c r="AW37" s="660">
        <f t="shared" si="23"/>
        <v>0</v>
      </c>
      <c r="AX37" s="660">
        <f>SUMIFS(KB[TPOT],KB[TANGGAL],B37,KB[TYPE],"B",KB[TRANSPORT],"DARAT")</f>
        <v>0</v>
      </c>
      <c r="AY37" s="660">
        <f>SUMIFS(KB[NETTO2],KB[TANGGAL],B37,KB[TYPE],"B",KB[TRANSPORT],"DARAT")</f>
        <v>0</v>
      </c>
      <c r="AZ37" s="660">
        <f t="shared" si="24"/>
        <v>0</v>
      </c>
      <c r="BA37" s="660">
        <f>SUMIFS(KB[TBAYAR],KB[TANGGAL],B37,KB[TYPE],"B",KB[TRANSPORT],"DARAT")</f>
        <v>0</v>
      </c>
      <c r="BB37" s="660">
        <f t="shared" si="25"/>
        <v>0</v>
      </c>
      <c r="BC37" s="660">
        <f t="shared" si="14"/>
        <v>0</v>
      </c>
      <c r="BD37" s="660">
        <f>SUMIFS(KB[TBAYAR2],KB[TANGGAL],B37,KB[TYPE],"B",KB[TRANSPORT],"DARAT")</f>
        <v>0</v>
      </c>
      <c r="BE37" s="660">
        <f>SUMIFS(KB[POTPPH],KB[TANGGAL],B37,KB[TYPE],"B",KB[TRANSPORT],"DARAT")</f>
        <v>0</v>
      </c>
      <c r="BF37" s="660">
        <f>SUMIFS(KB[TPEMBAYARAN],KB[TANGGAL],B37,KB[TYPE],"B",KB[TRANSPORT],"DARAT")</f>
        <v>0</v>
      </c>
      <c r="BG37" s="419"/>
      <c r="BH37" s="420"/>
      <c r="BI37" s="418"/>
      <c r="BJ37" s="388"/>
      <c r="BK37" s="388"/>
      <c r="BL37" s="388"/>
      <c r="BM37" s="388"/>
      <c r="BN37" s="388"/>
      <c r="BO37" s="388"/>
      <c r="BP37" s="388"/>
      <c r="BQ37" s="388"/>
      <c r="BR37" s="388"/>
      <c r="BS37" s="388"/>
      <c r="BT37" s="388"/>
      <c r="BU37" s="388"/>
      <c r="BV37" s="388"/>
      <c r="BW37" s="388"/>
      <c r="BX37" s="388"/>
      <c r="BY37" s="388"/>
      <c r="BZ37" s="388"/>
      <c r="CA37" s="388"/>
      <c r="CB37" s="388"/>
      <c r="CC37" s="388"/>
      <c r="CD37" s="388"/>
      <c r="CE37" s="388"/>
      <c r="CF37" s="388"/>
      <c r="CG37" s="388"/>
      <c r="CH37" s="388"/>
      <c r="CI37" s="388"/>
      <c r="CJ37" s="388"/>
      <c r="CK37" s="388"/>
      <c r="CL37" s="388"/>
      <c r="CM37" s="388"/>
    </row>
    <row r="38" spans="2:91" ht="24.95" customHeight="1">
      <c r="B38" s="645">
        <f>IFERROR(IF(MONTH(DATE(YEAR(B37),MONTH(B37),DAY(B37)+1))&gt;MONTH(B10),"-",B37+1),"-")</f>
        <v>43919</v>
      </c>
      <c r="C38" s="696"/>
      <c r="D38" s="659">
        <f>SUMIFS(KB[BRUTO],KB[TANGGAL],B38,KB[TYPE],"A",KB[TRANSPORT],"LAUT")</f>
        <v>0</v>
      </c>
      <c r="E38" s="712">
        <f>SUMIFS(KB[TARRA],KB[TANGGAL],B38,KB[TYPE],"A",KB[TRANSPORT],"LAUT")</f>
        <v>0</v>
      </c>
      <c r="F38" s="660">
        <f>SUMIFS(KB[NETTO],KB[TANGGAL],B38,KB[TYPE],"A",KB[TRANSPORT],"LAUT")</f>
        <v>0</v>
      </c>
      <c r="G38" s="712">
        <f t="shared" si="27"/>
        <v>0</v>
      </c>
      <c r="H38" s="712">
        <f>SUMIFS(KB[TPOT],KB[TANGGAL],B38,KB[TYPE],"A",KB[TRANSPORT],"LAUT")</f>
        <v>0</v>
      </c>
      <c r="I38" s="712">
        <f>SUMIFS(KB[NETTO2],KB[TANGGAL],B38,KB[TYPE],"A",KB[TRANSPORT],"LAUT")</f>
        <v>0</v>
      </c>
      <c r="J38" s="712">
        <f t="shared" si="28"/>
        <v>0</v>
      </c>
      <c r="K38" s="712">
        <f>SUMIFS(KB[TBAYAR],KB[TANGGAL],B38,KB[TYPE],"A",KB[TRANSPORT],"LAUT")</f>
        <v>0</v>
      </c>
      <c r="L38" s="712">
        <f t="shared" si="29"/>
        <v>0</v>
      </c>
      <c r="M38" s="712">
        <f t="shared" si="12"/>
        <v>0</v>
      </c>
      <c r="N38" s="712">
        <f>SUMIFS(KB[TBAYAR2],KB[TANGGAL],B38,KB[TYPE],"A",KB[TRANSPORT],"LAUT")</f>
        <v>0</v>
      </c>
      <c r="O38" s="712">
        <f>SUMIFS(KB[POTPPH],KB[TANGGAL],B38,KB[TYPE],"A",KB[TRANSPORT],"LAUT")</f>
        <v>0</v>
      </c>
      <c r="P38" s="712">
        <f>SUMIFS(KB[TPEMBAYARAN],KB[TANGGAL],B38,KB[TYPE],"A",KB[TRANSPORT],"LAUT")</f>
        <v>0</v>
      </c>
      <c r="Q38" s="715"/>
      <c r="R38" s="659">
        <f>SUMIFS(KB[BRUTO],KB[TANGGAL],B38,KB[TYPE],"A",KB[TRANSPORT],"DARAT")</f>
        <v>0</v>
      </c>
      <c r="S38" s="660">
        <f>SUMIFS(KB[TARRA],KB[TANGGAL],B38,KB[TYPE],"A",KB[TRANSPORT],"DARAT")</f>
        <v>0</v>
      </c>
      <c r="T38" s="660">
        <f>SUMIFS(KB[NETTO],KB[TANGGAL],B38,KB[TYPE],"A",KB[TRANSPORT],"DARAT")</f>
        <v>0</v>
      </c>
      <c r="U38" s="660">
        <f t="shared" si="18"/>
        <v>0</v>
      </c>
      <c r="V38" s="660">
        <f>SUMIFS(KB[TPOT],KB[TANGGAL],B38,KB[TYPE],"A",KB[TRANSPORT],"DARAT")</f>
        <v>0</v>
      </c>
      <c r="W38" s="660">
        <f>SUMIFS(KB[NETTO2],KB[TANGGAL],B38,KB[TYPE],"A",KB[TRANSPORT],"DARAT")</f>
        <v>0</v>
      </c>
      <c r="X38" s="660">
        <f t="shared" si="19"/>
        <v>0</v>
      </c>
      <c r="Y38" s="660">
        <f>SUMIFS(KB[TBAYAR],KB[TANGGAL],B38,KB[TYPE],"A",KB[TRANSPORT],"DARAT")</f>
        <v>0</v>
      </c>
      <c r="Z38" s="660">
        <f t="shared" si="20"/>
        <v>0</v>
      </c>
      <c r="AA38" s="660">
        <f t="shared" si="30"/>
        <v>0</v>
      </c>
      <c r="AB38" s="660">
        <f>SUMIFS(KB[TBAYAR2],KB[TANGGAL],B38,KB[TYPE],"A",KB[TRANSPORT],"DARAT")</f>
        <v>0</v>
      </c>
      <c r="AC38" s="660">
        <f>SUMIFS(KB[POTPPH],KB[TANGGAL],B38,KB[TYPE],"A",KB[TRANSPORT],"DARAT")</f>
        <v>0</v>
      </c>
      <c r="AD38" s="660">
        <f>SUMIFS(KB[TPEMBAYARAN],KB[TANGGAL],B38,KB[TYPE],"A",KB[TRANSPORT],"DARAT")</f>
        <v>0</v>
      </c>
      <c r="AE38" s="715"/>
      <c r="AF38" s="659">
        <f>SUMIFS(KB[BRUTO],KB[TANGGAL],B38,KB[TYPE],"B",KB[TRANSPORT],"LAUT")</f>
        <v>0</v>
      </c>
      <c r="AG38" s="712">
        <f>SUMIFS(KB[TARRA],KB[TANGGAL],B38,KB[TYPE],"B",KB[TRANSPORT],"LAUT")</f>
        <v>0</v>
      </c>
      <c r="AH38" s="712">
        <f>SUMIFS(KB[NETTO],KB[TANGGAL],B38,KB[TYPE],"B",KB[TRANSPORT],"LAUT")</f>
        <v>0</v>
      </c>
      <c r="AI38" s="712">
        <f t="shared" si="6"/>
        <v>0</v>
      </c>
      <c r="AJ38" s="712">
        <f>SUMIFS(KB[TPOT],KB[TANGGAL],B38,KB[TYPE],"B",KB[TRANSPORT],"LAUT")</f>
        <v>0</v>
      </c>
      <c r="AK38" s="712">
        <f>SUMIFS(KB[NETTO2],KB[TANGGAL],B38,KB[TYPE],"B",KB[TRANSPORT],"LAUT")</f>
        <v>0</v>
      </c>
      <c r="AL38" s="712">
        <f t="shared" si="21"/>
        <v>0</v>
      </c>
      <c r="AM38" s="712">
        <f>SUMIFS(KB[TBAYAR],KB[TANGGAL],B38,KB[TYPE],"B",KB[TRANSPORT],"LAUT")</f>
        <v>0</v>
      </c>
      <c r="AN38" s="716">
        <f t="shared" si="22"/>
        <v>0</v>
      </c>
      <c r="AO38" s="716">
        <f t="shared" si="13"/>
        <v>0</v>
      </c>
      <c r="AP38" s="712">
        <f>SUMIFS(KB[TBAYAR2],KB[TANGGAL],B38,KB[TYPE],"B",KB[TRANSPORT],"LAUT")</f>
        <v>0</v>
      </c>
      <c r="AQ38" s="712">
        <f>SUMIFS(KB[POTPPH],KB[TANGGAL],B38,KB[TYPE],"B",KB[TRANSPORT],"LAUT")</f>
        <v>0</v>
      </c>
      <c r="AR38" s="712">
        <f>SUMIFS(KB[TPEMBAYARAN],KB[TANGGAL],B38,KB[TYPE],"B",KB[TRANSPORT],"LAUT")</f>
        <v>0</v>
      </c>
      <c r="AS38" s="714"/>
      <c r="AT38" s="659">
        <f>SUMIFS(KB[BRUTO],KB[TANGGAL],B38,KB[TYPE],"B",KB[TRANSPORT],"DARAT")</f>
        <v>0</v>
      </c>
      <c r="AU38" s="660">
        <f>SUMIFS(KB[TARRA],KB[TANGGAL],B38,KB[TYPE],"B",KB[TRANSPORT],"DARAT")</f>
        <v>0</v>
      </c>
      <c r="AV38" s="660">
        <f>SUMIFS(KB[NETTO],KB[TANGGAL],B38,KB[TYPE],"B",KB[TRANSPORT],"DARAT")</f>
        <v>0</v>
      </c>
      <c r="AW38" s="660">
        <f t="shared" si="23"/>
        <v>0</v>
      </c>
      <c r="AX38" s="660">
        <f>SUMIFS(KB[TPOT],KB[TANGGAL],B38,KB[TYPE],"B",KB[TRANSPORT],"DARAT")</f>
        <v>0</v>
      </c>
      <c r="AY38" s="660">
        <f>SUMIFS(KB[NETTO2],KB[TANGGAL],B38,KB[TYPE],"B",KB[TRANSPORT],"DARAT")</f>
        <v>0</v>
      </c>
      <c r="AZ38" s="660">
        <f t="shared" si="24"/>
        <v>0</v>
      </c>
      <c r="BA38" s="660">
        <f>SUMIFS(KB[TBAYAR],KB[TANGGAL],B38,KB[TYPE],"B",KB[TRANSPORT],"DARAT")</f>
        <v>0</v>
      </c>
      <c r="BB38" s="660">
        <f t="shared" si="25"/>
        <v>0</v>
      </c>
      <c r="BC38" s="660">
        <f t="shared" si="14"/>
        <v>0</v>
      </c>
      <c r="BD38" s="660">
        <f>SUMIFS(KB[TBAYAR2],KB[TANGGAL],B38,KB[TYPE],"B",KB[TRANSPORT],"DARAT")</f>
        <v>0</v>
      </c>
      <c r="BE38" s="660">
        <f>SUMIFS(KB[POTPPH],KB[TANGGAL],B38,KB[TYPE],"B",KB[TRANSPORT],"DARAT")</f>
        <v>0</v>
      </c>
      <c r="BF38" s="660">
        <f>SUMIFS(KB[TPEMBAYARAN],KB[TANGGAL],B38,KB[TYPE],"B",KB[TRANSPORT],"DARAT")</f>
        <v>0</v>
      </c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BV38" s="417"/>
      <c r="BW38" s="417"/>
      <c r="BX38" s="417"/>
      <c r="BY38" s="417"/>
      <c r="BZ38" s="417"/>
      <c r="CA38" s="417"/>
      <c r="CB38" s="417"/>
      <c r="CC38" s="417"/>
      <c r="CD38" s="417"/>
      <c r="CE38" s="417"/>
      <c r="CF38" s="417"/>
      <c r="CG38" s="417"/>
      <c r="CH38" s="417"/>
      <c r="CI38" s="417"/>
      <c r="CJ38" s="417"/>
      <c r="CK38" s="417"/>
      <c r="CL38" s="417"/>
      <c r="CM38" s="417"/>
    </row>
    <row r="39" spans="2:91" ht="24.95" customHeight="1">
      <c r="B39" s="645">
        <f t="shared" ref="B39:B40" si="31">IFERROR(IF(MONTH(DATE(YEAR(B38),MONTH(B38),DAY(B38)+1))&gt;MONTH(B11),"-",B38+1),"-")</f>
        <v>43920</v>
      </c>
      <c r="C39" s="696"/>
      <c r="D39" s="659">
        <f>SUMIFS(KB[BRUTO],KB[TANGGAL],B39,KB[TYPE],"A",KB[TRANSPORT],"LAUT")</f>
        <v>60430</v>
      </c>
      <c r="E39" s="712">
        <f>SUMIFS(KB[TARRA],KB[TANGGAL],B39,KB[TYPE],"A",KB[TRANSPORT],"LAUT")</f>
        <v>31450</v>
      </c>
      <c r="F39" s="660">
        <f>SUMIFS(KB[NETTO],KB[TANGGAL],B39,KB[TYPE],"A",KB[TRANSPORT],"LAUT")</f>
        <v>28980</v>
      </c>
      <c r="G39" s="712">
        <f t="shared" si="27"/>
        <v>5.9999999999999991</v>
      </c>
      <c r="H39" s="712">
        <f>SUMIFS(KB[TPOT],KB[TANGGAL],B39,KB[TYPE],"A",KB[TRANSPORT],"LAUT")</f>
        <v>1738.7999999999997</v>
      </c>
      <c r="I39" s="712">
        <f>SUMIFS(KB[NETTO2],KB[TANGGAL],B39,KB[TYPE],"A",KB[TRANSPORT],"LAUT")</f>
        <v>27241.200000000001</v>
      </c>
      <c r="J39" s="712">
        <f t="shared" si="28"/>
        <v>2865.1656314699794</v>
      </c>
      <c r="K39" s="712">
        <f>SUMIFS(KB[TBAYAR],KB[TANGGAL],B39,KB[TYPE],"A",KB[TRANSPORT],"LAUT")</f>
        <v>78050550</v>
      </c>
      <c r="L39" s="712">
        <f t="shared" si="29"/>
        <v>14.4</v>
      </c>
      <c r="M39" s="712">
        <f t="shared" si="12"/>
        <v>2879.5614363537584</v>
      </c>
      <c r="N39" s="712">
        <f>SUMIFS(KB[TBAYAR2],KB[TANGGAL],B39,KB[TYPE],"A",KB[TRANSPORT],"LAUT")</f>
        <v>78442709</v>
      </c>
      <c r="O39" s="712">
        <f>SUMIFS(KB[POTPPH],KB[TANGGAL],B39,KB[TYPE],"A",KB[TRANSPORT],"LAUT")</f>
        <v>392214</v>
      </c>
      <c r="P39" s="712">
        <f>SUMIFS(KB[TPEMBAYARAN],KB[TANGGAL],B39,KB[TYPE],"A",KB[TRANSPORT],"LAUT")</f>
        <v>78050495</v>
      </c>
      <c r="Q39" s="715"/>
      <c r="R39" s="659">
        <f>SUMIFS(KB[BRUTO],KB[TANGGAL],B39,KB[TYPE],"A",KB[TRANSPORT],"DARAT")</f>
        <v>122440</v>
      </c>
      <c r="S39" s="660">
        <f>SUMIFS(KB[TARRA],KB[TANGGAL],B39,KB[TYPE],"A",KB[TRANSPORT],"DARAT")</f>
        <v>54200</v>
      </c>
      <c r="T39" s="660">
        <f>SUMIFS(KB[NETTO],KB[TANGGAL],B39,KB[TYPE],"A",KB[TRANSPORT],"DARAT")</f>
        <v>68240</v>
      </c>
      <c r="U39" s="660">
        <f t="shared" si="18"/>
        <v>5.1069753810082066</v>
      </c>
      <c r="V39" s="660">
        <f>SUMIFS(KB[TPOT],KB[TANGGAL],B39,KB[TYPE],"A",KB[TRANSPORT],"DARAT")</f>
        <v>3485</v>
      </c>
      <c r="W39" s="660">
        <f>SUMIFS(KB[NETTO2],KB[TANGGAL],B39,KB[TYPE],"A",KB[TRANSPORT],"DARAT")</f>
        <v>64755</v>
      </c>
      <c r="X39" s="660">
        <f t="shared" si="19"/>
        <v>2812.8735232800555</v>
      </c>
      <c r="Y39" s="660">
        <f>SUMIFS(KB[TBAYAR],KB[TANGGAL],B39,KB[TYPE],"A",KB[TRANSPORT],"DARAT")</f>
        <v>182147625</v>
      </c>
      <c r="Z39" s="660">
        <f t="shared" si="20"/>
        <v>14.13</v>
      </c>
      <c r="AA39" s="660">
        <f t="shared" si="30"/>
        <v>2827.0079067253496</v>
      </c>
      <c r="AB39" s="660">
        <f>SUMIFS(KB[TBAYAR2],KB[TANGGAL],B39,KB[TYPE],"A",KB[TRANSPORT],"DARAT")</f>
        <v>183062897</v>
      </c>
      <c r="AC39" s="660">
        <f>SUMIFS(KB[POTPPH],KB[TANGGAL],B39,KB[TYPE],"A",KB[TRANSPORT],"DARAT")</f>
        <v>915313</v>
      </c>
      <c r="AD39" s="660">
        <f>SUMIFS(KB[TPEMBAYARAN],KB[TANGGAL],B39,KB[TYPE],"A",KB[TRANSPORT],"DARAT")</f>
        <v>182147584</v>
      </c>
      <c r="AE39" s="715"/>
      <c r="AF39" s="659">
        <f>SUMIFS(KB[BRUTO],KB[TANGGAL],B39,KB[TYPE],"B",KB[TRANSPORT],"LAUT")</f>
        <v>0</v>
      </c>
      <c r="AG39" s="712">
        <f>SUMIFS(KB[TARRA],KB[TANGGAL],B39,KB[TYPE],"B",KB[TRANSPORT],"LAUT")</f>
        <v>0</v>
      </c>
      <c r="AH39" s="712">
        <f>SUMIFS(KB[NETTO],KB[TANGGAL],B39,KB[TYPE],"B",KB[TRANSPORT],"LAUT")</f>
        <v>0</v>
      </c>
      <c r="AI39" s="712">
        <f t="shared" si="6"/>
        <v>0</v>
      </c>
      <c r="AJ39" s="712">
        <f>SUMIFS(KB[TPOT],KB[TANGGAL],B39,KB[TYPE],"B",KB[TRANSPORT],"LAUT")</f>
        <v>0</v>
      </c>
      <c r="AK39" s="712">
        <f>SUMIFS(KB[NETTO2],KB[TANGGAL],B39,KB[TYPE],"B",KB[TRANSPORT],"LAUT")</f>
        <v>0</v>
      </c>
      <c r="AL39" s="712">
        <f t="shared" si="21"/>
        <v>0</v>
      </c>
      <c r="AM39" s="712">
        <f>SUMIFS(KB[TBAYAR],KB[TANGGAL],B39,KB[TYPE],"B",KB[TRANSPORT],"LAUT")</f>
        <v>0</v>
      </c>
      <c r="AN39" s="716">
        <f t="shared" si="22"/>
        <v>0</v>
      </c>
      <c r="AO39" s="716">
        <f t="shared" si="13"/>
        <v>0</v>
      </c>
      <c r="AP39" s="712">
        <f>SUMIFS(KB[TBAYAR2],KB[TANGGAL],B39,KB[TYPE],"B",KB[TRANSPORT],"LAUT")</f>
        <v>0</v>
      </c>
      <c r="AQ39" s="712">
        <f>SUMIFS(KB[POTPPH],KB[TANGGAL],B39,KB[TYPE],"B",KB[TRANSPORT],"LAUT")</f>
        <v>0</v>
      </c>
      <c r="AR39" s="712">
        <f>SUMIFS(KB[TPEMBAYARAN],KB[TANGGAL],B39,KB[TYPE],"B",KB[TRANSPORT],"LAUT")</f>
        <v>0</v>
      </c>
      <c r="AS39" s="714"/>
      <c r="AT39" s="659">
        <f>SUMIFS(KB[BRUTO],KB[TANGGAL],B39,KB[TYPE],"B",KB[TRANSPORT],"DARAT")</f>
        <v>0</v>
      </c>
      <c r="AU39" s="660">
        <f>SUMIFS(KB[TARRA],KB[TANGGAL],B39,KB[TYPE],"B",KB[TRANSPORT],"DARAT")</f>
        <v>0</v>
      </c>
      <c r="AV39" s="660">
        <f>SUMIFS(KB[NETTO],KB[TANGGAL],B39,KB[TYPE],"B",KB[TRANSPORT],"DARAT")</f>
        <v>0</v>
      </c>
      <c r="AW39" s="660">
        <f t="shared" si="23"/>
        <v>0</v>
      </c>
      <c r="AX39" s="660">
        <f>SUMIFS(KB[TPOT],KB[TANGGAL],B39,KB[TYPE],"B",KB[TRANSPORT],"DARAT")</f>
        <v>0</v>
      </c>
      <c r="AY39" s="660">
        <f>SUMIFS(KB[NETTO2],KB[TANGGAL],B39,KB[TYPE],"B",KB[TRANSPORT],"DARAT")</f>
        <v>0</v>
      </c>
      <c r="AZ39" s="660">
        <f t="shared" si="24"/>
        <v>0</v>
      </c>
      <c r="BA39" s="660">
        <f>SUMIFS(KB[TBAYAR],KB[TANGGAL],B39,KB[TYPE],"B",KB[TRANSPORT],"DARAT")</f>
        <v>0</v>
      </c>
      <c r="BB39" s="660">
        <f t="shared" si="25"/>
        <v>0</v>
      </c>
      <c r="BC39" s="660">
        <f t="shared" si="14"/>
        <v>0</v>
      </c>
      <c r="BD39" s="660">
        <f>SUMIFS(KB[TBAYAR2],KB[TANGGAL],B39,KB[TYPE],"B",KB[TRANSPORT],"DARAT")</f>
        <v>0</v>
      </c>
      <c r="BE39" s="660">
        <f>SUMIFS(KB[POTPPH],KB[TANGGAL],B39,KB[TYPE],"B",KB[TRANSPORT],"DARAT")</f>
        <v>0</v>
      </c>
      <c r="BF39" s="660">
        <f>SUMIFS(KB[TPEMBAYARAN],KB[TANGGAL],B39,KB[TYPE],"B",KB[TRANSPORT],"DARAT")</f>
        <v>0</v>
      </c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BV39" s="417"/>
      <c r="BW39" s="417"/>
      <c r="BX39" s="417"/>
      <c r="BY39" s="417"/>
      <c r="BZ39" s="417"/>
      <c r="CA39" s="417"/>
      <c r="CB39" s="417"/>
      <c r="CC39" s="417"/>
      <c r="CD39" s="417"/>
      <c r="CE39" s="417"/>
      <c r="CF39" s="417"/>
      <c r="CG39" s="417"/>
      <c r="CH39" s="417"/>
      <c r="CI39" s="417"/>
      <c r="CJ39" s="417"/>
      <c r="CK39" s="417"/>
      <c r="CL39" s="417"/>
      <c r="CM39" s="417"/>
    </row>
    <row r="40" spans="2:91" ht="24.95" customHeight="1">
      <c r="B40" s="645">
        <f t="shared" si="31"/>
        <v>43921</v>
      </c>
      <c r="C40" s="696"/>
      <c r="D40" s="659">
        <f>SUMIFS(KB[BRUTO],KB[TANGGAL],B40,KB[TYPE],"A",KB[TRANSPORT],"LAUT")</f>
        <v>0</v>
      </c>
      <c r="E40" s="712">
        <f>SUMIFS(KB[TARRA],KB[TANGGAL],B40,KB[TYPE],"A",KB[TRANSPORT],"LAUT")</f>
        <v>0</v>
      </c>
      <c r="F40" s="660">
        <f>SUMIFS(KB[NETTO],KB[TANGGAL],B40,KB[TYPE],"A",KB[TRANSPORT],"LAUT")</f>
        <v>0</v>
      </c>
      <c r="G40" s="712">
        <f t="shared" si="27"/>
        <v>0</v>
      </c>
      <c r="H40" s="712">
        <f>SUMIFS(KB[TPOT],KB[TANGGAL],B40,KB[TYPE],"A",KB[TRANSPORT],"LAUT")</f>
        <v>0</v>
      </c>
      <c r="I40" s="712">
        <f>SUMIFS(KB[NETTO2],KB[TANGGAL],B40,KB[TYPE],"A",KB[TRANSPORT],"LAUT")</f>
        <v>0</v>
      </c>
      <c r="J40" s="712">
        <f t="shared" si="28"/>
        <v>0</v>
      </c>
      <c r="K40" s="712">
        <f>SUMIFS(KB[TBAYAR],KB[TANGGAL],B40,KB[TYPE],"A",KB[TRANSPORT],"LAUT")</f>
        <v>0</v>
      </c>
      <c r="L40" s="712">
        <f t="shared" si="29"/>
        <v>0</v>
      </c>
      <c r="M40" s="712">
        <f t="shared" si="12"/>
        <v>0</v>
      </c>
      <c r="N40" s="712">
        <f>SUMIFS(KB[TBAYAR2],KB[TANGGAL],B40,KB[TYPE],"A",KB[TRANSPORT],"LAUT")</f>
        <v>0</v>
      </c>
      <c r="O40" s="712">
        <f>SUMIFS(KB[POTPPH],KB[TANGGAL],B40,KB[TYPE],"A",KB[TRANSPORT],"LAUT")</f>
        <v>0</v>
      </c>
      <c r="P40" s="712">
        <f>SUMIFS(KB[TPEMBAYARAN],KB[TANGGAL],B40,KB[TYPE],"A",KB[TRANSPORT],"LAUT")</f>
        <v>0</v>
      </c>
      <c r="Q40" s="715"/>
      <c r="R40" s="659">
        <f>SUMIFS(KB[BRUTO],KB[TANGGAL],B40,KB[TYPE],"A",KB[TRANSPORT],"DARAT")</f>
        <v>0</v>
      </c>
      <c r="S40" s="660">
        <f>SUMIFS(KB[TARRA],KB[TANGGAL],B40,KB[TYPE],"A",KB[TRANSPORT],"DARAT")</f>
        <v>0</v>
      </c>
      <c r="T40" s="660">
        <f>SUMIFS(KB[NETTO],KB[TANGGAL],B40,KB[TYPE],"A",KB[TRANSPORT],"DARAT")</f>
        <v>0</v>
      </c>
      <c r="U40" s="660">
        <f t="shared" si="18"/>
        <v>0</v>
      </c>
      <c r="V40" s="660">
        <f>SUMIFS(KB[TPOT],KB[TANGGAL],B40,KB[TYPE],"A",KB[TRANSPORT],"DARAT")</f>
        <v>0</v>
      </c>
      <c r="W40" s="660">
        <f>SUMIFS(KB[NETTO2],KB[TANGGAL],B40,KB[TYPE],"A",KB[TRANSPORT],"DARAT")</f>
        <v>0</v>
      </c>
      <c r="X40" s="660">
        <f t="shared" si="19"/>
        <v>0</v>
      </c>
      <c r="Y40" s="660">
        <f>SUMIFS(KB[TBAYAR],KB[TANGGAL],B40,KB[TYPE],"A",KB[TRANSPORT],"DARAT")</f>
        <v>0</v>
      </c>
      <c r="Z40" s="660">
        <f t="shared" si="20"/>
        <v>0</v>
      </c>
      <c r="AA40" s="660">
        <f t="shared" si="30"/>
        <v>0</v>
      </c>
      <c r="AB40" s="660">
        <f>SUMIFS(KB[TBAYAR2],KB[TANGGAL],B40,KB[TYPE],"A",KB[TRANSPORT],"DARAT")</f>
        <v>0</v>
      </c>
      <c r="AC40" s="660">
        <f>SUMIFS(KB[POTPPH],KB[TANGGAL],B40,KB[TYPE],"A",KB[TRANSPORT],"DARAT")</f>
        <v>0</v>
      </c>
      <c r="AD40" s="660">
        <f>SUMIFS(KB[TPEMBAYARAN],KB[TANGGAL],B40,KB[TYPE],"A",KB[TRANSPORT],"DARAT")</f>
        <v>0</v>
      </c>
      <c r="AE40" s="715"/>
      <c r="AF40" s="659">
        <f>SUMIFS(KB[BRUTO],KB[TANGGAL],B40,KB[TYPE],"B",KB[TRANSPORT],"LAUT")</f>
        <v>0</v>
      </c>
      <c r="AG40" s="712">
        <f>SUMIFS(KB[TARRA],KB[TANGGAL],B40,KB[TYPE],"B",KB[TRANSPORT],"LAUT")</f>
        <v>0</v>
      </c>
      <c r="AH40" s="712">
        <f>SUMIFS(KB[NETTO],KB[TANGGAL],B40,KB[TYPE],"B",KB[TRANSPORT],"LAUT")</f>
        <v>0</v>
      </c>
      <c r="AI40" s="712">
        <f t="shared" si="6"/>
        <v>0</v>
      </c>
      <c r="AJ40" s="712">
        <f>SUMIFS(KB[TPOT],KB[TANGGAL],B40,KB[TYPE],"B",KB[TRANSPORT],"LAUT")</f>
        <v>0</v>
      </c>
      <c r="AK40" s="712">
        <f>SUMIFS(KB[NETTO2],KB[TANGGAL],B40,KB[TYPE],"B",KB[TRANSPORT],"LAUT")</f>
        <v>0</v>
      </c>
      <c r="AL40" s="712">
        <f t="shared" si="21"/>
        <v>0</v>
      </c>
      <c r="AM40" s="712">
        <f>SUMIFS(KB[TBAYAR],KB[TANGGAL],B40,KB[TYPE],"B",KB[TRANSPORT],"LAUT")</f>
        <v>0</v>
      </c>
      <c r="AN40" s="716">
        <f t="shared" si="22"/>
        <v>0</v>
      </c>
      <c r="AO40" s="716">
        <f t="shared" si="13"/>
        <v>0</v>
      </c>
      <c r="AP40" s="712">
        <f>SUMIFS(KB[TBAYAR2],KB[TANGGAL],B40,KB[TYPE],"B",KB[TRANSPORT],"LAUT")</f>
        <v>0</v>
      </c>
      <c r="AQ40" s="712">
        <f>SUMIFS(KB[POTPPH],KB[TANGGAL],B40,KB[TYPE],"B",KB[TRANSPORT],"LAUT")</f>
        <v>0</v>
      </c>
      <c r="AR40" s="712">
        <f>SUMIFS(KB[TPEMBAYARAN],KB[TANGGAL],B40,KB[TYPE],"B",KB[TRANSPORT],"LAUT")</f>
        <v>0</v>
      </c>
      <c r="AS40" s="714"/>
      <c r="AT40" s="659">
        <f>SUMIFS(KB[BRUTO],KB[TANGGAL],B40,KB[TYPE],"B",KB[TRANSPORT],"DARAT")</f>
        <v>0</v>
      </c>
      <c r="AU40" s="660">
        <f>SUMIFS(KB[TARRA],KB[TANGGAL],B40,KB[TYPE],"B",KB[TRANSPORT],"DARAT")</f>
        <v>0</v>
      </c>
      <c r="AV40" s="660">
        <f>SUMIFS(KB[NETTO],KB[TANGGAL],B40,KB[TYPE],"B",KB[TRANSPORT],"DARAT")</f>
        <v>0</v>
      </c>
      <c r="AW40" s="660">
        <f t="shared" si="23"/>
        <v>0</v>
      </c>
      <c r="AX40" s="660">
        <f>SUMIFS(KB[TPOT],KB[TANGGAL],B40,KB[TYPE],"B",KB[TRANSPORT],"DARAT")</f>
        <v>0</v>
      </c>
      <c r="AY40" s="660">
        <f>SUMIFS(KB[NETTO2],KB[TANGGAL],B40,KB[TYPE],"B",KB[TRANSPORT],"DARAT")</f>
        <v>0</v>
      </c>
      <c r="AZ40" s="660">
        <f t="shared" si="24"/>
        <v>0</v>
      </c>
      <c r="BA40" s="660">
        <f>SUMIFS(KB[TBAYAR],KB[TANGGAL],B40,KB[TYPE],"B",KB[TRANSPORT],"DARAT")</f>
        <v>0</v>
      </c>
      <c r="BB40" s="660">
        <f t="shared" si="25"/>
        <v>0</v>
      </c>
      <c r="BC40" s="660">
        <f t="shared" si="14"/>
        <v>0</v>
      </c>
      <c r="BD40" s="660">
        <f>SUMIFS(KB[TBAYAR2],KB[TANGGAL],B40,KB[TYPE],"B",KB[TRANSPORT],"DARAT")</f>
        <v>0</v>
      </c>
      <c r="BE40" s="660">
        <f>SUMIFS(KB[POTPPH],KB[TANGGAL],B40,KB[TYPE],"B",KB[TRANSPORT],"DARAT")</f>
        <v>0</v>
      </c>
      <c r="BF40" s="660">
        <f>SUMIFS(KB[TPEMBAYARAN],KB[TANGGAL],B40,KB[TYPE],"B",KB[TRANSPORT],"DARAT")</f>
        <v>0</v>
      </c>
      <c r="BG40" s="388"/>
      <c r="BH40" s="388"/>
      <c r="BI40" s="388"/>
      <c r="BJ40" s="388"/>
      <c r="BK40" s="388"/>
      <c r="BL40" s="388"/>
      <c r="BM40" s="388"/>
      <c r="BN40" s="388"/>
      <c r="BO40" s="388"/>
      <c r="BP40" s="388"/>
      <c r="BQ40" s="388"/>
      <c r="BR40" s="388"/>
      <c r="BS40" s="388"/>
      <c r="BT40" s="388"/>
      <c r="BU40" s="388"/>
      <c r="BV40" s="388"/>
      <c r="BW40" s="388"/>
      <c r="BX40" s="388"/>
      <c r="BY40" s="388"/>
      <c r="BZ40" s="388"/>
      <c r="CA40" s="388"/>
      <c r="CB40" s="388"/>
      <c r="CC40" s="388"/>
      <c r="CD40" s="388"/>
      <c r="CE40" s="388"/>
      <c r="CF40" s="388"/>
      <c r="CG40" s="388"/>
      <c r="CH40" s="388"/>
      <c r="CI40" s="388"/>
      <c r="CJ40" s="388"/>
      <c r="CK40" s="388"/>
      <c r="CL40" s="388"/>
      <c r="CM40" s="388"/>
    </row>
    <row r="41" spans="2:91" ht="15.95" customHeight="1" thickBot="1">
      <c r="B41" s="415"/>
      <c r="C41" s="698"/>
      <c r="D41" s="421"/>
      <c r="E41" s="422"/>
      <c r="F41" s="422"/>
      <c r="G41" s="422"/>
      <c r="H41" s="422"/>
      <c r="I41" s="422"/>
      <c r="J41" s="422"/>
      <c r="K41" s="422"/>
      <c r="L41" s="422"/>
      <c r="M41" s="422"/>
      <c r="N41" s="422"/>
      <c r="O41" s="422"/>
      <c r="P41" s="422"/>
      <c r="Q41" s="703"/>
      <c r="R41" s="422"/>
      <c r="S41" s="422"/>
      <c r="T41" s="422"/>
      <c r="U41" s="422"/>
      <c r="V41" s="422"/>
      <c r="W41" s="422"/>
      <c r="X41" s="422"/>
      <c r="Y41" s="422"/>
      <c r="Z41" s="422"/>
      <c r="AA41" s="422"/>
      <c r="AB41" s="422"/>
      <c r="AC41" s="422"/>
      <c r="AD41" s="422"/>
      <c r="AE41" s="703"/>
      <c r="AF41" s="422"/>
      <c r="AG41" s="422"/>
      <c r="AH41" s="422"/>
      <c r="AI41" s="422"/>
      <c r="AJ41" s="422"/>
      <c r="AK41" s="422"/>
      <c r="AL41" s="422"/>
      <c r="AM41" s="422"/>
      <c r="AN41" s="422"/>
      <c r="AO41" s="422"/>
      <c r="AP41" s="422"/>
      <c r="AQ41" s="422"/>
      <c r="AR41" s="422"/>
      <c r="AS41" s="703"/>
      <c r="AT41" s="422"/>
      <c r="AU41" s="422"/>
      <c r="AV41" s="422"/>
      <c r="AW41" s="422"/>
      <c r="AX41" s="422"/>
      <c r="AY41" s="422"/>
      <c r="AZ41" s="422"/>
      <c r="BA41" s="422"/>
      <c r="BB41" s="422"/>
      <c r="BC41" s="422"/>
      <c r="BD41" s="422"/>
      <c r="BE41" s="422"/>
      <c r="BF41" s="422"/>
      <c r="BJ41" s="423"/>
      <c r="BK41" s="423"/>
      <c r="BL41" s="423"/>
      <c r="BM41" s="423"/>
      <c r="BN41" s="423"/>
      <c r="BO41" s="423"/>
      <c r="BP41" s="423"/>
      <c r="BQ41" s="423"/>
      <c r="BR41" s="423"/>
      <c r="BS41" s="423"/>
      <c r="BT41" s="423"/>
      <c r="BU41" s="423"/>
      <c r="BV41" s="423"/>
      <c r="BW41" s="424"/>
      <c r="BX41" s="424"/>
      <c r="BY41" s="423"/>
      <c r="BZ41" s="423"/>
      <c r="CA41" s="423"/>
      <c r="CB41" s="423"/>
      <c r="CC41" s="423"/>
      <c r="CD41" s="423"/>
      <c r="CE41" s="423"/>
      <c r="CF41" s="423"/>
      <c r="CG41" s="423"/>
      <c r="CH41" s="423"/>
      <c r="CI41" s="423"/>
      <c r="CJ41" s="423"/>
      <c r="CK41" s="425"/>
      <c r="CL41" s="426"/>
      <c r="CM41" s="423"/>
    </row>
    <row r="42" spans="2:91" ht="27.75" customHeight="1" thickTop="1">
      <c r="B42" s="708" t="s">
        <v>68</v>
      </c>
      <c r="C42" s="709"/>
      <c r="D42" s="710">
        <f>SUM(D10:D41)</f>
        <v>1580850</v>
      </c>
      <c r="E42" s="710">
        <f>SUM(E10:E41)</f>
        <v>777500</v>
      </c>
      <c r="F42" s="710">
        <f>SUM(F10:F41)</f>
        <v>803350</v>
      </c>
      <c r="G42" s="710">
        <f>H42/F42%</f>
        <v>6.088056264392856</v>
      </c>
      <c r="H42" s="710">
        <f>SUM(H10:H41)</f>
        <v>48908.400000000009</v>
      </c>
      <c r="I42" s="710">
        <f>SUM(I10:I41)</f>
        <v>754441.59999999986</v>
      </c>
      <c r="J42" s="710">
        <f>K42/I42</f>
        <v>3096.8000107629277</v>
      </c>
      <c r="K42" s="710">
        <f>SUM(K10:K41)</f>
        <v>2336354755</v>
      </c>
      <c r="L42" s="710">
        <f>SUM(L10:L41)</f>
        <v>345.21</v>
      </c>
      <c r="M42" s="710">
        <f>SUM(M10:M41)</f>
        <v>69049.447259965047</v>
      </c>
      <c r="N42" s="710">
        <f>SUM(N10:N41)</f>
        <v>2348094527</v>
      </c>
      <c r="O42" s="710">
        <f>SUM(O10:O41)</f>
        <v>11740475</v>
      </c>
      <c r="P42" s="710">
        <f>N42-O42</f>
        <v>2336354052</v>
      </c>
      <c r="Q42" s="711"/>
      <c r="R42" s="710">
        <f>SUM(R10:R41)</f>
        <v>1799520</v>
      </c>
      <c r="S42" s="710">
        <f>SUM(S10:S41)</f>
        <v>722620</v>
      </c>
      <c r="T42" s="710">
        <f>SUM(T10:T41)</f>
        <v>1076900</v>
      </c>
      <c r="U42" s="710">
        <f>V42/T42%</f>
        <v>5.0852075401615755</v>
      </c>
      <c r="V42" s="710">
        <f>SUM(V10:V41)</f>
        <v>54762.600000000006</v>
      </c>
      <c r="W42" s="710">
        <f>SUM(W10:W41)</f>
        <v>1022137.3999999999</v>
      </c>
      <c r="X42" s="710">
        <f>Y42/W42</f>
        <v>2892.6201360012856</v>
      </c>
      <c r="Y42" s="710">
        <f>SUM(Y10:Y41)</f>
        <v>2956655225</v>
      </c>
      <c r="Z42" s="710">
        <f>SUM(Z10:Z41)</f>
        <v>348.50999999999993</v>
      </c>
      <c r="AA42" s="710">
        <f>SUM(AA10:AA41)</f>
        <v>69710.482385820374</v>
      </c>
      <c r="AB42" s="710">
        <f>SUM(AB10:AB41)</f>
        <v>2971510790</v>
      </c>
      <c r="AC42" s="710">
        <f>SUM(AC10:AC41)</f>
        <v>14857557</v>
      </c>
      <c r="AD42" s="710">
        <f>AB42-AC42</f>
        <v>2956653233</v>
      </c>
      <c r="AE42" s="711"/>
      <c r="AF42" s="710">
        <f>SUM(AF10:AF41)</f>
        <v>0</v>
      </c>
      <c r="AG42" s="710">
        <f>SUM(AG10:AG41)</f>
        <v>0</v>
      </c>
      <c r="AH42" s="710">
        <f>SUM(AH10:AH41)</f>
        <v>0</v>
      </c>
      <c r="AI42" s="710" t="e">
        <f>AJ42/AH42%</f>
        <v>#DIV/0!</v>
      </c>
      <c r="AJ42" s="710">
        <f>SUM(AJ10:AJ41)</f>
        <v>0</v>
      </c>
      <c r="AK42" s="710">
        <f>SUM(AK10:AK41)</f>
        <v>0</v>
      </c>
      <c r="AL42" s="710" t="e">
        <f>AM42/AK42</f>
        <v>#DIV/0!</v>
      </c>
      <c r="AM42" s="710">
        <f>SUM(AM10:AM41)</f>
        <v>0</v>
      </c>
      <c r="AN42" s="710">
        <f>SUM(AN10:AN41)</f>
        <v>0</v>
      </c>
      <c r="AO42" s="710">
        <f>SUM(AO10:AO41)</f>
        <v>0</v>
      </c>
      <c r="AP42" s="710">
        <f>SUM(AP10:AP41)</f>
        <v>0</v>
      </c>
      <c r="AQ42" s="710">
        <f>SUM(AQ10:AQ41)</f>
        <v>0</v>
      </c>
      <c r="AR42" s="710">
        <f>AP42-AQ42</f>
        <v>0</v>
      </c>
      <c r="AS42" s="711"/>
      <c r="AT42" s="710">
        <f>SUM(AT10:AT41)</f>
        <v>0</v>
      </c>
      <c r="AU42" s="710">
        <f>SUM(AU10:AU41)</f>
        <v>0</v>
      </c>
      <c r="AV42" s="710">
        <f>SUM(AV10:AV41)</f>
        <v>0</v>
      </c>
      <c r="AW42" s="710" t="e">
        <f>AX42/AV42%</f>
        <v>#DIV/0!</v>
      </c>
      <c r="AX42" s="710">
        <f>SUM(AX10:AX41)</f>
        <v>0</v>
      </c>
      <c r="AY42" s="710">
        <f>SUM(AY10:AY41)</f>
        <v>0</v>
      </c>
      <c r="AZ42" s="710" t="e">
        <f>BA42/AY42</f>
        <v>#DIV/0!</v>
      </c>
      <c r="BA42" s="710">
        <f>SUM(BA10:BA41)</f>
        <v>0</v>
      </c>
      <c r="BB42" s="710">
        <f>SUM(BB10:BB41)</f>
        <v>0</v>
      </c>
      <c r="BC42" s="710">
        <f>SUM(BC10:BC41)</f>
        <v>0</v>
      </c>
      <c r="BD42" s="710">
        <f>SUM(BD10:BD41)</f>
        <v>0</v>
      </c>
      <c r="BE42" s="710">
        <f>SUM(BE10:BE41)</f>
        <v>0</v>
      </c>
      <c r="BF42" s="710">
        <f>BD42-BE42</f>
        <v>0</v>
      </c>
      <c r="BG42" s="427">
        <f>SUM(BG10:BG41)</f>
        <v>0</v>
      </c>
      <c r="BJ42" s="428">
        <f t="shared" ref="BJ42:BR42" si="32">SUM(BJ10:BJ41)</f>
        <v>0</v>
      </c>
      <c r="BK42" s="428">
        <f t="shared" si="32"/>
        <v>0</v>
      </c>
      <c r="BL42" s="428">
        <f t="shared" si="32"/>
        <v>0</v>
      </c>
      <c r="BM42" s="428">
        <f t="shared" si="32"/>
        <v>0</v>
      </c>
      <c r="BN42" s="428">
        <f t="shared" si="32"/>
        <v>0</v>
      </c>
      <c r="BO42" s="428">
        <f t="shared" si="32"/>
        <v>0</v>
      </c>
      <c r="BP42" s="428">
        <f t="shared" si="32"/>
        <v>0</v>
      </c>
      <c r="BQ42" s="428">
        <f t="shared" si="32"/>
        <v>0</v>
      </c>
      <c r="BR42" s="428">
        <f t="shared" si="32"/>
        <v>0</v>
      </c>
      <c r="BS42" s="428">
        <v>0</v>
      </c>
      <c r="BT42" s="428">
        <f t="shared" ref="BT42:CC42" si="33">SUM(BT10:BT41)</f>
        <v>0</v>
      </c>
      <c r="BU42" s="428">
        <f t="shared" si="33"/>
        <v>0</v>
      </c>
      <c r="BV42" s="428">
        <f t="shared" si="33"/>
        <v>0</v>
      </c>
      <c r="BW42" s="428">
        <f t="shared" si="33"/>
        <v>0</v>
      </c>
      <c r="BX42" s="428">
        <f t="shared" si="33"/>
        <v>0</v>
      </c>
      <c r="BY42" s="428">
        <f t="shared" si="33"/>
        <v>0</v>
      </c>
      <c r="BZ42" s="428">
        <f t="shared" si="33"/>
        <v>0</v>
      </c>
      <c r="CA42" s="428">
        <f t="shared" si="33"/>
        <v>0</v>
      </c>
      <c r="CB42" s="428">
        <f t="shared" si="33"/>
        <v>0</v>
      </c>
      <c r="CC42" s="428">
        <f t="shared" si="33"/>
        <v>0</v>
      </c>
      <c r="CD42" s="428" t="e">
        <f>+CE42/CG42%</f>
        <v>#DIV/0!</v>
      </c>
      <c r="CE42" s="428">
        <f>SUM(CE10:CE41)</f>
        <v>0</v>
      </c>
      <c r="CF42" s="428">
        <f>SUM(CF10:CF41)</f>
        <v>0</v>
      </c>
      <c r="CG42" s="428">
        <f>SUM(CG10:CG41)</f>
        <v>0</v>
      </c>
      <c r="CH42" s="428" t="e">
        <f>+CI42/CG42</f>
        <v>#DIV/0!</v>
      </c>
      <c r="CI42" s="428">
        <f t="shared" ref="CI42:CM42" si="34">SUM(CI10:CI41)</f>
        <v>0</v>
      </c>
      <c r="CJ42" s="428">
        <f t="shared" si="34"/>
        <v>0</v>
      </c>
      <c r="CK42" s="428">
        <f t="shared" si="34"/>
        <v>0</v>
      </c>
      <c r="CL42" s="428">
        <f t="shared" si="34"/>
        <v>0</v>
      </c>
      <c r="CM42" s="429">
        <f t="shared" si="34"/>
        <v>0</v>
      </c>
    </row>
    <row r="43" spans="2:91">
      <c r="CK43" s="376"/>
      <c r="CL43" s="376"/>
      <c r="CM43" s="430"/>
    </row>
    <row r="44" spans="2:91" s="431" customFormat="1">
      <c r="C44" s="699"/>
      <c r="D44" s="432"/>
      <c r="E44" s="432"/>
      <c r="F44" s="432"/>
      <c r="G44" s="432"/>
      <c r="H44" s="432"/>
      <c r="I44" s="432"/>
      <c r="J44" s="432"/>
      <c r="K44" s="432"/>
      <c r="L44" s="432"/>
      <c r="M44" s="432"/>
      <c r="N44" s="432"/>
      <c r="O44" s="432"/>
      <c r="P44" s="432"/>
      <c r="Q44" s="704"/>
      <c r="W44" s="433"/>
      <c r="X44" s="433"/>
      <c r="Y44" s="433"/>
      <c r="Z44" s="433"/>
      <c r="AA44" s="433"/>
      <c r="AB44" s="433"/>
      <c r="AC44" s="433"/>
      <c r="AD44" s="433"/>
      <c r="AE44" s="705"/>
      <c r="AK44" s="433"/>
      <c r="AL44" s="433"/>
      <c r="AM44" s="433"/>
      <c r="AN44" s="433"/>
      <c r="AO44" s="433"/>
      <c r="AP44" s="433"/>
      <c r="AQ44" s="433"/>
      <c r="AR44" s="433"/>
      <c r="AS44" s="705"/>
      <c r="AY44" s="433"/>
      <c r="AZ44" s="433"/>
      <c r="BA44" s="433"/>
      <c r="BB44" s="433"/>
      <c r="BC44" s="433"/>
      <c r="BD44" s="433"/>
      <c r="BE44" s="433"/>
      <c r="BF44" s="433"/>
      <c r="BJ44" s="434"/>
      <c r="BK44" s="434"/>
      <c r="BL44" s="434"/>
      <c r="BM44" s="434"/>
      <c r="BN44" s="434"/>
      <c r="BO44" s="434"/>
      <c r="BP44" s="434"/>
      <c r="BQ44" s="434"/>
      <c r="BR44" s="434"/>
      <c r="BS44" s="434"/>
      <c r="BT44" s="434"/>
      <c r="BU44" s="434"/>
      <c r="BV44" s="434"/>
      <c r="BW44" s="434"/>
      <c r="BX44" s="434"/>
      <c r="BY44" s="434"/>
      <c r="BZ44" s="435"/>
      <c r="CA44" s="435"/>
      <c r="CB44" s="435"/>
      <c r="CC44" s="435"/>
      <c r="CD44" s="435"/>
      <c r="CE44" s="435"/>
      <c r="CF44" s="435"/>
      <c r="CG44" s="435"/>
      <c r="CH44" s="435"/>
      <c r="CI44" s="435"/>
      <c r="CJ44" s="435"/>
      <c r="CK44" s="435"/>
      <c r="CL44" s="435"/>
      <c r="CM44" s="436"/>
    </row>
    <row r="45" spans="2:91" s="431" customFormat="1">
      <c r="C45" s="699"/>
      <c r="D45" s="433"/>
      <c r="E45" s="433"/>
      <c r="F45" s="433"/>
      <c r="G45" s="433"/>
      <c r="H45" s="433"/>
      <c r="I45" s="433"/>
      <c r="J45" s="433"/>
      <c r="K45" s="433"/>
      <c r="L45" s="433"/>
      <c r="M45" s="433"/>
      <c r="N45" s="433"/>
      <c r="O45" s="433"/>
      <c r="P45" s="433"/>
      <c r="Q45" s="705"/>
      <c r="R45" s="437"/>
      <c r="S45" s="437"/>
      <c r="T45" s="437"/>
      <c r="U45" s="437"/>
      <c r="V45" s="437"/>
      <c r="W45" s="437"/>
      <c r="X45" s="437"/>
      <c r="Y45" s="437"/>
      <c r="Z45" s="437"/>
      <c r="AA45" s="437"/>
      <c r="AB45" s="437"/>
      <c r="AC45" s="437"/>
      <c r="AD45" s="437"/>
      <c r="AE45" s="707"/>
      <c r="AF45" s="437"/>
      <c r="AG45" s="437"/>
      <c r="AH45" s="437"/>
      <c r="AI45" s="437"/>
      <c r="AJ45" s="437"/>
      <c r="AK45" s="437"/>
      <c r="AL45" s="437"/>
      <c r="AM45" s="437"/>
      <c r="AN45" s="437"/>
      <c r="AO45" s="437"/>
      <c r="AP45" s="437"/>
      <c r="AQ45" s="437"/>
      <c r="AR45" s="437"/>
      <c r="AS45" s="707"/>
      <c r="AT45" s="437"/>
      <c r="AU45" s="437"/>
      <c r="AV45" s="437"/>
      <c r="AW45" s="437"/>
      <c r="AX45" s="437"/>
      <c r="AY45" s="437"/>
      <c r="AZ45" s="437"/>
      <c r="BA45" s="437"/>
      <c r="BB45" s="437"/>
      <c r="BC45" s="437"/>
      <c r="BD45" s="437"/>
      <c r="BE45" s="437"/>
      <c r="BF45" s="437"/>
      <c r="BJ45" s="438"/>
      <c r="BK45" s="438"/>
      <c r="BL45" s="438"/>
      <c r="BM45" s="438"/>
      <c r="BN45" s="438"/>
      <c r="BO45" s="438"/>
      <c r="BP45" s="438"/>
      <c r="BQ45" s="438"/>
      <c r="BR45" s="438"/>
      <c r="BS45" s="438"/>
      <c r="BT45" s="438"/>
      <c r="BU45" s="438"/>
      <c r="BV45" s="438"/>
      <c r="BW45" s="438"/>
      <c r="BX45" s="438"/>
      <c r="BY45" s="439"/>
      <c r="BZ45" s="435"/>
      <c r="CA45" s="435"/>
      <c r="CB45" s="435"/>
      <c r="CC45" s="435"/>
      <c r="CD45" s="435"/>
      <c r="CE45" s="435"/>
      <c r="CF45" s="435"/>
      <c r="CG45" s="435"/>
      <c r="CH45" s="435"/>
      <c r="CI45" s="435"/>
      <c r="CJ45" s="435"/>
      <c r="CK45" s="435"/>
      <c r="CL45" s="435"/>
      <c r="CM45" s="436"/>
    </row>
    <row r="46" spans="2:91">
      <c r="B46" s="440"/>
      <c r="C46" s="700"/>
      <c r="D46" s="441"/>
      <c r="E46" s="441"/>
      <c r="F46" s="441"/>
      <c r="G46" s="441"/>
      <c r="H46" s="441"/>
      <c r="I46" s="441"/>
      <c r="J46" s="441"/>
      <c r="K46" s="441"/>
      <c r="L46" s="441"/>
      <c r="M46" s="441"/>
      <c r="N46" s="441"/>
      <c r="O46" s="441"/>
      <c r="P46" s="441"/>
      <c r="Q46" s="706"/>
    </row>
    <row r="47" spans="2:91">
      <c r="B47" s="440"/>
      <c r="C47" s="700"/>
      <c r="D47" s="441"/>
      <c r="E47" s="441"/>
      <c r="F47" s="441"/>
      <c r="G47" s="441"/>
      <c r="H47" s="441"/>
      <c r="I47" s="441"/>
      <c r="J47" s="441"/>
      <c r="K47" s="441"/>
      <c r="L47" s="441"/>
      <c r="M47" s="441"/>
      <c r="N47" s="441"/>
      <c r="O47" s="441"/>
      <c r="P47" s="441"/>
      <c r="Q47" s="706"/>
    </row>
    <row r="48" spans="2:91">
      <c r="B48" s="440"/>
      <c r="C48" s="700"/>
      <c r="D48" s="441"/>
      <c r="E48" s="441"/>
      <c r="F48" s="441"/>
      <c r="G48" s="441"/>
      <c r="H48" s="441"/>
      <c r="I48" s="441"/>
      <c r="J48" s="441"/>
      <c r="K48" s="441"/>
      <c r="L48" s="441"/>
      <c r="M48" s="441"/>
      <c r="N48" s="441"/>
      <c r="O48" s="441"/>
      <c r="P48" s="441"/>
      <c r="Q48" s="706"/>
    </row>
    <row r="49" spans="2:17">
      <c r="B49" s="440"/>
      <c r="C49" s="700"/>
      <c r="D49" s="441"/>
      <c r="E49" s="441"/>
      <c r="F49" s="441"/>
      <c r="G49" s="441"/>
      <c r="H49" s="441"/>
      <c r="I49" s="441"/>
      <c r="J49" s="441"/>
      <c r="K49" s="441"/>
      <c r="L49" s="441"/>
      <c r="M49" s="441"/>
      <c r="N49" s="441"/>
      <c r="O49" s="441"/>
      <c r="P49" s="441"/>
      <c r="Q49" s="706"/>
    </row>
    <row r="50" spans="2:17">
      <c r="B50" s="440"/>
      <c r="C50" s="700"/>
      <c r="D50" s="441"/>
      <c r="E50" s="441"/>
      <c r="F50" s="441"/>
      <c r="G50" s="441"/>
      <c r="H50" s="441"/>
      <c r="I50" s="441"/>
      <c r="J50" s="441"/>
      <c r="K50" s="441"/>
      <c r="L50" s="441"/>
      <c r="M50" s="441"/>
      <c r="N50" s="441"/>
      <c r="O50" s="441"/>
      <c r="P50" s="441"/>
      <c r="Q50" s="706"/>
    </row>
    <row r="51" spans="2:17">
      <c r="B51" s="440"/>
      <c r="C51" s="700"/>
      <c r="D51" s="441"/>
      <c r="E51" s="441"/>
      <c r="F51" s="441"/>
      <c r="G51" s="441"/>
      <c r="H51" s="441"/>
      <c r="I51" s="441"/>
      <c r="J51" s="441"/>
      <c r="K51" s="441"/>
      <c r="L51" s="441"/>
      <c r="M51" s="441"/>
      <c r="N51" s="441"/>
      <c r="O51" s="441"/>
      <c r="P51" s="441"/>
      <c r="Q51" s="706"/>
    </row>
    <row r="52" spans="2:17">
      <c r="B52" s="440"/>
      <c r="C52" s="700"/>
      <c r="D52" s="441"/>
      <c r="E52" s="441"/>
      <c r="F52" s="441"/>
      <c r="G52" s="441"/>
      <c r="H52" s="441"/>
      <c r="I52" s="441"/>
      <c r="J52" s="441"/>
      <c r="K52" s="441"/>
      <c r="L52" s="441"/>
      <c r="M52" s="441"/>
      <c r="N52" s="441"/>
      <c r="O52" s="441"/>
      <c r="P52" s="441"/>
      <c r="Q52" s="706"/>
    </row>
    <row r="53" spans="2:17">
      <c r="B53" s="440"/>
      <c r="C53" s="700"/>
      <c r="D53" s="441"/>
      <c r="E53" s="441"/>
      <c r="F53" s="441"/>
      <c r="G53" s="441"/>
      <c r="H53" s="441"/>
      <c r="I53" s="441"/>
      <c r="J53" s="441"/>
      <c r="K53" s="441"/>
      <c r="L53" s="441"/>
      <c r="M53" s="441"/>
      <c r="N53" s="441"/>
      <c r="O53" s="441"/>
      <c r="P53" s="441"/>
      <c r="Q53" s="706"/>
    </row>
    <row r="54" spans="2:17">
      <c r="B54" s="440"/>
      <c r="C54" s="700"/>
      <c r="D54" s="441"/>
      <c r="E54" s="441"/>
      <c r="F54" s="441"/>
      <c r="G54" s="441"/>
      <c r="H54" s="441"/>
      <c r="I54" s="441"/>
      <c r="J54" s="441"/>
      <c r="K54" s="441"/>
      <c r="L54" s="441"/>
      <c r="M54" s="441"/>
      <c r="N54" s="441"/>
      <c r="O54" s="441"/>
      <c r="P54" s="441"/>
      <c r="Q54" s="706"/>
    </row>
    <row r="55" spans="2:17">
      <c r="B55" s="440"/>
      <c r="C55" s="700"/>
      <c r="D55" s="441"/>
      <c r="E55" s="441"/>
      <c r="F55" s="441"/>
      <c r="G55" s="441"/>
      <c r="H55" s="441"/>
      <c r="I55" s="441"/>
      <c r="J55" s="441"/>
      <c r="K55" s="441"/>
      <c r="L55" s="441"/>
      <c r="M55" s="441"/>
      <c r="N55" s="441"/>
      <c r="O55" s="441"/>
      <c r="P55" s="441"/>
      <c r="Q55" s="706"/>
    </row>
    <row r="56" spans="2:17">
      <c r="B56" s="440"/>
      <c r="C56" s="700"/>
      <c r="D56" s="441"/>
      <c r="E56" s="441"/>
      <c r="F56" s="441"/>
      <c r="G56" s="441"/>
      <c r="H56" s="441"/>
      <c r="I56" s="441"/>
      <c r="J56" s="441"/>
      <c r="K56" s="441"/>
      <c r="L56" s="441"/>
      <c r="M56" s="441"/>
      <c r="N56" s="441"/>
      <c r="O56" s="441"/>
      <c r="P56" s="441"/>
      <c r="Q56" s="706"/>
    </row>
    <row r="57" spans="2:17">
      <c r="B57" s="440"/>
      <c r="C57" s="700"/>
      <c r="D57" s="441"/>
      <c r="E57" s="441"/>
      <c r="F57" s="441"/>
      <c r="G57" s="441"/>
      <c r="H57" s="441"/>
      <c r="I57" s="441"/>
      <c r="J57" s="441"/>
      <c r="K57" s="441"/>
      <c r="L57" s="441"/>
      <c r="M57" s="441"/>
      <c r="N57" s="441"/>
      <c r="O57" s="441"/>
      <c r="P57" s="441"/>
      <c r="Q57" s="706"/>
    </row>
    <row r="58" spans="2:17">
      <c r="B58" s="440"/>
      <c r="C58" s="700"/>
      <c r="D58" s="441"/>
      <c r="E58" s="441"/>
      <c r="F58" s="441"/>
      <c r="G58" s="441"/>
      <c r="H58" s="441"/>
      <c r="I58" s="441"/>
      <c r="J58" s="441"/>
      <c r="K58" s="441"/>
      <c r="L58" s="441"/>
      <c r="M58" s="441"/>
      <c r="N58" s="441"/>
      <c r="O58" s="441"/>
      <c r="P58" s="441"/>
      <c r="Q58" s="706"/>
    </row>
    <row r="59" spans="2:17">
      <c r="B59" s="440"/>
      <c r="C59" s="700"/>
      <c r="D59" s="441"/>
      <c r="E59" s="441"/>
      <c r="F59" s="441"/>
      <c r="G59" s="441"/>
      <c r="H59" s="441"/>
      <c r="I59" s="441"/>
      <c r="J59" s="441"/>
      <c r="K59" s="441"/>
      <c r="L59" s="441"/>
      <c r="M59" s="441"/>
      <c r="N59" s="441"/>
      <c r="O59" s="441"/>
      <c r="P59" s="441"/>
      <c r="Q59" s="706"/>
    </row>
    <row r="60" spans="2:17">
      <c r="B60" s="440"/>
      <c r="C60" s="700"/>
      <c r="D60" s="441"/>
      <c r="E60" s="441"/>
      <c r="F60" s="441"/>
      <c r="G60" s="441"/>
      <c r="H60" s="441"/>
      <c r="I60" s="441"/>
      <c r="J60" s="441"/>
      <c r="K60" s="441"/>
      <c r="L60" s="441"/>
      <c r="M60" s="441"/>
      <c r="N60" s="441"/>
      <c r="O60" s="441"/>
      <c r="P60" s="441"/>
      <c r="Q60" s="706"/>
    </row>
    <row r="61" spans="2:17">
      <c r="B61" s="440"/>
      <c r="C61" s="700"/>
      <c r="D61" s="441"/>
      <c r="E61" s="441"/>
      <c r="F61" s="441"/>
      <c r="G61" s="441"/>
      <c r="H61" s="441"/>
      <c r="I61" s="441"/>
      <c r="J61" s="441"/>
      <c r="K61" s="441"/>
      <c r="L61" s="441"/>
      <c r="M61" s="441"/>
      <c r="N61" s="441"/>
      <c r="O61" s="441"/>
      <c r="P61" s="441"/>
      <c r="Q61" s="706"/>
    </row>
    <row r="62" spans="2:17">
      <c r="B62" s="440"/>
      <c r="C62" s="700"/>
      <c r="D62" s="441"/>
      <c r="E62" s="441"/>
      <c r="F62" s="441"/>
      <c r="G62" s="441"/>
      <c r="H62" s="441"/>
      <c r="I62" s="441"/>
      <c r="J62" s="441"/>
      <c r="K62" s="441"/>
      <c r="L62" s="441"/>
      <c r="M62" s="441"/>
      <c r="N62" s="441"/>
      <c r="O62" s="441"/>
      <c r="P62" s="441"/>
      <c r="Q62" s="706"/>
    </row>
    <row r="63" spans="2:17">
      <c r="B63" s="440"/>
      <c r="C63" s="700"/>
      <c r="D63" s="441"/>
      <c r="E63" s="441"/>
      <c r="F63" s="441"/>
      <c r="G63" s="441"/>
      <c r="H63" s="441"/>
      <c r="I63" s="441"/>
      <c r="J63" s="441"/>
      <c r="K63" s="441"/>
      <c r="L63" s="441"/>
      <c r="M63" s="441"/>
      <c r="N63" s="441"/>
      <c r="O63" s="441"/>
      <c r="P63" s="441"/>
      <c r="Q63" s="706"/>
    </row>
    <row r="64" spans="2:17">
      <c r="B64" s="440"/>
      <c r="C64" s="700"/>
      <c r="D64" s="441"/>
      <c r="E64" s="441"/>
      <c r="F64" s="441"/>
      <c r="G64" s="441"/>
      <c r="H64" s="441"/>
      <c r="I64" s="441"/>
      <c r="J64" s="441"/>
      <c r="K64" s="441"/>
      <c r="L64" s="441"/>
      <c r="M64" s="441"/>
      <c r="N64" s="441"/>
      <c r="O64" s="441"/>
      <c r="P64" s="441"/>
      <c r="Q64" s="706"/>
    </row>
    <row r="65" spans="2:17">
      <c r="B65" s="440"/>
      <c r="C65" s="700"/>
      <c r="D65" s="441"/>
      <c r="E65" s="441"/>
      <c r="F65" s="441"/>
      <c r="G65" s="441"/>
      <c r="H65" s="441"/>
      <c r="I65" s="441"/>
      <c r="J65" s="441"/>
      <c r="K65" s="441"/>
      <c r="L65" s="441"/>
      <c r="M65" s="441"/>
      <c r="N65" s="441"/>
      <c r="O65" s="441"/>
      <c r="P65" s="441"/>
      <c r="Q65" s="706"/>
    </row>
    <row r="66" spans="2:17">
      <c r="B66" s="440"/>
      <c r="C66" s="700"/>
      <c r="D66" s="441"/>
      <c r="E66" s="441"/>
      <c r="F66" s="441"/>
      <c r="G66" s="441"/>
      <c r="H66" s="441"/>
      <c r="I66" s="441"/>
      <c r="J66" s="441"/>
      <c r="K66" s="441"/>
      <c r="L66" s="441"/>
      <c r="M66" s="441"/>
      <c r="N66" s="441"/>
      <c r="O66" s="441"/>
      <c r="P66" s="441"/>
      <c r="Q66" s="706"/>
    </row>
    <row r="67" spans="2:17">
      <c r="B67" s="440"/>
      <c r="C67" s="700"/>
      <c r="D67" s="441"/>
      <c r="E67" s="441"/>
      <c r="F67" s="441"/>
      <c r="G67" s="441"/>
      <c r="H67" s="441"/>
      <c r="I67" s="441"/>
      <c r="J67" s="441"/>
      <c r="K67" s="441"/>
      <c r="L67" s="441"/>
      <c r="M67" s="441"/>
      <c r="N67" s="441"/>
      <c r="O67" s="441"/>
      <c r="P67" s="441"/>
      <c r="Q67" s="706"/>
    </row>
    <row r="68" spans="2:17">
      <c r="B68" s="440"/>
      <c r="C68" s="700"/>
      <c r="D68" s="441"/>
      <c r="E68" s="441"/>
      <c r="F68" s="441"/>
      <c r="G68" s="441"/>
      <c r="H68" s="441"/>
      <c r="I68" s="441"/>
      <c r="J68" s="441"/>
      <c r="K68" s="441"/>
      <c r="L68" s="441"/>
      <c r="M68" s="441"/>
      <c r="N68" s="441"/>
      <c r="O68" s="441"/>
      <c r="P68" s="441"/>
      <c r="Q68" s="706"/>
    </row>
    <row r="69" spans="2:17">
      <c r="D69" s="441"/>
      <c r="E69" s="441"/>
      <c r="F69" s="441"/>
      <c r="G69" s="441"/>
      <c r="H69" s="441"/>
      <c r="I69" s="441"/>
      <c r="J69" s="441"/>
      <c r="K69" s="441"/>
      <c r="L69" s="441"/>
      <c r="M69" s="441"/>
      <c r="N69" s="441"/>
      <c r="O69" s="441"/>
      <c r="P69" s="441"/>
      <c r="Q69" s="706"/>
    </row>
    <row r="70" spans="2:17">
      <c r="D70" s="441"/>
      <c r="E70" s="441"/>
      <c r="F70" s="441"/>
      <c r="G70" s="441"/>
      <c r="H70" s="441"/>
      <c r="I70" s="441"/>
      <c r="J70" s="441"/>
      <c r="K70" s="441"/>
      <c r="L70" s="441"/>
      <c r="M70" s="441"/>
      <c r="N70" s="441"/>
      <c r="O70" s="441"/>
      <c r="P70" s="441"/>
      <c r="Q70" s="706"/>
    </row>
    <row r="71" spans="2:17">
      <c r="D71" s="441"/>
      <c r="E71" s="441"/>
      <c r="F71" s="441"/>
      <c r="G71" s="441"/>
      <c r="H71" s="441"/>
      <c r="I71" s="441"/>
      <c r="J71" s="441"/>
      <c r="K71" s="441"/>
      <c r="L71" s="441"/>
      <c r="M71" s="441"/>
      <c r="N71" s="441"/>
      <c r="O71" s="441"/>
      <c r="P71" s="441"/>
      <c r="Q71" s="706"/>
    </row>
    <row r="72" spans="2:17">
      <c r="D72" s="441"/>
      <c r="E72" s="441"/>
      <c r="F72" s="441"/>
      <c r="G72" s="441"/>
      <c r="H72" s="441"/>
      <c r="I72" s="441"/>
      <c r="J72" s="441"/>
      <c r="K72" s="441"/>
      <c r="L72" s="441"/>
      <c r="M72" s="441"/>
      <c r="N72" s="441"/>
      <c r="O72" s="441"/>
      <c r="P72" s="441"/>
      <c r="Q72" s="706"/>
    </row>
    <row r="73" spans="2:17">
      <c r="D73" s="441"/>
      <c r="E73" s="441"/>
      <c r="F73" s="441"/>
      <c r="G73" s="441"/>
      <c r="H73" s="441"/>
      <c r="I73" s="441"/>
      <c r="J73" s="441"/>
      <c r="K73" s="441"/>
      <c r="L73" s="441"/>
      <c r="M73" s="441"/>
      <c r="N73" s="441"/>
      <c r="O73" s="441"/>
      <c r="P73" s="441"/>
      <c r="Q73" s="706"/>
    </row>
    <row r="74" spans="2:17">
      <c r="D74" s="441"/>
      <c r="E74" s="441"/>
      <c r="F74" s="441"/>
      <c r="G74" s="441"/>
      <c r="H74" s="441"/>
      <c r="I74" s="441"/>
      <c r="J74" s="441"/>
      <c r="K74" s="441"/>
      <c r="L74" s="441"/>
      <c r="M74" s="441"/>
      <c r="N74" s="441"/>
      <c r="O74" s="441"/>
      <c r="P74" s="441"/>
      <c r="Q74" s="706"/>
    </row>
    <row r="75" spans="2:17">
      <c r="D75" s="441"/>
      <c r="E75" s="441"/>
      <c r="F75" s="441"/>
      <c r="G75" s="441"/>
      <c r="H75" s="441"/>
      <c r="I75" s="441"/>
      <c r="J75" s="441"/>
      <c r="K75" s="441"/>
      <c r="L75" s="441"/>
      <c r="M75" s="441"/>
      <c r="N75" s="441"/>
      <c r="O75" s="441"/>
      <c r="P75" s="441"/>
      <c r="Q75" s="706"/>
    </row>
    <row r="76" spans="2:17">
      <c r="D76" s="441"/>
      <c r="E76" s="441"/>
      <c r="F76" s="441"/>
      <c r="G76" s="441"/>
      <c r="H76" s="441"/>
      <c r="I76" s="441"/>
      <c r="J76" s="441"/>
      <c r="K76" s="441"/>
      <c r="L76" s="441"/>
      <c r="M76" s="441"/>
      <c r="N76" s="441"/>
      <c r="O76" s="441"/>
      <c r="P76" s="441"/>
      <c r="Q76" s="706"/>
    </row>
    <row r="77" spans="2:17">
      <c r="D77" s="441"/>
      <c r="E77" s="441"/>
      <c r="F77" s="441"/>
      <c r="G77" s="441"/>
      <c r="H77" s="441"/>
      <c r="I77" s="441"/>
      <c r="J77" s="441"/>
      <c r="K77" s="441"/>
      <c r="L77" s="441"/>
      <c r="M77" s="441"/>
      <c r="N77" s="441"/>
      <c r="O77" s="441"/>
      <c r="P77" s="441"/>
      <c r="Q77" s="706"/>
    </row>
    <row r="78" spans="2:17">
      <c r="D78" s="441"/>
      <c r="E78" s="441"/>
      <c r="F78" s="441"/>
      <c r="G78" s="441"/>
      <c r="H78" s="441"/>
      <c r="I78" s="441"/>
      <c r="J78" s="441"/>
      <c r="K78" s="441"/>
      <c r="L78" s="441"/>
      <c r="M78" s="441"/>
      <c r="N78" s="441"/>
      <c r="O78" s="441"/>
      <c r="P78" s="441"/>
      <c r="Q78" s="706"/>
    </row>
    <row r="79" spans="2:17">
      <c r="D79" s="441"/>
      <c r="E79" s="441"/>
      <c r="F79" s="441"/>
      <c r="G79" s="441"/>
      <c r="H79" s="441"/>
      <c r="I79" s="441"/>
      <c r="J79" s="441"/>
      <c r="K79" s="441"/>
      <c r="L79" s="441"/>
      <c r="M79" s="441"/>
      <c r="N79" s="441"/>
      <c r="O79" s="441"/>
      <c r="P79" s="441"/>
      <c r="Q79" s="706"/>
    </row>
  </sheetData>
  <mergeCells count="61">
    <mergeCell ref="CD7:CE7"/>
    <mergeCell ref="CF7:CF8"/>
    <mergeCell ref="CG7:CG8"/>
    <mergeCell ref="CL7:CL8"/>
    <mergeCell ref="AF7:AF8"/>
    <mergeCell ref="AG7:AG8"/>
    <mergeCell ref="AQ7:AQ8"/>
    <mergeCell ref="AI7:AJ7"/>
    <mergeCell ref="AK7:AK8"/>
    <mergeCell ref="AL7:AL8"/>
    <mergeCell ref="AM7:AM8"/>
    <mergeCell ref="AN7:AN8"/>
    <mergeCell ref="AO7:AO8"/>
    <mergeCell ref="BO7:BP7"/>
    <mergeCell ref="BQ7:BQ8"/>
    <mergeCell ref="BR7:BR8"/>
    <mergeCell ref="BW7:BW8"/>
    <mergeCell ref="CB7:CC7"/>
    <mergeCell ref="BM7:BN7"/>
    <mergeCell ref="AU7:AU8"/>
    <mergeCell ref="AV7:AV8"/>
    <mergeCell ref="AW7:AX7"/>
    <mergeCell ref="AY7:AY8"/>
    <mergeCell ref="AZ7:AZ8"/>
    <mergeCell ref="BA7:BA8"/>
    <mergeCell ref="BB7:BB8"/>
    <mergeCell ref="BC7:BC8"/>
    <mergeCell ref="BE7:BE8"/>
    <mergeCell ref="AT7:AT8"/>
    <mergeCell ref="O7:O8"/>
    <mergeCell ref="R7:R8"/>
    <mergeCell ref="S7:S8"/>
    <mergeCell ref="T7:T8"/>
    <mergeCell ref="U7:V7"/>
    <mergeCell ref="AH7:AH8"/>
    <mergeCell ref="AF6:AP6"/>
    <mergeCell ref="D7:D8"/>
    <mergeCell ref="E7:E8"/>
    <mergeCell ref="F7:F8"/>
    <mergeCell ref="G7:H7"/>
    <mergeCell ref="I7:I8"/>
    <mergeCell ref="J7:J8"/>
    <mergeCell ref="K7:K8"/>
    <mergeCell ref="L7:L8"/>
    <mergeCell ref="M7:M8"/>
    <mergeCell ref="I2:J2"/>
    <mergeCell ref="I3:J3"/>
    <mergeCell ref="B5:B8"/>
    <mergeCell ref="D5:AB5"/>
    <mergeCell ref="BJ5:CM5"/>
    <mergeCell ref="D6:N6"/>
    <mergeCell ref="R6:AB6"/>
    <mergeCell ref="AT6:BD6"/>
    <mergeCell ref="BJ6:BX6"/>
    <mergeCell ref="BY6:CM6"/>
    <mergeCell ref="W7:W8"/>
    <mergeCell ref="X7:X8"/>
    <mergeCell ref="Y7:Y8"/>
    <mergeCell ref="Z7:Z8"/>
    <mergeCell ref="AA7:AA8"/>
    <mergeCell ref="AC7:AC8"/>
  </mergeCells>
  <pageMargins left="0.05" right="0.05" top="0.05" bottom="0.05" header="0.3" footer="0.3"/>
  <pageSetup paperSize="5" scale="50" orientation="landscape" horizontalDpi="4294967293" verticalDpi="18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71">
    <tabColor theme="3" tint="-0.249977111117893"/>
  </sheetPr>
  <dimension ref="B1:AA52"/>
  <sheetViews>
    <sheetView zoomScale="85" zoomScaleNormal="85" workbookViewId="0">
      <selection activeCell="E13" sqref="E13"/>
    </sheetView>
  </sheetViews>
  <sheetFormatPr defaultRowHeight="15"/>
  <cols>
    <col min="1" max="1" width="3.42578125" customWidth="1"/>
    <col min="2" max="2" width="8.42578125" bestFit="1" customWidth="1"/>
    <col min="3" max="3" width="28.85546875" customWidth="1"/>
    <col min="4" max="4" width="14.7109375" customWidth="1"/>
    <col min="5" max="5" width="37.28515625" customWidth="1"/>
    <col min="6" max="6" width="23.140625" bestFit="1" customWidth="1"/>
    <col min="7" max="7" width="11.42578125" customWidth="1"/>
    <col min="8" max="8" width="26.140625" customWidth="1"/>
    <col min="9" max="9" width="28.85546875" bestFit="1" customWidth="1"/>
    <col min="10" max="10" width="18.7109375" customWidth="1"/>
    <col min="11" max="11" width="26.5703125" bestFit="1" customWidth="1"/>
    <col min="12" max="12" width="7.140625" customWidth="1"/>
    <col min="13" max="13" width="8.140625" customWidth="1"/>
    <col min="14" max="14" width="9.28515625" customWidth="1"/>
    <col min="15" max="15" width="10.28515625" customWidth="1"/>
    <col min="16" max="16" width="3.140625" customWidth="1"/>
    <col min="17" max="17" width="23.5703125" hidden="1" customWidth="1"/>
    <col min="18" max="18" width="26.85546875" hidden="1" customWidth="1"/>
    <col min="19" max="19" width="21.7109375" hidden="1" customWidth="1"/>
    <col min="20" max="20" width="11.28515625" hidden="1" customWidth="1"/>
    <col min="21" max="21" width="27.42578125" hidden="1" customWidth="1"/>
    <col min="22" max="22" width="8.42578125" bestFit="1" customWidth="1"/>
    <col min="23" max="23" width="23.5703125" bestFit="1" customWidth="1"/>
    <col min="24" max="24" width="26.85546875" bestFit="1" customWidth="1"/>
    <col min="25" max="25" width="21.7109375" bestFit="1" customWidth="1"/>
    <col min="26" max="26" width="11.28515625" bestFit="1" customWidth="1"/>
    <col min="27" max="27" width="27.42578125" bestFit="1" customWidth="1"/>
  </cols>
  <sheetData>
    <row r="1" spans="2:27" ht="44.25" customHeight="1">
      <c r="B1">
        <v>1</v>
      </c>
      <c r="C1" s="723">
        <v>2</v>
      </c>
      <c r="D1" s="723">
        <v>3</v>
      </c>
      <c r="E1" s="723">
        <v>4</v>
      </c>
      <c r="F1" s="723">
        <v>5</v>
      </c>
      <c r="G1" s="723">
        <v>6</v>
      </c>
      <c r="H1" s="723">
        <v>7</v>
      </c>
      <c r="I1" s="723">
        <v>8</v>
      </c>
      <c r="J1" s="723">
        <v>9</v>
      </c>
      <c r="K1" s="723">
        <v>10</v>
      </c>
      <c r="L1" s="723">
        <v>11</v>
      </c>
      <c r="M1" s="723">
        <v>12</v>
      </c>
      <c r="N1" s="723">
        <v>13</v>
      </c>
      <c r="O1" s="723">
        <v>14</v>
      </c>
      <c r="Q1" s="1239" t="str">
        <f ca="1">"REKAP PEMBAYARAN DARI TANGGAL 06/06/2018 s/d "&amp;TEXT(NOW()-1,"dd/mm/yyyy")</f>
        <v>REKAP PEMBAYARAN DARI TANGGAL 06/06/2018 s/d 02/04/2020</v>
      </c>
      <c r="R1" s="1239"/>
      <c r="S1" s="1239"/>
      <c r="T1" s="1239"/>
      <c r="U1" s="1239"/>
      <c r="W1" s="1240">
        <v>2019</v>
      </c>
      <c r="X1" s="1240"/>
      <c r="Y1" s="1240"/>
      <c r="Z1" s="1240"/>
      <c r="AA1" s="1240"/>
    </row>
    <row r="2" spans="2:27" ht="33" customHeight="1">
      <c r="B2" s="35" t="s">
        <v>112</v>
      </c>
      <c r="C2" s="36" t="s">
        <v>86</v>
      </c>
      <c r="D2" s="36" t="s">
        <v>114</v>
      </c>
      <c r="E2" s="36" t="s">
        <v>115</v>
      </c>
      <c r="F2" s="36" t="s">
        <v>116</v>
      </c>
      <c r="G2" s="36" t="s">
        <v>117</v>
      </c>
      <c r="H2" s="36" t="s">
        <v>118</v>
      </c>
      <c r="I2" s="36" t="s">
        <v>119</v>
      </c>
      <c r="J2" s="36" t="s">
        <v>120</v>
      </c>
      <c r="K2" s="37" t="s">
        <v>321</v>
      </c>
      <c r="L2" s="37" t="s">
        <v>258</v>
      </c>
      <c r="M2" s="37" t="s">
        <v>266</v>
      </c>
      <c r="N2" s="37" t="s">
        <v>267</v>
      </c>
      <c r="O2" s="37" t="s">
        <v>268</v>
      </c>
      <c r="Q2" s="171" t="s">
        <v>251</v>
      </c>
      <c r="R2" s="171" t="s">
        <v>316</v>
      </c>
      <c r="S2" s="171" t="s">
        <v>254</v>
      </c>
      <c r="T2" s="171" t="s">
        <v>262</v>
      </c>
      <c r="U2" s="171" t="s">
        <v>68</v>
      </c>
      <c r="W2" s="171" t="s">
        <v>251</v>
      </c>
      <c r="X2" s="171" t="s">
        <v>316</v>
      </c>
      <c r="Y2" s="171" t="s">
        <v>254</v>
      </c>
      <c r="Z2" s="171" t="s">
        <v>262</v>
      </c>
      <c r="AA2" s="171" t="s">
        <v>68</v>
      </c>
    </row>
    <row r="3" spans="2:27">
      <c r="B3" s="38">
        <f>IF(ISBLANK(C3),"",COUNTA($C$3:C3))</f>
        <v>1</v>
      </c>
      <c r="C3" s="31" t="s">
        <v>92</v>
      </c>
      <c r="D3" s="39" t="s">
        <v>126</v>
      </c>
      <c r="E3" s="167" t="s">
        <v>312</v>
      </c>
      <c r="F3" s="168" t="s">
        <v>311</v>
      </c>
      <c r="G3" s="167" t="s">
        <v>313</v>
      </c>
      <c r="H3" s="31" t="s">
        <v>128</v>
      </c>
      <c r="I3" s="39" t="s">
        <v>135</v>
      </c>
      <c r="J3" s="39" t="s">
        <v>92</v>
      </c>
      <c r="K3" s="162" t="s">
        <v>309</v>
      </c>
      <c r="L3" s="33">
        <v>0</v>
      </c>
      <c r="M3" s="33">
        <v>0</v>
      </c>
      <c r="N3" s="33">
        <v>0</v>
      </c>
      <c r="O3" s="33">
        <v>0</v>
      </c>
      <c r="Q3" s="157">
        <f>SUMIFS(KPR[TPEMBAYARAN],KPR[RELASI],DBRELASI[[#This Row],[RELASI]])</f>
        <v>0</v>
      </c>
      <c r="R3" s="157">
        <f>SUMIFS(KB[TPEMBAYARAN],KB[RELASI],DBRELASI[[#This Row],[RELASI]])</f>
        <v>0</v>
      </c>
      <c r="S3" s="157">
        <f>SUMIFS(KBS[TPEMBAYARAN],KBS[RELASI],DBRELASI[[#This Row],[RELASI]])</f>
        <v>0</v>
      </c>
      <c r="T3" s="157">
        <f>SUMIFS(ARG[TPEMBAYARAN],ARG[RELASI],DBRELASI[[#This Row],[RELASI]])</f>
        <v>0</v>
      </c>
      <c r="U3" s="243">
        <f>SUM(Q3:T3)</f>
        <v>0</v>
      </c>
      <c r="W3" s="157">
        <f>SUMIFS(KPR[TPEMBAYARAN],KPR[RELASI],DBRELASI[[#This Row],[RELASI]],KPR[TANGGAL],"&gt;="&amp;DATE($W$1,MONTH(0),1),KPR[TANGGAL],"&lt;"&amp;DATE($W$1+1,MONTH(0),1))</f>
        <v>0</v>
      </c>
      <c r="X3" s="157">
        <f>SUMIFS(KB[TPEMBAYARAN],KB[RELASI],DBRELASI[[#This Row],[RELASI]],KB[TANGGAL],"&gt;="&amp;DATE($W$1,MONTH(0),1),KB[TANGGAL],"&lt;"&amp;DATE($W$1+1,MONTH(0),1))</f>
        <v>0</v>
      </c>
      <c r="Y3" s="157">
        <f>SUMIFS(KBS[TPEMBAYARAN],KBS[RELASI],DBRELASI[[#This Row],[RELASI]],KBS[TANGGAL],"&gt;="&amp;DATE($W$1,MONTH(0),1),KBS[TANGGAL],"&lt;"&amp;DATE($W$1+1,MONTH(0),1))</f>
        <v>0</v>
      </c>
      <c r="Z3" s="157">
        <f>SUMIFS(ARG[TPEMBAYARAN],ARG[RELASI],DBRELASI[[#This Row],[RELASI]],ARG[TANGGAL],"&gt;="&amp;DATE($W$1,MONTH(0),1),ARG[TANGGAL],"&lt;"&amp;DATE($W$1+1,MONTH(0),1))</f>
        <v>0</v>
      </c>
      <c r="AA3" s="243">
        <f>SUM(W3:Z3)</f>
        <v>0</v>
      </c>
    </row>
    <row r="4" spans="2:27">
      <c r="B4" s="38">
        <f>IF(ISBLANK(C4),"",COUNTA($C$3:C4))</f>
        <v>2</v>
      </c>
      <c r="C4" s="31" t="s">
        <v>51</v>
      </c>
      <c r="D4" s="39" t="s">
        <v>136</v>
      </c>
      <c r="E4" s="31" t="s">
        <v>137</v>
      </c>
      <c r="F4" s="31" t="s">
        <v>138</v>
      </c>
      <c r="G4" s="31" t="s">
        <v>121</v>
      </c>
      <c r="H4" s="31" t="s">
        <v>132</v>
      </c>
      <c r="I4" s="39" t="s">
        <v>51</v>
      </c>
      <c r="J4" s="39" t="s">
        <v>51</v>
      </c>
      <c r="K4" s="162" t="s">
        <v>505</v>
      </c>
      <c r="L4" s="33">
        <v>0</v>
      </c>
      <c r="M4" s="33">
        <v>0</v>
      </c>
      <c r="N4" s="33">
        <v>0</v>
      </c>
      <c r="O4" s="33">
        <v>0</v>
      </c>
      <c r="Q4" s="157">
        <f>SUMIFS(KPR[TPEMBAYARAN],KPR[RELASI],DBRELASI[[#This Row],[RELASI]])</f>
        <v>0</v>
      </c>
      <c r="R4" s="157">
        <f>SUMIFS(KB[TPEMBAYARAN],KB[RELASI],DBRELASI[[#This Row],[RELASI]])</f>
        <v>0</v>
      </c>
      <c r="S4" s="157">
        <f>SUMIFS(KBS[TPEMBAYARAN],KBS[RELASI],DBRELASI[[#This Row],[RELASI]])</f>
        <v>0</v>
      </c>
      <c r="T4" s="157">
        <f>SUMIFS(ARG[TPEMBAYARAN],ARG[RELASI],DBRELASI[[#This Row],[RELASI]])</f>
        <v>0</v>
      </c>
      <c r="U4" s="243">
        <f t="shared" ref="U4:U41" si="0">SUM(Q4:T4)</f>
        <v>0</v>
      </c>
      <c r="W4" s="157">
        <f>SUMIFS(KPR[TPEMBAYARAN],KPR[RELASI],DBRELASI[[#This Row],[RELASI]],KPR[TANGGAL],"&gt;="&amp;DATE($W$1,MONTH(0),1),KPR[TANGGAL],"&lt;"&amp;DATE($W$1+1,MONTH(0),1))</f>
        <v>0</v>
      </c>
      <c r="X4" s="157">
        <f>SUMIFS(KB[TPEMBAYARAN],KB[RELASI],DBRELASI[[#This Row],[RELASI]],KB[TANGGAL],"&gt;="&amp;DATE($W$1,MONTH(0),1),KB[TANGGAL],"&lt;"&amp;DATE($W$1+1,MONTH(0),1))</f>
        <v>0</v>
      </c>
      <c r="Y4" s="157">
        <f>SUMIFS(KBS[TPEMBAYARAN],KBS[RELASI],DBRELASI[[#This Row],[RELASI]],KBS[TANGGAL],"&gt;="&amp;DATE($W$1,MONTH(0),1),KBS[TANGGAL],"&lt;"&amp;DATE($W$1+1,MONTH(0),1))</f>
        <v>0</v>
      </c>
      <c r="Z4" s="157">
        <f>SUMIFS(ARG[TPEMBAYARAN],ARG[RELASI],DBRELASI[[#This Row],[RELASI]],ARG[TANGGAL],"&gt;="&amp;DATE($W$1,MONTH(0),1),ARG[TANGGAL],"&lt;"&amp;DATE($W$1+1,MONTH(0),1))</f>
        <v>0</v>
      </c>
      <c r="AA4" s="243">
        <f t="shared" ref="AA4:AA40" si="1">SUM(W4:Z4)</f>
        <v>0</v>
      </c>
    </row>
    <row r="5" spans="2:27">
      <c r="B5" s="38">
        <f>IF(ISBLANK(C5),"",COUNTA($C$3:C5))</f>
        <v>3</v>
      </c>
      <c r="C5" s="31" t="s">
        <v>139</v>
      </c>
      <c r="D5" s="39" t="s">
        <v>128</v>
      </c>
      <c r="E5" s="31" t="s">
        <v>139</v>
      </c>
      <c r="F5" s="167" t="s">
        <v>319</v>
      </c>
      <c r="G5" s="31" t="s">
        <v>121</v>
      </c>
      <c r="H5" s="31" t="s">
        <v>128</v>
      </c>
      <c r="I5" s="39" t="s">
        <v>139</v>
      </c>
      <c r="J5" s="39" t="s">
        <v>139</v>
      </c>
      <c r="K5" s="162" t="s">
        <v>470</v>
      </c>
      <c r="L5" s="33">
        <v>0</v>
      </c>
      <c r="M5" s="33">
        <v>0</v>
      </c>
      <c r="N5" s="33">
        <v>0</v>
      </c>
      <c r="O5" s="33">
        <v>0</v>
      </c>
      <c r="Q5" s="157">
        <f>SUMIFS(KPR[TPEMBAYARAN],KPR[RELASI],DBRELASI[[#This Row],[RELASI]])</f>
        <v>0</v>
      </c>
      <c r="R5" s="157">
        <f>SUMIFS(KB[TPEMBAYARAN],KB[RELASI],DBRELASI[[#This Row],[RELASI]])</f>
        <v>0</v>
      </c>
      <c r="S5" s="157">
        <f>SUMIFS(KBS[TPEMBAYARAN],KBS[RELASI],DBRELASI[[#This Row],[RELASI]])</f>
        <v>0</v>
      </c>
      <c r="T5" s="157">
        <f>SUMIFS(ARG[TPEMBAYARAN],ARG[RELASI],DBRELASI[[#This Row],[RELASI]])</f>
        <v>0</v>
      </c>
      <c r="U5" s="243">
        <f t="shared" si="0"/>
        <v>0</v>
      </c>
      <c r="W5" s="157">
        <f>SUMIFS(KPR[TPEMBAYARAN],KPR[RELASI],DBRELASI[[#This Row],[RELASI]],KPR[TANGGAL],"&gt;="&amp;DATE($W$1,MONTH(0),1),KPR[TANGGAL],"&lt;"&amp;DATE($W$1+1,MONTH(0),1))</f>
        <v>0</v>
      </c>
      <c r="X5" s="157">
        <f>SUMIFS(KB[TPEMBAYARAN],KB[RELASI],DBRELASI[[#This Row],[RELASI]],KB[TANGGAL],"&gt;="&amp;DATE($W$1,MONTH(0),1),KB[TANGGAL],"&lt;"&amp;DATE($W$1+1,MONTH(0),1))</f>
        <v>0</v>
      </c>
      <c r="Y5" s="157">
        <f>SUMIFS(KBS[TPEMBAYARAN],KBS[RELASI],DBRELASI[[#This Row],[RELASI]],KBS[TANGGAL],"&gt;="&amp;DATE($W$1,MONTH(0),1),KBS[TANGGAL],"&lt;"&amp;DATE($W$1+1,MONTH(0),1))</f>
        <v>0</v>
      </c>
      <c r="Z5" s="157">
        <f>SUMIFS(ARG[TPEMBAYARAN],ARG[RELASI],DBRELASI[[#This Row],[RELASI]],ARG[TANGGAL],"&gt;="&amp;DATE($W$1,MONTH(0),1),ARG[TANGGAL],"&lt;"&amp;DATE($W$1+1,MONTH(0),1))</f>
        <v>0</v>
      </c>
      <c r="AA5" s="243">
        <f t="shared" si="1"/>
        <v>0</v>
      </c>
    </row>
    <row r="6" spans="2:27">
      <c r="B6" s="38">
        <f>IF(ISBLANK(C6),"",COUNTA($C$3:C6))</f>
        <v>4</v>
      </c>
      <c r="C6" s="31" t="s">
        <v>140</v>
      </c>
      <c r="D6" s="39" t="s">
        <v>141</v>
      </c>
      <c r="E6" s="31" t="s">
        <v>142</v>
      </c>
      <c r="F6" s="31" t="s">
        <v>143</v>
      </c>
      <c r="G6" s="31" t="s">
        <v>127</v>
      </c>
      <c r="H6" s="31" t="s">
        <v>128</v>
      </c>
      <c r="I6" s="39" t="s">
        <v>140</v>
      </c>
      <c r="J6" s="39" t="s">
        <v>140</v>
      </c>
      <c r="K6" s="162" t="s">
        <v>144</v>
      </c>
      <c r="L6" s="33">
        <v>0</v>
      </c>
      <c r="M6" s="33">
        <v>0</v>
      </c>
      <c r="N6" s="33">
        <v>0</v>
      </c>
      <c r="O6" s="33">
        <v>0</v>
      </c>
      <c r="Q6" s="157">
        <f>SUMIFS(KPR[TPEMBAYARAN],KPR[RELASI],DBRELASI[[#This Row],[RELASI]])</f>
        <v>0</v>
      </c>
      <c r="R6" s="157">
        <f>SUMIFS(KB[TPEMBAYARAN],KB[RELASI],DBRELASI[[#This Row],[RELASI]])</f>
        <v>0</v>
      </c>
      <c r="S6" s="157">
        <f>SUMIFS(KBS[TPEMBAYARAN],KBS[RELASI],DBRELASI[[#This Row],[RELASI]])</f>
        <v>0</v>
      </c>
      <c r="T6" s="157">
        <f>SUMIFS(ARG[TPEMBAYARAN],ARG[RELASI],DBRELASI[[#This Row],[RELASI]])</f>
        <v>0</v>
      </c>
      <c r="U6" s="243">
        <f t="shared" si="0"/>
        <v>0</v>
      </c>
      <c r="W6" s="157">
        <f>SUMIFS(KPR[TPEMBAYARAN],KPR[RELASI],DBRELASI[[#This Row],[RELASI]],KPR[TANGGAL],"&gt;="&amp;DATE($W$1,MONTH(0),1),KPR[TANGGAL],"&lt;"&amp;DATE($W$1+1,MONTH(0),1))</f>
        <v>0</v>
      </c>
      <c r="X6" s="157">
        <f>SUMIFS(KB[TPEMBAYARAN],KB[RELASI],DBRELASI[[#This Row],[RELASI]],KB[TANGGAL],"&gt;="&amp;DATE($W$1,MONTH(0),1),KB[TANGGAL],"&lt;"&amp;DATE($W$1+1,MONTH(0),1))</f>
        <v>0</v>
      </c>
      <c r="Y6" s="157">
        <f>SUMIFS(KBS[TPEMBAYARAN],KBS[RELASI],DBRELASI[[#This Row],[RELASI]],KBS[TANGGAL],"&gt;="&amp;DATE($W$1,MONTH(0),1),KBS[TANGGAL],"&lt;"&amp;DATE($W$1+1,MONTH(0),1))</f>
        <v>0</v>
      </c>
      <c r="Z6" s="157">
        <f>SUMIFS(ARG[TPEMBAYARAN],ARG[RELASI],DBRELASI[[#This Row],[RELASI]],ARG[TANGGAL],"&gt;="&amp;DATE($W$1,MONTH(0),1),ARG[TANGGAL],"&lt;"&amp;DATE($W$1+1,MONTH(0),1))</f>
        <v>0</v>
      </c>
      <c r="AA6" s="243">
        <f t="shared" si="1"/>
        <v>0</v>
      </c>
    </row>
    <row r="7" spans="2:27">
      <c r="B7" s="38">
        <f>IF(ISBLANK(C7),"",COUNTA($C$3:C7))</f>
        <v>5</v>
      </c>
      <c r="C7" s="31" t="s">
        <v>145</v>
      </c>
      <c r="D7" s="39" t="s">
        <v>146</v>
      </c>
      <c r="E7" s="31" t="s">
        <v>147</v>
      </c>
      <c r="F7" s="31" t="s">
        <v>148</v>
      </c>
      <c r="G7" s="31" t="s">
        <v>121</v>
      </c>
      <c r="H7" s="31" t="s">
        <v>128</v>
      </c>
      <c r="I7" s="39" t="s">
        <v>145</v>
      </c>
      <c r="J7" s="39" t="s">
        <v>145</v>
      </c>
      <c r="K7" s="162" t="s">
        <v>149</v>
      </c>
      <c r="L7" s="33">
        <v>0</v>
      </c>
      <c r="M7" s="33">
        <v>0</v>
      </c>
      <c r="N7" s="33">
        <v>0</v>
      </c>
      <c r="O7" s="33">
        <v>0</v>
      </c>
      <c r="Q7" s="157">
        <f>SUMIFS(KPR[TPEMBAYARAN],KPR[RELASI],DBRELASI[[#This Row],[RELASI]])</f>
        <v>0</v>
      </c>
      <c r="R7" s="157">
        <f>SUMIFS(KB[TPEMBAYARAN],KB[RELASI],DBRELASI[[#This Row],[RELASI]])</f>
        <v>0</v>
      </c>
      <c r="S7" s="157">
        <f>SUMIFS(KBS[TPEMBAYARAN],KBS[RELASI],DBRELASI[[#This Row],[RELASI]])</f>
        <v>0</v>
      </c>
      <c r="T7" s="157">
        <f>SUMIFS(ARG[TPEMBAYARAN],ARG[RELASI],DBRELASI[[#This Row],[RELASI]])</f>
        <v>0</v>
      </c>
      <c r="U7" s="243">
        <f t="shared" si="0"/>
        <v>0</v>
      </c>
      <c r="W7" s="157">
        <f>SUMIFS(KPR[TPEMBAYARAN],KPR[RELASI],DBRELASI[[#This Row],[RELASI]],KPR[TANGGAL],"&gt;="&amp;DATE($W$1,MONTH(0),1),KPR[TANGGAL],"&lt;"&amp;DATE($W$1+1,MONTH(0),1))</f>
        <v>0</v>
      </c>
      <c r="X7" s="157">
        <f>SUMIFS(KB[TPEMBAYARAN],KB[RELASI],DBRELASI[[#This Row],[RELASI]],KB[TANGGAL],"&gt;="&amp;DATE($W$1,MONTH(0),1),KB[TANGGAL],"&lt;"&amp;DATE($W$1+1,MONTH(0),1))</f>
        <v>0</v>
      </c>
      <c r="Y7" s="157">
        <f>SUMIFS(KBS[TPEMBAYARAN],KBS[RELASI],DBRELASI[[#This Row],[RELASI]],KBS[TANGGAL],"&gt;="&amp;DATE($W$1,MONTH(0),1),KBS[TANGGAL],"&lt;"&amp;DATE($W$1+1,MONTH(0),1))</f>
        <v>0</v>
      </c>
      <c r="Z7" s="157">
        <f>SUMIFS(ARG[TPEMBAYARAN],ARG[RELASI],DBRELASI[[#This Row],[RELASI]],ARG[TANGGAL],"&gt;="&amp;DATE($W$1,MONTH(0),1),ARG[TANGGAL],"&lt;"&amp;DATE($W$1+1,MONTH(0),1))</f>
        <v>0</v>
      </c>
      <c r="AA7" s="243">
        <f t="shared" si="1"/>
        <v>0</v>
      </c>
    </row>
    <row r="8" spans="2:27">
      <c r="B8" s="38">
        <f>IF(ISBLANK(C8),"",COUNTA($C$3:C8))</f>
        <v>6</v>
      </c>
      <c r="C8" s="31" t="s">
        <v>240</v>
      </c>
      <c r="D8" s="39" t="s">
        <v>153</v>
      </c>
      <c r="E8" s="31" t="s">
        <v>240</v>
      </c>
      <c r="F8" s="31" t="s">
        <v>241</v>
      </c>
      <c r="G8" s="31" t="s">
        <v>121</v>
      </c>
      <c r="H8" s="31" t="s">
        <v>271</v>
      </c>
      <c r="I8" s="39" t="s">
        <v>240</v>
      </c>
      <c r="J8" s="39" t="s">
        <v>240</v>
      </c>
      <c r="K8" s="162" t="s">
        <v>462</v>
      </c>
      <c r="L8" s="33">
        <v>0</v>
      </c>
      <c r="M8" s="33">
        <v>0</v>
      </c>
      <c r="N8" s="33">
        <v>0</v>
      </c>
      <c r="O8" s="33">
        <v>0</v>
      </c>
      <c r="Q8" s="157">
        <f>SUMIFS(KPR[TPEMBAYARAN],KPR[RELASI],DBRELASI[[#This Row],[RELASI]])</f>
        <v>0</v>
      </c>
      <c r="R8" s="157">
        <f>SUMIFS(KB[TPEMBAYARAN],KB[RELASI],DBRELASI[[#This Row],[RELASI]])</f>
        <v>167085940</v>
      </c>
      <c r="S8" s="157">
        <f>SUMIFS(KBS[TPEMBAYARAN],KBS[RELASI],DBRELASI[[#This Row],[RELASI]])</f>
        <v>0</v>
      </c>
      <c r="T8" s="157">
        <f>SUMIFS(ARG[TPEMBAYARAN],ARG[RELASI],DBRELASI[[#This Row],[RELASI]])</f>
        <v>0</v>
      </c>
      <c r="U8" s="243">
        <f t="shared" si="0"/>
        <v>167085940</v>
      </c>
      <c r="W8" s="157">
        <f>SUMIFS(KPR[TPEMBAYARAN],KPR[RELASI],DBRELASI[[#This Row],[RELASI]],KPR[TANGGAL],"&gt;="&amp;DATE($W$1,MONTH(0),1),KPR[TANGGAL],"&lt;"&amp;DATE($W$1+1,MONTH(0),1))</f>
        <v>0</v>
      </c>
      <c r="X8" s="157">
        <f>SUMIFS(KB[TPEMBAYARAN],KB[RELASI],DBRELASI[[#This Row],[RELASI]],KB[TANGGAL],"&gt;="&amp;DATE($W$1,MONTH(0),1),KB[TANGGAL],"&lt;"&amp;DATE($W$1+1,MONTH(0),1))</f>
        <v>0</v>
      </c>
      <c r="Y8" s="157">
        <f>SUMIFS(KBS[TPEMBAYARAN],KBS[RELASI],DBRELASI[[#This Row],[RELASI]],KBS[TANGGAL],"&gt;="&amp;DATE($W$1,MONTH(0),1),KBS[TANGGAL],"&lt;"&amp;DATE($W$1+1,MONTH(0),1))</f>
        <v>0</v>
      </c>
      <c r="Z8" s="157">
        <f>SUMIFS(ARG[TPEMBAYARAN],ARG[RELASI],DBRELASI[[#This Row],[RELASI]],ARG[TANGGAL],"&gt;="&amp;DATE($W$1,MONTH(0),1),ARG[TANGGAL],"&lt;"&amp;DATE($W$1+1,MONTH(0),1))</f>
        <v>0</v>
      </c>
      <c r="AA8" s="243">
        <f t="shared" si="1"/>
        <v>0</v>
      </c>
    </row>
    <row r="9" spans="2:27">
      <c r="B9" s="38">
        <f>IF(ISBLANK(C9),"",COUNTA($C$3:C9))</f>
        <v>7</v>
      </c>
      <c r="C9" s="31" t="s">
        <v>150</v>
      </c>
      <c r="D9" s="39" t="s">
        <v>151</v>
      </c>
      <c r="E9" s="31" t="s">
        <v>150</v>
      </c>
      <c r="F9" s="31" t="s">
        <v>152</v>
      </c>
      <c r="G9" s="31" t="s">
        <v>121</v>
      </c>
      <c r="H9" s="31" t="s">
        <v>272</v>
      </c>
      <c r="I9" s="39" t="s">
        <v>150</v>
      </c>
      <c r="J9" s="39" t="s">
        <v>150</v>
      </c>
      <c r="K9" s="162" t="s">
        <v>122</v>
      </c>
      <c r="L9" s="33">
        <v>0</v>
      </c>
      <c r="M9" s="33">
        <v>0</v>
      </c>
      <c r="N9" s="33">
        <v>0</v>
      </c>
      <c r="O9" s="33">
        <v>0</v>
      </c>
      <c r="Q9" s="157">
        <f>SUMIFS(KPR[TPEMBAYARAN],KPR[RELASI],DBRELASI[[#This Row],[RELASI]])</f>
        <v>0</v>
      </c>
      <c r="R9" s="157">
        <f>SUMIFS(KB[TPEMBAYARAN],KB[RELASI],DBRELASI[[#This Row],[RELASI]])</f>
        <v>0</v>
      </c>
      <c r="S9" s="157">
        <f>SUMIFS(KBS[TPEMBAYARAN],KBS[RELASI],DBRELASI[[#This Row],[RELASI]])</f>
        <v>0</v>
      </c>
      <c r="T9" s="157">
        <f>SUMIFS(ARG[TPEMBAYARAN],ARG[RELASI],DBRELASI[[#This Row],[RELASI]])</f>
        <v>0</v>
      </c>
      <c r="U9" s="243">
        <f t="shared" si="0"/>
        <v>0</v>
      </c>
      <c r="W9" s="157">
        <f>SUMIFS(KPR[TPEMBAYARAN],KPR[RELASI],DBRELASI[[#This Row],[RELASI]],KPR[TANGGAL],"&gt;="&amp;DATE($W$1,MONTH(0),1),KPR[TANGGAL],"&lt;"&amp;DATE($W$1+1,MONTH(0),1))</f>
        <v>0</v>
      </c>
      <c r="X9" s="157">
        <f>SUMIFS(KB[TPEMBAYARAN],KB[RELASI],DBRELASI[[#This Row],[RELASI]],KB[TANGGAL],"&gt;="&amp;DATE($W$1,MONTH(0),1),KB[TANGGAL],"&lt;"&amp;DATE($W$1+1,MONTH(0),1))</f>
        <v>0</v>
      </c>
      <c r="Y9" s="157">
        <f>SUMIFS(KBS[TPEMBAYARAN],KBS[RELASI],DBRELASI[[#This Row],[RELASI]],KBS[TANGGAL],"&gt;="&amp;DATE($W$1,MONTH(0),1),KBS[TANGGAL],"&lt;"&amp;DATE($W$1+1,MONTH(0),1))</f>
        <v>0</v>
      </c>
      <c r="Z9" s="157">
        <f>SUMIFS(ARG[TPEMBAYARAN],ARG[RELASI],DBRELASI[[#This Row],[RELASI]],ARG[TANGGAL],"&gt;="&amp;DATE($W$1,MONTH(0),1),ARG[TANGGAL],"&lt;"&amp;DATE($W$1+1,MONTH(0),1))</f>
        <v>0</v>
      </c>
      <c r="AA9" s="243">
        <f t="shared" si="1"/>
        <v>0</v>
      </c>
    </row>
    <row r="10" spans="2:27">
      <c r="B10" s="38">
        <f>IF(ISBLANK(C10),"",COUNTA($C$3:C10))</f>
        <v>8</v>
      </c>
      <c r="C10" s="31" t="s">
        <v>246</v>
      </c>
      <c r="D10" s="39" t="s">
        <v>131</v>
      </c>
      <c r="E10" s="31" t="s">
        <v>246</v>
      </c>
      <c r="F10" s="31" t="s">
        <v>247</v>
      </c>
      <c r="G10" s="31" t="s">
        <v>121</v>
      </c>
      <c r="H10" s="31" t="s">
        <v>273</v>
      </c>
      <c r="I10" s="31" t="s">
        <v>246</v>
      </c>
      <c r="J10" s="39" t="s">
        <v>248</v>
      </c>
      <c r="K10" s="162" t="s">
        <v>296</v>
      </c>
      <c r="L10" s="33">
        <v>0</v>
      </c>
      <c r="M10" s="33">
        <v>0</v>
      </c>
      <c r="N10" s="33">
        <v>0</v>
      </c>
      <c r="O10" s="33">
        <v>0</v>
      </c>
      <c r="Q10" s="157">
        <f>SUMIFS(KPR[TPEMBAYARAN],KPR[RELASI],DBRELASI[[#This Row],[RELASI]])</f>
        <v>0</v>
      </c>
      <c r="R10" s="157">
        <f>SUMIFS(KB[TPEMBAYARAN],KB[RELASI],DBRELASI[[#This Row],[RELASI]])</f>
        <v>0</v>
      </c>
      <c r="S10" s="157">
        <f>SUMIFS(KBS[TPEMBAYARAN],KBS[RELASI],DBRELASI[[#This Row],[RELASI]])</f>
        <v>0</v>
      </c>
      <c r="T10" s="157">
        <f>SUMIFS(ARG[TPEMBAYARAN],ARG[RELASI],DBRELASI[[#This Row],[RELASI]])</f>
        <v>0</v>
      </c>
      <c r="U10" s="243">
        <f t="shared" si="0"/>
        <v>0</v>
      </c>
      <c r="W10" s="157">
        <f>SUMIFS(KPR[TPEMBAYARAN],KPR[RELASI],DBRELASI[[#This Row],[RELASI]],KPR[TANGGAL],"&gt;="&amp;DATE($W$1,MONTH(0),1),KPR[TANGGAL],"&lt;"&amp;DATE($W$1+1,MONTH(0),1))</f>
        <v>0</v>
      </c>
      <c r="X10" s="157">
        <f>SUMIFS(KB[TPEMBAYARAN],KB[RELASI],DBRELASI[[#This Row],[RELASI]],KB[TANGGAL],"&gt;="&amp;DATE($W$1,MONTH(0),1),KB[TANGGAL],"&lt;"&amp;DATE($W$1+1,MONTH(0),1))</f>
        <v>0</v>
      </c>
      <c r="Y10" s="157">
        <f>SUMIFS(KBS[TPEMBAYARAN],KBS[RELASI],DBRELASI[[#This Row],[RELASI]],KBS[TANGGAL],"&gt;="&amp;DATE($W$1,MONTH(0),1),KBS[TANGGAL],"&lt;"&amp;DATE($W$1+1,MONTH(0),1))</f>
        <v>0</v>
      </c>
      <c r="Z10" s="157">
        <f>SUMIFS(ARG[TPEMBAYARAN],ARG[RELASI],DBRELASI[[#This Row],[RELASI]],ARG[TANGGAL],"&gt;="&amp;DATE($W$1,MONTH(0),1),ARG[TANGGAL],"&lt;"&amp;DATE($W$1+1,MONTH(0),1))</f>
        <v>0</v>
      </c>
      <c r="AA10" s="243">
        <f t="shared" si="1"/>
        <v>0</v>
      </c>
    </row>
    <row r="11" spans="2:27">
      <c r="B11" s="38">
        <f>IF(ISBLANK(C11),"",COUNTA($C$3:C11))</f>
        <v>9</v>
      </c>
      <c r="C11" s="31" t="s">
        <v>76</v>
      </c>
      <c r="D11" s="39" t="s">
        <v>154</v>
      </c>
      <c r="E11" s="31" t="s">
        <v>155</v>
      </c>
      <c r="F11" s="31" t="s">
        <v>156</v>
      </c>
      <c r="G11" s="31" t="s">
        <v>121</v>
      </c>
      <c r="H11" s="31" t="s">
        <v>274</v>
      </c>
      <c r="I11" s="39" t="s">
        <v>76</v>
      </c>
      <c r="J11" s="39" t="s">
        <v>76</v>
      </c>
      <c r="K11" s="162" t="s">
        <v>157</v>
      </c>
      <c r="L11" s="33">
        <v>0</v>
      </c>
      <c r="M11" s="33">
        <v>0</v>
      </c>
      <c r="N11" s="33">
        <v>0</v>
      </c>
      <c r="O11" s="33">
        <v>0</v>
      </c>
      <c r="Q11" s="157">
        <f>SUMIFS(KPR[TPEMBAYARAN],KPR[RELASI],DBRELASI[[#This Row],[RELASI]])</f>
        <v>0</v>
      </c>
      <c r="R11" s="157">
        <f>SUMIFS(KB[TPEMBAYARAN],KB[RELASI],DBRELASI[[#This Row],[RELASI]])</f>
        <v>0</v>
      </c>
      <c r="S11" s="157">
        <f>SUMIFS(KBS[TPEMBAYARAN],KBS[RELASI],DBRELASI[[#This Row],[RELASI]])</f>
        <v>0</v>
      </c>
      <c r="T11" s="157">
        <f>SUMIFS(ARG[TPEMBAYARAN],ARG[RELASI],DBRELASI[[#This Row],[RELASI]])</f>
        <v>0</v>
      </c>
      <c r="U11" s="243">
        <f t="shared" si="0"/>
        <v>0</v>
      </c>
      <c r="W11" s="157">
        <f>SUMIFS(KPR[TPEMBAYARAN],KPR[RELASI],DBRELASI[[#This Row],[RELASI]],KPR[TANGGAL],"&gt;="&amp;DATE($W$1,MONTH(0),1),KPR[TANGGAL],"&lt;"&amp;DATE($W$1+1,MONTH(0),1))</f>
        <v>0</v>
      </c>
      <c r="X11" s="157">
        <f>SUMIFS(KB[TPEMBAYARAN],KB[RELASI],DBRELASI[[#This Row],[RELASI]],KB[TANGGAL],"&gt;="&amp;DATE($W$1,MONTH(0),1),KB[TANGGAL],"&lt;"&amp;DATE($W$1+1,MONTH(0),1))</f>
        <v>0</v>
      </c>
      <c r="Y11" s="157">
        <f>SUMIFS(KBS[TPEMBAYARAN],KBS[RELASI],DBRELASI[[#This Row],[RELASI]],KBS[TANGGAL],"&gt;="&amp;DATE($W$1,MONTH(0),1),KBS[TANGGAL],"&lt;"&amp;DATE($W$1+1,MONTH(0),1))</f>
        <v>0</v>
      </c>
      <c r="Z11" s="157">
        <f>SUMIFS(ARG[TPEMBAYARAN],ARG[RELASI],DBRELASI[[#This Row],[RELASI]],ARG[TANGGAL],"&gt;="&amp;DATE($W$1,MONTH(0),1),ARG[TANGGAL],"&lt;"&amp;DATE($W$1+1,MONTH(0),1))</f>
        <v>0</v>
      </c>
      <c r="AA11" s="243">
        <f t="shared" si="1"/>
        <v>0</v>
      </c>
    </row>
    <row r="12" spans="2:27">
      <c r="B12" s="38">
        <f>IF(ISBLANK(C12),"",COUNTA($C$3:C12))</f>
        <v>10</v>
      </c>
      <c r="C12" s="31" t="s">
        <v>158</v>
      </c>
      <c r="D12" s="39" t="s">
        <v>478</v>
      </c>
      <c r="E12" s="31" t="s">
        <v>158</v>
      </c>
      <c r="F12" s="31" t="s">
        <v>159</v>
      </c>
      <c r="G12" s="31" t="s">
        <v>121</v>
      </c>
      <c r="H12" s="31" t="s">
        <v>128</v>
      </c>
      <c r="I12" s="39" t="s">
        <v>160</v>
      </c>
      <c r="J12" s="39" t="s">
        <v>158</v>
      </c>
      <c r="K12" s="162" t="s">
        <v>161</v>
      </c>
      <c r="L12" s="33">
        <v>0</v>
      </c>
      <c r="M12" s="33">
        <v>0</v>
      </c>
      <c r="N12" s="33">
        <v>0</v>
      </c>
      <c r="O12" s="33">
        <v>0</v>
      </c>
      <c r="Q12" s="157">
        <f>SUMIFS(KPR[TPEMBAYARAN],KPR[RELASI],DBRELASI[[#This Row],[RELASI]])</f>
        <v>0</v>
      </c>
      <c r="R12" s="157">
        <f>SUMIFS(KB[TPEMBAYARAN],KB[RELASI],DBRELASI[[#This Row],[RELASI]])</f>
        <v>1393784772</v>
      </c>
      <c r="S12" s="157">
        <f>SUMIFS(KBS[TPEMBAYARAN],KBS[RELASI],DBRELASI[[#This Row],[RELASI]])</f>
        <v>0</v>
      </c>
      <c r="T12" s="157">
        <f>SUMIFS(ARG[TPEMBAYARAN],ARG[RELASI],DBRELASI[[#This Row],[RELASI]])</f>
        <v>0</v>
      </c>
      <c r="U12" s="243">
        <f t="shared" si="0"/>
        <v>1393784772</v>
      </c>
      <c r="W12" s="157">
        <f>SUMIFS(KPR[TPEMBAYARAN],KPR[RELASI],DBRELASI[[#This Row],[RELASI]],KPR[TANGGAL],"&gt;="&amp;DATE($W$1,MONTH(0),1),KPR[TANGGAL],"&lt;"&amp;DATE($W$1+1,MONTH(0),1))</f>
        <v>0</v>
      </c>
      <c r="X12" s="157">
        <f>SUMIFS(KB[TPEMBAYARAN],KB[RELASI],DBRELASI[[#This Row],[RELASI]],KB[TANGGAL],"&gt;="&amp;DATE($W$1,MONTH(0),1),KB[TANGGAL],"&lt;"&amp;DATE($W$1+1,MONTH(0),1))</f>
        <v>0</v>
      </c>
      <c r="Y12" s="157">
        <f>SUMIFS(KBS[TPEMBAYARAN],KBS[RELASI],DBRELASI[[#This Row],[RELASI]],KBS[TANGGAL],"&gt;="&amp;DATE($W$1,MONTH(0),1),KBS[TANGGAL],"&lt;"&amp;DATE($W$1+1,MONTH(0),1))</f>
        <v>0</v>
      </c>
      <c r="Z12" s="157">
        <f>SUMIFS(ARG[TPEMBAYARAN],ARG[RELASI],DBRELASI[[#This Row],[RELASI]],ARG[TANGGAL],"&gt;="&amp;DATE($W$1,MONTH(0),1),ARG[TANGGAL],"&lt;"&amp;DATE($W$1+1,MONTH(0),1))</f>
        <v>0</v>
      </c>
      <c r="AA12" s="243">
        <f t="shared" si="1"/>
        <v>0</v>
      </c>
    </row>
    <row r="13" spans="2:27">
      <c r="B13" s="38">
        <f>IF(ISBLANK(C13),"",COUNTA($C$3:C13))</f>
        <v>11</v>
      </c>
      <c r="C13" s="31" t="s">
        <v>133</v>
      </c>
      <c r="D13" s="39" t="s">
        <v>128</v>
      </c>
      <c r="E13" s="31" t="s">
        <v>133</v>
      </c>
      <c r="F13" s="31" t="s">
        <v>134</v>
      </c>
      <c r="G13" s="31" t="s">
        <v>127</v>
      </c>
      <c r="H13" s="31" t="s">
        <v>275</v>
      </c>
      <c r="I13" s="31" t="s">
        <v>133</v>
      </c>
      <c r="J13" s="31" t="s">
        <v>133</v>
      </c>
      <c r="K13" s="162" t="s">
        <v>300</v>
      </c>
      <c r="L13" s="33">
        <v>0</v>
      </c>
      <c r="M13" s="33">
        <v>0</v>
      </c>
      <c r="N13" s="33">
        <v>0</v>
      </c>
      <c r="O13" s="33">
        <v>0</v>
      </c>
      <c r="Q13" s="157">
        <f>SUMIFS(KPR[TPEMBAYARAN],KPR[RELASI],DBRELASI[[#This Row],[RELASI]])</f>
        <v>0</v>
      </c>
      <c r="R13" s="157">
        <f>SUMIFS(KB[TPEMBAYARAN],KB[RELASI],DBRELASI[[#This Row],[RELASI]])</f>
        <v>0</v>
      </c>
      <c r="S13" s="157">
        <f>SUMIFS(KBS[TPEMBAYARAN],KBS[RELASI],DBRELASI[[#This Row],[RELASI]])</f>
        <v>0</v>
      </c>
      <c r="T13" s="157">
        <f>SUMIFS(ARG[TPEMBAYARAN],ARG[RELASI],DBRELASI[[#This Row],[RELASI]])</f>
        <v>0</v>
      </c>
      <c r="U13" s="243">
        <f t="shared" si="0"/>
        <v>0</v>
      </c>
      <c r="W13" s="157">
        <f>SUMIFS(KPR[TPEMBAYARAN],KPR[RELASI],DBRELASI[[#This Row],[RELASI]],KPR[TANGGAL],"&gt;="&amp;DATE($W$1,MONTH(0),1),KPR[TANGGAL],"&lt;"&amp;DATE($W$1+1,MONTH(0),1))</f>
        <v>0</v>
      </c>
      <c r="X13" s="157">
        <f>SUMIFS(KB[TPEMBAYARAN],KB[RELASI],DBRELASI[[#This Row],[RELASI]],KB[TANGGAL],"&gt;="&amp;DATE($W$1,MONTH(0),1),KB[TANGGAL],"&lt;"&amp;DATE($W$1+1,MONTH(0),1))</f>
        <v>0</v>
      </c>
      <c r="Y13" s="157">
        <f>SUMIFS(KBS[TPEMBAYARAN],KBS[RELASI],DBRELASI[[#This Row],[RELASI]],KBS[TANGGAL],"&gt;="&amp;DATE($W$1,MONTH(0),1),KBS[TANGGAL],"&lt;"&amp;DATE($W$1+1,MONTH(0),1))</f>
        <v>0</v>
      </c>
      <c r="Z13" s="157">
        <f>SUMIFS(ARG[TPEMBAYARAN],ARG[RELASI],DBRELASI[[#This Row],[RELASI]],ARG[TANGGAL],"&gt;="&amp;DATE($W$1,MONTH(0),1),ARG[TANGGAL],"&lt;"&amp;DATE($W$1+1,MONTH(0),1))</f>
        <v>0</v>
      </c>
      <c r="AA13" s="243">
        <f t="shared" si="1"/>
        <v>0</v>
      </c>
    </row>
    <row r="14" spans="2:27">
      <c r="B14" s="38">
        <f>IF(ISBLANK(C14),"",COUNTA($C$3:C14))</f>
        <v>12</v>
      </c>
      <c r="C14" s="31" t="s">
        <v>155</v>
      </c>
      <c r="D14" s="39" t="s">
        <v>154</v>
      </c>
      <c r="E14" s="31" t="s">
        <v>155</v>
      </c>
      <c r="F14" s="31" t="s">
        <v>156</v>
      </c>
      <c r="G14" s="31" t="s">
        <v>121</v>
      </c>
      <c r="H14" s="31" t="s">
        <v>274</v>
      </c>
      <c r="I14" s="39" t="s">
        <v>155</v>
      </c>
      <c r="J14" s="39" t="s">
        <v>155</v>
      </c>
      <c r="K14" s="162" t="s">
        <v>157</v>
      </c>
      <c r="L14" s="33">
        <v>0</v>
      </c>
      <c r="M14" s="33">
        <v>0</v>
      </c>
      <c r="N14" s="33">
        <v>0</v>
      </c>
      <c r="O14" s="33">
        <v>0</v>
      </c>
      <c r="Q14" s="157">
        <f>SUMIFS(KPR[TPEMBAYARAN],KPR[RELASI],DBRELASI[[#This Row],[RELASI]])</f>
        <v>0</v>
      </c>
      <c r="R14" s="157">
        <f>SUMIFS(KB[TPEMBAYARAN],KB[RELASI],DBRELASI[[#This Row],[RELASI]])</f>
        <v>3080927718</v>
      </c>
      <c r="S14" s="157">
        <f>SUMIFS(KBS[TPEMBAYARAN],KBS[RELASI],DBRELASI[[#This Row],[RELASI]])</f>
        <v>0</v>
      </c>
      <c r="T14" s="157">
        <f>SUMIFS(ARG[TPEMBAYARAN],ARG[RELASI],DBRELASI[[#This Row],[RELASI]])</f>
        <v>0</v>
      </c>
      <c r="U14" s="243">
        <f t="shared" si="0"/>
        <v>3080927718</v>
      </c>
      <c r="W14" s="157">
        <f>SUMIFS(KPR[TPEMBAYARAN],KPR[RELASI],DBRELASI[[#This Row],[RELASI]],KPR[TANGGAL],"&gt;="&amp;DATE($W$1,MONTH(0),1),KPR[TANGGAL],"&lt;"&amp;DATE($W$1+1,MONTH(0),1))</f>
        <v>0</v>
      </c>
      <c r="X14" s="157">
        <f>SUMIFS(KB[TPEMBAYARAN],KB[RELASI],DBRELASI[[#This Row],[RELASI]],KB[TANGGAL],"&gt;="&amp;DATE($W$1,MONTH(0),1),KB[TANGGAL],"&lt;"&amp;DATE($W$1+1,MONTH(0),1))</f>
        <v>0</v>
      </c>
      <c r="Y14" s="157">
        <f>SUMIFS(KBS[TPEMBAYARAN],KBS[RELASI],DBRELASI[[#This Row],[RELASI]],KBS[TANGGAL],"&gt;="&amp;DATE($W$1,MONTH(0),1),KBS[TANGGAL],"&lt;"&amp;DATE($W$1+1,MONTH(0),1))</f>
        <v>0</v>
      </c>
      <c r="Z14" s="157">
        <f>SUMIFS(ARG[TPEMBAYARAN],ARG[RELASI],DBRELASI[[#This Row],[RELASI]],ARG[TANGGAL],"&gt;="&amp;DATE($W$1,MONTH(0),1),ARG[TANGGAL],"&lt;"&amp;DATE($W$1+1,MONTH(0),1))</f>
        <v>0</v>
      </c>
      <c r="AA14" s="243">
        <f t="shared" si="1"/>
        <v>0</v>
      </c>
    </row>
    <row r="15" spans="2:27">
      <c r="B15" s="38">
        <f>IF(ISBLANK(C15),"",COUNTA($C$3:C15))</f>
        <v>13</v>
      </c>
      <c r="C15" s="31" t="s">
        <v>162</v>
      </c>
      <c r="D15" s="39" t="s">
        <v>163</v>
      </c>
      <c r="E15" s="31" t="s">
        <v>164</v>
      </c>
      <c r="F15" s="31" t="s">
        <v>165</v>
      </c>
      <c r="G15" s="31" t="s">
        <v>121</v>
      </c>
      <c r="H15" s="31" t="s">
        <v>128</v>
      </c>
      <c r="I15" s="31" t="s">
        <v>162</v>
      </c>
      <c r="J15" s="39" t="s">
        <v>166</v>
      </c>
      <c r="K15" s="162" t="s">
        <v>302</v>
      </c>
      <c r="L15" s="33">
        <v>0</v>
      </c>
      <c r="M15" s="33">
        <v>0</v>
      </c>
      <c r="N15" s="33">
        <v>0</v>
      </c>
      <c r="O15" s="33">
        <v>0</v>
      </c>
      <c r="Q15" s="157">
        <f>SUMIFS(KPR[TPEMBAYARAN],KPR[RELASI],DBRELASI[[#This Row],[RELASI]])</f>
        <v>0</v>
      </c>
      <c r="R15" s="157">
        <f>SUMIFS(KB[TPEMBAYARAN],KB[RELASI],DBRELASI[[#This Row],[RELASI]])</f>
        <v>0</v>
      </c>
      <c r="S15" s="157">
        <f>SUMIFS(KBS[TPEMBAYARAN],KBS[RELASI],DBRELASI[[#This Row],[RELASI]])</f>
        <v>0</v>
      </c>
      <c r="T15" s="157">
        <f>SUMIFS(ARG[TPEMBAYARAN],ARG[RELASI],DBRELASI[[#This Row],[RELASI]])</f>
        <v>0</v>
      </c>
      <c r="U15" s="243">
        <f t="shared" si="0"/>
        <v>0</v>
      </c>
      <c r="W15" s="157">
        <f>SUMIFS(KPR[TPEMBAYARAN],KPR[RELASI],DBRELASI[[#This Row],[RELASI]],KPR[TANGGAL],"&gt;="&amp;DATE($W$1,MONTH(0),1),KPR[TANGGAL],"&lt;"&amp;DATE($W$1+1,MONTH(0),1))</f>
        <v>0</v>
      </c>
      <c r="X15" s="157">
        <f>SUMIFS(KB[TPEMBAYARAN],KB[RELASI],DBRELASI[[#This Row],[RELASI]],KB[TANGGAL],"&gt;="&amp;DATE($W$1,MONTH(0),1),KB[TANGGAL],"&lt;"&amp;DATE($W$1+1,MONTH(0),1))</f>
        <v>0</v>
      </c>
      <c r="Y15" s="157">
        <f>SUMIFS(KBS[TPEMBAYARAN],KBS[RELASI],DBRELASI[[#This Row],[RELASI]],KBS[TANGGAL],"&gt;="&amp;DATE($W$1,MONTH(0),1),KBS[TANGGAL],"&lt;"&amp;DATE($W$1+1,MONTH(0),1))</f>
        <v>0</v>
      </c>
      <c r="Z15" s="157">
        <f>SUMIFS(ARG[TPEMBAYARAN],ARG[RELASI],DBRELASI[[#This Row],[RELASI]],ARG[TANGGAL],"&gt;="&amp;DATE($W$1,MONTH(0),1),ARG[TANGGAL],"&lt;"&amp;DATE($W$1+1,MONTH(0),1))</f>
        <v>0</v>
      </c>
      <c r="AA15" s="243">
        <f>SUM(W15:Z15)</f>
        <v>0</v>
      </c>
    </row>
    <row r="16" spans="2:27">
      <c r="B16" s="38">
        <f>IF(ISBLANK(C16),"",COUNTA($C$3:C16))</f>
        <v>14</v>
      </c>
      <c r="C16" s="31" t="s">
        <v>78</v>
      </c>
      <c r="D16" s="39" t="s">
        <v>167</v>
      </c>
      <c r="E16" s="31" t="s">
        <v>129</v>
      </c>
      <c r="F16" s="31" t="s">
        <v>168</v>
      </c>
      <c r="G16" s="31" t="s">
        <v>121</v>
      </c>
      <c r="H16" s="31" t="s">
        <v>274</v>
      </c>
      <c r="I16" s="39" t="s">
        <v>78</v>
      </c>
      <c r="J16" s="39" t="s">
        <v>169</v>
      </c>
      <c r="K16" s="162" t="s">
        <v>301</v>
      </c>
      <c r="L16" s="33">
        <v>0</v>
      </c>
      <c r="M16" s="33">
        <v>0</v>
      </c>
      <c r="N16" s="33">
        <v>0</v>
      </c>
      <c r="O16" s="33">
        <v>0</v>
      </c>
      <c r="Q16" s="157">
        <f>SUMIFS(KPR[TPEMBAYARAN],KPR[RELASI],DBRELASI[[#This Row],[RELASI]])</f>
        <v>0</v>
      </c>
      <c r="R16" s="157">
        <f>SUMIFS(KB[TPEMBAYARAN],KB[RELASI],DBRELASI[[#This Row],[RELASI]])</f>
        <v>0</v>
      </c>
      <c r="S16" s="157">
        <f>SUMIFS(KBS[TPEMBAYARAN],KBS[RELASI],DBRELASI[[#This Row],[RELASI]])</f>
        <v>0</v>
      </c>
      <c r="T16" s="157">
        <f>SUMIFS(ARG[TPEMBAYARAN],ARG[RELASI],DBRELASI[[#This Row],[RELASI]])</f>
        <v>0</v>
      </c>
      <c r="U16" s="243">
        <f t="shared" si="0"/>
        <v>0</v>
      </c>
      <c r="W16" s="157">
        <f>SUMIFS(KPR[TPEMBAYARAN],KPR[RELASI],DBRELASI[[#This Row],[RELASI]],KPR[TANGGAL],"&gt;="&amp;DATE($W$1,MONTH(0),1),KPR[TANGGAL],"&lt;"&amp;DATE($W$1+1,MONTH(0),1))</f>
        <v>0</v>
      </c>
      <c r="X16" s="157">
        <f>SUMIFS(KB[TPEMBAYARAN],KB[RELASI],DBRELASI[[#This Row],[RELASI]],KB[TANGGAL],"&gt;="&amp;DATE($W$1,MONTH(0),1),KB[TANGGAL],"&lt;"&amp;DATE($W$1+1,MONTH(0),1))</f>
        <v>0</v>
      </c>
      <c r="Y16" s="157">
        <f>SUMIFS(KBS[TPEMBAYARAN],KBS[RELASI],DBRELASI[[#This Row],[RELASI]],KBS[TANGGAL],"&gt;="&amp;DATE($W$1,MONTH(0),1),KBS[TANGGAL],"&lt;"&amp;DATE($W$1+1,MONTH(0),1))</f>
        <v>0</v>
      </c>
      <c r="Z16" s="157">
        <f>SUMIFS(ARG[TPEMBAYARAN],ARG[RELASI],DBRELASI[[#This Row],[RELASI]],ARG[TANGGAL],"&gt;="&amp;DATE($W$1,MONTH(0),1),ARG[TANGGAL],"&lt;"&amp;DATE($W$1+1,MONTH(0),1))</f>
        <v>0</v>
      </c>
      <c r="AA16" s="243">
        <f t="shared" si="1"/>
        <v>0</v>
      </c>
    </row>
    <row r="17" spans="2:27">
      <c r="B17" s="38">
        <f>IF(ISBLANK(C17),"",COUNTA($C$3:C17))</f>
        <v>15</v>
      </c>
      <c r="C17" s="31" t="s">
        <v>170</v>
      </c>
      <c r="D17" s="39" t="s">
        <v>171</v>
      </c>
      <c r="E17" s="31" t="s">
        <v>172</v>
      </c>
      <c r="F17" s="31" t="s">
        <v>173</v>
      </c>
      <c r="G17" s="31" t="s">
        <v>121</v>
      </c>
      <c r="H17" s="31" t="s">
        <v>128</v>
      </c>
      <c r="I17" s="31" t="s">
        <v>170</v>
      </c>
      <c r="J17" s="39" t="s">
        <v>172</v>
      </c>
      <c r="K17" s="162" t="s">
        <v>174</v>
      </c>
      <c r="L17" s="33">
        <v>0</v>
      </c>
      <c r="M17" s="33">
        <v>0</v>
      </c>
      <c r="N17" s="33">
        <v>0</v>
      </c>
      <c r="O17" s="33">
        <v>0</v>
      </c>
      <c r="Q17" s="157">
        <f>SUMIFS(KPR[TPEMBAYARAN],KPR[RELASI],DBRELASI[[#This Row],[RELASI]])</f>
        <v>0</v>
      </c>
      <c r="R17" s="157">
        <f>SUMIFS(KB[TPEMBAYARAN],KB[RELASI],DBRELASI[[#This Row],[RELASI]])</f>
        <v>0</v>
      </c>
      <c r="S17" s="157">
        <f>SUMIFS(KBS[TPEMBAYARAN],KBS[RELASI],DBRELASI[[#This Row],[RELASI]])</f>
        <v>0</v>
      </c>
      <c r="T17" s="157">
        <f>SUMIFS(ARG[TPEMBAYARAN],ARG[RELASI],DBRELASI[[#This Row],[RELASI]])</f>
        <v>0</v>
      </c>
      <c r="U17" s="243">
        <f t="shared" si="0"/>
        <v>0</v>
      </c>
      <c r="W17" s="157">
        <f>SUMIFS(KPR[TPEMBAYARAN],KPR[RELASI],DBRELASI[[#This Row],[RELASI]],KPR[TANGGAL],"&gt;="&amp;DATE($W$1,MONTH(0),1),KPR[TANGGAL],"&lt;"&amp;DATE($W$1+1,MONTH(0),1))</f>
        <v>0</v>
      </c>
      <c r="X17" s="157">
        <f>SUMIFS(KB[TPEMBAYARAN],KB[RELASI],DBRELASI[[#This Row],[RELASI]],KB[TANGGAL],"&gt;="&amp;DATE($W$1,MONTH(0),1),KB[TANGGAL],"&lt;"&amp;DATE($W$1+1,MONTH(0),1))</f>
        <v>0</v>
      </c>
      <c r="Y17" s="157">
        <f>SUMIFS(KBS[TPEMBAYARAN],KBS[RELASI],DBRELASI[[#This Row],[RELASI]],KBS[TANGGAL],"&gt;="&amp;DATE($W$1,MONTH(0),1),KBS[TANGGAL],"&lt;"&amp;DATE($W$1+1,MONTH(0),1))</f>
        <v>0</v>
      </c>
      <c r="Z17" s="157">
        <f>SUMIFS(ARG[TPEMBAYARAN],ARG[RELASI],DBRELASI[[#This Row],[RELASI]],ARG[TANGGAL],"&gt;="&amp;DATE($W$1,MONTH(0),1),ARG[TANGGAL],"&lt;"&amp;DATE($W$1+1,MONTH(0),1))</f>
        <v>0</v>
      </c>
      <c r="AA17" s="243">
        <f t="shared" si="1"/>
        <v>0</v>
      </c>
    </row>
    <row r="18" spans="2:27">
      <c r="B18" s="38">
        <f>IF(ISBLANK(C18),"",COUNTA($C$3:C18))</f>
        <v>16</v>
      </c>
      <c r="C18" s="31" t="s">
        <v>175</v>
      </c>
      <c r="D18" s="39" t="s">
        <v>126</v>
      </c>
      <c r="E18" s="31" t="s">
        <v>176</v>
      </c>
      <c r="F18" s="31" t="s">
        <v>177</v>
      </c>
      <c r="G18" s="31" t="s">
        <v>121</v>
      </c>
      <c r="H18" s="31" t="s">
        <v>276</v>
      </c>
      <c r="I18" s="39" t="s">
        <v>175</v>
      </c>
      <c r="J18" s="39" t="s">
        <v>178</v>
      </c>
      <c r="K18" s="169" t="s">
        <v>314</v>
      </c>
      <c r="L18" s="33">
        <v>0</v>
      </c>
      <c r="M18" s="33">
        <v>0</v>
      </c>
      <c r="N18" s="33">
        <v>0</v>
      </c>
      <c r="O18" s="33">
        <v>0</v>
      </c>
      <c r="Q18" s="157">
        <f>SUMIFS(KPR[TPEMBAYARAN],KPR[RELASI],DBRELASI[[#This Row],[RELASI]])</f>
        <v>0</v>
      </c>
      <c r="R18" s="157">
        <f>SUMIFS(KB[TPEMBAYARAN],KB[RELASI],DBRELASI[[#This Row],[RELASI]])</f>
        <v>0</v>
      </c>
      <c r="S18" s="157">
        <f>SUMIFS(KBS[TPEMBAYARAN],KBS[RELASI],DBRELASI[[#This Row],[RELASI]])</f>
        <v>0</v>
      </c>
      <c r="T18" s="157">
        <f>SUMIFS(ARG[TPEMBAYARAN],ARG[RELASI],DBRELASI[[#This Row],[RELASI]])</f>
        <v>0</v>
      </c>
      <c r="U18" s="243">
        <f t="shared" si="0"/>
        <v>0</v>
      </c>
      <c r="W18" s="157">
        <f>SUMIFS(KPR[TPEMBAYARAN],KPR[RELASI],DBRELASI[[#This Row],[RELASI]],KPR[TANGGAL],"&gt;="&amp;DATE($W$1,MONTH(0),1),KPR[TANGGAL],"&lt;"&amp;DATE($W$1+1,MONTH(0),1))</f>
        <v>0</v>
      </c>
      <c r="X18" s="157">
        <f>SUMIFS(KB[TPEMBAYARAN],KB[RELASI],DBRELASI[[#This Row],[RELASI]],KB[TANGGAL],"&gt;="&amp;DATE($W$1,MONTH(0),1),KB[TANGGAL],"&lt;"&amp;DATE($W$1+1,MONTH(0),1))</f>
        <v>0</v>
      </c>
      <c r="Y18" s="157">
        <f>SUMIFS(KBS[TPEMBAYARAN],KBS[RELASI],DBRELASI[[#This Row],[RELASI]],KBS[TANGGAL],"&gt;="&amp;DATE($W$1,MONTH(0),1),KBS[TANGGAL],"&lt;"&amp;DATE($W$1+1,MONTH(0),1))</f>
        <v>0</v>
      </c>
      <c r="Z18" s="157">
        <f>SUMIFS(ARG[TPEMBAYARAN],ARG[RELASI],DBRELASI[[#This Row],[RELASI]],ARG[TANGGAL],"&gt;="&amp;DATE($W$1,MONTH(0),1),ARG[TANGGAL],"&lt;"&amp;DATE($W$1+1,MONTH(0),1))</f>
        <v>0</v>
      </c>
      <c r="AA18" s="243">
        <f t="shared" si="1"/>
        <v>0</v>
      </c>
    </row>
    <row r="19" spans="2:27">
      <c r="B19" s="38">
        <f>IF(ISBLANK(C19),"",COUNTA($C$3:C19))</f>
        <v>17</v>
      </c>
      <c r="C19" s="31" t="s">
        <v>333</v>
      </c>
      <c r="D19" s="39" t="s">
        <v>131</v>
      </c>
      <c r="E19" s="31" t="s">
        <v>334</v>
      </c>
      <c r="F19" s="31" t="s">
        <v>335</v>
      </c>
      <c r="G19" s="31" t="s">
        <v>121</v>
      </c>
      <c r="H19" s="31" t="s">
        <v>132</v>
      </c>
      <c r="I19" s="39" t="s">
        <v>334</v>
      </c>
      <c r="J19" s="39" t="s">
        <v>334</v>
      </c>
      <c r="K19" s="162" t="s">
        <v>455</v>
      </c>
      <c r="L19" s="33">
        <v>0</v>
      </c>
      <c r="M19" s="33">
        <v>0</v>
      </c>
      <c r="N19" s="33">
        <v>0</v>
      </c>
      <c r="O19" s="33">
        <v>0</v>
      </c>
      <c r="Q19" s="157">
        <f>SUMIFS(KPR[TPEMBAYARAN],KPR[RELASI],DBRELASI[[#This Row],[RELASI]])</f>
        <v>0</v>
      </c>
      <c r="R19" s="157">
        <f>SUMIFS(KB[TPEMBAYARAN],KB[RELASI],DBRELASI[[#This Row],[RELASI]])</f>
        <v>0</v>
      </c>
      <c r="S19" s="157">
        <f>SUMIFS(KBS[TPEMBAYARAN],KBS[RELASI],DBRELASI[[#This Row],[RELASI]])</f>
        <v>0</v>
      </c>
      <c r="T19" s="157">
        <f>SUMIFS(ARG[TPEMBAYARAN],ARG[RELASI],DBRELASI[[#This Row],[RELASI]])</f>
        <v>0</v>
      </c>
      <c r="U19" s="243">
        <f t="shared" si="0"/>
        <v>0</v>
      </c>
      <c r="W19" s="157">
        <f>SUMIFS(KPR[TPEMBAYARAN],KPR[RELASI],DBRELASI[[#This Row],[RELASI]],KPR[TANGGAL],"&gt;="&amp;DATE($W$1,MONTH(0),1),KPR[TANGGAL],"&lt;"&amp;DATE($W$1+1,MONTH(0),1))</f>
        <v>0</v>
      </c>
      <c r="X19" s="157">
        <f>SUMIFS(KB[TPEMBAYARAN],KB[RELASI],DBRELASI[[#This Row],[RELASI]],KB[TANGGAL],"&gt;="&amp;DATE($W$1,MONTH(0),1),KB[TANGGAL],"&lt;"&amp;DATE($W$1+1,MONTH(0),1))</f>
        <v>0</v>
      </c>
      <c r="Y19" s="157">
        <f>SUMIFS(KBS[TPEMBAYARAN],KBS[RELASI],DBRELASI[[#This Row],[RELASI]],KBS[TANGGAL],"&gt;="&amp;DATE($W$1,MONTH(0),1),KBS[TANGGAL],"&lt;"&amp;DATE($W$1+1,MONTH(0),1))</f>
        <v>0</v>
      </c>
      <c r="Z19" s="157">
        <f>SUMIFS(ARG[TPEMBAYARAN],ARG[RELASI],DBRELASI[[#This Row],[RELASI]],ARG[TANGGAL],"&gt;="&amp;DATE($W$1,MONTH(0),1),ARG[TANGGAL],"&lt;"&amp;DATE($W$1+1,MONTH(0),1))</f>
        <v>0</v>
      </c>
      <c r="AA19" s="243">
        <f t="shared" si="1"/>
        <v>0</v>
      </c>
    </row>
    <row r="20" spans="2:27">
      <c r="B20" s="38">
        <f>IF(ISBLANK(C20),"",COUNTA($C$3:C20))</f>
        <v>18</v>
      </c>
      <c r="C20" s="31" t="s">
        <v>179</v>
      </c>
      <c r="D20" s="39" t="s">
        <v>131</v>
      </c>
      <c r="E20" s="31" t="s">
        <v>179</v>
      </c>
      <c r="F20" s="31" t="s">
        <v>180</v>
      </c>
      <c r="G20" s="31" t="s">
        <v>121</v>
      </c>
      <c r="H20" s="31" t="s">
        <v>128</v>
      </c>
      <c r="I20" s="39" t="s">
        <v>179</v>
      </c>
      <c r="J20" s="39" t="s">
        <v>179</v>
      </c>
      <c r="K20" s="162" t="s">
        <v>122</v>
      </c>
      <c r="L20" s="33">
        <v>0</v>
      </c>
      <c r="M20" s="33">
        <v>0</v>
      </c>
      <c r="N20" s="33">
        <v>0</v>
      </c>
      <c r="O20" s="33">
        <v>0</v>
      </c>
      <c r="Q20" s="157">
        <f>SUMIFS(KPR[TPEMBAYARAN],KPR[RELASI],DBRELASI[[#This Row],[RELASI]])</f>
        <v>0</v>
      </c>
      <c r="R20" s="157">
        <f>SUMIFS(KB[TPEMBAYARAN],KB[RELASI],DBRELASI[[#This Row],[RELASI]])</f>
        <v>0</v>
      </c>
      <c r="S20" s="157">
        <f>SUMIFS(KBS[TPEMBAYARAN],KBS[RELASI],DBRELASI[[#This Row],[RELASI]])</f>
        <v>0</v>
      </c>
      <c r="T20" s="157">
        <f>SUMIFS(ARG[TPEMBAYARAN],ARG[RELASI],DBRELASI[[#This Row],[RELASI]])</f>
        <v>0</v>
      </c>
      <c r="U20" s="243">
        <f t="shared" si="0"/>
        <v>0</v>
      </c>
      <c r="W20" s="157">
        <f>SUMIFS(KPR[TPEMBAYARAN],KPR[RELASI],DBRELASI[[#This Row],[RELASI]],KPR[TANGGAL],"&gt;="&amp;DATE($W$1,MONTH(0),1),KPR[TANGGAL],"&lt;"&amp;DATE($W$1+1,MONTH(0),1))</f>
        <v>0</v>
      </c>
      <c r="X20" s="157">
        <f>SUMIFS(KB[TPEMBAYARAN],KB[RELASI],DBRELASI[[#This Row],[RELASI]],KB[TANGGAL],"&gt;="&amp;DATE($W$1,MONTH(0),1),KB[TANGGAL],"&lt;"&amp;DATE($W$1+1,MONTH(0),1))</f>
        <v>0</v>
      </c>
      <c r="Y20" s="157">
        <f>SUMIFS(KBS[TPEMBAYARAN],KBS[RELASI],DBRELASI[[#This Row],[RELASI]],KBS[TANGGAL],"&gt;="&amp;DATE($W$1,MONTH(0),1),KBS[TANGGAL],"&lt;"&amp;DATE($W$1+1,MONTH(0),1))</f>
        <v>0</v>
      </c>
      <c r="Z20" s="157">
        <f>SUMIFS(ARG[TPEMBAYARAN],ARG[RELASI],DBRELASI[[#This Row],[RELASI]],ARG[TANGGAL],"&gt;="&amp;DATE($W$1,MONTH(0),1),ARG[TANGGAL],"&lt;"&amp;DATE($W$1+1,MONTH(0),1))</f>
        <v>0</v>
      </c>
      <c r="AA20" s="243">
        <f t="shared" si="1"/>
        <v>0</v>
      </c>
    </row>
    <row r="21" spans="2:27">
      <c r="B21" s="38">
        <f>IF(ISBLANK(C21),"",COUNTA($C$3:C21))</f>
        <v>19</v>
      </c>
      <c r="C21" s="31" t="s">
        <v>872</v>
      </c>
      <c r="D21" s="39" t="s">
        <v>873</v>
      </c>
      <c r="E21" s="31" t="s">
        <v>80</v>
      </c>
      <c r="F21" s="31" t="s">
        <v>245</v>
      </c>
      <c r="G21" s="31" t="s">
        <v>121</v>
      </c>
      <c r="H21" s="31" t="s">
        <v>279</v>
      </c>
      <c r="I21" s="31" t="s">
        <v>872</v>
      </c>
      <c r="J21" s="31" t="s">
        <v>872</v>
      </c>
      <c r="K21" s="162" t="s">
        <v>297</v>
      </c>
      <c r="L21" s="33"/>
      <c r="M21" s="33"/>
      <c r="N21" s="33"/>
      <c r="O21" s="33"/>
      <c r="Q21" s="157">
        <f>SUMIFS(KPR[TPEMBAYARAN],KPR[RELASI],DBRELASI[[#This Row],[RELASI]])</f>
        <v>0</v>
      </c>
      <c r="R21" s="157">
        <f>SUMIFS(KB[TPEMBAYARAN],KB[RELASI],DBRELASI[[#This Row],[RELASI]])</f>
        <v>513787241</v>
      </c>
      <c r="S21" s="157">
        <f>SUMIFS(KBS[TPEMBAYARAN],KBS[RELASI],DBRELASI[[#This Row],[RELASI]])</f>
        <v>0</v>
      </c>
      <c r="T21" s="157">
        <f>SUMIFS(ARG[TPEMBAYARAN],ARG[RELASI],DBRELASI[[#This Row],[RELASI]])</f>
        <v>0</v>
      </c>
      <c r="U21" s="243">
        <f t="shared" si="0"/>
        <v>513787241</v>
      </c>
      <c r="W21" s="157">
        <f>SUMIFS(KPR[TPEMBAYARAN],KPR[RELASI],DBRELASI[[#This Row],[RELASI]],KPR[TANGGAL],"&gt;="&amp;DATE($W$1,MONTH(0),1),KPR[TANGGAL],"&lt;"&amp;DATE($W$1+1,MONTH(0),1))</f>
        <v>0</v>
      </c>
      <c r="X21" s="157">
        <f>SUMIFS(KB[TPEMBAYARAN],KB[RELASI],DBRELASI[[#This Row],[RELASI]],KB[TANGGAL],"&gt;="&amp;DATE($W$1,MONTH(0),1),KB[TANGGAL],"&lt;"&amp;DATE($W$1+1,MONTH(0),1))</f>
        <v>0</v>
      </c>
      <c r="Y21" s="157">
        <f>SUMIFS(KBS[TPEMBAYARAN],KBS[RELASI],DBRELASI[[#This Row],[RELASI]],KBS[TANGGAL],"&gt;="&amp;DATE($W$1,MONTH(0),1),KBS[TANGGAL],"&lt;"&amp;DATE($W$1+1,MONTH(0),1))</f>
        <v>0</v>
      </c>
      <c r="Z21" s="157">
        <f>SUMIFS(ARG[TPEMBAYARAN],ARG[RELASI],DBRELASI[[#This Row],[RELASI]],ARG[TANGGAL],"&gt;="&amp;DATE($W$1,MONTH(0),1),ARG[TANGGAL],"&lt;"&amp;DATE($W$1+1,MONTH(0),1))</f>
        <v>0</v>
      </c>
      <c r="AA21" s="243">
        <f t="shared" si="1"/>
        <v>0</v>
      </c>
    </row>
    <row r="22" spans="2:27">
      <c r="B22" s="38">
        <f>IF(ISBLANK(C22),"",COUNTA($C$3:C22))</f>
        <v>20</v>
      </c>
      <c r="C22" s="31" t="s">
        <v>471</v>
      </c>
      <c r="D22" s="39" t="s">
        <v>128</v>
      </c>
      <c r="E22" s="31" t="s">
        <v>472</v>
      </c>
      <c r="F22" s="31" t="s">
        <v>473</v>
      </c>
      <c r="G22" s="31" t="s">
        <v>121</v>
      </c>
      <c r="H22" s="31" t="s">
        <v>275</v>
      </c>
      <c r="I22" s="39" t="s">
        <v>471</v>
      </c>
      <c r="J22" s="39"/>
      <c r="K22" s="162" t="s">
        <v>474</v>
      </c>
      <c r="L22" s="33">
        <v>0</v>
      </c>
      <c r="M22" s="33">
        <v>0</v>
      </c>
      <c r="N22" s="33">
        <v>0</v>
      </c>
      <c r="O22" s="33">
        <v>0</v>
      </c>
      <c r="Q22" s="157">
        <f>SUMIFS(KPR[TPEMBAYARAN],KPR[RELASI],DBRELASI[[#This Row],[RELASI]])</f>
        <v>0</v>
      </c>
      <c r="R22" s="157">
        <f>SUMIFS(KB[TPEMBAYARAN],KB[RELASI],DBRELASI[[#This Row],[RELASI]])</f>
        <v>1499156878</v>
      </c>
      <c r="S22" s="157">
        <f>SUMIFS(KBS[TPEMBAYARAN],KBS[RELASI],DBRELASI[[#This Row],[RELASI]])</f>
        <v>0</v>
      </c>
      <c r="T22" s="157">
        <f>SUMIFS(ARG[TPEMBAYARAN],ARG[RELASI],DBRELASI[[#This Row],[RELASI]])</f>
        <v>0</v>
      </c>
      <c r="U22" s="243">
        <f t="shared" si="0"/>
        <v>1499156878</v>
      </c>
      <c r="W22" s="157">
        <f>SUMIFS(KPR[TPEMBAYARAN],KPR[RELASI],DBRELASI[[#This Row],[RELASI]],KPR[TANGGAL],"&gt;="&amp;DATE($W$1,MONTH(0),1),KPR[TANGGAL],"&lt;"&amp;DATE($W$1+1,MONTH(0),1))</f>
        <v>0</v>
      </c>
      <c r="X22" s="157">
        <f>SUMIFS(KB[TPEMBAYARAN],KB[RELASI],DBRELASI[[#This Row],[RELASI]],KB[TANGGAL],"&gt;="&amp;DATE($W$1,MONTH(0),1),KB[TANGGAL],"&lt;"&amp;DATE($W$1+1,MONTH(0),1))</f>
        <v>0</v>
      </c>
      <c r="Y22" s="157">
        <f>SUMIFS(KBS[TPEMBAYARAN],KBS[RELASI],DBRELASI[[#This Row],[RELASI]],KBS[TANGGAL],"&gt;="&amp;DATE($W$1,MONTH(0),1),KBS[TANGGAL],"&lt;"&amp;DATE($W$1+1,MONTH(0),1))</f>
        <v>0</v>
      </c>
      <c r="Z22" s="157">
        <f>SUMIFS(ARG[TPEMBAYARAN],ARG[RELASI],DBRELASI[[#This Row],[RELASI]],ARG[TANGGAL],"&gt;="&amp;DATE($W$1,MONTH(0),1),ARG[TANGGAL],"&lt;"&amp;DATE($W$1+1,MONTH(0),1))</f>
        <v>0</v>
      </c>
      <c r="AA22" s="243">
        <f t="shared" si="1"/>
        <v>0</v>
      </c>
    </row>
    <row r="23" spans="2:27">
      <c r="B23" s="38">
        <f>IF(ISBLANK(C23),"",COUNTA($C$3:C23))</f>
        <v>21</v>
      </c>
      <c r="C23" s="31" t="s">
        <v>181</v>
      </c>
      <c r="D23" s="39" t="s">
        <v>153</v>
      </c>
      <c r="E23" s="31" t="s">
        <v>181</v>
      </c>
      <c r="F23" s="31" t="s">
        <v>182</v>
      </c>
      <c r="G23" s="31" t="s">
        <v>121</v>
      </c>
      <c r="H23" s="31" t="s">
        <v>153</v>
      </c>
      <c r="I23" s="39" t="s">
        <v>183</v>
      </c>
      <c r="J23" s="39" t="s">
        <v>181</v>
      </c>
      <c r="K23" s="162" t="s">
        <v>124</v>
      </c>
      <c r="L23" s="33">
        <v>0</v>
      </c>
      <c r="M23" s="33">
        <v>0</v>
      </c>
      <c r="N23" s="33">
        <v>0</v>
      </c>
      <c r="O23" s="33">
        <v>0</v>
      </c>
      <c r="Q23" s="157">
        <f>SUMIFS(KPR[TPEMBAYARAN],KPR[RELASI],DBRELASI[[#This Row],[RELASI]])</f>
        <v>0</v>
      </c>
      <c r="R23" s="157">
        <f>SUMIFS(KB[TPEMBAYARAN],KB[RELASI],DBRELASI[[#This Row],[RELASI]])</f>
        <v>312813141</v>
      </c>
      <c r="S23" s="157">
        <f>SUMIFS(KBS[TPEMBAYARAN],KBS[RELASI],DBRELASI[[#This Row],[RELASI]])</f>
        <v>0</v>
      </c>
      <c r="T23" s="157">
        <f>SUMIFS(ARG[TPEMBAYARAN],ARG[RELASI],DBRELASI[[#This Row],[RELASI]])</f>
        <v>0</v>
      </c>
      <c r="U23" s="243">
        <f t="shared" si="0"/>
        <v>312813141</v>
      </c>
      <c r="W23" s="157">
        <f>SUMIFS(KPR[TPEMBAYARAN],KPR[RELASI],DBRELASI[[#This Row],[RELASI]],KPR[TANGGAL],"&gt;="&amp;DATE($W$1,MONTH(0),1),KPR[TANGGAL],"&lt;"&amp;DATE($W$1+1,MONTH(0),1))</f>
        <v>0</v>
      </c>
      <c r="X23" s="157">
        <f>SUMIFS(KB[TPEMBAYARAN],KB[RELASI],DBRELASI[[#This Row],[RELASI]],KB[TANGGAL],"&gt;="&amp;DATE($W$1,MONTH(0),1),KB[TANGGAL],"&lt;"&amp;DATE($W$1+1,MONTH(0),1))</f>
        <v>0</v>
      </c>
      <c r="Y23" s="157">
        <f>SUMIFS(KBS[TPEMBAYARAN],KBS[RELASI],DBRELASI[[#This Row],[RELASI]],KBS[TANGGAL],"&gt;="&amp;DATE($W$1,MONTH(0),1),KBS[TANGGAL],"&lt;"&amp;DATE($W$1+1,MONTH(0),1))</f>
        <v>0</v>
      </c>
      <c r="Z23" s="157">
        <f>SUMIFS(ARG[TPEMBAYARAN],ARG[RELASI],DBRELASI[[#This Row],[RELASI]],ARG[TANGGAL],"&gt;="&amp;DATE($W$1,MONTH(0),1),ARG[TANGGAL],"&lt;"&amp;DATE($W$1+1,MONTH(0),1))</f>
        <v>0</v>
      </c>
      <c r="AA23" s="243">
        <f t="shared" si="1"/>
        <v>0</v>
      </c>
    </row>
    <row r="24" spans="2:27">
      <c r="B24" s="38">
        <f>IF(ISBLANK(C24),"",COUNTA($C$3:C24))</f>
        <v>22</v>
      </c>
      <c r="C24" s="31" t="s">
        <v>79</v>
      </c>
      <c r="D24" s="39" t="s">
        <v>154</v>
      </c>
      <c r="E24" s="31" t="s">
        <v>79</v>
      </c>
      <c r="F24" s="31" t="s">
        <v>184</v>
      </c>
      <c r="G24" s="31" t="s">
        <v>121</v>
      </c>
      <c r="H24" s="31" t="s">
        <v>132</v>
      </c>
      <c r="I24" s="39" t="s">
        <v>79</v>
      </c>
      <c r="J24" s="39" t="s">
        <v>79</v>
      </c>
      <c r="K24" s="162" t="s">
        <v>122</v>
      </c>
      <c r="L24" s="722">
        <v>0</v>
      </c>
      <c r="M24" s="33">
        <v>0</v>
      </c>
      <c r="N24" s="33">
        <v>0</v>
      </c>
      <c r="O24" s="33">
        <v>0</v>
      </c>
      <c r="Q24" s="157">
        <f>SUMIFS(KPR[TPEMBAYARAN],KPR[RELASI],DBRELASI[[#This Row],[RELASI]])</f>
        <v>0</v>
      </c>
      <c r="R24" s="157">
        <f>SUMIFS(KB[TPEMBAYARAN],KB[RELASI],DBRELASI[[#This Row],[RELASI]])</f>
        <v>2017655468</v>
      </c>
      <c r="S24" s="157">
        <f>SUMIFS(KBS[TPEMBAYARAN],KBS[RELASI],DBRELASI[[#This Row],[RELASI]])</f>
        <v>0</v>
      </c>
      <c r="T24" s="157">
        <f>SUMIFS(ARG[TPEMBAYARAN],ARG[RELASI],DBRELASI[[#This Row],[RELASI]])</f>
        <v>0</v>
      </c>
      <c r="U24" s="243">
        <f t="shared" si="0"/>
        <v>2017655468</v>
      </c>
      <c r="W24" s="157">
        <f>SUMIFS(KPR[TPEMBAYARAN],KPR[RELASI],DBRELASI[[#This Row],[RELASI]],KPR[TANGGAL],"&gt;="&amp;DATE($W$1,MONTH(0),1),KPR[TANGGAL],"&lt;"&amp;DATE($W$1+1,MONTH(0),1))</f>
        <v>0</v>
      </c>
      <c r="X24" s="157">
        <f>SUMIFS(KB[TPEMBAYARAN],KB[RELASI],DBRELASI[[#This Row],[RELASI]],KB[TANGGAL],"&gt;="&amp;DATE($W$1,MONTH(0),1),KB[TANGGAL],"&lt;"&amp;DATE($W$1+1,MONTH(0),1))</f>
        <v>0</v>
      </c>
      <c r="Y24" s="157">
        <f>SUMIFS(KBS[TPEMBAYARAN],KBS[RELASI],DBRELASI[[#This Row],[RELASI]],KBS[TANGGAL],"&gt;="&amp;DATE($W$1,MONTH(0),1),KBS[TANGGAL],"&lt;"&amp;DATE($W$1+1,MONTH(0),1))</f>
        <v>0</v>
      </c>
      <c r="Z24" s="157">
        <f>SUMIFS(ARG[TPEMBAYARAN],ARG[RELASI],DBRELASI[[#This Row],[RELASI]],ARG[TANGGAL],"&gt;="&amp;DATE($W$1,MONTH(0),1),ARG[TANGGAL],"&lt;"&amp;DATE($W$1+1,MONTH(0),1))</f>
        <v>0</v>
      </c>
      <c r="AA24" s="243">
        <f t="shared" si="1"/>
        <v>0</v>
      </c>
    </row>
    <row r="25" spans="2:27">
      <c r="B25" s="38">
        <f>IF(ISBLANK(C25),"",COUNTA($C$3:C25))</f>
        <v>23</v>
      </c>
      <c r="C25" s="31" t="s">
        <v>185</v>
      </c>
      <c r="D25" s="39" t="s">
        <v>186</v>
      </c>
      <c r="E25" s="31" t="s">
        <v>187</v>
      </c>
      <c r="F25" s="31" t="s">
        <v>188</v>
      </c>
      <c r="G25" s="31" t="s">
        <v>121</v>
      </c>
      <c r="H25" s="31" t="s">
        <v>277</v>
      </c>
      <c r="I25" s="39" t="s">
        <v>185</v>
      </c>
      <c r="J25" s="39" t="s">
        <v>185</v>
      </c>
      <c r="K25" s="162" t="s">
        <v>189</v>
      </c>
      <c r="L25" s="33">
        <v>0</v>
      </c>
      <c r="M25" s="33">
        <v>0</v>
      </c>
      <c r="N25" s="33">
        <v>0</v>
      </c>
      <c r="O25" s="33">
        <v>0</v>
      </c>
      <c r="Q25" s="157">
        <f>SUMIFS(KPR[TPEMBAYARAN],KPR[RELASI],DBRELASI[[#This Row],[RELASI]])</f>
        <v>0</v>
      </c>
      <c r="R25" s="157">
        <f>SUMIFS(KB[TPEMBAYARAN],KB[RELASI],DBRELASI[[#This Row],[RELASI]])</f>
        <v>0</v>
      </c>
      <c r="S25" s="157">
        <f>SUMIFS(KBS[TPEMBAYARAN],KBS[RELASI],DBRELASI[[#This Row],[RELASI]])</f>
        <v>0</v>
      </c>
      <c r="T25" s="157">
        <f>SUMIFS(ARG[TPEMBAYARAN],ARG[RELASI],DBRELASI[[#This Row],[RELASI]])</f>
        <v>0</v>
      </c>
      <c r="U25" s="243">
        <f t="shared" si="0"/>
        <v>0</v>
      </c>
      <c r="W25" s="157">
        <f>SUMIFS(KPR[TPEMBAYARAN],KPR[RELASI],DBRELASI[[#This Row],[RELASI]],KPR[TANGGAL],"&gt;="&amp;DATE($W$1,MONTH(0),1),KPR[TANGGAL],"&lt;"&amp;DATE($W$1+1,MONTH(0),1))</f>
        <v>0</v>
      </c>
      <c r="X25" s="157">
        <f>SUMIFS(KB[TPEMBAYARAN],KB[RELASI],DBRELASI[[#This Row],[RELASI]],KB[TANGGAL],"&gt;="&amp;DATE($W$1,MONTH(0),1),KB[TANGGAL],"&lt;"&amp;DATE($W$1+1,MONTH(0),1))</f>
        <v>0</v>
      </c>
      <c r="Y25" s="157">
        <f>SUMIFS(KBS[TPEMBAYARAN],KBS[RELASI],DBRELASI[[#This Row],[RELASI]],KBS[TANGGAL],"&gt;="&amp;DATE($W$1,MONTH(0),1),KBS[TANGGAL],"&lt;"&amp;DATE($W$1+1,MONTH(0),1))</f>
        <v>0</v>
      </c>
      <c r="Z25" s="157">
        <f>SUMIFS(ARG[TPEMBAYARAN],ARG[RELASI],DBRELASI[[#This Row],[RELASI]],ARG[TANGGAL],"&gt;="&amp;DATE($W$1,MONTH(0),1),ARG[TANGGAL],"&lt;"&amp;DATE($W$1+1,MONTH(0),1))</f>
        <v>0</v>
      </c>
      <c r="AA25" s="243">
        <f t="shared" si="1"/>
        <v>0</v>
      </c>
    </row>
    <row r="26" spans="2:27">
      <c r="B26" s="38">
        <f>IF(ISBLANK(C26),"",COUNTA($C$3:C26))</f>
        <v>24</v>
      </c>
      <c r="C26" s="31" t="s">
        <v>237</v>
      </c>
      <c r="D26" s="39" t="s">
        <v>238</v>
      </c>
      <c r="E26" s="31" t="s">
        <v>237</v>
      </c>
      <c r="F26" s="31" t="s">
        <v>239</v>
      </c>
      <c r="G26" s="31" t="s">
        <v>121</v>
      </c>
      <c r="H26" s="31" t="s">
        <v>132</v>
      </c>
      <c r="I26" s="39" t="s">
        <v>237</v>
      </c>
      <c r="J26" s="39" t="s">
        <v>237</v>
      </c>
      <c r="K26" s="162" t="s">
        <v>303</v>
      </c>
      <c r="L26" s="33">
        <v>0</v>
      </c>
      <c r="M26" s="33">
        <v>0</v>
      </c>
      <c r="N26" s="33">
        <v>0</v>
      </c>
      <c r="O26" s="33">
        <v>0</v>
      </c>
      <c r="Q26" s="157">
        <f>SUMIFS(KPR[TPEMBAYARAN],KPR[RELASI],DBRELASI[[#This Row],[RELASI]])</f>
        <v>0</v>
      </c>
      <c r="R26" s="157">
        <f>SUMIFS(KB[TPEMBAYARAN],KB[RELASI],DBRELASI[[#This Row],[RELASI]])</f>
        <v>0</v>
      </c>
      <c r="S26" s="157">
        <f>SUMIFS(KBS[TPEMBAYARAN],KBS[RELASI],DBRELASI[[#This Row],[RELASI]])</f>
        <v>0</v>
      </c>
      <c r="T26" s="157">
        <f>SUMIFS(ARG[TPEMBAYARAN],ARG[RELASI],DBRELASI[[#This Row],[RELASI]])</f>
        <v>0</v>
      </c>
      <c r="U26" s="243">
        <f t="shared" si="0"/>
        <v>0</v>
      </c>
      <c r="W26" s="157">
        <f>SUMIFS(KPR[TPEMBAYARAN],KPR[RELASI],DBRELASI[[#This Row],[RELASI]],KPR[TANGGAL],"&gt;="&amp;DATE($W$1,MONTH(0),1),KPR[TANGGAL],"&lt;"&amp;DATE($W$1+1,MONTH(0),1))</f>
        <v>0</v>
      </c>
      <c r="X26" s="157">
        <f>SUMIFS(KB[TPEMBAYARAN],KB[RELASI],DBRELASI[[#This Row],[RELASI]],KB[TANGGAL],"&gt;="&amp;DATE($W$1,MONTH(0),1),KB[TANGGAL],"&lt;"&amp;DATE($W$1+1,MONTH(0),1))</f>
        <v>0</v>
      </c>
      <c r="Y26" s="157">
        <f>SUMIFS(KBS[TPEMBAYARAN],KBS[RELASI],DBRELASI[[#This Row],[RELASI]],KBS[TANGGAL],"&gt;="&amp;DATE($W$1,MONTH(0),1),KBS[TANGGAL],"&lt;"&amp;DATE($W$1+1,MONTH(0),1))</f>
        <v>0</v>
      </c>
      <c r="Z26" s="157">
        <f>SUMIFS(ARG[TPEMBAYARAN],ARG[RELASI],DBRELASI[[#This Row],[RELASI]],ARG[TANGGAL],"&gt;="&amp;DATE($W$1,MONTH(0),1),ARG[TANGGAL],"&lt;"&amp;DATE($W$1+1,MONTH(0),1))</f>
        <v>0</v>
      </c>
      <c r="AA26" s="243">
        <f t="shared" si="1"/>
        <v>0</v>
      </c>
    </row>
    <row r="27" spans="2:27">
      <c r="B27" s="38">
        <f>IF(ISBLANK(C27),"",COUNTA($C$3:C27))</f>
        <v>25</v>
      </c>
      <c r="C27" s="31" t="s">
        <v>80</v>
      </c>
      <c r="D27" s="39" t="s">
        <v>244</v>
      </c>
      <c r="E27" s="31" t="s">
        <v>80</v>
      </c>
      <c r="F27" s="268" t="s">
        <v>245</v>
      </c>
      <c r="G27" s="31" t="s">
        <v>121</v>
      </c>
      <c r="H27" s="31" t="s">
        <v>279</v>
      </c>
      <c r="I27" s="39" t="s">
        <v>80</v>
      </c>
      <c r="J27" s="39" t="s">
        <v>80</v>
      </c>
      <c r="K27" s="162" t="s">
        <v>297</v>
      </c>
      <c r="L27" s="33">
        <v>0</v>
      </c>
      <c r="M27" s="33">
        <v>0</v>
      </c>
      <c r="N27" s="33">
        <v>0</v>
      </c>
      <c r="O27" s="33">
        <v>0</v>
      </c>
      <c r="Q27" s="157">
        <f>SUMIFS(KPR[TPEMBAYARAN],KPR[RELASI],DBRELASI[[#This Row],[RELASI]])</f>
        <v>0</v>
      </c>
      <c r="R27" s="157">
        <f>SUMIFS(KB[TPEMBAYARAN],KB[RELASI],DBRELASI[[#This Row],[RELASI]])</f>
        <v>0</v>
      </c>
      <c r="S27" s="157">
        <f>SUMIFS(KBS[TPEMBAYARAN],KBS[RELASI],DBRELASI[[#This Row],[RELASI]])</f>
        <v>0</v>
      </c>
      <c r="T27" s="157">
        <f>SUMIFS(ARG[TPEMBAYARAN],ARG[RELASI],DBRELASI[[#This Row],[RELASI]])</f>
        <v>0</v>
      </c>
      <c r="U27" s="243">
        <f t="shared" si="0"/>
        <v>0</v>
      </c>
      <c r="W27" s="157">
        <f>SUMIFS(KPR[TPEMBAYARAN],KPR[RELASI],DBRELASI[[#This Row],[RELASI]],KPR[TANGGAL],"&gt;="&amp;DATE($W$1,MONTH(0),1),KPR[TANGGAL],"&lt;"&amp;DATE($W$1+1,MONTH(0),1))</f>
        <v>0</v>
      </c>
      <c r="X27" s="157">
        <f>SUMIFS(KB[TPEMBAYARAN],KB[RELASI],DBRELASI[[#This Row],[RELASI]],KB[TANGGAL],"&gt;="&amp;DATE($W$1,MONTH(0),1),KB[TANGGAL],"&lt;"&amp;DATE($W$1+1,MONTH(0),1))</f>
        <v>0</v>
      </c>
      <c r="Y27" s="157">
        <f>SUMIFS(KBS[TPEMBAYARAN],KBS[RELASI],DBRELASI[[#This Row],[RELASI]],KBS[TANGGAL],"&gt;="&amp;DATE($W$1,MONTH(0),1),KBS[TANGGAL],"&lt;"&amp;DATE($W$1+1,MONTH(0),1))</f>
        <v>0</v>
      </c>
      <c r="Z27" s="157">
        <f>SUMIFS(ARG[TPEMBAYARAN],ARG[RELASI],DBRELASI[[#This Row],[RELASI]],ARG[TANGGAL],"&gt;="&amp;DATE($W$1,MONTH(0),1),ARG[TANGGAL],"&lt;"&amp;DATE($W$1+1,MONTH(0),1))</f>
        <v>0</v>
      </c>
      <c r="AA27" s="243">
        <f t="shared" si="1"/>
        <v>0</v>
      </c>
    </row>
    <row r="28" spans="2:27">
      <c r="B28" s="38">
        <f>IF(ISBLANK(C28),"",COUNTA($C$3:C28))</f>
        <v>26</v>
      </c>
      <c r="C28" s="31" t="s">
        <v>484</v>
      </c>
      <c r="D28" s="39" t="s">
        <v>485</v>
      </c>
      <c r="E28" s="31" t="s">
        <v>484</v>
      </c>
      <c r="F28" s="31" t="s">
        <v>486</v>
      </c>
      <c r="G28" s="31" t="s">
        <v>121</v>
      </c>
      <c r="H28" s="31" t="s">
        <v>128</v>
      </c>
      <c r="I28" s="39" t="s">
        <v>484</v>
      </c>
      <c r="J28" s="39"/>
      <c r="K28" s="163" t="s">
        <v>487</v>
      </c>
      <c r="L28" s="31"/>
      <c r="M28" s="31"/>
      <c r="N28" s="31"/>
      <c r="O28" s="31"/>
      <c r="Q28" s="157">
        <f>SUMIFS(KPR[TPEMBAYARAN],KPR[RELASI],DBRELASI[[#This Row],[RELASI]])</f>
        <v>0</v>
      </c>
      <c r="R28" s="157">
        <f>SUMIFS(KB[TPEMBAYARAN],KB[RELASI],DBRELASI[[#This Row],[RELASI]])</f>
        <v>0</v>
      </c>
      <c r="S28" s="157">
        <f>SUMIFS(KBS[TPEMBAYARAN],KBS[RELASI],DBRELASI[[#This Row],[RELASI]])</f>
        <v>0</v>
      </c>
      <c r="T28" s="157">
        <f>SUMIFS(ARG[TPEMBAYARAN],ARG[RELASI],DBRELASI[[#This Row],[RELASI]])</f>
        <v>0</v>
      </c>
      <c r="U28" s="243">
        <f t="shared" si="0"/>
        <v>0</v>
      </c>
      <c r="W28" s="157">
        <f>SUMIFS(KPR[TPEMBAYARAN],KPR[RELASI],DBRELASI[[#This Row],[RELASI]],KPR[TANGGAL],"&gt;="&amp;DATE($W$1,MONTH(0),1),KPR[TANGGAL],"&lt;"&amp;DATE($W$1+1,MONTH(0),1))</f>
        <v>0</v>
      </c>
      <c r="X28" s="157">
        <f>SUMIFS(KB[TPEMBAYARAN],KB[RELASI],DBRELASI[[#This Row],[RELASI]],KB[TANGGAL],"&gt;="&amp;DATE($W$1,MONTH(0),1),KB[TANGGAL],"&lt;"&amp;DATE($W$1+1,MONTH(0),1))</f>
        <v>0</v>
      </c>
      <c r="Y28" s="157">
        <f>SUMIFS(KBS[TPEMBAYARAN],KBS[RELASI],DBRELASI[[#This Row],[RELASI]],KBS[TANGGAL],"&gt;="&amp;DATE($W$1,MONTH(0),1),KBS[TANGGAL],"&lt;"&amp;DATE($W$1+1,MONTH(0),1))</f>
        <v>0</v>
      </c>
      <c r="Z28" s="157">
        <f>SUMIFS(ARG[TPEMBAYARAN],ARG[RELASI],DBRELASI[[#This Row],[RELASI]],ARG[TANGGAL],"&gt;="&amp;DATE($W$1,MONTH(0),1),ARG[TANGGAL],"&lt;"&amp;DATE($W$1+1,MONTH(0),1))</f>
        <v>0</v>
      </c>
      <c r="AA28" s="243">
        <f t="shared" si="1"/>
        <v>0</v>
      </c>
    </row>
    <row r="29" spans="2:27">
      <c r="B29" s="38">
        <f>IF(ISBLANK(C29),"",COUNTA($C$3:C29))</f>
        <v>27</v>
      </c>
      <c r="C29" s="31" t="s">
        <v>190</v>
      </c>
      <c r="D29" s="39" t="s">
        <v>191</v>
      </c>
      <c r="E29" s="31" t="s">
        <v>192</v>
      </c>
      <c r="F29" s="268" t="s">
        <v>193</v>
      </c>
      <c r="G29" s="31" t="s">
        <v>121</v>
      </c>
      <c r="H29" s="31" t="s">
        <v>186</v>
      </c>
      <c r="I29" s="39" t="s">
        <v>190</v>
      </c>
      <c r="J29" s="39" t="s">
        <v>194</v>
      </c>
      <c r="K29" s="162" t="s">
        <v>297</v>
      </c>
      <c r="L29" s="33">
        <v>0</v>
      </c>
      <c r="M29" s="33">
        <v>0</v>
      </c>
      <c r="N29" s="33">
        <v>0</v>
      </c>
      <c r="O29" s="33">
        <v>0</v>
      </c>
      <c r="Q29" s="157">
        <f>SUMIFS(KPR[TPEMBAYARAN],KPR[RELASI],DBRELASI[[#This Row],[RELASI]])</f>
        <v>0</v>
      </c>
      <c r="R29" s="157">
        <f>SUMIFS(KB[TPEMBAYARAN],KB[RELASI],DBRELASI[[#This Row],[RELASI]])</f>
        <v>0</v>
      </c>
      <c r="S29" s="157">
        <f>SUMIFS(KBS[TPEMBAYARAN],KBS[RELASI],DBRELASI[[#This Row],[RELASI]])</f>
        <v>0</v>
      </c>
      <c r="T29" s="157">
        <f>SUMIFS(ARG[TPEMBAYARAN],ARG[RELASI],DBRELASI[[#This Row],[RELASI]])</f>
        <v>0</v>
      </c>
      <c r="U29" s="243">
        <f t="shared" si="0"/>
        <v>0</v>
      </c>
      <c r="W29" s="157">
        <f>SUMIFS(KPR[TPEMBAYARAN],KPR[RELASI],DBRELASI[[#This Row],[RELASI]],KPR[TANGGAL],"&gt;="&amp;DATE($W$1,MONTH(0),1),KPR[TANGGAL],"&lt;"&amp;DATE($W$1+1,MONTH(0),1))</f>
        <v>0</v>
      </c>
      <c r="X29" s="157">
        <f>SUMIFS(KB[TPEMBAYARAN],KB[RELASI],DBRELASI[[#This Row],[RELASI]],KB[TANGGAL],"&gt;="&amp;DATE($W$1,MONTH(0),1),KB[TANGGAL],"&lt;"&amp;DATE($W$1+1,MONTH(0),1))</f>
        <v>0</v>
      </c>
      <c r="Y29" s="157">
        <f>SUMIFS(KBS[TPEMBAYARAN],KBS[RELASI],DBRELASI[[#This Row],[RELASI]],KBS[TANGGAL],"&gt;="&amp;DATE($W$1,MONTH(0),1),KBS[TANGGAL],"&lt;"&amp;DATE($W$1+1,MONTH(0),1))</f>
        <v>0</v>
      </c>
      <c r="Z29" s="157">
        <f>SUMIFS(ARG[TPEMBAYARAN],ARG[RELASI],DBRELASI[[#This Row],[RELASI]],ARG[TANGGAL],"&gt;="&amp;DATE($W$1,MONTH(0),1),ARG[TANGGAL],"&lt;"&amp;DATE($W$1+1,MONTH(0),1))</f>
        <v>0</v>
      </c>
      <c r="AA29" s="243">
        <f t="shared" si="1"/>
        <v>0</v>
      </c>
    </row>
    <row r="30" spans="2:27">
      <c r="B30" s="38">
        <f>IF(ISBLANK(C30),"",COUNTA($C$3:C30))</f>
        <v>28</v>
      </c>
      <c r="C30" s="31" t="s">
        <v>195</v>
      </c>
      <c r="D30" s="39" t="s">
        <v>196</v>
      </c>
      <c r="E30" s="167" t="s">
        <v>331</v>
      </c>
      <c r="F30" s="167" t="s">
        <v>320</v>
      </c>
      <c r="G30" s="167" t="s">
        <v>121</v>
      </c>
      <c r="H30" s="167" t="s">
        <v>275</v>
      </c>
      <c r="I30" s="39" t="s">
        <v>195</v>
      </c>
      <c r="J30" s="39" t="s">
        <v>197</v>
      </c>
      <c r="K30" s="162" t="s">
        <v>198</v>
      </c>
      <c r="L30" s="33">
        <v>0</v>
      </c>
      <c r="M30" s="33">
        <v>0</v>
      </c>
      <c r="N30" s="33">
        <v>0</v>
      </c>
      <c r="O30" s="33">
        <v>0</v>
      </c>
      <c r="Q30" s="157">
        <f>SUMIFS(KPR[TPEMBAYARAN],KPR[RELASI],DBRELASI[[#This Row],[RELASI]])</f>
        <v>0</v>
      </c>
      <c r="R30" s="157">
        <f>SUMIFS(KB[TPEMBAYARAN],KB[RELASI],DBRELASI[[#This Row],[RELASI]])</f>
        <v>0</v>
      </c>
      <c r="S30" s="157">
        <f>SUMIFS(KBS[TPEMBAYARAN],KBS[RELASI],DBRELASI[[#This Row],[RELASI]])</f>
        <v>0</v>
      </c>
      <c r="T30" s="157">
        <f>SUMIFS(ARG[TPEMBAYARAN],ARG[RELASI],DBRELASI[[#This Row],[RELASI]])</f>
        <v>0</v>
      </c>
      <c r="U30" s="243">
        <f t="shared" si="0"/>
        <v>0</v>
      </c>
      <c r="W30" s="157">
        <f>SUMIFS(KPR[TPEMBAYARAN],KPR[RELASI],DBRELASI[[#This Row],[RELASI]],KPR[TANGGAL],"&gt;="&amp;DATE($W$1,MONTH(0),1),KPR[TANGGAL],"&lt;"&amp;DATE($W$1+1,MONTH(0),1))</f>
        <v>0</v>
      </c>
      <c r="X30" s="157">
        <f>SUMIFS(KB[TPEMBAYARAN],KB[RELASI],DBRELASI[[#This Row],[RELASI]],KB[TANGGAL],"&gt;="&amp;DATE($W$1,MONTH(0),1),KB[TANGGAL],"&lt;"&amp;DATE($W$1+1,MONTH(0),1))</f>
        <v>0</v>
      </c>
      <c r="Y30" s="157">
        <f>SUMIFS(KBS[TPEMBAYARAN],KBS[RELASI],DBRELASI[[#This Row],[RELASI]],KBS[TANGGAL],"&gt;="&amp;DATE($W$1,MONTH(0),1),KBS[TANGGAL],"&lt;"&amp;DATE($W$1+1,MONTH(0),1))</f>
        <v>0</v>
      </c>
      <c r="Z30" s="157">
        <f>SUMIFS(ARG[TPEMBAYARAN],ARG[RELASI],DBRELASI[[#This Row],[RELASI]],ARG[TANGGAL],"&gt;="&amp;DATE($W$1,MONTH(0),1),ARG[TANGGAL],"&lt;"&amp;DATE($W$1+1,MONTH(0),1))</f>
        <v>0</v>
      </c>
      <c r="AA30" s="243">
        <f t="shared" si="1"/>
        <v>0</v>
      </c>
    </row>
    <row r="31" spans="2:27">
      <c r="B31" s="38">
        <f>IF(ISBLANK(C31),"",COUNTA($C$3:C31))</f>
        <v>29</v>
      </c>
      <c r="C31" s="31" t="s">
        <v>199</v>
      </c>
      <c r="D31" s="39" t="s">
        <v>154</v>
      </c>
      <c r="E31" s="31" t="s">
        <v>200</v>
      </c>
      <c r="F31" s="267" t="s">
        <v>201</v>
      </c>
      <c r="G31" s="31" t="s">
        <v>121</v>
      </c>
      <c r="H31" s="31" t="s">
        <v>274</v>
      </c>
      <c r="I31" s="39" t="s">
        <v>199</v>
      </c>
      <c r="J31" s="39" t="s">
        <v>202</v>
      </c>
      <c r="K31" s="162" t="s">
        <v>122</v>
      </c>
      <c r="L31" s="33">
        <v>0</v>
      </c>
      <c r="M31" s="33">
        <v>0</v>
      </c>
      <c r="N31" s="33">
        <v>0</v>
      </c>
      <c r="O31" s="33">
        <v>0</v>
      </c>
      <c r="Q31" s="157">
        <f>SUMIFS(KPR[TPEMBAYARAN],KPR[RELASI],DBRELASI[[#This Row],[RELASI]])</f>
        <v>0</v>
      </c>
      <c r="R31" s="157">
        <f>SUMIFS(KB[TPEMBAYARAN],KB[RELASI],DBRELASI[[#This Row],[RELASI]])</f>
        <v>0</v>
      </c>
      <c r="S31" s="157">
        <f>SUMIFS(KBS[TPEMBAYARAN],KBS[RELASI],DBRELASI[[#This Row],[RELASI]])</f>
        <v>0</v>
      </c>
      <c r="T31" s="157">
        <f>SUMIFS(ARG[TPEMBAYARAN],ARG[RELASI],DBRELASI[[#This Row],[RELASI]])</f>
        <v>0</v>
      </c>
      <c r="U31" s="243">
        <f t="shared" si="0"/>
        <v>0</v>
      </c>
      <c r="W31" s="157">
        <f>SUMIFS(KPR[TPEMBAYARAN],KPR[RELASI],DBRELASI[[#This Row],[RELASI]],KPR[TANGGAL],"&gt;="&amp;DATE($W$1,MONTH(0),1),KPR[TANGGAL],"&lt;"&amp;DATE($W$1+1,MONTH(0),1))</f>
        <v>0</v>
      </c>
      <c r="X31" s="157">
        <f>SUMIFS(KB[TPEMBAYARAN],KB[RELASI],DBRELASI[[#This Row],[RELASI]],KB[TANGGAL],"&gt;="&amp;DATE($W$1,MONTH(0),1),KB[TANGGAL],"&lt;"&amp;DATE($W$1+1,MONTH(0),1))</f>
        <v>0</v>
      </c>
      <c r="Y31" s="157">
        <f>SUMIFS(KBS[TPEMBAYARAN],KBS[RELASI],DBRELASI[[#This Row],[RELASI]],KBS[TANGGAL],"&gt;="&amp;DATE($W$1,MONTH(0),1),KBS[TANGGAL],"&lt;"&amp;DATE($W$1+1,MONTH(0),1))</f>
        <v>0</v>
      </c>
      <c r="Z31" s="157">
        <f>SUMIFS(ARG[TPEMBAYARAN],ARG[RELASI],DBRELASI[[#This Row],[RELASI]],ARG[TANGGAL],"&gt;="&amp;DATE($W$1,MONTH(0),1),ARG[TANGGAL],"&lt;"&amp;DATE($W$1+1,MONTH(0),1))</f>
        <v>0</v>
      </c>
      <c r="AA31" s="243">
        <f t="shared" si="1"/>
        <v>0</v>
      </c>
    </row>
    <row r="32" spans="2:27">
      <c r="B32" s="38">
        <f>IF(ISBLANK(C32),"",COUNTA($C$3:C32))</f>
        <v>30</v>
      </c>
      <c r="C32" s="31" t="s">
        <v>82</v>
      </c>
      <c r="D32" s="39" t="s">
        <v>128</v>
      </c>
      <c r="E32" s="31" t="s">
        <v>205</v>
      </c>
      <c r="F32" s="31" t="s">
        <v>203</v>
      </c>
      <c r="G32" s="31" t="s">
        <v>121</v>
      </c>
      <c r="H32" s="31" t="s">
        <v>128</v>
      </c>
      <c r="I32" s="39" t="s">
        <v>204</v>
      </c>
      <c r="J32" s="39" t="s">
        <v>205</v>
      </c>
      <c r="K32" s="162" t="s">
        <v>304</v>
      </c>
      <c r="L32" s="33">
        <v>0</v>
      </c>
      <c r="M32" s="33">
        <v>0</v>
      </c>
      <c r="N32" s="33">
        <v>0</v>
      </c>
      <c r="O32" s="33">
        <v>0</v>
      </c>
      <c r="Q32" s="157">
        <f>SUMIFS(KPR[TPEMBAYARAN],KPR[RELASI],DBRELASI[[#This Row],[RELASI]])</f>
        <v>0</v>
      </c>
      <c r="R32" s="157">
        <f>SUMIFS(KB[TPEMBAYARAN],KB[RELASI],DBRELASI[[#This Row],[RELASI]])</f>
        <v>0</v>
      </c>
      <c r="S32" s="157">
        <f>SUMIFS(KBS[TPEMBAYARAN],KBS[RELASI],DBRELASI[[#This Row],[RELASI]])</f>
        <v>0</v>
      </c>
      <c r="T32" s="157">
        <f>SUMIFS(ARG[TPEMBAYARAN],ARG[RELASI],DBRELASI[[#This Row],[RELASI]])</f>
        <v>0</v>
      </c>
      <c r="U32" s="243">
        <f t="shared" si="0"/>
        <v>0</v>
      </c>
      <c r="W32" s="157">
        <f>SUMIFS(KPR[TPEMBAYARAN],KPR[RELASI],DBRELASI[[#This Row],[RELASI]],KPR[TANGGAL],"&gt;="&amp;DATE($W$1,MONTH(0),1),KPR[TANGGAL],"&lt;"&amp;DATE($W$1+1,MONTH(0),1))</f>
        <v>0</v>
      </c>
      <c r="X32" s="157">
        <f>SUMIFS(KB[TPEMBAYARAN],KB[RELASI],DBRELASI[[#This Row],[RELASI]],KB[TANGGAL],"&gt;="&amp;DATE($W$1,MONTH(0),1),KB[TANGGAL],"&lt;"&amp;DATE($W$1+1,MONTH(0),1))</f>
        <v>0</v>
      </c>
      <c r="Y32" s="157">
        <f>SUMIFS(KBS[TPEMBAYARAN],KBS[RELASI],DBRELASI[[#This Row],[RELASI]],KBS[TANGGAL],"&gt;="&amp;DATE($W$1,MONTH(0),1),KBS[TANGGAL],"&lt;"&amp;DATE($W$1+1,MONTH(0),1))</f>
        <v>0</v>
      </c>
      <c r="Z32" s="157">
        <f>SUMIFS(ARG[TPEMBAYARAN],ARG[RELASI],DBRELASI[[#This Row],[RELASI]],ARG[TANGGAL],"&gt;="&amp;DATE($W$1,MONTH(0),1),ARG[TANGGAL],"&lt;"&amp;DATE($W$1+1,MONTH(0),1))</f>
        <v>0</v>
      </c>
      <c r="AA32" s="243">
        <f t="shared" si="1"/>
        <v>0</v>
      </c>
    </row>
    <row r="33" spans="2:27">
      <c r="B33" s="38">
        <f>IF(ISBLANK(C33),"",COUNTA($C$3:C33))</f>
        <v>31</v>
      </c>
      <c r="C33" s="31" t="s">
        <v>206</v>
      </c>
      <c r="D33" s="39" t="s">
        <v>163</v>
      </c>
      <c r="E33" s="31" t="s">
        <v>206</v>
      </c>
      <c r="F33" s="31" t="s">
        <v>207</v>
      </c>
      <c r="G33" s="31" t="s">
        <v>121</v>
      </c>
      <c r="H33" s="31" t="s">
        <v>128</v>
      </c>
      <c r="I33" s="39" t="s">
        <v>208</v>
      </c>
      <c r="J33" s="39" t="s">
        <v>209</v>
      </c>
      <c r="K33" s="162" t="s">
        <v>305</v>
      </c>
      <c r="L33" s="33">
        <v>0</v>
      </c>
      <c r="M33" s="33">
        <v>0</v>
      </c>
      <c r="N33" s="33">
        <v>0</v>
      </c>
      <c r="O33" s="33">
        <v>0</v>
      </c>
      <c r="Q33" s="157">
        <f>SUMIFS(KPR[TPEMBAYARAN],KPR[RELASI],DBRELASI[[#This Row],[RELASI]])</f>
        <v>0</v>
      </c>
      <c r="R33" s="157">
        <f>SUMIFS(KB[TPEMBAYARAN],KB[RELASI],DBRELASI[[#This Row],[RELASI]])</f>
        <v>0</v>
      </c>
      <c r="S33" s="157">
        <f>SUMIFS(KBS[TPEMBAYARAN],KBS[RELASI],DBRELASI[[#This Row],[RELASI]])</f>
        <v>0</v>
      </c>
      <c r="T33" s="157">
        <f>SUMIFS(ARG[TPEMBAYARAN],ARG[RELASI],DBRELASI[[#This Row],[RELASI]])</f>
        <v>0</v>
      </c>
      <c r="U33" s="243">
        <f t="shared" si="0"/>
        <v>0</v>
      </c>
      <c r="W33" s="157">
        <f>SUMIFS(KPR[TPEMBAYARAN],KPR[RELASI],DBRELASI[[#This Row],[RELASI]],KPR[TANGGAL],"&gt;="&amp;DATE($W$1,MONTH(0),1),KPR[TANGGAL],"&lt;"&amp;DATE($W$1+1,MONTH(0),1))</f>
        <v>0</v>
      </c>
      <c r="X33" s="157">
        <f>SUMIFS(KB[TPEMBAYARAN],KB[RELASI],DBRELASI[[#This Row],[RELASI]],KB[TANGGAL],"&gt;="&amp;DATE($W$1,MONTH(0),1),KB[TANGGAL],"&lt;"&amp;DATE($W$1+1,MONTH(0),1))</f>
        <v>0</v>
      </c>
      <c r="Y33" s="157">
        <f>SUMIFS(KBS[TPEMBAYARAN],KBS[RELASI],DBRELASI[[#This Row],[RELASI]],KBS[TANGGAL],"&gt;="&amp;DATE($W$1,MONTH(0),1),KBS[TANGGAL],"&lt;"&amp;DATE($W$1+1,MONTH(0),1))</f>
        <v>0</v>
      </c>
      <c r="Z33" s="157">
        <f>SUMIFS(ARG[TPEMBAYARAN],ARG[RELASI],DBRELASI[[#This Row],[RELASI]],ARG[TANGGAL],"&gt;="&amp;DATE($W$1,MONTH(0),1),ARG[TANGGAL],"&lt;"&amp;DATE($W$1+1,MONTH(0),1))</f>
        <v>0</v>
      </c>
      <c r="AA33" s="243">
        <f t="shared" si="1"/>
        <v>0</v>
      </c>
    </row>
    <row r="34" spans="2:27">
      <c r="B34" s="38">
        <f>IF(ISBLANK(C34),"",COUNTA($C$3:C34))</f>
        <v>32</v>
      </c>
      <c r="C34" s="31" t="s">
        <v>210</v>
      </c>
      <c r="D34" s="39" t="s">
        <v>128</v>
      </c>
      <c r="E34" s="31" t="s">
        <v>210</v>
      </c>
      <c r="F34" s="31" t="s">
        <v>211</v>
      </c>
      <c r="G34" s="31" t="s">
        <v>121</v>
      </c>
      <c r="H34" s="31" t="s">
        <v>128</v>
      </c>
      <c r="I34" s="39" t="s">
        <v>210</v>
      </c>
      <c r="J34" s="39" t="s">
        <v>210</v>
      </c>
      <c r="K34" s="162" t="s">
        <v>212</v>
      </c>
      <c r="L34" s="33">
        <v>0</v>
      </c>
      <c r="M34" s="33">
        <v>0</v>
      </c>
      <c r="N34" s="33">
        <v>0</v>
      </c>
      <c r="O34" s="33">
        <v>0</v>
      </c>
      <c r="Q34" s="157">
        <f>SUMIFS(KPR[TPEMBAYARAN],KPR[RELASI],DBRELASI[[#This Row],[RELASI]])</f>
        <v>0</v>
      </c>
      <c r="R34" s="157">
        <f>SUMIFS(KB[TPEMBAYARAN],KB[RELASI],DBRELASI[[#This Row],[RELASI]])</f>
        <v>2036897365</v>
      </c>
      <c r="S34" s="157">
        <f>SUMIFS(KBS[TPEMBAYARAN],KBS[RELASI],DBRELASI[[#This Row],[RELASI]])</f>
        <v>0</v>
      </c>
      <c r="T34" s="157">
        <f>SUMIFS(ARG[TPEMBAYARAN],ARG[RELASI],DBRELASI[[#This Row],[RELASI]])</f>
        <v>0</v>
      </c>
      <c r="U34" s="243">
        <f t="shared" si="0"/>
        <v>2036897365</v>
      </c>
      <c r="W34" s="157">
        <f>SUMIFS(KPR[TPEMBAYARAN],KPR[RELASI],DBRELASI[[#This Row],[RELASI]],KPR[TANGGAL],"&gt;="&amp;DATE($W$1,MONTH(0),1),KPR[TANGGAL],"&lt;"&amp;DATE($W$1+1,MONTH(0),1))</f>
        <v>0</v>
      </c>
      <c r="X34" s="157">
        <f>SUMIFS(KB[TPEMBAYARAN],KB[RELASI],DBRELASI[[#This Row],[RELASI]],KB[TANGGAL],"&gt;="&amp;DATE($W$1,MONTH(0),1),KB[TANGGAL],"&lt;"&amp;DATE($W$1+1,MONTH(0),1))</f>
        <v>0</v>
      </c>
      <c r="Y34" s="157">
        <f>SUMIFS(KBS[TPEMBAYARAN],KBS[RELASI],DBRELASI[[#This Row],[RELASI]],KBS[TANGGAL],"&gt;="&amp;DATE($W$1,MONTH(0),1),KBS[TANGGAL],"&lt;"&amp;DATE($W$1+1,MONTH(0),1))</f>
        <v>0</v>
      </c>
      <c r="Z34" s="157">
        <f>SUMIFS(ARG[TPEMBAYARAN],ARG[RELASI],DBRELASI[[#This Row],[RELASI]],ARG[TANGGAL],"&gt;="&amp;DATE($W$1,MONTH(0),1),ARG[TANGGAL],"&lt;"&amp;DATE($W$1+1,MONTH(0),1))</f>
        <v>0</v>
      </c>
      <c r="AA34" s="243">
        <f t="shared" si="1"/>
        <v>0</v>
      </c>
    </row>
    <row r="35" spans="2:27">
      <c r="B35" s="38">
        <f>IF(ISBLANK(C35),"",COUNTA($C$3:C35))</f>
        <v>33</v>
      </c>
      <c r="C35" s="31" t="s">
        <v>213</v>
      </c>
      <c r="D35" s="39" t="s">
        <v>214</v>
      </c>
      <c r="E35" s="31" t="s">
        <v>213</v>
      </c>
      <c r="F35" s="31" t="s">
        <v>215</v>
      </c>
      <c r="G35" s="31" t="s">
        <v>121</v>
      </c>
      <c r="H35" s="31" t="s">
        <v>128</v>
      </c>
      <c r="I35" s="39" t="s">
        <v>213</v>
      </c>
      <c r="J35" s="39" t="s">
        <v>213</v>
      </c>
      <c r="K35" s="162" t="s">
        <v>470</v>
      </c>
      <c r="L35" s="33">
        <v>0</v>
      </c>
      <c r="M35" s="33">
        <v>0</v>
      </c>
      <c r="N35" s="33">
        <v>0</v>
      </c>
      <c r="O35" s="33">
        <v>0</v>
      </c>
      <c r="Q35" s="157">
        <f>SUMIFS(KPR[TPEMBAYARAN],KPR[RELASI],DBRELASI[[#This Row],[RELASI]])</f>
        <v>0</v>
      </c>
      <c r="R35" s="157">
        <f>SUMIFS(KB[TPEMBAYARAN],KB[RELASI],DBRELASI[[#This Row],[RELASI]])</f>
        <v>4967690032</v>
      </c>
      <c r="S35" s="157">
        <f>SUMIFS(KBS[TPEMBAYARAN],KBS[RELASI],DBRELASI[[#This Row],[RELASI]])</f>
        <v>0</v>
      </c>
      <c r="T35" s="157">
        <f>SUMIFS(ARG[TPEMBAYARAN],ARG[RELASI],DBRELASI[[#This Row],[RELASI]])</f>
        <v>0</v>
      </c>
      <c r="U35" s="243">
        <f t="shared" si="0"/>
        <v>4967690032</v>
      </c>
      <c r="W35" s="157">
        <f>SUMIFS(KPR[TPEMBAYARAN],KPR[RELASI],DBRELASI[[#This Row],[RELASI]],KPR[TANGGAL],"&gt;="&amp;DATE($W$1,MONTH(0),1),KPR[TANGGAL],"&lt;"&amp;DATE($W$1+1,MONTH(0),1))</f>
        <v>0</v>
      </c>
      <c r="X35" s="157">
        <f>SUMIFS(KB[TPEMBAYARAN],KB[RELASI],DBRELASI[[#This Row],[RELASI]],KB[TANGGAL],"&gt;="&amp;DATE($W$1,MONTH(0),1),KB[TANGGAL],"&lt;"&amp;DATE($W$1+1,MONTH(0),1))</f>
        <v>0</v>
      </c>
      <c r="Y35" s="157">
        <f>SUMIFS(KBS[TPEMBAYARAN],KBS[RELASI],DBRELASI[[#This Row],[RELASI]],KBS[TANGGAL],"&gt;="&amp;DATE($W$1,MONTH(0),1),KBS[TANGGAL],"&lt;"&amp;DATE($W$1+1,MONTH(0),1))</f>
        <v>0</v>
      </c>
      <c r="Z35" s="157">
        <f>SUMIFS(ARG[TPEMBAYARAN],ARG[RELASI],DBRELASI[[#This Row],[RELASI]],ARG[TANGGAL],"&gt;="&amp;DATE($W$1,MONTH(0),1),ARG[TANGGAL],"&lt;"&amp;DATE($W$1+1,MONTH(0),1))</f>
        <v>0</v>
      </c>
      <c r="AA35" s="243">
        <f t="shared" si="1"/>
        <v>0</v>
      </c>
    </row>
    <row r="36" spans="2:27">
      <c r="B36" s="38">
        <f>IF(ISBLANK(C36),"",COUNTA($C$3:C36))</f>
        <v>34</v>
      </c>
      <c r="C36" s="31" t="s">
        <v>216</v>
      </c>
      <c r="D36" s="39" t="s">
        <v>196</v>
      </c>
      <c r="E36" s="31" t="s">
        <v>216</v>
      </c>
      <c r="F36" s="31" t="s">
        <v>217</v>
      </c>
      <c r="G36" s="31" t="s">
        <v>121</v>
      </c>
      <c r="H36" s="31" t="s">
        <v>128</v>
      </c>
      <c r="I36" s="39" t="s">
        <v>216</v>
      </c>
      <c r="J36" s="39" t="s">
        <v>216</v>
      </c>
      <c r="K36" s="162" t="s">
        <v>310</v>
      </c>
      <c r="L36" s="33">
        <v>0</v>
      </c>
      <c r="M36" s="33">
        <v>0</v>
      </c>
      <c r="N36" s="33">
        <v>0</v>
      </c>
      <c r="O36" s="33">
        <v>0</v>
      </c>
      <c r="Q36" s="157">
        <f>SUMIFS(KPR[TPEMBAYARAN],KPR[RELASI],DBRELASI[[#This Row],[RELASI]])</f>
        <v>0</v>
      </c>
      <c r="R36" s="157">
        <f>SUMIFS(KB[TPEMBAYARAN],KB[RELASI],DBRELASI[[#This Row],[RELASI]])</f>
        <v>0</v>
      </c>
      <c r="S36" s="157">
        <f>SUMIFS(KBS[TPEMBAYARAN],KBS[RELASI],DBRELASI[[#This Row],[RELASI]])</f>
        <v>0</v>
      </c>
      <c r="T36" s="157">
        <f>SUMIFS(ARG[TPEMBAYARAN],ARG[RELASI],DBRELASI[[#This Row],[RELASI]])</f>
        <v>0</v>
      </c>
      <c r="U36" s="243">
        <f t="shared" si="0"/>
        <v>0</v>
      </c>
      <c r="W36" s="157">
        <f>SUMIFS(KPR[TPEMBAYARAN],KPR[RELASI],DBRELASI[[#This Row],[RELASI]],KPR[TANGGAL],"&gt;="&amp;DATE($W$1,MONTH(0),1),KPR[TANGGAL],"&lt;"&amp;DATE($W$1+1,MONTH(0),1))</f>
        <v>0</v>
      </c>
      <c r="X36" s="157">
        <f>SUMIFS(KB[TPEMBAYARAN],KB[RELASI],DBRELASI[[#This Row],[RELASI]],KB[TANGGAL],"&gt;="&amp;DATE($W$1,MONTH(0),1),KB[TANGGAL],"&lt;"&amp;DATE($W$1+1,MONTH(0),1))</f>
        <v>0</v>
      </c>
      <c r="Y36" s="157">
        <f>SUMIFS(KBS[TPEMBAYARAN],KBS[RELASI],DBRELASI[[#This Row],[RELASI]],KBS[TANGGAL],"&gt;="&amp;DATE($W$1,MONTH(0),1),KBS[TANGGAL],"&lt;"&amp;DATE($W$1+1,MONTH(0),1))</f>
        <v>0</v>
      </c>
      <c r="Z36" s="157">
        <f>SUMIFS(ARG[TPEMBAYARAN],ARG[RELASI],DBRELASI[[#This Row],[RELASI]],ARG[TANGGAL],"&gt;="&amp;DATE($W$1,MONTH(0),1),ARG[TANGGAL],"&lt;"&amp;DATE($W$1+1,MONTH(0),1))</f>
        <v>0</v>
      </c>
      <c r="AA36" s="243">
        <f t="shared" si="1"/>
        <v>0</v>
      </c>
    </row>
    <row r="37" spans="2:27">
      <c r="B37" s="38">
        <f>IF(ISBLANK(C37),"",COUNTA($C$3:C37))</f>
        <v>35</v>
      </c>
      <c r="C37" s="31" t="s">
        <v>218</v>
      </c>
      <c r="D37" s="39" t="s">
        <v>219</v>
      </c>
      <c r="E37" s="167" t="s">
        <v>218</v>
      </c>
      <c r="F37" s="167" t="s">
        <v>220</v>
      </c>
      <c r="G37" s="31" t="s">
        <v>221</v>
      </c>
      <c r="H37" s="31" t="s">
        <v>128</v>
      </c>
      <c r="I37" s="39" t="s">
        <v>222</v>
      </c>
      <c r="J37" s="39" t="s">
        <v>218</v>
      </c>
      <c r="K37" s="162" t="s">
        <v>306</v>
      </c>
      <c r="L37" s="33">
        <v>0</v>
      </c>
      <c r="M37" s="33">
        <v>0</v>
      </c>
      <c r="N37" s="33">
        <v>0</v>
      </c>
      <c r="O37" s="33">
        <v>0</v>
      </c>
      <c r="Q37" s="157">
        <f>SUMIFS(KPR[TPEMBAYARAN],KPR[RELASI],DBRELASI[[#This Row],[RELASI]])</f>
        <v>0</v>
      </c>
      <c r="R37" s="157">
        <f>SUMIFS(KB[TPEMBAYARAN],KB[RELASI],DBRELASI[[#This Row],[RELASI]])</f>
        <v>105464692</v>
      </c>
      <c r="S37" s="157">
        <f>SUMIFS(KBS[TPEMBAYARAN],KBS[RELASI],DBRELASI[[#This Row],[RELASI]])</f>
        <v>0</v>
      </c>
      <c r="T37" s="157">
        <f>SUMIFS(ARG[TPEMBAYARAN],ARG[RELASI],DBRELASI[[#This Row],[RELASI]])</f>
        <v>0</v>
      </c>
      <c r="U37" s="243">
        <f t="shared" si="0"/>
        <v>105464692</v>
      </c>
      <c r="W37" s="157">
        <f>SUMIFS(KPR[TPEMBAYARAN],KPR[RELASI],DBRELASI[[#This Row],[RELASI]],KPR[TANGGAL],"&gt;="&amp;DATE($W$1,MONTH(0),1),KPR[TANGGAL],"&lt;"&amp;DATE($W$1+1,MONTH(0),1))</f>
        <v>0</v>
      </c>
      <c r="X37" s="157">
        <f>SUMIFS(KB[TPEMBAYARAN],KB[RELASI],DBRELASI[[#This Row],[RELASI]],KB[TANGGAL],"&gt;="&amp;DATE($W$1,MONTH(0),1),KB[TANGGAL],"&lt;"&amp;DATE($W$1+1,MONTH(0),1))</f>
        <v>0</v>
      </c>
      <c r="Y37" s="157">
        <f>SUMIFS(KBS[TPEMBAYARAN],KBS[RELASI],DBRELASI[[#This Row],[RELASI]],KBS[TANGGAL],"&gt;="&amp;DATE($W$1,MONTH(0),1),KBS[TANGGAL],"&lt;"&amp;DATE($W$1+1,MONTH(0),1))</f>
        <v>0</v>
      </c>
      <c r="Z37" s="157">
        <f>SUMIFS(ARG[TPEMBAYARAN],ARG[RELASI],DBRELASI[[#This Row],[RELASI]],ARG[TANGGAL],"&gt;="&amp;DATE($W$1,MONTH(0),1),ARG[TANGGAL],"&lt;"&amp;DATE($W$1+1,MONTH(0),1))</f>
        <v>0</v>
      </c>
      <c r="AA37" s="243">
        <f t="shared" si="1"/>
        <v>0</v>
      </c>
    </row>
    <row r="38" spans="2:27">
      <c r="B38" s="38">
        <f>IF(ISBLANK(C38),"",COUNTA($C$3:C38))</f>
        <v>36</v>
      </c>
      <c r="C38" s="31" t="s">
        <v>290</v>
      </c>
      <c r="D38" s="39" t="s">
        <v>291</v>
      </c>
      <c r="E38" s="167" t="s">
        <v>315</v>
      </c>
      <c r="F38" s="31" t="s">
        <v>292</v>
      </c>
      <c r="G38" s="31" t="s">
        <v>121</v>
      </c>
      <c r="H38" s="31" t="s">
        <v>293</v>
      </c>
      <c r="I38" s="39" t="s">
        <v>290</v>
      </c>
      <c r="J38" s="39" t="s">
        <v>290</v>
      </c>
      <c r="K38" s="163" t="s">
        <v>299</v>
      </c>
      <c r="L38" s="31">
        <v>0</v>
      </c>
      <c r="M38" s="31">
        <v>0</v>
      </c>
      <c r="N38" s="31">
        <v>0</v>
      </c>
      <c r="O38" s="31">
        <v>0</v>
      </c>
      <c r="Q38" s="157">
        <f>SUMIFS(KPR[TPEMBAYARAN],KPR[RELASI],DBRELASI[[#This Row],[RELASI]])</f>
        <v>0</v>
      </c>
      <c r="R38" s="157">
        <f>SUMIFS(KB[TPEMBAYARAN],KB[RELASI],DBRELASI[[#This Row],[RELASI]])</f>
        <v>0</v>
      </c>
      <c r="S38" s="157">
        <f>SUMIFS(KBS[TPEMBAYARAN],KBS[RELASI],DBRELASI[[#This Row],[RELASI]])</f>
        <v>0</v>
      </c>
      <c r="T38" s="157">
        <f>SUMIFS(ARG[TPEMBAYARAN],ARG[RELASI],DBRELASI[[#This Row],[RELASI]])</f>
        <v>0</v>
      </c>
      <c r="U38" s="243">
        <f t="shared" si="0"/>
        <v>0</v>
      </c>
      <c r="W38" s="157">
        <f>SUMIFS(KPR[TPEMBAYARAN],KPR[RELASI],DBRELASI[[#This Row],[RELASI]],KPR[TANGGAL],"&gt;="&amp;DATE($W$1,MONTH(0),1),KPR[TANGGAL],"&lt;"&amp;DATE($W$1+1,MONTH(0),1))</f>
        <v>0</v>
      </c>
      <c r="X38" s="157">
        <f>SUMIFS(KB[TPEMBAYARAN],KB[RELASI],DBRELASI[[#This Row],[RELASI]],KB[TANGGAL],"&gt;="&amp;DATE($W$1,MONTH(0),1),KB[TANGGAL],"&lt;"&amp;DATE($W$1+1,MONTH(0),1))</f>
        <v>0</v>
      </c>
      <c r="Y38" s="157">
        <f>SUMIFS(KBS[TPEMBAYARAN],KBS[RELASI],DBRELASI[[#This Row],[RELASI]],KBS[TANGGAL],"&gt;="&amp;DATE($W$1,MONTH(0),1),KBS[TANGGAL],"&lt;"&amp;DATE($W$1+1,MONTH(0),1))</f>
        <v>0</v>
      </c>
      <c r="Z38" s="157">
        <f>SUMIFS(ARG[TPEMBAYARAN],ARG[RELASI],DBRELASI[[#This Row],[RELASI]],ARG[TANGGAL],"&gt;="&amp;DATE($W$1,MONTH(0),1),ARG[TANGGAL],"&lt;"&amp;DATE($W$1+1,MONTH(0),1))</f>
        <v>0</v>
      </c>
      <c r="AA38" s="243">
        <f t="shared" si="1"/>
        <v>0</v>
      </c>
    </row>
    <row r="39" spans="2:27">
      <c r="B39" s="38">
        <f>IF(ISBLANK(C39),"",COUNTA($C$3:C39))</f>
        <v>37</v>
      </c>
      <c r="C39" s="31" t="s">
        <v>288</v>
      </c>
      <c r="D39" s="39" t="s">
        <v>244</v>
      </c>
      <c r="E39" s="31" t="s">
        <v>288</v>
      </c>
      <c r="F39" s="31" t="s">
        <v>289</v>
      </c>
      <c r="G39" s="31" t="s">
        <v>121</v>
      </c>
      <c r="H39" s="31" t="s">
        <v>244</v>
      </c>
      <c r="I39" s="31" t="s">
        <v>288</v>
      </c>
      <c r="J39" s="31" t="s">
        <v>288</v>
      </c>
      <c r="K39" s="163" t="s">
        <v>297</v>
      </c>
      <c r="L39" s="31">
        <v>0</v>
      </c>
      <c r="M39" s="31">
        <v>0</v>
      </c>
      <c r="N39" s="31">
        <v>0</v>
      </c>
      <c r="O39" s="31">
        <v>0</v>
      </c>
      <c r="Q39" s="157">
        <f>SUMIFS(KPR[TPEMBAYARAN],KPR[RELASI],DBRELASI[[#This Row],[RELASI]])</f>
        <v>0</v>
      </c>
      <c r="R39" s="157">
        <f>SUMIFS(KB[TPEMBAYARAN],KB[RELASI],DBRELASI[[#This Row],[RELASI]])</f>
        <v>1640562133</v>
      </c>
      <c r="S39" s="157">
        <f>SUMIFS(KBS[TPEMBAYARAN],KBS[RELASI],DBRELASI[[#This Row],[RELASI]])</f>
        <v>0</v>
      </c>
      <c r="T39" s="157">
        <f>SUMIFS(ARG[TPEMBAYARAN],ARG[RELASI],DBRELASI[[#This Row],[RELASI]])</f>
        <v>0</v>
      </c>
      <c r="U39" s="243">
        <f t="shared" si="0"/>
        <v>1640562133</v>
      </c>
      <c r="W39" s="157">
        <f>SUMIFS(KPR[TPEMBAYARAN],KPR[RELASI],DBRELASI[[#This Row],[RELASI]],KPR[TANGGAL],"&gt;="&amp;DATE($W$1,MONTH(0),1),KPR[TANGGAL],"&lt;"&amp;DATE($W$1+1,MONTH(0),1))</f>
        <v>0</v>
      </c>
      <c r="X39" s="157">
        <f>SUMIFS(KB[TPEMBAYARAN],KB[RELASI],DBRELASI[[#This Row],[RELASI]],KB[TANGGAL],"&gt;="&amp;DATE($W$1,MONTH(0),1),KB[TANGGAL],"&lt;"&amp;DATE($W$1+1,MONTH(0),1))</f>
        <v>0</v>
      </c>
      <c r="Y39" s="157">
        <f>SUMIFS(KBS[TPEMBAYARAN],KBS[RELASI],DBRELASI[[#This Row],[RELASI]],KBS[TANGGAL],"&gt;="&amp;DATE($W$1,MONTH(0),1),KBS[TANGGAL],"&lt;"&amp;DATE($W$1+1,MONTH(0),1))</f>
        <v>0</v>
      </c>
      <c r="Z39" s="157">
        <f>SUMIFS(ARG[TPEMBAYARAN],ARG[RELASI],DBRELASI[[#This Row],[RELASI]],ARG[TANGGAL],"&gt;="&amp;DATE($W$1,MONTH(0),1),ARG[TANGGAL],"&lt;"&amp;DATE($W$1+1,MONTH(0),1))</f>
        <v>0</v>
      </c>
      <c r="AA39" s="243">
        <f t="shared" si="1"/>
        <v>0</v>
      </c>
    </row>
    <row r="40" spans="2:27">
      <c r="B40" s="38">
        <f>IF(ISBLANK(C40),"",COUNTA($C$3:C40))</f>
        <v>38</v>
      </c>
      <c r="C40" s="31" t="s">
        <v>223</v>
      </c>
      <c r="D40" s="39" t="s">
        <v>196</v>
      </c>
      <c r="E40" s="31" t="s">
        <v>223</v>
      </c>
      <c r="F40" s="31" t="s">
        <v>224</v>
      </c>
      <c r="G40" s="31" t="s">
        <v>121</v>
      </c>
      <c r="H40" s="31" t="s">
        <v>128</v>
      </c>
      <c r="I40" s="39" t="s">
        <v>223</v>
      </c>
      <c r="J40" s="39" t="s">
        <v>223</v>
      </c>
      <c r="K40" s="162" t="s">
        <v>123</v>
      </c>
      <c r="L40" s="33">
        <v>0</v>
      </c>
      <c r="M40" s="33">
        <v>0</v>
      </c>
      <c r="N40" s="33">
        <v>0</v>
      </c>
      <c r="O40" s="33">
        <v>0</v>
      </c>
      <c r="Q40" s="157">
        <f>SUMIFS(KPR[TPEMBAYARAN],KPR[RELASI],DBRELASI[[#This Row],[RELASI]])</f>
        <v>0</v>
      </c>
      <c r="R40" s="157">
        <f>SUMIFS(KB[TPEMBAYARAN],KB[RELASI],DBRELASI[[#This Row],[RELASI]])</f>
        <v>699954701</v>
      </c>
      <c r="S40" s="157">
        <f>SUMIFS(KBS[TPEMBAYARAN],KBS[RELASI],DBRELASI[[#This Row],[RELASI]])</f>
        <v>0</v>
      </c>
      <c r="T40" s="157">
        <f>SUMIFS(ARG[TPEMBAYARAN],ARG[RELASI],DBRELASI[[#This Row],[RELASI]])</f>
        <v>0</v>
      </c>
      <c r="U40" s="243">
        <f t="shared" si="0"/>
        <v>699954701</v>
      </c>
      <c r="W40" s="157">
        <f>SUMIFS(KPR[TPEMBAYARAN],KPR[RELASI],DBRELASI[[#This Row],[RELASI]],KPR[TANGGAL],"&gt;="&amp;DATE($W$1,MONTH(0),1),KPR[TANGGAL],"&lt;"&amp;DATE($W$1+1,MONTH(0),1))</f>
        <v>0</v>
      </c>
      <c r="X40" s="157">
        <f>SUMIFS(KB[TPEMBAYARAN],KB[RELASI],DBRELASI[[#This Row],[RELASI]],KB[TANGGAL],"&gt;="&amp;DATE($W$1,MONTH(0),1),KB[TANGGAL],"&lt;"&amp;DATE($W$1+1,MONTH(0),1))</f>
        <v>0</v>
      </c>
      <c r="Y40" s="157">
        <f>SUMIFS(KBS[TPEMBAYARAN],KBS[RELASI],DBRELASI[[#This Row],[RELASI]],KBS[TANGGAL],"&gt;="&amp;DATE($W$1,MONTH(0),1),KBS[TANGGAL],"&lt;"&amp;DATE($W$1+1,MONTH(0),1))</f>
        <v>0</v>
      </c>
      <c r="Z40" s="157">
        <f>SUMIFS(ARG[TPEMBAYARAN],ARG[RELASI],DBRELASI[[#This Row],[RELASI]],ARG[TANGGAL],"&gt;="&amp;DATE($W$1,MONTH(0),1),ARG[TANGGAL],"&lt;"&amp;DATE($W$1+1,MONTH(0),1))</f>
        <v>0</v>
      </c>
      <c r="AA40" s="243">
        <f t="shared" si="1"/>
        <v>0</v>
      </c>
    </row>
    <row r="41" spans="2:27">
      <c r="B41" s="38">
        <f>IF(ISBLANK(C41),"",COUNTA($C$3:C41))</f>
        <v>39</v>
      </c>
      <c r="C41" s="31" t="s">
        <v>476</v>
      </c>
      <c r="D41" s="39" t="s">
        <v>146</v>
      </c>
      <c r="E41" s="31" t="s">
        <v>147</v>
      </c>
      <c r="F41" s="31" t="s">
        <v>148</v>
      </c>
      <c r="G41" s="31" t="s">
        <v>121</v>
      </c>
      <c r="H41" s="31" t="s">
        <v>128</v>
      </c>
      <c r="I41" s="39" t="s">
        <v>476</v>
      </c>
      <c r="J41" s="39" t="s">
        <v>476</v>
      </c>
      <c r="K41" s="162" t="s">
        <v>149</v>
      </c>
      <c r="L41" s="33">
        <v>0</v>
      </c>
      <c r="M41" s="33">
        <v>0</v>
      </c>
      <c r="N41" s="33">
        <v>0</v>
      </c>
      <c r="O41" s="33">
        <v>0</v>
      </c>
      <c r="Q41" s="157">
        <f>SUMIFS(KPR[TPEMBAYARAN],KPR[RELASI],DBRELASI[[#This Row],[RELASI]])</f>
        <v>0</v>
      </c>
      <c r="R41" s="157">
        <f>SUMIFS(KB[TPEMBAYARAN],KB[RELASI],DBRELASI[[#This Row],[RELASI]])</f>
        <v>190583096</v>
      </c>
      <c r="S41" s="157">
        <f>SUMIFS(KBS[TPEMBAYARAN],KBS[RELASI],DBRELASI[[#This Row],[RELASI]])</f>
        <v>0</v>
      </c>
      <c r="T41" s="157">
        <f>SUMIFS(ARG[TPEMBAYARAN],ARG[RELASI],DBRELASI[[#This Row],[RELASI]])</f>
        <v>0</v>
      </c>
      <c r="U41" s="243">
        <f t="shared" si="0"/>
        <v>190583096</v>
      </c>
      <c r="W41" s="157">
        <f>SUMIFS(KPR[TPEMBAYARAN],KPR[RELASI],DBRELASI[[#This Row],[RELASI]],KPR[TANGGAL],"&gt;="&amp;DATE($W$1,MONTH(0),1),KPR[TANGGAL],"&lt;"&amp;DATE($W$1+1,MONTH(0),1))</f>
        <v>0</v>
      </c>
      <c r="X41" s="157">
        <f>SUMIFS(KB[TPEMBAYARAN],KB[RELASI],DBRELASI[[#This Row],[RELASI]],KB[TANGGAL],"&gt;="&amp;DATE($W$1,MONTH(0),1),KB[TANGGAL],"&lt;"&amp;DATE($W$1+1,MONTH(0),1))</f>
        <v>0</v>
      </c>
      <c r="Y41" s="157">
        <f>SUMIFS(KBS[TPEMBAYARAN],KBS[RELASI],DBRELASI[[#This Row],[RELASI]],KBS[TANGGAL],"&gt;="&amp;DATE($W$1,MONTH(0),1),KBS[TANGGAL],"&lt;"&amp;DATE($W$1+1,MONTH(0),1))</f>
        <v>0</v>
      </c>
      <c r="Z41" s="157">
        <f>SUMIFS(ARG[TPEMBAYARAN],ARG[RELASI],DBRELASI[[#This Row],[RELASI]],ARG[TANGGAL],"&gt;="&amp;DATE($W$1,MONTH(0),1),ARG[TANGGAL],"&lt;"&amp;DATE($W$1+1,MONTH(0),1))</f>
        <v>0</v>
      </c>
      <c r="AA41" s="243">
        <f t="shared" ref="AA41:AA47" si="2">SUM(W41:Z41)</f>
        <v>0</v>
      </c>
    </row>
    <row r="42" spans="2:27">
      <c r="B42" s="38">
        <f>IF(ISBLANK(C42),"",COUNTA($C$3:C42))</f>
        <v>40</v>
      </c>
      <c r="C42" s="31" t="s">
        <v>479</v>
      </c>
      <c r="D42" s="39" t="s">
        <v>128</v>
      </c>
      <c r="E42" s="31" t="s">
        <v>481</v>
      </c>
      <c r="F42" s="31" t="s">
        <v>480</v>
      </c>
      <c r="G42" s="31" t="s">
        <v>121</v>
      </c>
      <c r="H42" s="31" t="s">
        <v>275</v>
      </c>
      <c r="I42" s="31" t="s">
        <v>479</v>
      </c>
      <c r="J42" s="31"/>
      <c r="K42" s="162" t="s">
        <v>304</v>
      </c>
      <c r="L42" s="33">
        <v>0</v>
      </c>
      <c r="M42" s="33">
        <v>0</v>
      </c>
      <c r="N42" s="33">
        <v>0</v>
      </c>
      <c r="O42" s="33">
        <v>0</v>
      </c>
      <c r="W42" s="157">
        <f>SUMIFS(KPR[TPEMBAYARAN],KPR[RELASI],DBRELASI[[#This Row],[RELASI]],KPR[TANGGAL],"&gt;="&amp;DATE($W$1,MONTH(0),1),KPR[TANGGAL],"&lt;"&amp;DATE($W$1+1,MONTH(0),1))</f>
        <v>0</v>
      </c>
      <c r="X42" s="157">
        <f>SUMIFS(KB[TPEMBAYARAN],KB[RELASI],DBRELASI[[#This Row],[RELASI]],KB[TANGGAL],"&gt;="&amp;DATE($W$1,MONTH(0),1),KB[TANGGAL],"&lt;"&amp;DATE($W$1+1,MONTH(0),1))</f>
        <v>0</v>
      </c>
      <c r="Y42" s="157">
        <f>SUMIFS(KBS[TPEMBAYARAN],KBS[RELASI],DBRELASI[[#This Row],[RELASI]],KBS[TANGGAL],"&gt;="&amp;DATE($W$1,MONTH(0),1),KBS[TANGGAL],"&lt;"&amp;DATE($W$1+1,MONTH(0),1))</f>
        <v>0</v>
      </c>
      <c r="Z42" s="157">
        <f>SUMIFS(ARG[TPEMBAYARAN],ARG[RELASI],DBRELASI[[#This Row],[RELASI]],ARG[TANGGAL],"&gt;="&amp;DATE($W$1,MONTH(0),1),ARG[TANGGAL],"&lt;"&amp;DATE($W$1+1,MONTH(0),1))</f>
        <v>0</v>
      </c>
      <c r="AA42" s="243">
        <f t="shared" si="2"/>
        <v>0</v>
      </c>
    </row>
    <row r="43" spans="2:27">
      <c r="B43" s="38">
        <f>IF(ISBLANK(C43),"",COUNTA($C$3:C43))</f>
        <v>41</v>
      </c>
      <c r="C43" s="31" t="s">
        <v>84</v>
      </c>
      <c r="D43" s="39" t="s">
        <v>242</v>
      </c>
      <c r="E43" s="31" t="s">
        <v>84</v>
      </c>
      <c r="F43" s="31" t="s">
        <v>243</v>
      </c>
      <c r="G43" s="31" t="s">
        <v>121</v>
      </c>
      <c r="H43" s="31" t="s">
        <v>274</v>
      </c>
      <c r="I43" s="39" t="s">
        <v>84</v>
      </c>
      <c r="J43" s="39" t="s">
        <v>84</v>
      </c>
      <c r="K43" s="162" t="s">
        <v>122</v>
      </c>
      <c r="L43" s="33">
        <v>0</v>
      </c>
      <c r="M43" s="33">
        <v>0</v>
      </c>
      <c r="N43" s="33">
        <v>0</v>
      </c>
      <c r="O43" s="33">
        <v>0</v>
      </c>
      <c r="Q43" s="244">
        <f>SUM(Q3:Q42)</f>
        <v>0</v>
      </c>
      <c r="R43" s="244">
        <f t="shared" ref="R43:U43" si="3">SUM(R3:R42)</f>
        <v>18626363177</v>
      </c>
      <c r="S43" s="244">
        <f t="shared" si="3"/>
        <v>0</v>
      </c>
      <c r="T43" s="244">
        <f t="shared" si="3"/>
        <v>0</v>
      </c>
      <c r="U43" s="244">
        <f t="shared" si="3"/>
        <v>18626363177</v>
      </c>
      <c r="W43" s="157">
        <f>SUMIFS(KPR[TPEMBAYARAN],KPR[RELASI],DBRELASI[[#This Row],[RELASI]],KPR[TANGGAL],"&gt;="&amp;DATE($W$1,MONTH(0),1),KPR[TANGGAL],"&lt;"&amp;DATE($W$1+1,MONTH(0),1))</f>
        <v>0</v>
      </c>
      <c r="X43" s="157">
        <f>SUMIFS(KB[TPEMBAYARAN],KB[RELASI],DBRELASI[[#This Row],[RELASI]],KB[TANGGAL],"&gt;="&amp;DATE($W$1,MONTH(0),1),KB[TANGGAL],"&lt;"&amp;DATE($W$1+1,MONTH(0),1))</f>
        <v>0</v>
      </c>
      <c r="Y43" s="157">
        <f>SUMIFS(KBS[TPEMBAYARAN],KBS[RELASI],DBRELASI[[#This Row],[RELASI]],KBS[TANGGAL],"&gt;="&amp;DATE($W$1,MONTH(0),1),KBS[TANGGAL],"&lt;"&amp;DATE($W$1+1,MONTH(0),1))</f>
        <v>0</v>
      </c>
      <c r="Z43" s="157">
        <f>SUMIFS(ARG[TPEMBAYARAN],ARG[RELASI],DBRELASI[[#This Row],[RELASI]],ARG[TANGGAL],"&gt;="&amp;DATE($W$1,MONTH(0),1),ARG[TANGGAL],"&lt;"&amp;DATE($W$1+1,MONTH(0),1))</f>
        <v>0</v>
      </c>
      <c r="AA43" s="243">
        <f t="shared" si="2"/>
        <v>0</v>
      </c>
    </row>
    <row r="44" spans="2:27">
      <c r="B44" s="38">
        <f>IF(ISBLANK(C44),"",COUNTA($C$3:C44))</f>
        <v>42</v>
      </c>
      <c r="C44" s="31" t="s">
        <v>130</v>
      </c>
      <c r="D44" s="39" t="s">
        <v>131</v>
      </c>
      <c r="E44" s="31" t="s">
        <v>130</v>
      </c>
      <c r="F44" s="31" t="s">
        <v>125</v>
      </c>
      <c r="G44" s="31" t="s">
        <v>121</v>
      </c>
      <c r="H44" s="31" t="s">
        <v>132</v>
      </c>
      <c r="I44" s="39" t="s">
        <v>130</v>
      </c>
      <c r="J44" s="39" t="s">
        <v>130</v>
      </c>
      <c r="K44" s="162" t="s">
        <v>122</v>
      </c>
      <c r="L44" s="33">
        <v>0</v>
      </c>
      <c r="M44" s="33">
        <v>0</v>
      </c>
      <c r="N44" s="33">
        <v>0</v>
      </c>
      <c r="O44" s="33">
        <v>0</v>
      </c>
      <c r="Q44" s="157">
        <f>SUMIFS(KPR[TPEMBAYARAN],KPR[RELASI],DBRELASI[[#This Row],[RELASI]])</f>
        <v>0</v>
      </c>
      <c r="R44" s="157">
        <f>SUMIFS(KB[TPEMBAYARAN],KB[RELASI],DBRELASI[[#This Row],[RELASI]])</f>
        <v>0</v>
      </c>
      <c r="S44" s="157">
        <f>SUMIFS(KBS[TPEMBAYARAN],KBS[RELASI],DBRELASI[[#This Row],[RELASI]])</f>
        <v>0</v>
      </c>
      <c r="T44" s="157">
        <f>SUMIFS(ARG[TPEMBAYARAN],ARG[RELASI],DBRELASI[[#This Row],[RELASI]])</f>
        <v>0</v>
      </c>
      <c r="U44" s="243">
        <f t="shared" ref="U44" si="4">SUM(Q44:T44)</f>
        <v>0</v>
      </c>
      <c r="W44" s="157">
        <f>SUMIFS(KPR[TPEMBAYARAN],KPR[RELASI],DBRELASI[[#This Row],[RELASI]],KPR[TANGGAL],"&gt;="&amp;DATE($W$1,MONTH(0),1),KPR[TANGGAL],"&lt;"&amp;DATE($W$1+1,MONTH(0),1))</f>
        <v>0</v>
      </c>
      <c r="X44" s="157">
        <f>SUMIFS(KB[TPEMBAYARAN],KB[RELASI],DBRELASI[[#This Row],[RELASI]],KB[TANGGAL],"&gt;="&amp;DATE($W$1,MONTH(0),1),KB[TANGGAL],"&lt;"&amp;DATE($W$1+1,MONTH(0),1))</f>
        <v>0</v>
      </c>
      <c r="Y44" s="157">
        <f>SUMIFS(KBS[TPEMBAYARAN],KBS[RELASI],DBRELASI[[#This Row],[RELASI]],KBS[TANGGAL],"&gt;="&amp;DATE($W$1,MONTH(0),1),KBS[TANGGAL],"&lt;"&amp;DATE($W$1+1,MONTH(0),1))</f>
        <v>0</v>
      </c>
      <c r="Z44" s="157">
        <f>SUMIFS(ARG[TPEMBAYARAN],ARG[RELASI],DBRELASI[[#This Row],[RELASI]],ARG[TANGGAL],"&gt;="&amp;DATE($W$1,MONTH(0),1),ARG[TANGGAL],"&lt;"&amp;DATE($W$1+1,MONTH(0),1))</f>
        <v>0</v>
      </c>
      <c r="AA44" s="243">
        <f t="shared" si="2"/>
        <v>0</v>
      </c>
    </row>
    <row r="45" spans="2:27">
      <c r="B45" s="38">
        <f>IF(ISBLANK(C45),"",COUNTA($C$3:C45))</f>
        <v>43</v>
      </c>
      <c r="C45" s="31" t="s">
        <v>234</v>
      </c>
      <c r="D45" s="39" t="s">
        <v>128</v>
      </c>
      <c r="E45" s="31" t="s">
        <v>235</v>
      </c>
      <c r="F45" s="31" t="s">
        <v>236</v>
      </c>
      <c r="G45" s="31" t="s">
        <v>121</v>
      </c>
      <c r="H45" s="31" t="s">
        <v>273</v>
      </c>
      <c r="I45" s="39" t="s">
        <v>234</v>
      </c>
      <c r="J45" s="39" t="s">
        <v>234</v>
      </c>
      <c r="K45" s="162" t="s">
        <v>307</v>
      </c>
      <c r="L45" s="33">
        <v>0</v>
      </c>
      <c r="M45" s="33">
        <v>0</v>
      </c>
      <c r="N45" s="33">
        <v>0</v>
      </c>
      <c r="O45" s="33">
        <v>0</v>
      </c>
      <c r="W45" s="157">
        <f>SUMIFS(KPR[TPEMBAYARAN],KPR[RELASI],DBRELASI[[#This Row],[RELASI]],KPR[TANGGAL],"&gt;="&amp;DATE($W$1,MONTH(0),1),KPR[TANGGAL],"&lt;"&amp;DATE($W$1+1,MONTH(0),1))</f>
        <v>0</v>
      </c>
      <c r="X45" s="157">
        <f>SUMIFS(KB[TPEMBAYARAN],KB[RELASI],DBRELASI[[#This Row],[RELASI]],KB[TANGGAL],"&gt;="&amp;DATE($W$1,MONTH(0),1),KB[TANGGAL],"&lt;"&amp;DATE($W$1+1,MONTH(0),1))</f>
        <v>0</v>
      </c>
      <c r="Y45" s="157">
        <f>SUMIFS(KBS[TPEMBAYARAN],KBS[RELASI],DBRELASI[[#This Row],[RELASI]],KBS[TANGGAL],"&gt;="&amp;DATE($W$1,MONTH(0),1),KBS[TANGGAL],"&lt;"&amp;DATE($W$1+1,MONTH(0),1))</f>
        <v>0</v>
      </c>
      <c r="Z45" s="157">
        <f>SUMIFS(ARG[TPEMBAYARAN],ARG[RELASI],DBRELASI[[#This Row],[RELASI]],ARG[TANGGAL],"&gt;="&amp;DATE($W$1,MONTH(0),1),ARG[TANGGAL],"&lt;"&amp;DATE($W$1+1,MONTH(0),1))</f>
        <v>0</v>
      </c>
      <c r="AA45" s="243">
        <f t="shared" si="2"/>
        <v>0</v>
      </c>
    </row>
    <row r="46" spans="2:27">
      <c r="B46" s="38">
        <f>IF(ISBLANK(C46),"",COUNTA($C$3:C46))</f>
        <v>44</v>
      </c>
      <c r="C46" s="31" t="s">
        <v>94</v>
      </c>
      <c r="D46" s="39" t="s">
        <v>225</v>
      </c>
      <c r="E46" s="31" t="s">
        <v>94</v>
      </c>
      <c r="F46" s="31" t="s">
        <v>226</v>
      </c>
      <c r="G46" s="31" t="s">
        <v>121</v>
      </c>
      <c r="H46" s="31" t="s">
        <v>128</v>
      </c>
      <c r="I46" s="39" t="s">
        <v>94</v>
      </c>
      <c r="J46" s="39" t="s">
        <v>94</v>
      </c>
      <c r="K46" s="162" t="s">
        <v>227</v>
      </c>
      <c r="L46" s="33">
        <v>0</v>
      </c>
      <c r="M46" s="33">
        <v>0</v>
      </c>
      <c r="N46" s="33">
        <v>0</v>
      </c>
      <c r="O46" s="33">
        <v>0</v>
      </c>
      <c r="W46" s="157">
        <f>SUMIFS(KPR[TPEMBAYARAN],KPR[RELASI],DBRELASI[[#This Row],[RELASI]],KPR[TANGGAL],"&gt;="&amp;DATE($W$1,MONTH(0),1),KPR[TANGGAL],"&lt;"&amp;DATE($W$1+1,MONTH(0),1))</f>
        <v>0</v>
      </c>
      <c r="X46" s="157">
        <f>SUMIFS(KB[TPEMBAYARAN],KB[RELASI],DBRELASI[[#This Row],[RELASI]],KB[TANGGAL],"&gt;="&amp;DATE($W$1,MONTH(0),1),KB[TANGGAL],"&lt;"&amp;DATE($W$1+1,MONTH(0),1))</f>
        <v>0</v>
      </c>
      <c r="Y46" s="157">
        <f>SUMIFS(KBS[TPEMBAYARAN],KBS[RELASI],DBRELASI[[#This Row],[RELASI]],KBS[TANGGAL],"&gt;="&amp;DATE($W$1,MONTH(0),1),KBS[TANGGAL],"&lt;"&amp;DATE($W$1+1,MONTH(0),1))</f>
        <v>0</v>
      </c>
      <c r="Z46" s="157">
        <f>SUMIFS(ARG[TPEMBAYARAN],ARG[RELASI],DBRELASI[[#This Row],[RELASI]],ARG[TANGGAL],"&gt;="&amp;DATE($W$1,MONTH(0),1),ARG[TANGGAL],"&lt;"&amp;DATE($W$1+1,MONTH(0),1))</f>
        <v>0</v>
      </c>
      <c r="AA46" s="243">
        <f t="shared" si="2"/>
        <v>0</v>
      </c>
    </row>
    <row r="47" spans="2:27">
      <c r="B47" s="38">
        <f>IF(ISBLANK(C47),"",COUNTA($C$3:C47))</f>
        <v>45</v>
      </c>
      <c r="C47" s="31" t="s">
        <v>228</v>
      </c>
      <c r="D47" s="39" t="s">
        <v>229</v>
      </c>
      <c r="E47" s="31" t="s">
        <v>228</v>
      </c>
      <c r="F47" s="31" t="s">
        <v>230</v>
      </c>
      <c r="G47" s="31" t="s">
        <v>121</v>
      </c>
      <c r="H47" s="31" t="s">
        <v>278</v>
      </c>
      <c r="I47" s="39" t="s">
        <v>228</v>
      </c>
      <c r="J47" s="39" t="s">
        <v>228</v>
      </c>
      <c r="K47" s="162" t="s">
        <v>298</v>
      </c>
      <c r="L47" s="33">
        <v>0</v>
      </c>
      <c r="M47" s="33">
        <v>0</v>
      </c>
      <c r="N47" s="33">
        <v>0</v>
      </c>
      <c r="O47" s="33">
        <v>0</v>
      </c>
      <c r="W47" s="157">
        <f>SUMIFS(KPR[TPEMBAYARAN],KPR[RELASI],DBRELASI[[#This Row],[RELASI]],KPR[TANGGAL],"&gt;="&amp;DATE($W$1,MONTH(0),1),KPR[TANGGAL],"&lt;"&amp;DATE($W$1+1,MONTH(0),1))</f>
        <v>0</v>
      </c>
      <c r="X47" s="157">
        <f>SUMIFS(KB[TPEMBAYARAN],KB[RELASI],DBRELASI[[#This Row],[RELASI]],KB[TANGGAL],"&gt;="&amp;DATE($W$1,MONTH(0),1),KB[TANGGAL],"&lt;"&amp;DATE($W$1+1,MONTH(0),1))</f>
        <v>0</v>
      </c>
      <c r="Y47" s="157">
        <f>SUMIFS(KBS[TPEMBAYARAN],KBS[RELASI],DBRELASI[[#This Row],[RELASI]],KBS[TANGGAL],"&gt;="&amp;DATE($W$1,MONTH(0),1),KBS[TANGGAL],"&lt;"&amp;DATE($W$1+1,MONTH(0),1))</f>
        <v>0</v>
      </c>
      <c r="Z47" s="157">
        <f>SUMIFS(ARG[TPEMBAYARAN],ARG[RELASI],DBRELASI[[#This Row],[RELASI]],ARG[TANGGAL],"&gt;="&amp;DATE($W$1,MONTH(0),1),ARG[TANGGAL],"&lt;"&amp;DATE($W$1+1,MONTH(0),1))</f>
        <v>0</v>
      </c>
      <c r="AA47" s="243">
        <f t="shared" si="2"/>
        <v>0</v>
      </c>
    </row>
    <row r="48" spans="2:27">
      <c r="B48" s="38">
        <f>IF(ISBLANK(C48),"",COUNTA($C$3:C48))</f>
        <v>46</v>
      </c>
      <c r="C48" s="31" t="s">
        <v>137</v>
      </c>
      <c r="D48" s="39" t="s">
        <v>136</v>
      </c>
      <c r="E48" s="31" t="s">
        <v>137</v>
      </c>
      <c r="F48" s="31" t="s">
        <v>138</v>
      </c>
      <c r="G48" s="31" t="s">
        <v>121</v>
      </c>
      <c r="H48" s="31" t="s">
        <v>132</v>
      </c>
      <c r="I48" s="39" t="s">
        <v>137</v>
      </c>
      <c r="J48" s="39" t="s">
        <v>137</v>
      </c>
      <c r="K48" s="162" t="s">
        <v>505</v>
      </c>
      <c r="L48" s="33">
        <v>0</v>
      </c>
      <c r="M48" s="33">
        <v>0</v>
      </c>
      <c r="N48" s="33">
        <v>0</v>
      </c>
      <c r="O48" s="33">
        <v>0</v>
      </c>
    </row>
    <row r="49" spans="2:27" s="723" customFormat="1">
      <c r="B49" s="38">
        <f>IF(ISBLANK(C49),"",COUNTA($C$3:C49))</f>
        <v>47</v>
      </c>
      <c r="C49" s="31" t="s">
        <v>231</v>
      </c>
      <c r="D49" s="39" t="s">
        <v>232</v>
      </c>
      <c r="E49" s="31" t="s">
        <v>231</v>
      </c>
      <c r="F49" s="31" t="s">
        <v>233</v>
      </c>
      <c r="G49" s="31" t="s">
        <v>121</v>
      </c>
      <c r="H49" s="31" t="s">
        <v>128</v>
      </c>
      <c r="I49" s="39" t="s">
        <v>231</v>
      </c>
      <c r="J49" s="39" t="s">
        <v>231</v>
      </c>
      <c r="K49" s="162" t="s">
        <v>308</v>
      </c>
      <c r="L49" s="33">
        <v>0</v>
      </c>
      <c r="M49" s="33">
        <v>0</v>
      </c>
      <c r="N49" s="33">
        <v>0</v>
      </c>
      <c r="O49" s="33">
        <v>0</v>
      </c>
      <c r="W49" s="157">
        <f>SUM(W3:W47)</f>
        <v>0</v>
      </c>
      <c r="X49" s="157">
        <f>SUM(X3:X47)</f>
        <v>0</v>
      </c>
      <c r="Y49" s="157">
        <f>SUM(Y3:Y47)</f>
        <v>0</v>
      </c>
      <c r="Z49" s="157">
        <f t="shared" ref="Z49" si="5">SUM(Z3:Z47)</f>
        <v>0</v>
      </c>
      <c r="AA49" s="243">
        <f>SUM(AA3:AA47)</f>
        <v>0</v>
      </c>
    </row>
    <row r="51" spans="2:27" ht="23.25" customHeight="1">
      <c r="AA51" s="244">
        <f>SUM(W49:Z49)</f>
        <v>0</v>
      </c>
    </row>
    <row r="52" spans="2:27">
      <c r="T52" s="243"/>
    </row>
  </sheetData>
  <mergeCells count="2">
    <mergeCell ref="Q1:U1"/>
    <mergeCell ref="W1:AA1"/>
  </mergeCells>
  <conditionalFormatting sqref="C37">
    <cfRule type="duplicateValues" dxfId="78" priority="73"/>
    <cfRule type="duplicateValues" dxfId="77" priority="74"/>
  </conditionalFormatting>
  <conditionalFormatting sqref="F37">
    <cfRule type="duplicateValues" dxfId="76" priority="72"/>
  </conditionalFormatting>
  <conditionalFormatting sqref="C38:C39">
    <cfRule type="duplicateValues" dxfId="75" priority="70"/>
    <cfRule type="duplicateValues" dxfId="74" priority="71"/>
  </conditionalFormatting>
  <conditionalFormatting sqref="F38:F39">
    <cfRule type="duplicateValues" dxfId="73" priority="69"/>
  </conditionalFormatting>
  <conditionalFormatting sqref="E4">
    <cfRule type="duplicateValues" dxfId="72" priority="56"/>
    <cfRule type="duplicateValues" dxfId="71" priority="57"/>
  </conditionalFormatting>
  <conditionalFormatting sqref="I4">
    <cfRule type="duplicateValues" dxfId="70" priority="54"/>
    <cfRule type="duplicateValues" dxfId="69" priority="55"/>
  </conditionalFormatting>
  <conditionalFormatting sqref="J4">
    <cfRule type="duplicateValues" dxfId="68" priority="52"/>
    <cfRule type="duplicateValues" dxfId="67" priority="53"/>
  </conditionalFormatting>
  <conditionalFormatting sqref="C2:C1048576">
    <cfRule type="duplicateValues" dxfId="66" priority="45"/>
  </conditionalFormatting>
  <conditionalFormatting sqref="I39">
    <cfRule type="duplicateValues" dxfId="65" priority="42"/>
    <cfRule type="duplicateValues" dxfId="64" priority="43"/>
  </conditionalFormatting>
  <conditionalFormatting sqref="C47">
    <cfRule type="duplicateValues" dxfId="63" priority="40"/>
    <cfRule type="duplicateValues" dxfId="62" priority="41"/>
  </conditionalFormatting>
  <conditionalFormatting sqref="C46">
    <cfRule type="duplicateValues" dxfId="61" priority="38"/>
    <cfRule type="duplicateValues" dxfId="60" priority="39"/>
  </conditionalFormatting>
  <conditionalFormatting sqref="C43:C47">
    <cfRule type="duplicateValues" dxfId="59" priority="36"/>
    <cfRule type="duplicateValues" dxfId="58" priority="37"/>
  </conditionalFormatting>
  <conditionalFormatting sqref="C41">
    <cfRule type="duplicateValues" dxfId="57" priority="32"/>
    <cfRule type="duplicateValues" dxfId="56" priority="33"/>
  </conditionalFormatting>
  <conditionalFormatting sqref="E42">
    <cfRule type="duplicateValues" dxfId="55" priority="30"/>
    <cfRule type="duplicateValues" dxfId="54" priority="31"/>
  </conditionalFormatting>
  <conditionalFormatting sqref="I42">
    <cfRule type="duplicateValues" dxfId="53" priority="28"/>
    <cfRule type="duplicateValues" dxfId="52" priority="29"/>
  </conditionalFormatting>
  <conditionalFormatting sqref="J42">
    <cfRule type="duplicateValues" dxfId="51" priority="26"/>
    <cfRule type="duplicateValues" dxfId="50" priority="27"/>
  </conditionalFormatting>
  <conditionalFormatting sqref="C42:C47">
    <cfRule type="duplicateValues" dxfId="49" priority="345"/>
    <cfRule type="duplicateValues" dxfId="48" priority="346"/>
  </conditionalFormatting>
  <conditionalFormatting sqref="C3:C49">
    <cfRule type="duplicateValues" dxfId="47" priority="349"/>
    <cfRule type="duplicateValues" dxfId="46" priority="350"/>
  </conditionalFormatting>
  <conditionalFormatting sqref="F3:F49">
    <cfRule type="duplicateValues" dxfId="45" priority="353"/>
  </conditionalFormatting>
  <conditionalFormatting sqref="C44:C45">
    <cfRule type="duplicateValues" dxfId="44" priority="24"/>
    <cfRule type="duplicateValues" dxfId="43" priority="25"/>
  </conditionalFormatting>
  <conditionalFormatting sqref="E45">
    <cfRule type="duplicateValues" dxfId="42" priority="23"/>
  </conditionalFormatting>
  <conditionalFormatting sqref="E45">
    <cfRule type="duplicateValues" dxfId="41" priority="21"/>
    <cfRule type="duplicateValues" dxfId="40" priority="22"/>
  </conditionalFormatting>
  <conditionalFormatting sqref="E45">
    <cfRule type="duplicateValues" dxfId="39" priority="19"/>
    <cfRule type="duplicateValues" dxfId="38" priority="20"/>
  </conditionalFormatting>
  <conditionalFormatting sqref="E45">
    <cfRule type="duplicateValues" dxfId="37" priority="17"/>
    <cfRule type="duplicateValues" dxfId="36" priority="18"/>
  </conditionalFormatting>
  <conditionalFormatting sqref="E45">
    <cfRule type="duplicateValues" dxfId="35" priority="15"/>
    <cfRule type="duplicateValues" dxfId="34" priority="16"/>
  </conditionalFormatting>
  <conditionalFormatting sqref="E49">
    <cfRule type="duplicateValues" dxfId="33" priority="13"/>
    <cfRule type="duplicateValues" dxfId="32" priority="14"/>
  </conditionalFormatting>
  <conditionalFormatting sqref="I49">
    <cfRule type="duplicateValues" dxfId="31" priority="11"/>
    <cfRule type="duplicateValues" dxfId="30" priority="12"/>
  </conditionalFormatting>
  <conditionalFormatting sqref="J49">
    <cfRule type="duplicateValues" dxfId="29" priority="9"/>
    <cfRule type="duplicateValues" dxfId="28" priority="10"/>
  </conditionalFormatting>
  <conditionalFormatting sqref="C49">
    <cfRule type="duplicateValues" dxfId="27" priority="7"/>
    <cfRule type="duplicateValues" dxfId="26" priority="8"/>
  </conditionalFormatting>
  <conditionalFormatting sqref="I21">
    <cfRule type="duplicateValues" dxfId="25" priority="6"/>
  </conditionalFormatting>
  <conditionalFormatting sqref="I21">
    <cfRule type="duplicateValues" dxfId="24" priority="4"/>
    <cfRule type="duplicateValues" dxfId="23" priority="5"/>
  </conditionalFormatting>
  <conditionalFormatting sqref="J21">
    <cfRule type="duplicateValues" dxfId="22" priority="3"/>
  </conditionalFormatting>
  <conditionalFormatting sqref="J21">
    <cfRule type="duplicateValues" dxfId="21" priority="1"/>
    <cfRule type="duplicateValues" dxfId="20" priority="2"/>
  </conditionalFormatting>
  <pageMargins left="0.7" right="0.7" top="0.75" bottom="0.75" header="0.3" footer="0.3"/>
  <pageSetup scale="85" orientation="landscape" horizontalDpi="180" verticalDpi="180" r:id="rId1"/>
  <legacy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"/>
  <dimension ref="B1:AE54"/>
  <sheetViews>
    <sheetView zoomScale="85" zoomScaleNormal="85" workbookViewId="0">
      <selection activeCell="AE18" sqref="O18:AE22"/>
    </sheetView>
  </sheetViews>
  <sheetFormatPr defaultRowHeight="15"/>
  <cols>
    <col min="2" max="2" width="4.5703125" customWidth="1"/>
    <col min="3" max="14" width="1.28515625" hidden="1" customWidth="1"/>
    <col min="15" max="15" width="28.85546875" bestFit="1" customWidth="1"/>
    <col min="16" max="16" width="2" customWidth="1"/>
    <col min="17" max="17" width="17.42578125" bestFit="1" customWidth="1"/>
    <col min="18" max="18" width="4.28515625" customWidth="1"/>
    <col min="19" max="20" width="5.28515625" customWidth="1"/>
    <col min="21" max="25" width="3.7109375" customWidth="1"/>
    <col min="26" max="27" width="3.5703125" bestFit="1" customWidth="1"/>
    <col min="28" max="28" width="7.85546875" bestFit="1" customWidth="1"/>
    <col min="29" max="29" width="6.85546875" bestFit="1" customWidth="1"/>
    <col min="30" max="30" width="7.85546875" bestFit="1" customWidth="1"/>
    <col min="31" max="31" width="14.85546875" bestFit="1" customWidth="1"/>
  </cols>
  <sheetData>
    <row r="1" spans="2:31">
      <c r="AA1">
        <f>COLUMN()</f>
        <v>27</v>
      </c>
    </row>
    <row r="2" spans="2:31">
      <c r="D2" s="96">
        <f>DATE(Kuitansi!AI2,Kuitansi!Z2,Kuitansi!Q2)</f>
        <v>43923</v>
      </c>
      <c r="E2" s="96"/>
      <c r="F2" s="96"/>
      <c r="G2" s="96"/>
      <c r="J2" s="83"/>
      <c r="M2" s="83"/>
      <c r="O2" s="170">
        <f>D2</f>
        <v>43923</v>
      </c>
    </row>
    <row r="3" spans="2:31" ht="30">
      <c r="C3" s="34"/>
      <c r="E3" s="34"/>
      <c r="G3" s="96"/>
      <c r="J3" s="96"/>
      <c r="M3" s="96"/>
      <c r="Q3" t="s">
        <v>283</v>
      </c>
      <c r="R3" t="s">
        <v>284</v>
      </c>
      <c r="S3" t="s">
        <v>285</v>
      </c>
      <c r="T3" t="s">
        <v>286</v>
      </c>
      <c r="AA3" s="147" t="s">
        <v>283</v>
      </c>
      <c r="AB3" s="147" t="s">
        <v>55</v>
      </c>
      <c r="AC3" s="147" t="s">
        <v>60</v>
      </c>
      <c r="AD3" s="147" t="s">
        <v>89</v>
      </c>
      <c r="AE3" s="155" t="s">
        <v>73</v>
      </c>
    </row>
    <row r="4" spans="2:31">
      <c r="B4" s="114" t="s">
        <v>112</v>
      </c>
      <c r="C4" s="115" t="s">
        <v>253</v>
      </c>
      <c r="D4" s="115" t="s">
        <v>113</v>
      </c>
      <c r="E4" s="116"/>
      <c r="F4" s="115" t="s">
        <v>254</v>
      </c>
      <c r="G4" s="115" t="s">
        <v>113</v>
      </c>
      <c r="H4" s="116"/>
      <c r="I4" s="115" t="s">
        <v>252</v>
      </c>
      <c r="J4" s="115" t="s">
        <v>113</v>
      </c>
      <c r="K4" s="116"/>
      <c r="L4" s="115" t="s">
        <v>255</v>
      </c>
      <c r="M4" s="115" t="s">
        <v>113</v>
      </c>
      <c r="N4" s="116"/>
      <c r="O4" s="117" t="str">
        <f>Kuitansi!M4</f>
        <v>KELAPA BULAT</v>
      </c>
      <c r="Q4" t="s">
        <v>260</v>
      </c>
      <c r="R4">
        <v>16</v>
      </c>
      <c r="S4">
        <v>20</v>
      </c>
      <c r="T4">
        <v>21</v>
      </c>
    </row>
    <row r="5" spans="2:31">
      <c r="B5" s="110">
        <v>1</v>
      </c>
      <c r="C5" s="111">
        <f>IF(COUNTIFS(KB[RELASI],VLOOKUP(B5,DBRELASI[[NO]:[RELASI]],2,0),KB[TANGGAL],CONF!$D$2)&lt;&gt;0,1,0)</f>
        <v>0</v>
      </c>
      <c r="D5" s="112" t="str">
        <f>IF(SUM(C5:C5)&lt;&gt;0,VLOOKUP(B5,DBRELASI[[NO]:[RELASI]],2,0),"")</f>
        <v/>
      </c>
      <c r="E5" s="112">
        <v>0</v>
      </c>
      <c r="F5" s="111">
        <f>IF(COUNTIFS(KBS[RELASI],VLOOKUP(B5,DBRELASI[[NO]:[RELASI]],2,0),KBS[TANGGAL],CONF!$D$2)&lt;&gt;0,1,0)</f>
        <v>0</v>
      </c>
      <c r="G5" s="112">
        <v>0</v>
      </c>
      <c r="H5" s="112">
        <f t="array" ref="H5">IFERROR(INDEX($G$5:$G$54,MATCH(0,COUNTIF($H$4:H4,$G$5:$G$54),0)),"")</f>
        <v>0</v>
      </c>
      <c r="I5" s="111">
        <f>IF(COUNTIFS(KPR[RELASI],VLOOKUP(B5,DBRELASI[[NO]:[RELASI]],2,0),KPR[TANGGAL],CONF!$D$2)&lt;&gt;0,1,0)</f>
        <v>0</v>
      </c>
      <c r="J5" s="112">
        <v>0</v>
      </c>
      <c r="K5" s="112">
        <v>0</v>
      </c>
      <c r="L5" s="111">
        <f>IF(COUNTIFS(ARG[RELASI],VLOOKUP(B5,DBRELASI[[NO]:[RELASI]],2,0),ARG[TANGGAL],CONF!$D$2)&lt;&gt;0,1,0)</f>
        <v>0</v>
      </c>
      <c r="M5" s="112">
        <v>0</v>
      </c>
      <c r="N5" s="112">
        <v>0</v>
      </c>
      <c r="O5" s="113">
        <f t="shared" ref="O5:O36" si="0">IF($O$4=$Q$4,E5,IF($O$4=$Q$5,H5,IF($O$4=$Q$6,K5,IF($O$4=$Q$7,N5,""))))</f>
        <v>0</v>
      </c>
      <c r="Q5" t="s">
        <v>261</v>
      </c>
      <c r="R5">
        <v>15</v>
      </c>
      <c r="S5">
        <v>19</v>
      </c>
      <c r="T5">
        <v>20</v>
      </c>
    </row>
    <row r="6" spans="2:31">
      <c r="B6" s="101">
        <f>+B5+1</f>
        <v>2</v>
      </c>
      <c r="C6" s="102">
        <f>IF(COUNTIFS(KB[RELASI],VLOOKUP(B6,DBRELASI[[NO]:[RELASI]],2,0),KB[TANGGAL],CONF!$D$2)&lt;&gt;0,1,0)</f>
        <v>0</v>
      </c>
      <c r="D6" s="103" t="str">
        <f>IF(SUM(C6:C6)&lt;&gt;0,VLOOKUP(B6,DBRELASI[[NO]:[RELASI]],2,0),"")</f>
        <v/>
      </c>
      <c r="E6" s="103" t="str">
        <f t="array" ref="E6">IFERROR(INDEX($D$5:$D$54,MATCH(0,COUNTIF($E$4:E5,$D$5:$D$54),0)),"")</f>
        <v>HENDRI</v>
      </c>
      <c r="F6" s="102">
        <f>IF(COUNTIFS(KBS[RELASI],VLOOKUP(B6,DBRELASI[[NO]:[RELASI]],2,0),KBS[TANGGAL],CONF!$D$2)&lt;&gt;0,1,0)</f>
        <v>0</v>
      </c>
      <c r="G6" s="103" t="str">
        <f>IF(SUM(F6)&lt;&gt;0,VLOOKUP(B6,DBRELASI[[NO]:[RELASI]],2,0),"")</f>
        <v/>
      </c>
      <c r="H6" s="103" t="str">
        <f t="array" ref="H6">IFERROR(INDEX($G$5:$G$54,MATCH(0,COUNTIF($H$4:H5,$G$5:$G$54),0)),"")</f>
        <v/>
      </c>
      <c r="I6" s="102">
        <f>IF(COUNTIFS(KPR[RELASI],VLOOKUP(B6,DBRELASI[[NO]:[RELASI]],2,0),KPR[TANGGAL],CONF!$D$2)&lt;&gt;0,1,0)</f>
        <v>0</v>
      </c>
      <c r="J6" s="103" t="str">
        <f>IF(SUM(I6)&lt;&gt;0,VLOOKUP(B6,DBRELASI[[NO]:[RELASI]],2,0),"")</f>
        <v/>
      </c>
      <c r="K6" s="103" t="str">
        <f t="array" ref="K6">IFERROR(INDEX($J$5:$J$54,MATCH(0,COUNTIF($K$4:K5,$J$5:$J$54),0)),"")</f>
        <v/>
      </c>
      <c r="L6" s="102">
        <f>IF(COUNTIFS(ARG[RELASI],VLOOKUP(B6,DBRELASI[[NO]:[RELASI]],2,0),ARG[TANGGAL],CONF!$D$2)&lt;&gt;0,1,0)</f>
        <v>0</v>
      </c>
      <c r="M6" s="103" t="str">
        <f>IF(SUM(L6)&lt;&gt;0,VLOOKUP(B6,DBRELASI[[NO]:[RELASI]],2,0),"")</f>
        <v/>
      </c>
      <c r="N6" s="103" t="str">
        <f t="array" ref="N6">IFERROR(INDEX($M$5:$M$54,MATCH(0,COUNTIF($N$4:N5,$M$5:$M$54),0)),"")</f>
        <v/>
      </c>
      <c r="O6" s="100" t="str">
        <f t="shared" si="0"/>
        <v>HENDRI</v>
      </c>
      <c r="Q6" t="s">
        <v>251</v>
      </c>
      <c r="R6">
        <v>18</v>
      </c>
      <c r="S6">
        <v>22</v>
      </c>
      <c r="T6">
        <v>23</v>
      </c>
    </row>
    <row r="7" spans="2:31">
      <c r="B7" s="97">
        <f t="shared" ref="B7:B54" si="1">+B6+1</f>
        <v>3</v>
      </c>
      <c r="C7" s="98">
        <f>IF(COUNTIFS(KB[RELASI],VLOOKUP(B7,DBRELASI[[NO]:[RELASI]],2,0),KB[TANGGAL],CONF!$D$2)&lt;&gt;0,1,0)</f>
        <v>0</v>
      </c>
      <c r="D7" s="99" t="str">
        <f>IF(SUM(C7:C7)&lt;&gt;0,VLOOKUP(B7,DBRELASI[[NO]:[RELASI]],2,0),"")</f>
        <v/>
      </c>
      <c r="E7" s="99" t="str">
        <f t="array" ref="E7">IFERROR(INDEX($D$5:$D$54,MATCH(0,COUNTIF($E$4:E6,$D$5:$D$54),0)),"")</f>
        <v/>
      </c>
      <c r="F7" s="98">
        <f>IF(COUNTIFS(KBS[RELASI],VLOOKUP(B7,DBRELASI[[NO]:[RELASI]],2,0),KBS[TANGGAL],CONF!$D$2)&lt;&gt;0,1,0)</f>
        <v>0</v>
      </c>
      <c r="G7" s="99" t="str">
        <f>IF(SUM(F7)&lt;&gt;0,VLOOKUP(B7,DBRELASI[[NO]:[RELASI]],2,0),"")</f>
        <v/>
      </c>
      <c r="H7" s="99" t="str">
        <f t="array" ref="H7">IFERROR(INDEX($G$5:$G$54,MATCH(0,COUNTIF($H$4:H6,$G$5:$G$54),0)),"")</f>
        <v/>
      </c>
      <c r="I7" s="98">
        <f>IF(COUNTIFS(KPR[RELASI],VLOOKUP(B7,DBRELASI[[NO]:[RELASI]],2,0),KPR[TANGGAL],CONF!$D$2)&lt;&gt;0,1,0)</f>
        <v>0</v>
      </c>
      <c r="J7" s="99" t="str">
        <f>IF(SUM(I7)&lt;&gt;0,VLOOKUP(B7,DBRELASI[[NO]:[RELASI]],2,0),"")</f>
        <v/>
      </c>
      <c r="K7" s="99" t="str">
        <f t="array" ref="K7">IFERROR(INDEX($J$5:$J$54,MATCH(0,COUNTIF($K$4:K6,$J$5:$J$54),0)),"")</f>
        <v/>
      </c>
      <c r="L7" s="98">
        <f>IF(COUNTIFS(ARG[RELASI],VLOOKUP(B7,DBRELASI[[NO]:[RELASI]],2,0),ARG[TANGGAL],CONF!$D$2)&lt;&gt;0,1,0)</f>
        <v>0</v>
      </c>
      <c r="M7" s="99" t="str">
        <f>IF(SUM(L7)&lt;&gt;0,VLOOKUP(B7,DBRELASI[[NO]:[RELASI]],2,0),"")</f>
        <v/>
      </c>
      <c r="N7" s="99" t="str">
        <f t="array" ref="N7">IFERROR(INDEX($M$5:$M$54,MATCH(0,COUNTIF($N$4:N6,$M$5:$M$54),0)),"")</f>
        <v/>
      </c>
      <c r="O7" s="100" t="str">
        <f t="shared" si="0"/>
        <v/>
      </c>
      <c r="Q7" t="s">
        <v>262</v>
      </c>
      <c r="R7">
        <v>19</v>
      </c>
      <c r="S7">
        <v>23</v>
      </c>
      <c r="T7">
        <v>24</v>
      </c>
    </row>
    <row r="8" spans="2:31">
      <c r="B8" s="101">
        <f t="shared" si="1"/>
        <v>4</v>
      </c>
      <c r="C8" s="102">
        <f>IF(COUNTIFS(KB[RELASI],VLOOKUP(B8,DBRELASI[[NO]:[RELASI]],2,0),KB[TANGGAL],CONF!$D$2)&lt;&gt;0,1,0)</f>
        <v>0</v>
      </c>
      <c r="D8" s="103" t="str">
        <f>IF(SUM(C8:C8)&lt;&gt;0,VLOOKUP(B8,DBRELASI[[NO]:[RELASI]],2,0),"")</f>
        <v/>
      </c>
      <c r="E8" s="103" t="str">
        <f t="array" ref="E8">IFERROR(INDEX($D$5:$D$54,MATCH(0,COUNTIF($E$4:E7,$D$5:$D$54),0)),"")</f>
        <v/>
      </c>
      <c r="F8" s="102">
        <f>IF(COUNTIFS(KBS[RELASI],VLOOKUP(B8,DBRELASI[[NO]:[RELASI]],2,0),KBS[TANGGAL],CONF!$D$2)&lt;&gt;0,1,0)</f>
        <v>0</v>
      </c>
      <c r="G8" s="103" t="str">
        <f>IF(SUM(F8)&lt;&gt;0,VLOOKUP(B8,DBRELASI[[NO]:[RELASI]],2,0),"")</f>
        <v/>
      </c>
      <c r="H8" s="103" t="str">
        <f t="array" ref="H8">IFERROR(INDEX($G$5:$G$54,MATCH(0,COUNTIF($H$4:H7,$G$5:$G$54),0)),"")</f>
        <v/>
      </c>
      <c r="I8" s="102">
        <f>IF(COUNTIFS(KPR[RELASI],VLOOKUP(B8,DBRELASI[[NO]:[RELASI]],2,0),KPR[TANGGAL],CONF!$D$2)&lt;&gt;0,1,0)</f>
        <v>0</v>
      </c>
      <c r="J8" s="103" t="str">
        <f>IF(SUM(I8)&lt;&gt;0,VLOOKUP(B8,DBRELASI[[NO]:[RELASI]],2,0),"")</f>
        <v/>
      </c>
      <c r="K8" s="103" t="str">
        <f t="array" ref="K8">IFERROR(INDEX($J$5:$J$54,MATCH(0,COUNTIF($K$4:K7,$J$5:$J$54),0)),"")</f>
        <v/>
      </c>
      <c r="L8" s="102">
        <f>IF(COUNTIFS(ARG[RELASI],VLOOKUP(B8,DBRELASI[[NO]:[RELASI]],2,0),ARG[TANGGAL],CONF!$D$2)&lt;&gt;0,1,0)</f>
        <v>0</v>
      </c>
      <c r="M8" s="103" t="str">
        <f>IF(SUM(L8)&lt;&gt;0,VLOOKUP(B8,DBRELASI[[NO]:[RELASI]],2,0),"")</f>
        <v/>
      </c>
      <c r="N8" s="103" t="str">
        <f t="array" ref="N8">IFERROR(INDEX($M$5:$M$54,MATCH(0,COUNTIF($N$4:N7,$M$5:$M$54),0)),"")</f>
        <v/>
      </c>
      <c r="O8" s="100" t="str">
        <f t="shared" si="0"/>
        <v/>
      </c>
    </row>
    <row r="9" spans="2:31">
      <c r="B9" s="97">
        <f t="shared" si="1"/>
        <v>5</v>
      </c>
      <c r="C9" s="98">
        <f>IF(COUNTIFS(KB[RELASI],VLOOKUP(B9,DBRELASI[[NO]:[RELASI]],2,0),KB[TANGGAL],CONF!$D$2)&lt;&gt;0,1,0)</f>
        <v>0</v>
      </c>
      <c r="D9" s="99" t="str">
        <f>IF(SUM(C9:C9)&lt;&gt;0,VLOOKUP(B9,DBRELASI[[NO]:[RELASI]],2,0),"")</f>
        <v/>
      </c>
      <c r="E9" s="99" t="str">
        <f t="array" ref="E9">IFERROR(INDEX($D$5:$D$54,MATCH(0,COUNTIF($E$4:E8,$D$5:$D$54),0)),"")</f>
        <v/>
      </c>
      <c r="F9" s="98">
        <f>IF(COUNTIFS(KBS[RELASI],VLOOKUP(B9,DBRELASI[[NO]:[RELASI]],2,0),KBS[TANGGAL],CONF!$D$2)&lt;&gt;0,1,0)</f>
        <v>0</v>
      </c>
      <c r="G9" s="99" t="str">
        <f>IF(SUM(F9)&lt;&gt;0,VLOOKUP(B9,DBRELASI[[NO]:[RELASI]],2,0),"")</f>
        <v/>
      </c>
      <c r="H9" s="99" t="str">
        <f t="array" ref="H9">IFERROR(INDEX($G$5:$G$54,MATCH(0,COUNTIF($H$4:H8,$G$5:$G$54),0)),"")</f>
        <v/>
      </c>
      <c r="I9" s="98">
        <f>IF(COUNTIFS(KPR[RELASI],VLOOKUP(B9,DBRELASI[[NO]:[RELASI]],2,0),KPR[TANGGAL],CONF!$D$2)&lt;&gt;0,1,0)</f>
        <v>0</v>
      </c>
      <c r="J9" s="99" t="str">
        <f>IF(SUM(I9)&lt;&gt;0,VLOOKUP(B9,DBRELASI[[NO]:[RELASI]],2,0),"")</f>
        <v/>
      </c>
      <c r="K9" s="99" t="str">
        <f t="array" ref="K9">IFERROR(INDEX($J$5:$J$54,MATCH(0,COUNTIF($K$4:K8,$J$5:$J$54),0)),"")</f>
        <v/>
      </c>
      <c r="L9" s="98">
        <f>IF(COUNTIFS(ARG[RELASI],VLOOKUP(B9,DBRELASI[[NO]:[RELASI]],2,0),ARG[TANGGAL],CONF!$D$2)&lt;&gt;0,1,0)</f>
        <v>0</v>
      </c>
      <c r="M9" s="99" t="str">
        <f>IF(SUM(L9)&lt;&gt;0,VLOOKUP(B9,DBRELASI[[NO]:[RELASI]],2,0),"")</f>
        <v/>
      </c>
      <c r="N9" s="99" t="str">
        <f t="array" ref="N9">IFERROR(INDEX($M$5:$M$54,MATCH(0,COUNTIF($N$4:N8,$M$5:$M$54),0)),"")</f>
        <v/>
      </c>
      <c r="O9" s="100" t="str">
        <f t="shared" si="0"/>
        <v/>
      </c>
    </row>
    <row r="10" spans="2:31">
      <c r="B10" s="101">
        <f t="shared" si="1"/>
        <v>6</v>
      </c>
      <c r="C10" s="102">
        <f>IF(COUNTIFS(KB[RELASI],VLOOKUP(B10,DBRELASI[[NO]:[RELASI]],2,0),KB[TANGGAL],CONF!$D$2)&lt;&gt;0,1,0)</f>
        <v>0</v>
      </c>
      <c r="D10" s="103" t="str">
        <f>IF(SUM(C10:C10)&lt;&gt;0,VLOOKUP(B10,DBRELASI[[NO]:[RELASI]],2,0),"")</f>
        <v/>
      </c>
      <c r="E10" s="103" t="str">
        <f t="array" ref="E10">IFERROR(INDEX($D$5:$D$54,MATCH(0,COUNTIF($E$4:E9,$D$5:$D$54),0)),"")</f>
        <v/>
      </c>
      <c r="F10" s="102">
        <f>IF(COUNTIFS(KBS[RELASI],VLOOKUP(B10,DBRELASI[[NO]:[RELASI]],2,0),KBS[TANGGAL],CONF!$D$2)&lt;&gt;0,1,0)</f>
        <v>0</v>
      </c>
      <c r="G10" s="103" t="str">
        <f>IF(SUM(F10)&lt;&gt;0,VLOOKUP(B10,DBRELASI[[NO]:[RELASI]],2,0),"")</f>
        <v/>
      </c>
      <c r="H10" s="103" t="str">
        <f t="array" ref="H10">IFERROR(INDEX($G$5:$G$54,MATCH(0,COUNTIF($H$4:H9,$G$5:$G$54),0)),"")</f>
        <v/>
      </c>
      <c r="I10" s="102">
        <f>IF(COUNTIFS(KPR[RELASI],VLOOKUP(B10,DBRELASI[[NO]:[RELASI]],2,0),KPR[TANGGAL],CONF!$D$2)&lt;&gt;0,1,0)</f>
        <v>0</v>
      </c>
      <c r="J10" s="103" t="str">
        <f>IF(SUM(I10)&lt;&gt;0,VLOOKUP(B10,DBRELASI[[NO]:[RELASI]],2,0),"")</f>
        <v/>
      </c>
      <c r="K10" s="103" t="str">
        <f t="array" ref="K10">IFERROR(INDEX($J$5:$J$54,MATCH(0,COUNTIF($K$4:K9,$J$5:$J$54),0)),"")</f>
        <v/>
      </c>
      <c r="L10" s="102">
        <f>IF(COUNTIFS(ARG[RELASI],VLOOKUP(B10,DBRELASI[[NO]:[RELASI]],2,0),ARG[TANGGAL],CONF!$D$2)&lt;&gt;0,1,0)</f>
        <v>0</v>
      </c>
      <c r="M10" s="103" t="str">
        <f>IF(SUM(L10)&lt;&gt;0,VLOOKUP(B10,DBRELASI[[NO]:[RELASI]],2,0),"")</f>
        <v/>
      </c>
      <c r="N10" s="103" t="str">
        <f t="array" ref="N10">IFERROR(INDEX($M$5:$M$54,MATCH(0,COUNTIF($N$4:N9,$M$5:$M$54),0)),"")</f>
        <v/>
      </c>
      <c r="O10" s="100" t="str">
        <f t="shared" si="0"/>
        <v/>
      </c>
    </row>
    <row r="11" spans="2:31">
      <c r="B11" s="97">
        <f t="shared" si="1"/>
        <v>7</v>
      </c>
      <c r="C11" s="98">
        <f>IF(COUNTIFS(KB[RELASI],VLOOKUP(B11,DBRELASI[[NO]:[RELASI]],2,0),KB[TANGGAL],CONF!$D$2)&lt;&gt;0,1,0)</f>
        <v>0</v>
      </c>
      <c r="D11" s="99" t="str">
        <f>IF(SUM(C11:C11)&lt;&gt;0,VLOOKUP(B11,DBRELASI[[NO]:[RELASI]],2,0),"")</f>
        <v/>
      </c>
      <c r="E11" s="99" t="str">
        <f t="array" ref="E11">IFERROR(INDEX($D$5:$D$54,MATCH(0,COUNTIF($E$4:E10,$D$5:$D$54),0)),"")</f>
        <v/>
      </c>
      <c r="F11" s="98">
        <f>IF(COUNTIFS(KBS[RELASI],VLOOKUP(B11,DBRELASI[[NO]:[RELASI]],2,0),KBS[TANGGAL],CONF!$D$2)&lt;&gt;0,1,0)</f>
        <v>0</v>
      </c>
      <c r="G11" s="99" t="str">
        <f>IF(SUM(F11)&lt;&gt;0,VLOOKUP(B11,DBRELASI[[NO]:[RELASI]],2,0),"")</f>
        <v/>
      </c>
      <c r="H11" s="99" t="str">
        <f t="array" ref="H11">IFERROR(INDEX($G$5:$G$54,MATCH(0,COUNTIF($H$4:H10,$G$5:$G$54),0)),"")</f>
        <v/>
      </c>
      <c r="I11" s="98">
        <f>IF(COUNTIFS(KPR[RELASI],VLOOKUP(B11,DBRELASI[[NO]:[RELASI]],2,0),KPR[TANGGAL],CONF!$D$2)&lt;&gt;0,1,0)</f>
        <v>0</v>
      </c>
      <c r="J11" s="99" t="str">
        <f>IF(SUM(I11)&lt;&gt;0,VLOOKUP(B11,DBRELASI[[NO]:[RELASI]],2,0),"")</f>
        <v/>
      </c>
      <c r="K11" s="99" t="str">
        <f t="array" ref="K11">IFERROR(INDEX($J$5:$J$54,MATCH(0,COUNTIF($K$4:K10,$J$5:$J$54),0)),"")</f>
        <v/>
      </c>
      <c r="L11" s="98">
        <f>IF(COUNTIFS(ARG[RELASI],VLOOKUP(B11,DBRELASI[[NO]:[RELASI]],2,0),ARG[TANGGAL],CONF!$D$2)&lt;&gt;0,1,0)</f>
        <v>0</v>
      </c>
      <c r="M11" s="99" t="str">
        <f>IF(SUM(L11)&lt;&gt;0,VLOOKUP(B11,DBRELASI[[NO]:[RELASI]],2,0),"")</f>
        <v/>
      </c>
      <c r="N11" s="99" t="str">
        <f t="array" ref="N11">IFERROR(INDEX($M$5:$M$54,MATCH(0,COUNTIF($N$4:N10,$M$5:$M$54),0)),"")</f>
        <v/>
      </c>
      <c r="O11" s="100" t="str">
        <f t="shared" si="0"/>
        <v/>
      </c>
    </row>
    <row r="12" spans="2:31">
      <c r="B12" s="101">
        <f t="shared" si="1"/>
        <v>8</v>
      </c>
      <c r="C12" s="102">
        <f>IF(COUNTIFS(KB[RELASI],VLOOKUP(B12,DBRELASI[[NO]:[RELASI]],2,0),KB[TANGGAL],CONF!$D$2)&lt;&gt;0,1,0)</f>
        <v>0</v>
      </c>
      <c r="D12" s="103" t="str">
        <f>IF(SUM(C12:C12)&lt;&gt;0,VLOOKUP(B12,DBRELASI[[NO]:[RELASI]],2,0),"")</f>
        <v/>
      </c>
      <c r="E12" s="103" t="str">
        <f t="array" ref="E12">IFERROR(INDEX($D$5:$D$54,MATCH(0,COUNTIF($E$4:E11,$D$5:$D$54),0)),"")</f>
        <v/>
      </c>
      <c r="F12" s="102">
        <f>IF(COUNTIFS(KBS[RELASI],VLOOKUP(B12,DBRELASI[[NO]:[RELASI]],2,0),KBS[TANGGAL],CONF!$D$2)&lt;&gt;0,1,0)</f>
        <v>0</v>
      </c>
      <c r="G12" s="103" t="str">
        <f>IF(SUM(F12)&lt;&gt;0,VLOOKUP(B12,DBRELASI[[NO]:[RELASI]],2,0),"")</f>
        <v/>
      </c>
      <c r="H12" s="103" t="str">
        <f t="array" ref="H12">IFERROR(INDEX($G$5:$G$54,MATCH(0,COUNTIF($H$4:H11,$G$5:$G$54),0)),"")</f>
        <v/>
      </c>
      <c r="I12" s="102">
        <f>IF(COUNTIFS(KPR[RELASI],VLOOKUP(B12,DBRELASI[[NO]:[RELASI]],2,0),KPR[TANGGAL],CONF!$D$2)&lt;&gt;0,1,0)</f>
        <v>0</v>
      </c>
      <c r="J12" s="103" t="str">
        <f>IF(SUM(I12)&lt;&gt;0,VLOOKUP(B12,DBRELASI[[NO]:[RELASI]],2,0),"")</f>
        <v/>
      </c>
      <c r="K12" s="103" t="str">
        <f t="array" ref="K12">IFERROR(INDEX($J$5:$J$54,MATCH(0,COUNTIF($K$4:K11,$J$5:$J$54),0)),"")</f>
        <v/>
      </c>
      <c r="L12" s="102">
        <f>IF(COUNTIFS(ARG[RELASI],VLOOKUP(B12,DBRELASI[[NO]:[RELASI]],2,0),ARG[TANGGAL],CONF!$D$2)&lt;&gt;0,1,0)</f>
        <v>0</v>
      </c>
      <c r="M12" s="103" t="str">
        <f>IF(SUM(L12)&lt;&gt;0,VLOOKUP(B12,DBRELASI[[NO]:[RELASI]],2,0),"")</f>
        <v/>
      </c>
      <c r="N12" s="103" t="str">
        <f t="array" ref="N12">IFERROR(INDEX($M$5:$M$54,MATCH(0,COUNTIF($N$4:N11,$M$5:$M$54),0)),"")</f>
        <v/>
      </c>
      <c r="O12" s="100" t="str">
        <f t="shared" si="0"/>
        <v/>
      </c>
    </row>
    <row r="13" spans="2:31">
      <c r="B13" s="97">
        <f t="shared" si="1"/>
        <v>9</v>
      </c>
      <c r="C13" s="98">
        <f>IF(COUNTIFS(KB[RELASI],VLOOKUP(B13,DBRELASI[[NO]:[RELASI]],2,0),KB[TANGGAL],CONF!$D$2)&lt;&gt;0,1,0)</f>
        <v>0</v>
      </c>
      <c r="D13" s="99" t="str">
        <f>IF(SUM(C13:C13)&lt;&gt;0,VLOOKUP(B13,DBRELASI[[NO]:[RELASI]],2,0),"")</f>
        <v/>
      </c>
      <c r="E13" s="99" t="str">
        <f t="array" ref="E13">IFERROR(INDEX($D$5:$D$54,MATCH(0,COUNTIF($E$4:E12,$D$5:$D$54),0)),"")</f>
        <v/>
      </c>
      <c r="F13" s="98">
        <f>IF(COUNTIFS(KBS[RELASI],VLOOKUP(B13,DBRELASI[[NO]:[RELASI]],2,0),KBS[TANGGAL],CONF!$D$2)&lt;&gt;0,1,0)</f>
        <v>0</v>
      </c>
      <c r="G13" s="99" t="str">
        <f>IF(SUM(F13)&lt;&gt;0,VLOOKUP(B13,DBRELASI[[NO]:[RELASI]],2,0),"")</f>
        <v/>
      </c>
      <c r="H13" s="99" t="str">
        <f t="array" ref="H13">IFERROR(INDEX($G$5:$G$54,MATCH(0,COUNTIF($H$4:H12,$G$5:$G$54),0)),"")</f>
        <v/>
      </c>
      <c r="I13" s="98">
        <f>IF(COUNTIFS(KPR[RELASI],VLOOKUP(B13,DBRELASI[[NO]:[RELASI]],2,0),KPR[TANGGAL],CONF!$D$2)&lt;&gt;0,1,0)</f>
        <v>0</v>
      </c>
      <c r="J13" s="99" t="str">
        <f>IF(SUM(I13)&lt;&gt;0,VLOOKUP(B13,DBRELASI[[NO]:[RELASI]],2,0),"")</f>
        <v/>
      </c>
      <c r="K13" s="99" t="str">
        <f t="array" ref="K13">IFERROR(INDEX($J$5:$J$54,MATCH(0,COUNTIF($K$4:K12,$J$5:$J$54),0)),"")</f>
        <v/>
      </c>
      <c r="L13" s="98">
        <f>IF(COUNTIFS(ARG[RELASI],VLOOKUP(B13,DBRELASI[[NO]:[RELASI]],2,0),ARG[TANGGAL],CONF!$D$2)&lt;&gt;0,1,0)</f>
        <v>0</v>
      </c>
      <c r="M13" s="99" t="str">
        <f>IF(SUM(L13)&lt;&gt;0,VLOOKUP(B13,DBRELASI[[NO]:[RELASI]],2,0),"")</f>
        <v/>
      </c>
      <c r="N13" s="99" t="str">
        <f t="array" ref="N13">IFERROR(INDEX($M$5:$M$54,MATCH(0,COUNTIF($N$4:N12,$M$5:$M$54),0)),"")</f>
        <v/>
      </c>
      <c r="O13" s="100" t="str">
        <f t="shared" si="0"/>
        <v/>
      </c>
    </row>
    <row r="14" spans="2:31">
      <c r="B14" s="101">
        <f t="shared" si="1"/>
        <v>10</v>
      </c>
      <c r="C14" s="102">
        <f>IF(COUNTIFS(KB[RELASI],VLOOKUP(B14,DBRELASI[[NO]:[RELASI]],2,0),KB[TANGGAL],CONF!$D$2)&lt;&gt;0,1,0)</f>
        <v>0</v>
      </c>
      <c r="D14" s="103" t="str">
        <f>IF(SUM(C14:C14)&lt;&gt;0,VLOOKUP(B14,DBRELASI[[NO]:[RELASI]],2,0),"")</f>
        <v/>
      </c>
      <c r="E14" s="103" t="str">
        <f t="array" ref="E14">IFERROR(INDEX($D$5:$D$54,MATCH(0,COUNTIF($E$4:E13,$D$5:$D$54),0)),"")</f>
        <v/>
      </c>
      <c r="F14" s="102">
        <f>IF(COUNTIFS(KBS[RELASI],VLOOKUP(B14,DBRELASI[[NO]:[RELASI]],2,0),KBS[TANGGAL],CONF!$D$2)&lt;&gt;0,1,0)</f>
        <v>0</v>
      </c>
      <c r="G14" s="103" t="str">
        <f>IF(SUM(F14)&lt;&gt;0,VLOOKUP(B14,DBRELASI[[NO]:[RELASI]],2,0),"")</f>
        <v/>
      </c>
      <c r="H14" s="103" t="str">
        <f t="array" ref="H14">IFERROR(INDEX($G$5:$G$54,MATCH(0,COUNTIF($H$4:H13,$G$5:$G$54),0)),"")</f>
        <v/>
      </c>
      <c r="I14" s="102">
        <f>IF(COUNTIFS(KPR[RELASI],VLOOKUP(B14,DBRELASI[[NO]:[RELASI]],2,0),KPR[TANGGAL],CONF!$D$2)&lt;&gt;0,1,0)</f>
        <v>0</v>
      </c>
      <c r="J14" s="103" t="str">
        <f>IF(SUM(I14)&lt;&gt;0,VLOOKUP(B14,DBRELASI[[NO]:[RELASI]],2,0),"")</f>
        <v/>
      </c>
      <c r="K14" s="103" t="str">
        <f t="array" ref="K14">IFERROR(INDEX($J$5:$J$54,MATCH(0,COUNTIF($K$4:K13,$J$5:$J$54),0)),"")</f>
        <v/>
      </c>
      <c r="L14" s="102">
        <f>IF(COUNTIFS(ARG[RELASI],VLOOKUP(B14,DBRELASI[[NO]:[RELASI]],2,0),ARG[TANGGAL],CONF!$D$2)&lt;&gt;0,1,0)</f>
        <v>0</v>
      </c>
      <c r="M14" s="103" t="str">
        <f>IF(SUM(L14)&lt;&gt;0,VLOOKUP(B14,DBRELASI[[NO]:[RELASI]],2,0),"")</f>
        <v/>
      </c>
      <c r="N14" s="103" t="str">
        <f t="array" ref="N14">IFERROR(INDEX($M$5:$M$54,MATCH(0,COUNTIF($N$4:N13,$M$5:$M$54),0)),"")</f>
        <v/>
      </c>
      <c r="O14" s="100" t="str">
        <f t="shared" si="0"/>
        <v/>
      </c>
    </row>
    <row r="15" spans="2:31">
      <c r="B15" s="97">
        <f t="shared" si="1"/>
        <v>11</v>
      </c>
      <c r="C15" s="98">
        <f>IF(COUNTIFS(KB[RELASI],VLOOKUP(B15,DBRELASI[[NO]:[RELASI]],2,0),KB[TANGGAL],CONF!$D$2)&lt;&gt;0,1,0)</f>
        <v>0</v>
      </c>
      <c r="D15" s="99" t="str">
        <f>IF(SUM(C15:C15)&lt;&gt;0,VLOOKUP(B15,DBRELASI[[NO]:[RELASI]],2,0),"")</f>
        <v/>
      </c>
      <c r="E15" s="99" t="str">
        <f t="array" ref="E15">IFERROR(INDEX($D$5:$D$54,MATCH(0,COUNTIF($E$4:E14,$D$5:$D$54),0)),"")</f>
        <v/>
      </c>
      <c r="F15" s="98">
        <f>IF(COUNTIFS(KBS[RELASI],VLOOKUP(B15,DBRELASI[[NO]:[RELASI]],2,0),KBS[TANGGAL],CONF!$D$2)&lt;&gt;0,1,0)</f>
        <v>0</v>
      </c>
      <c r="G15" s="99" t="str">
        <f>IF(SUM(F15)&lt;&gt;0,VLOOKUP(B15,DBRELASI[[NO]:[RELASI]],2,0),"")</f>
        <v/>
      </c>
      <c r="H15" s="99" t="str">
        <f t="array" ref="H15">IFERROR(INDEX($G$5:$G$54,MATCH(0,COUNTIF($H$4:H14,$G$5:$G$54),0)),"")</f>
        <v/>
      </c>
      <c r="I15" s="98">
        <f>IF(COUNTIFS(KPR[RELASI],VLOOKUP(B15,DBRELASI[[NO]:[RELASI]],2,0),KPR[TANGGAL],CONF!$D$2)&lt;&gt;0,1,0)</f>
        <v>0</v>
      </c>
      <c r="J15" s="99" t="str">
        <f>IF(SUM(I15)&lt;&gt;0,VLOOKUP(B15,DBRELASI[[NO]:[RELASI]],2,0),"")</f>
        <v/>
      </c>
      <c r="K15" s="99" t="str">
        <f t="array" ref="K15">IFERROR(INDEX($J$5:$J$54,MATCH(0,COUNTIF($K$4:K14,$J$5:$J$54),0)),"")</f>
        <v/>
      </c>
      <c r="L15" s="98">
        <f>IF(COUNTIFS(ARG[RELASI],VLOOKUP(B15,DBRELASI[[NO]:[RELASI]],2,0),ARG[TANGGAL],CONF!$D$2)&lt;&gt;0,1,0)</f>
        <v>0</v>
      </c>
      <c r="M15" s="99" t="str">
        <f>IF(SUM(L15)&lt;&gt;0,VLOOKUP(B15,DBRELASI[[NO]:[RELASI]],2,0),"")</f>
        <v/>
      </c>
      <c r="N15" s="99" t="str">
        <f t="array" ref="N15">IFERROR(INDEX($M$5:$M$54,MATCH(0,COUNTIF($N$4:N14,$M$5:$M$54),0)),"")</f>
        <v/>
      </c>
      <c r="O15" s="100" t="str">
        <f t="shared" si="0"/>
        <v/>
      </c>
    </row>
    <row r="16" spans="2:31">
      <c r="B16" s="101">
        <f t="shared" si="1"/>
        <v>12</v>
      </c>
      <c r="C16" s="102">
        <f>IF(COUNTIFS(KB[RELASI],VLOOKUP(B16,DBRELASI[[NO]:[RELASI]],2,0),KB[TANGGAL],CONF!$D$2)&lt;&gt;0,1,0)</f>
        <v>0</v>
      </c>
      <c r="D16" s="103" t="str">
        <f>IF(SUM(C16:C16)&lt;&gt;0,VLOOKUP(B16,DBRELASI[[NO]:[RELASI]],2,0),"")</f>
        <v/>
      </c>
      <c r="E16" s="103" t="str">
        <f t="array" ref="E16">IFERROR(INDEX($D$5:$D$54,MATCH(0,COUNTIF($E$4:E15,$D$5:$D$54),0)),"")</f>
        <v/>
      </c>
      <c r="F16" s="102">
        <f>IF(COUNTIFS(KBS[RELASI],VLOOKUP(B16,DBRELASI[[NO]:[RELASI]],2,0),KBS[TANGGAL],CONF!$D$2)&lt;&gt;0,1,0)</f>
        <v>0</v>
      </c>
      <c r="G16" s="103" t="str">
        <f>IF(SUM(F16)&lt;&gt;0,VLOOKUP(B16,DBRELASI[[NO]:[RELASI]],2,0),"")</f>
        <v/>
      </c>
      <c r="H16" s="103" t="str">
        <f t="array" ref="H16">IFERROR(INDEX($G$5:$G$54,MATCH(0,COUNTIF($H$4:H15,$G$5:$G$54),0)),"")</f>
        <v/>
      </c>
      <c r="I16" s="102">
        <f>IF(COUNTIFS(KPR[RELASI],VLOOKUP(B16,DBRELASI[[NO]:[RELASI]],2,0),KPR[TANGGAL],CONF!$D$2)&lt;&gt;0,1,0)</f>
        <v>0</v>
      </c>
      <c r="J16" s="103" t="str">
        <f>IF(SUM(I16)&lt;&gt;0,VLOOKUP(B16,DBRELASI[[NO]:[RELASI]],2,0),"")</f>
        <v/>
      </c>
      <c r="K16" s="103" t="str">
        <f t="array" ref="K16">IFERROR(INDEX($J$5:$J$54,MATCH(0,COUNTIF($K$4:K15,$J$5:$J$54),0)),"")</f>
        <v/>
      </c>
      <c r="L16" s="102">
        <f>IF(COUNTIFS(ARG[RELASI],VLOOKUP(B16,DBRELASI[[NO]:[RELASI]],2,0),ARG[TANGGAL],CONF!$D$2)&lt;&gt;0,1,0)</f>
        <v>0</v>
      </c>
      <c r="M16" s="103" t="str">
        <f>IF(SUM(L16)&lt;&gt;0,VLOOKUP(B16,DBRELASI[[NO]:[RELASI]],2,0),"")</f>
        <v/>
      </c>
      <c r="N16" s="103" t="str">
        <f t="array" ref="N16">IFERROR(INDEX($M$5:$M$54,MATCH(0,COUNTIF($N$4:N15,$M$5:$M$54),0)),"")</f>
        <v/>
      </c>
      <c r="O16" s="100" t="str">
        <f t="shared" si="0"/>
        <v/>
      </c>
    </row>
    <row r="17" spans="2:15">
      <c r="B17" s="97">
        <f t="shared" si="1"/>
        <v>13</v>
      </c>
      <c r="C17" s="98">
        <f>IF(COUNTIFS(KB[RELASI],VLOOKUP(B17,DBRELASI[[NO]:[RELASI]],2,0),KB[TANGGAL],CONF!$D$2)&lt;&gt;0,1,0)</f>
        <v>0</v>
      </c>
      <c r="D17" s="99" t="str">
        <f>IF(SUM(C17:C17)&lt;&gt;0,VLOOKUP(B17,DBRELASI[[NO]:[RELASI]],2,0),"")</f>
        <v/>
      </c>
      <c r="E17" s="99" t="str">
        <f t="array" ref="E17">IFERROR(INDEX($D$5:$D$54,MATCH(0,COUNTIF($E$4:E16,$D$5:$D$54),0)),"")</f>
        <v/>
      </c>
      <c r="F17" s="98">
        <f>IF(COUNTIFS(KBS[RELASI],VLOOKUP(B17,DBRELASI[[NO]:[RELASI]],2,0),KBS[TANGGAL],CONF!$D$2)&lt;&gt;0,1,0)</f>
        <v>0</v>
      </c>
      <c r="G17" s="99" t="str">
        <f>IF(SUM(F17)&lt;&gt;0,VLOOKUP(B17,DBRELASI[[NO]:[RELASI]],2,0),"")</f>
        <v/>
      </c>
      <c r="H17" s="99" t="str">
        <f t="array" ref="H17">IFERROR(INDEX($G$5:$G$54,MATCH(0,COUNTIF($H$4:H16,$G$5:$G$54),0)),"")</f>
        <v/>
      </c>
      <c r="I17" s="98">
        <f>IF(COUNTIFS(KPR[RELASI],VLOOKUP(B17,DBRELASI[[NO]:[RELASI]],2,0),KPR[TANGGAL],CONF!$D$2)&lt;&gt;0,1,0)</f>
        <v>0</v>
      </c>
      <c r="J17" s="99" t="str">
        <f>IF(SUM(I17)&lt;&gt;0,VLOOKUP(B17,DBRELASI[[NO]:[RELASI]],2,0),"")</f>
        <v/>
      </c>
      <c r="K17" s="99" t="str">
        <f t="array" ref="K17">IFERROR(INDEX($J$5:$J$54,MATCH(0,COUNTIF($K$4:K16,$J$5:$J$54),0)),"")</f>
        <v/>
      </c>
      <c r="L17" s="98">
        <f>IF(COUNTIFS(ARG[RELASI],VLOOKUP(B17,DBRELASI[[NO]:[RELASI]],2,0),ARG[TANGGAL],CONF!$D$2)&lt;&gt;0,1,0)</f>
        <v>0</v>
      </c>
      <c r="M17" s="99" t="str">
        <f>IF(SUM(L17)&lt;&gt;0,VLOOKUP(B17,DBRELASI[[NO]:[RELASI]],2,0),"")</f>
        <v/>
      </c>
      <c r="N17" s="99" t="str">
        <f t="array" ref="N17">IFERROR(INDEX($M$5:$M$54,MATCH(0,COUNTIF($N$4:N16,$M$5:$M$54),0)),"")</f>
        <v/>
      </c>
      <c r="O17" s="100" t="str">
        <f t="shared" si="0"/>
        <v/>
      </c>
    </row>
    <row r="18" spans="2:15">
      <c r="B18" s="101">
        <f t="shared" si="1"/>
        <v>14</v>
      </c>
      <c r="C18" s="102">
        <f>IF(COUNTIFS(KB[RELASI],VLOOKUP(B18,DBRELASI[[NO]:[RELASI]],2,0),KB[TANGGAL],CONF!$D$2)&lt;&gt;0,1,0)</f>
        <v>0</v>
      </c>
      <c r="D18" s="103" t="str">
        <f>IF(SUM(C18:C18)&lt;&gt;0,VLOOKUP(B18,DBRELASI[[NO]:[RELASI]],2,0),"")</f>
        <v/>
      </c>
      <c r="E18" s="103" t="str">
        <f t="array" ref="E18">IFERROR(INDEX($D$5:$D$54,MATCH(0,COUNTIF($E$4:E17,$D$5:$D$54),0)),"")</f>
        <v/>
      </c>
      <c r="F18" s="102">
        <f>IF(COUNTIFS(KBS[RELASI],VLOOKUP(B18,DBRELASI[[NO]:[RELASI]],2,0),KBS[TANGGAL],CONF!$D$2)&lt;&gt;0,1,0)</f>
        <v>0</v>
      </c>
      <c r="G18" s="103" t="str">
        <f>IF(SUM(F18)&lt;&gt;0,VLOOKUP(B18,DBRELASI[[NO]:[RELASI]],2,0),"")</f>
        <v/>
      </c>
      <c r="H18" s="103" t="str">
        <f t="array" ref="H18">IFERROR(INDEX($G$5:$G$54,MATCH(0,COUNTIF($H$4:H17,$G$5:$G$54),0)),"")</f>
        <v/>
      </c>
      <c r="I18" s="102">
        <f>IF(COUNTIFS(KPR[RELASI],VLOOKUP(B18,DBRELASI[[NO]:[RELASI]],2,0),KPR[TANGGAL],CONF!$D$2)&lt;&gt;0,1,0)</f>
        <v>0</v>
      </c>
      <c r="J18" s="103" t="str">
        <f>IF(SUM(I18)&lt;&gt;0,VLOOKUP(B18,DBRELASI[[NO]:[RELASI]],2,0),"")</f>
        <v/>
      </c>
      <c r="K18" s="103" t="str">
        <f t="array" ref="K18">IFERROR(INDEX($J$5:$J$54,MATCH(0,COUNTIF($K$4:K17,$J$5:$J$54),0)),"")</f>
        <v/>
      </c>
      <c r="L18" s="102">
        <f>IF(COUNTIFS(ARG[RELASI],VLOOKUP(B18,DBRELASI[[NO]:[RELASI]],2,0),ARG[TANGGAL],CONF!$D$2)&lt;&gt;0,1,0)</f>
        <v>0</v>
      </c>
      <c r="M18" s="103" t="str">
        <f>IF(SUM(L18)&lt;&gt;0,VLOOKUP(B18,DBRELASI[[NO]:[RELASI]],2,0),"")</f>
        <v/>
      </c>
      <c r="N18" s="103" t="str">
        <f t="array" ref="N18">IFERROR(INDEX($M$5:$M$54,MATCH(0,COUNTIF($N$4:N17,$M$5:$M$54),0)),"")</f>
        <v/>
      </c>
      <c r="O18" s="100" t="str">
        <f t="shared" si="0"/>
        <v/>
      </c>
    </row>
    <row r="19" spans="2:15">
      <c r="B19" s="97">
        <f t="shared" si="1"/>
        <v>15</v>
      </c>
      <c r="C19" s="98">
        <f>IF(COUNTIFS(KB[RELASI],VLOOKUP(B19,DBRELASI[[NO]:[RELASI]],2,0),KB[TANGGAL],CONF!$D$2)&lt;&gt;0,1,0)</f>
        <v>0</v>
      </c>
      <c r="D19" s="99" t="str">
        <f>IF(SUM(C19:C19)&lt;&gt;0,VLOOKUP(B19,DBRELASI[[NO]:[RELASI]],2,0),"")</f>
        <v/>
      </c>
      <c r="E19" s="99" t="str">
        <f t="array" ref="E19">IFERROR(INDEX($D$5:$D$54,MATCH(0,COUNTIF($E$4:E18,$D$5:$D$54),0)),"")</f>
        <v/>
      </c>
      <c r="F19" s="98">
        <f>IF(COUNTIFS(KBS[RELASI],VLOOKUP(B19,DBRELASI[[NO]:[RELASI]],2,0),KBS[TANGGAL],CONF!$D$2)&lt;&gt;0,1,0)</f>
        <v>0</v>
      </c>
      <c r="G19" s="99" t="str">
        <f>IF(SUM(F19)&lt;&gt;0,VLOOKUP(B19,DBRELASI[[NO]:[RELASI]],2,0),"")</f>
        <v/>
      </c>
      <c r="H19" s="99" t="str">
        <f t="array" ref="H19">IFERROR(INDEX($G$5:$G$54,MATCH(0,COUNTIF($H$4:H18,$G$5:$G$54),0)),"")</f>
        <v/>
      </c>
      <c r="I19" s="98">
        <f>IF(COUNTIFS(KPR[RELASI],VLOOKUP(B19,DBRELASI[[NO]:[RELASI]],2,0),KPR[TANGGAL],CONF!$D$2)&lt;&gt;0,1,0)</f>
        <v>0</v>
      </c>
      <c r="J19" s="99" t="str">
        <f>IF(SUM(I19)&lt;&gt;0,VLOOKUP(B19,DBRELASI[[NO]:[RELASI]],2,0),"")</f>
        <v/>
      </c>
      <c r="K19" s="99" t="str">
        <f t="array" ref="K19">IFERROR(INDEX($J$5:$J$54,MATCH(0,COUNTIF($K$4:K18,$J$5:$J$54),0)),"")</f>
        <v/>
      </c>
      <c r="L19" s="98">
        <f>IF(COUNTIFS(ARG[RELASI],VLOOKUP(B19,DBRELASI[[NO]:[RELASI]],2,0),ARG[TANGGAL],CONF!$D$2)&lt;&gt;0,1,0)</f>
        <v>0</v>
      </c>
      <c r="M19" s="99" t="str">
        <f>IF(SUM(L19)&lt;&gt;0,VLOOKUP(B19,DBRELASI[[NO]:[RELASI]],2,0),"")</f>
        <v/>
      </c>
      <c r="N19" s="99" t="str">
        <f t="array" ref="N19">IFERROR(INDEX($M$5:$M$54,MATCH(0,COUNTIF($N$4:N18,$M$5:$M$54),0)),"")</f>
        <v/>
      </c>
      <c r="O19" s="100" t="str">
        <f t="shared" si="0"/>
        <v/>
      </c>
    </row>
    <row r="20" spans="2:15">
      <c r="B20" s="101">
        <f t="shared" si="1"/>
        <v>16</v>
      </c>
      <c r="C20" s="102">
        <f>IF(COUNTIFS(KB[RELASI],VLOOKUP(B20,DBRELASI[[NO]:[RELASI]],2,0),KB[TANGGAL],CONF!$D$2)&lt;&gt;0,1,0)</f>
        <v>0</v>
      </c>
      <c r="D20" s="103" t="str">
        <f>IF(SUM(C20:C20)&lt;&gt;0,VLOOKUP(B20,DBRELASI[[NO]:[RELASI]],2,0),"")</f>
        <v/>
      </c>
      <c r="E20" s="103" t="str">
        <f t="array" ref="E20">IFERROR(INDEX($D$5:$D$54,MATCH(0,COUNTIF($E$4:E19,$D$5:$D$54),0)),"")</f>
        <v/>
      </c>
      <c r="F20" s="102">
        <f>IF(COUNTIFS(KBS[RELASI],VLOOKUP(B20,DBRELASI[[NO]:[RELASI]],2,0),KBS[TANGGAL],CONF!$D$2)&lt;&gt;0,1,0)</f>
        <v>0</v>
      </c>
      <c r="G20" s="103" t="str">
        <f>IF(SUM(F20)&lt;&gt;0,VLOOKUP(B20,DBRELASI[[NO]:[RELASI]],2,0),"")</f>
        <v/>
      </c>
      <c r="H20" s="103" t="str">
        <f t="array" ref="H20">IFERROR(INDEX($G$5:$G$54,MATCH(0,COUNTIF($H$4:H19,$G$5:$G$54),0)),"")</f>
        <v/>
      </c>
      <c r="I20" s="102">
        <f>IF(COUNTIFS(KPR[RELASI],VLOOKUP(B20,DBRELASI[[NO]:[RELASI]],2,0),KPR[TANGGAL],CONF!$D$2)&lt;&gt;0,1,0)</f>
        <v>0</v>
      </c>
      <c r="J20" s="103" t="str">
        <f>IF(SUM(I20)&lt;&gt;0,VLOOKUP(B20,DBRELASI[[NO]:[RELASI]],2,0),"")</f>
        <v/>
      </c>
      <c r="K20" s="103" t="str">
        <f t="array" ref="K20">IFERROR(INDEX($J$5:$J$54,MATCH(0,COUNTIF($K$4:K19,$J$5:$J$54),0)),"")</f>
        <v/>
      </c>
      <c r="L20" s="102">
        <f>IF(COUNTIFS(ARG[RELASI],VLOOKUP(B20,DBRELASI[[NO]:[RELASI]],2,0),ARG[TANGGAL],CONF!$D$2)&lt;&gt;0,1,0)</f>
        <v>0</v>
      </c>
      <c r="M20" s="103" t="str">
        <f>IF(SUM(L20)&lt;&gt;0,VLOOKUP(B20,DBRELASI[[NO]:[RELASI]],2,0),"")</f>
        <v/>
      </c>
      <c r="N20" s="103" t="str">
        <f t="array" ref="N20">IFERROR(INDEX($M$5:$M$54,MATCH(0,COUNTIF($N$4:N19,$M$5:$M$54),0)),"")</f>
        <v/>
      </c>
      <c r="O20" s="100" t="str">
        <f t="shared" si="0"/>
        <v/>
      </c>
    </row>
    <row r="21" spans="2:15">
      <c r="B21" s="97">
        <f t="shared" si="1"/>
        <v>17</v>
      </c>
      <c r="C21" s="98">
        <f>IF(COUNTIFS(KB[RELASI],VLOOKUP(B21,DBRELASI[[NO]:[RELASI]],2,0),KB[TANGGAL],CONF!$D$2)&lt;&gt;0,1,0)</f>
        <v>0</v>
      </c>
      <c r="D21" s="99" t="str">
        <f>IF(SUM(C21:C21)&lt;&gt;0,VLOOKUP(B21,DBRELASI[[NO]:[RELASI]],2,0),"")</f>
        <v/>
      </c>
      <c r="E21" s="99" t="str">
        <f t="array" ref="E21">IFERROR(INDEX($D$5:$D$54,MATCH(0,COUNTIF($E$4:E20,$D$5:$D$54),0)),"")</f>
        <v/>
      </c>
      <c r="F21" s="98">
        <f>IF(COUNTIFS(KBS[RELASI],VLOOKUP(B21,DBRELASI[[NO]:[RELASI]],2,0),KBS[TANGGAL],CONF!$D$2)&lt;&gt;0,1,0)</f>
        <v>0</v>
      </c>
      <c r="G21" s="99" t="str">
        <f>IF(SUM(F21)&lt;&gt;0,VLOOKUP(B21,DBRELASI[[NO]:[RELASI]],2,0),"")</f>
        <v/>
      </c>
      <c r="H21" s="99" t="str">
        <f t="array" ref="H21">IFERROR(INDEX($G$5:$G$54,MATCH(0,COUNTIF($H$4:H20,$G$5:$G$54),0)),"")</f>
        <v/>
      </c>
      <c r="I21" s="98">
        <f>IF(COUNTIFS(KPR[RELASI],VLOOKUP(B21,DBRELASI[[NO]:[RELASI]],2,0),KPR[TANGGAL],CONF!$D$2)&lt;&gt;0,1,0)</f>
        <v>0</v>
      </c>
      <c r="J21" s="99" t="str">
        <f>IF(SUM(I21)&lt;&gt;0,VLOOKUP(B21,DBRELASI[[NO]:[RELASI]],2,0),"")</f>
        <v/>
      </c>
      <c r="K21" s="99" t="str">
        <f t="array" ref="K21">IFERROR(INDEX($J$5:$J$54,MATCH(0,COUNTIF($K$4:K20,$J$5:$J$54),0)),"")</f>
        <v/>
      </c>
      <c r="L21" s="98">
        <f>IF(COUNTIFS(ARG[RELASI],VLOOKUP(B21,DBRELASI[[NO]:[RELASI]],2,0),ARG[TANGGAL],CONF!$D$2)&lt;&gt;0,1,0)</f>
        <v>0</v>
      </c>
      <c r="M21" s="99" t="str">
        <f>IF(SUM(L21)&lt;&gt;0,VLOOKUP(B21,DBRELASI[[NO]:[RELASI]],2,0),"")</f>
        <v/>
      </c>
      <c r="N21" s="99" t="str">
        <f t="array" ref="N21">IFERROR(INDEX($M$5:$M$54,MATCH(0,COUNTIF($N$4:N20,$M$5:$M$54),0)),"")</f>
        <v/>
      </c>
      <c r="O21" s="100" t="str">
        <f t="shared" si="0"/>
        <v/>
      </c>
    </row>
    <row r="22" spans="2:15">
      <c r="B22" s="101">
        <f t="shared" si="1"/>
        <v>18</v>
      </c>
      <c r="C22" s="102">
        <f>IF(COUNTIFS(KB[RELASI],VLOOKUP(B22,DBRELASI[[NO]:[RELASI]],2,0),KB[TANGGAL],CONF!$D$2)&lt;&gt;0,1,0)</f>
        <v>0</v>
      </c>
      <c r="D22" s="103" t="str">
        <f>IF(SUM(C22:C22)&lt;&gt;0,VLOOKUP(B22,DBRELASI[[NO]:[RELASI]],2,0),"")</f>
        <v/>
      </c>
      <c r="E22" s="103" t="str">
        <f t="array" ref="E22">IFERROR(INDEX($D$5:$D$54,MATCH(0,COUNTIF($E$4:E21,$D$5:$D$54),0)),"")</f>
        <v/>
      </c>
      <c r="F22" s="102">
        <f>IF(COUNTIFS(KBS[RELASI],VLOOKUP(B22,DBRELASI[[NO]:[RELASI]],2,0),KBS[TANGGAL],CONF!$D$2)&lt;&gt;0,1,0)</f>
        <v>0</v>
      </c>
      <c r="G22" s="103" t="str">
        <f>IF(SUM(F22)&lt;&gt;0,VLOOKUP(B22,DBRELASI[[NO]:[RELASI]],2,0),"")</f>
        <v/>
      </c>
      <c r="H22" s="103" t="str">
        <f t="array" ref="H22">IFERROR(INDEX($G$5:$G$54,MATCH(0,COUNTIF($H$4:H21,$G$5:$G$54),0)),"")</f>
        <v/>
      </c>
      <c r="I22" s="102">
        <f>IF(COUNTIFS(KPR[RELASI],VLOOKUP(B22,DBRELASI[[NO]:[RELASI]],2,0),KPR[TANGGAL],CONF!$D$2)&lt;&gt;0,1,0)</f>
        <v>0</v>
      </c>
      <c r="J22" s="103" t="str">
        <f>IF(SUM(I22)&lt;&gt;0,VLOOKUP(B22,DBRELASI[[NO]:[RELASI]],2,0),"")</f>
        <v/>
      </c>
      <c r="K22" s="103" t="str">
        <f t="array" ref="K22">IFERROR(INDEX($J$5:$J$54,MATCH(0,COUNTIF($K$4:K21,$J$5:$J$54),0)),"")</f>
        <v/>
      </c>
      <c r="L22" s="102">
        <f>IF(COUNTIFS(ARG[RELASI],VLOOKUP(B22,DBRELASI[[NO]:[RELASI]],2,0),ARG[TANGGAL],CONF!$D$2)&lt;&gt;0,1,0)</f>
        <v>0</v>
      </c>
      <c r="M22" s="103" t="str">
        <f>IF(SUM(L22)&lt;&gt;0,VLOOKUP(B22,DBRELASI[[NO]:[RELASI]],2,0),"")</f>
        <v/>
      </c>
      <c r="N22" s="103" t="str">
        <f t="array" ref="N22">IFERROR(INDEX($M$5:$M$54,MATCH(0,COUNTIF($N$4:N21,$M$5:$M$54),0)),"")</f>
        <v/>
      </c>
      <c r="O22" s="100" t="str">
        <f t="shared" si="0"/>
        <v/>
      </c>
    </row>
    <row r="23" spans="2:15">
      <c r="B23" s="97">
        <f t="shared" si="1"/>
        <v>19</v>
      </c>
      <c r="C23" s="98">
        <f>IF(COUNTIFS(KB[RELASI],VLOOKUP(B23,DBRELASI[[NO]:[RELASI]],2,0),KB[TANGGAL],CONF!$D$2)&lt;&gt;0,1,0)</f>
        <v>0</v>
      </c>
      <c r="D23" s="99" t="str">
        <f>IF(SUM(C23:C23)&lt;&gt;0,VLOOKUP(B23,DBRELASI[[NO]:[RELASI]],2,0),"")</f>
        <v/>
      </c>
      <c r="E23" s="99" t="str">
        <f t="array" ref="E23">IFERROR(INDEX($D$5:$D$54,MATCH(0,COUNTIF($E$4:E22,$D$5:$D$54),0)),"")</f>
        <v/>
      </c>
      <c r="F23" s="98">
        <f>IF(COUNTIFS(KBS[RELASI],VLOOKUP(B23,DBRELASI[[NO]:[RELASI]],2,0),KBS[TANGGAL],CONF!$D$2)&lt;&gt;0,1,0)</f>
        <v>0</v>
      </c>
      <c r="G23" s="99" t="str">
        <f>IF(SUM(F23)&lt;&gt;0,VLOOKUP(B23,DBRELASI[[NO]:[RELASI]],2,0),"")</f>
        <v/>
      </c>
      <c r="H23" s="99" t="str">
        <f t="array" ref="H23">IFERROR(INDEX($G$5:$G$54,MATCH(0,COUNTIF($H$4:H22,$G$5:$G$54),0)),"")</f>
        <v/>
      </c>
      <c r="I23" s="98">
        <f>IF(COUNTIFS(KPR[RELASI],VLOOKUP(B23,DBRELASI[[NO]:[RELASI]],2,0),KPR[TANGGAL],CONF!$D$2)&lt;&gt;0,1,0)</f>
        <v>0</v>
      </c>
      <c r="J23" s="99" t="str">
        <f>IF(SUM(I23)&lt;&gt;0,VLOOKUP(B23,DBRELASI[[NO]:[RELASI]],2,0),"")</f>
        <v/>
      </c>
      <c r="K23" s="99" t="str">
        <f t="array" ref="K23">IFERROR(INDEX($J$5:$J$54,MATCH(0,COUNTIF($K$4:K22,$J$5:$J$54),0)),"")</f>
        <v/>
      </c>
      <c r="L23" s="98">
        <f>IF(COUNTIFS(ARG[RELASI],VLOOKUP(B23,DBRELASI[[NO]:[RELASI]],2,0),ARG[TANGGAL],CONF!$D$2)&lt;&gt;0,1,0)</f>
        <v>0</v>
      </c>
      <c r="M23" s="99" t="str">
        <f>IF(SUM(L23)&lt;&gt;0,VLOOKUP(B23,DBRELASI[[NO]:[RELASI]],2,0),"")</f>
        <v/>
      </c>
      <c r="N23" s="99" t="str">
        <f t="array" ref="N23">IFERROR(INDEX($M$5:$M$54,MATCH(0,COUNTIF($N$4:N22,$M$5:$M$54),0)),"")</f>
        <v/>
      </c>
      <c r="O23" s="100" t="str">
        <f t="shared" si="0"/>
        <v/>
      </c>
    </row>
    <row r="24" spans="2:15">
      <c r="B24" s="101">
        <f t="shared" si="1"/>
        <v>20</v>
      </c>
      <c r="C24" s="102">
        <f>IF(COUNTIFS(KB[RELASI],VLOOKUP(B24,DBRELASI[[NO]:[RELASI]],2,0),KB[TANGGAL],CONF!$D$2)&lt;&gt;0,1,0)</f>
        <v>1</v>
      </c>
      <c r="D24" s="103" t="str">
        <f>IF(SUM(C24:C24)&lt;&gt;0,VLOOKUP(B24,DBRELASI[[NO]:[RELASI]],2,0),"")</f>
        <v>HENDRI</v>
      </c>
      <c r="E24" s="103" t="str">
        <f t="array" ref="E24">IFERROR(INDEX($D$5:$D$54,MATCH(0,COUNTIF($E$4:E23,$D$5:$D$54),0)),"")</f>
        <v/>
      </c>
      <c r="F24" s="102">
        <f>IF(COUNTIFS(KBS[RELASI],VLOOKUP(B24,DBRELASI[[NO]:[RELASI]],2,0),KBS[TANGGAL],CONF!$D$2)&lt;&gt;0,1,0)</f>
        <v>0</v>
      </c>
      <c r="G24" s="103" t="str">
        <f>IF(SUM(F24)&lt;&gt;0,VLOOKUP(B24,DBRELASI[[NO]:[RELASI]],2,0),"")</f>
        <v/>
      </c>
      <c r="H24" s="103" t="str">
        <f t="array" ref="H24">IFERROR(INDEX($G$5:$G$54,MATCH(0,COUNTIF($H$4:H23,$G$5:$G$54),0)),"")</f>
        <v/>
      </c>
      <c r="I24" s="102">
        <f>IF(COUNTIFS(KPR[RELASI],VLOOKUP(B24,DBRELASI[[NO]:[RELASI]],2,0),KPR[TANGGAL],CONF!$D$2)&lt;&gt;0,1,0)</f>
        <v>0</v>
      </c>
      <c r="J24" s="103" t="str">
        <f>IF(SUM(I24)&lt;&gt;0,VLOOKUP(B24,DBRELASI[[NO]:[RELASI]],2,0),"")</f>
        <v/>
      </c>
      <c r="K24" s="103" t="str">
        <f t="array" ref="K24">IFERROR(INDEX($J$5:$J$54,MATCH(0,COUNTIF($K$4:K23,$J$5:$J$54),0)),"")</f>
        <v/>
      </c>
      <c r="L24" s="102">
        <f>IF(COUNTIFS(ARG[RELASI],VLOOKUP(B24,DBRELASI[[NO]:[RELASI]],2,0),ARG[TANGGAL],CONF!$D$2)&lt;&gt;0,1,0)</f>
        <v>0</v>
      </c>
      <c r="M24" s="103" t="str">
        <f>IF(SUM(L24)&lt;&gt;0,VLOOKUP(B24,DBRELASI[[NO]:[RELASI]],2,0),"")</f>
        <v/>
      </c>
      <c r="N24" s="103" t="str">
        <f t="array" ref="N24">IFERROR(INDEX($M$5:$M$54,MATCH(0,COUNTIF($N$4:N23,$M$5:$M$54),0)),"")</f>
        <v/>
      </c>
      <c r="O24" s="100" t="str">
        <f t="shared" si="0"/>
        <v/>
      </c>
    </row>
    <row r="25" spans="2:15">
      <c r="B25" s="97">
        <f t="shared" si="1"/>
        <v>21</v>
      </c>
      <c r="C25" s="98">
        <f>IF(COUNTIFS(KB[RELASI],VLOOKUP(B25,DBRELASI[[NO]:[RELASI]],2,0),KB[TANGGAL],CONF!$D$2)&lt;&gt;0,1,0)</f>
        <v>0</v>
      </c>
      <c r="D25" s="99" t="str">
        <f>IF(SUM(C25:C25)&lt;&gt;0,VLOOKUP(B25,DBRELASI[[NO]:[RELASI]],2,0),"")</f>
        <v/>
      </c>
      <c r="E25" s="99" t="str">
        <f t="array" ref="E25">IFERROR(INDEX($D$5:$D$54,MATCH(0,COUNTIF($E$4:E24,$D$5:$D$54),0)),"")</f>
        <v/>
      </c>
      <c r="F25" s="98">
        <f>IF(COUNTIFS(KBS[RELASI],VLOOKUP(B25,DBRELASI[[NO]:[RELASI]],2,0),KBS[TANGGAL],CONF!$D$2)&lt;&gt;0,1,0)</f>
        <v>0</v>
      </c>
      <c r="G25" s="99" t="str">
        <f>IF(SUM(F25)&lt;&gt;0,VLOOKUP(B25,DBRELASI[[NO]:[RELASI]],2,0),"")</f>
        <v/>
      </c>
      <c r="H25" s="99" t="str">
        <f t="array" ref="H25">IFERROR(INDEX($G$5:$G$54,MATCH(0,COUNTIF($H$4:H24,$G$5:$G$54),0)),"")</f>
        <v/>
      </c>
      <c r="I25" s="98">
        <f>IF(COUNTIFS(KPR[RELASI],VLOOKUP(B25,DBRELASI[[NO]:[RELASI]],2,0),KPR[TANGGAL],CONF!$D$2)&lt;&gt;0,1,0)</f>
        <v>0</v>
      </c>
      <c r="J25" s="99" t="str">
        <f>IF(SUM(I25)&lt;&gt;0,VLOOKUP(B25,DBRELASI[[NO]:[RELASI]],2,0),"")</f>
        <v/>
      </c>
      <c r="K25" s="99" t="str">
        <f t="array" ref="K25">IFERROR(INDEX($J$5:$J$54,MATCH(0,COUNTIF($K$4:K24,$J$5:$J$54),0)),"")</f>
        <v/>
      </c>
      <c r="L25" s="98">
        <f>IF(COUNTIFS(ARG[RELASI],VLOOKUP(B25,DBRELASI[[NO]:[RELASI]],2,0),ARG[TANGGAL],CONF!$D$2)&lt;&gt;0,1,0)</f>
        <v>0</v>
      </c>
      <c r="M25" s="99" t="str">
        <f>IF(SUM(L25)&lt;&gt;0,VLOOKUP(B25,DBRELASI[[NO]:[RELASI]],2,0),"")</f>
        <v/>
      </c>
      <c r="N25" s="99" t="str">
        <f t="array" ref="N25">IFERROR(INDEX($M$5:$M$54,MATCH(0,COUNTIF($N$4:N24,$M$5:$M$54),0)),"")</f>
        <v/>
      </c>
      <c r="O25" s="100" t="str">
        <f t="shared" si="0"/>
        <v/>
      </c>
    </row>
    <row r="26" spans="2:15">
      <c r="B26" s="101">
        <f t="shared" si="1"/>
        <v>22</v>
      </c>
      <c r="C26" s="102">
        <f>IF(COUNTIFS(KB[RELASI],VLOOKUP(B26,DBRELASI[[NO]:[RELASI]],2,0),KB[TANGGAL],CONF!$D$2)&lt;&gt;0,1,0)</f>
        <v>0</v>
      </c>
      <c r="D26" s="103" t="str">
        <f>IF(SUM(C26:C26)&lt;&gt;0,VLOOKUP(B26,DBRELASI[[NO]:[RELASI]],2,0),"")</f>
        <v/>
      </c>
      <c r="E26" s="103" t="str">
        <f t="array" ref="E26">IFERROR(INDEX($D$5:$D$54,MATCH(0,COUNTIF($E$4:E25,$D$5:$D$54),0)),"")</f>
        <v/>
      </c>
      <c r="F26" s="102">
        <f>IF(COUNTIFS(KBS[RELASI],VLOOKUP(B26,DBRELASI[[NO]:[RELASI]],2,0),KBS[TANGGAL],CONF!$D$2)&lt;&gt;0,1,0)</f>
        <v>0</v>
      </c>
      <c r="G26" s="103" t="str">
        <f>IF(SUM(F26)&lt;&gt;0,VLOOKUP(B26,DBRELASI[[NO]:[RELASI]],2,0),"")</f>
        <v/>
      </c>
      <c r="H26" s="103" t="str">
        <f t="array" ref="H26">IFERROR(INDEX($G$5:$G$54,MATCH(0,COUNTIF($H$4:H25,$G$5:$G$54),0)),"")</f>
        <v/>
      </c>
      <c r="I26" s="102">
        <f>IF(COUNTIFS(KPR[RELASI],VLOOKUP(B26,DBRELASI[[NO]:[RELASI]],2,0),KPR[TANGGAL],CONF!$D$2)&lt;&gt;0,1,0)</f>
        <v>0</v>
      </c>
      <c r="J26" s="103" t="str">
        <f>IF(SUM(I26)&lt;&gt;0,VLOOKUP(B26,DBRELASI[[NO]:[RELASI]],2,0),"")</f>
        <v/>
      </c>
      <c r="K26" s="103" t="str">
        <f t="array" ref="K26">IFERROR(INDEX($J$5:$J$54,MATCH(0,COUNTIF($K$4:K25,$J$5:$J$54),0)),"")</f>
        <v/>
      </c>
      <c r="L26" s="102">
        <f>IF(COUNTIFS(ARG[RELASI],VLOOKUP(B26,DBRELASI[[NO]:[RELASI]],2,0),ARG[TANGGAL],CONF!$D$2)&lt;&gt;0,1,0)</f>
        <v>0</v>
      </c>
      <c r="M26" s="103" t="str">
        <f>IF(SUM(L26)&lt;&gt;0,VLOOKUP(B26,DBRELASI[[NO]:[RELASI]],2,0),"")</f>
        <v/>
      </c>
      <c r="N26" s="103" t="str">
        <f t="array" ref="N26">IFERROR(INDEX($M$5:$M$54,MATCH(0,COUNTIF($N$4:N25,$M$5:$M$54),0)),"")</f>
        <v/>
      </c>
      <c r="O26" s="100" t="str">
        <f t="shared" si="0"/>
        <v/>
      </c>
    </row>
    <row r="27" spans="2:15">
      <c r="B27" s="97">
        <f t="shared" si="1"/>
        <v>23</v>
      </c>
      <c r="C27" s="98">
        <f>IF(COUNTIFS(KB[RELASI],VLOOKUP(B27,DBRELASI[[NO]:[RELASI]],2,0),KB[TANGGAL],CONF!$D$2)&lt;&gt;0,1,0)</f>
        <v>0</v>
      </c>
      <c r="D27" s="99" t="str">
        <f>IF(SUM(C27:C27)&lt;&gt;0,VLOOKUP(B27,DBRELASI[[NO]:[RELASI]],2,0),"")</f>
        <v/>
      </c>
      <c r="E27" s="99" t="str">
        <f t="array" ref="E27">IFERROR(INDEX($D$5:$D$54,MATCH(0,COUNTIF($E$4:E26,$D$5:$D$54),0)),"")</f>
        <v/>
      </c>
      <c r="F27" s="98">
        <f>IF(COUNTIFS(KBS[RELASI],VLOOKUP(B27,DBRELASI[[NO]:[RELASI]],2,0),KBS[TANGGAL],CONF!$D$2)&lt;&gt;0,1,0)</f>
        <v>0</v>
      </c>
      <c r="G27" s="99" t="str">
        <f>IF(SUM(F27)&lt;&gt;0,VLOOKUP(B27,DBRELASI[[NO]:[RELASI]],2,0),"")</f>
        <v/>
      </c>
      <c r="H27" s="99" t="str">
        <f t="array" ref="H27">IFERROR(INDEX($G$5:$G$54,MATCH(0,COUNTIF($H$4:H26,$G$5:$G$54),0)),"")</f>
        <v/>
      </c>
      <c r="I27" s="98">
        <f>IF(COUNTIFS(KPR[RELASI],VLOOKUP(B27,DBRELASI[[NO]:[RELASI]],2,0),KPR[TANGGAL],CONF!$D$2)&lt;&gt;0,1,0)</f>
        <v>0</v>
      </c>
      <c r="J27" s="99" t="str">
        <f>IF(SUM(I27)&lt;&gt;0,VLOOKUP(B27,DBRELASI[[NO]:[RELASI]],2,0),"")</f>
        <v/>
      </c>
      <c r="K27" s="99" t="str">
        <f t="array" ref="K27">IFERROR(INDEX($J$5:$J$54,MATCH(0,COUNTIF($K$4:K26,$J$5:$J$54),0)),"")</f>
        <v/>
      </c>
      <c r="L27" s="98">
        <f>IF(COUNTIFS(ARG[RELASI],VLOOKUP(B27,DBRELASI[[NO]:[RELASI]],2,0),ARG[TANGGAL],CONF!$D$2)&lt;&gt;0,1,0)</f>
        <v>0</v>
      </c>
      <c r="M27" s="99" t="str">
        <f>IF(SUM(L27)&lt;&gt;0,VLOOKUP(B27,DBRELASI[[NO]:[RELASI]],2,0),"")</f>
        <v/>
      </c>
      <c r="N27" s="99" t="str">
        <f t="array" ref="N27">IFERROR(INDEX($M$5:$M$54,MATCH(0,COUNTIF($N$4:N26,$M$5:$M$54),0)),"")</f>
        <v/>
      </c>
      <c r="O27" s="100" t="str">
        <f t="shared" si="0"/>
        <v/>
      </c>
    </row>
    <row r="28" spans="2:15">
      <c r="B28" s="101">
        <f t="shared" si="1"/>
        <v>24</v>
      </c>
      <c r="C28" s="102">
        <f>IF(COUNTIFS(KB[RELASI],VLOOKUP(B28,DBRELASI[[NO]:[RELASI]],2,0),KB[TANGGAL],CONF!$D$2)&lt;&gt;0,1,0)</f>
        <v>0</v>
      </c>
      <c r="D28" s="103" t="str">
        <f>IF(SUM(C28:C28)&lt;&gt;0,VLOOKUP(B28,DBRELASI[[NO]:[RELASI]],2,0),"")</f>
        <v/>
      </c>
      <c r="E28" s="103" t="str">
        <f t="array" ref="E28">IFERROR(INDEX($D$5:$D$54,MATCH(0,COUNTIF($E$4:E27,$D$5:$D$54),0)),"")</f>
        <v/>
      </c>
      <c r="F28" s="102">
        <f>IF(COUNTIFS(KBS[RELASI],VLOOKUP(B28,DBRELASI[[NO]:[RELASI]],2,0),KBS[TANGGAL],CONF!$D$2)&lt;&gt;0,1,0)</f>
        <v>0</v>
      </c>
      <c r="G28" s="103" t="str">
        <f>IF(SUM(F28)&lt;&gt;0,VLOOKUP(B28,DBRELASI[[NO]:[RELASI]],2,0),"")</f>
        <v/>
      </c>
      <c r="H28" s="103" t="str">
        <f t="array" ref="H28">IFERROR(INDEX($G$5:$G$54,MATCH(0,COUNTIF($H$4:H27,$G$5:$G$54),0)),"")</f>
        <v/>
      </c>
      <c r="I28" s="102">
        <f>IF(COUNTIFS(KPR[RELASI],VLOOKUP(B28,DBRELASI[[NO]:[RELASI]],2,0),KPR[TANGGAL],CONF!$D$2)&lt;&gt;0,1,0)</f>
        <v>0</v>
      </c>
      <c r="J28" s="103" t="str">
        <f>IF(SUM(I28)&lt;&gt;0,VLOOKUP(B28,DBRELASI[[NO]:[RELASI]],2,0),"")</f>
        <v/>
      </c>
      <c r="K28" s="103" t="str">
        <f t="array" ref="K28">IFERROR(INDEX($J$5:$J$54,MATCH(0,COUNTIF($K$4:K27,$J$5:$J$54),0)),"")</f>
        <v/>
      </c>
      <c r="L28" s="102">
        <f>IF(COUNTIFS(ARG[RELASI],VLOOKUP(B28,DBRELASI[[NO]:[RELASI]],2,0),ARG[TANGGAL],CONF!$D$2)&lt;&gt;0,1,0)</f>
        <v>0</v>
      </c>
      <c r="M28" s="103" t="str">
        <f>IF(SUM(L28)&lt;&gt;0,VLOOKUP(B28,DBRELASI[[NO]:[RELASI]],2,0),"")</f>
        <v/>
      </c>
      <c r="N28" s="103" t="str">
        <f t="array" ref="N28">IFERROR(INDEX($M$5:$M$54,MATCH(0,COUNTIF($N$4:N27,$M$5:$M$54),0)),"")</f>
        <v/>
      </c>
      <c r="O28" s="100" t="str">
        <f t="shared" si="0"/>
        <v/>
      </c>
    </row>
    <row r="29" spans="2:15">
      <c r="B29" s="97">
        <f t="shared" si="1"/>
        <v>25</v>
      </c>
      <c r="C29" s="98">
        <f>IF(COUNTIFS(KB[RELASI],VLOOKUP(B29,DBRELASI[[NO]:[RELASI]],2,0),KB[TANGGAL],CONF!$D$2)&lt;&gt;0,1,0)</f>
        <v>0</v>
      </c>
      <c r="D29" s="99" t="str">
        <f>IF(SUM(C29:C29)&lt;&gt;0,VLOOKUP(B29,DBRELASI[[NO]:[RELASI]],2,0),"")</f>
        <v/>
      </c>
      <c r="E29" s="99" t="str">
        <f t="array" ref="E29">IFERROR(INDEX($D$5:$D$54,MATCH(0,COUNTIF($E$4:E28,$D$5:$D$54),0)),"")</f>
        <v/>
      </c>
      <c r="F29" s="98">
        <f>IF(COUNTIFS(KBS[RELASI],VLOOKUP(B29,DBRELASI[[NO]:[RELASI]],2,0),KBS[TANGGAL],CONF!$D$2)&lt;&gt;0,1,0)</f>
        <v>0</v>
      </c>
      <c r="G29" s="99" t="str">
        <f>IF(SUM(F29)&lt;&gt;0,VLOOKUP(B29,DBRELASI[[NO]:[RELASI]],2,0),"")</f>
        <v/>
      </c>
      <c r="H29" s="99" t="str">
        <f t="array" ref="H29">IFERROR(INDEX($G$5:$G$54,MATCH(0,COUNTIF($H$4:H28,$G$5:$G$54),0)),"")</f>
        <v/>
      </c>
      <c r="I29" s="98">
        <f>IF(COUNTIFS(KPR[RELASI],VLOOKUP(B29,DBRELASI[[NO]:[RELASI]],2,0),KPR[TANGGAL],CONF!$D$2)&lt;&gt;0,1,0)</f>
        <v>0</v>
      </c>
      <c r="J29" s="99" t="str">
        <f>IF(SUM(I29)&lt;&gt;0,VLOOKUP(B29,DBRELASI[[NO]:[RELASI]],2,0),"")</f>
        <v/>
      </c>
      <c r="K29" s="99" t="str">
        <f t="array" ref="K29">IFERROR(INDEX($J$5:$J$54,MATCH(0,COUNTIF($K$4:K28,$J$5:$J$54),0)),"")</f>
        <v/>
      </c>
      <c r="L29" s="98">
        <f>IF(COUNTIFS(ARG[RELASI],VLOOKUP(B29,DBRELASI[[NO]:[RELASI]],2,0),ARG[TANGGAL],CONF!$D$2)&lt;&gt;0,1,0)</f>
        <v>0</v>
      </c>
      <c r="M29" s="99" t="str">
        <f>IF(SUM(L29)&lt;&gt;0,VLOOKUP(B29,DBRELASI[[NO]:[RELASI]],2,0),"")</f>
        <v/>
      </c>
      <c r="N29" s="99" t="str">
        <f t="array" ref="N29">IFERROR(INDEX($M$5:$M$54,MATCH(0,COUNTIF($N$4:N28,$M$5:$M$54),0)),"")</f>
        <v/>
      </c>
      <c r="O29" s="100" t="str">
        <f t="shared" si="0"/>
        <v/>
      </c>
    </row>
    <row r="30" spans="2:15">
      <c r="B30" s="101">
        <f t="shared" si="1"/>
        <v>26</v>
      </c>
      <c r="C30" s="102">
        <f>IF(COUNTIFS(KB[RELASI],VLOOKUP(B30,DBRELASI[[NO]:[RELASI]],2,0),KB[TANGGAL],CONF!$D$2)&lt;&gt;0,1,0)</f>
        <v>0</v>
      </c>
      <c r="D30" s="103" t="str">
        <f>IF(SUM(C30:C30)&lt;&gt;0,VLOOKUP(B30,DBRELASI[[NO]:[RELASI]],2,0),"")</f>
        <v/>
      </c>
      <c r="E30" s="103" t="str">
        <f t="array" ref="E30">IFERROR(INDEX($D$5:$D$54,MATCH(0,COUNTIF($E$4:E29,$D$5:$D$54),0)),"")</f>
        <v/>
      </c>
      <c r="F30" s="102">
        <f>IF(COUNTIFS(KBS[RELASI],VLOOKUP(B30,DBRELASI[[NO]:[RELASI]],2,0),KBS[TANGGAL],CONF!$D$2)&lt;&gt;0,1,0)</f>
        <v>0</v>
      </c>
      <c r="G30" s="103" t="str">
        <f>IF(SUM(F30)&lt;&gt;0,VLOOKUP(B30,DBRELASI[[NO]:[RELASI]],2,0),"")</f>
        <v/>
      </c>
      <c r="H30" s="103" t="str">
        <f t="array" ref="H30">IFERROR(INDEX($G$5:$G$54,MATCH(0,COUNTIF($H$4:H29,$G$5:$G$54),0)),"")</f>
        <v/>
      </c>
      <c r="I30" s="102">
        <f>IF(COUNTIFS(KPR[RELASI],VLOOKUP(B30,DBRELASI[[NO]:[RELASI]],2,0),KPR[TANGGAL],CONF!$D$2)&lt;&gt;0,1,0)</f>
        <v>0</v>
      </c>
      <c r="J30" s="103" t="str">
        <f>IF(SUM(I30)&lt;&gt;0,VLOOKUP(B30,DBRELASI[[NO]:[RELASI]],2,0),"")</f>
        <v/>
      </c>
      <c r="K30" s="103" t="str">
        <f t="array" ref="K30">IFERROR(INDEX($J$5:$J$54,MATCH(0,COUNTIF($K$4:K29,$J$5:$J$54),0)),"")</f>
        <v/>
      </c>
      <c r="L30" s="102">
        <f>IF(COUNTIFS(ARG[RELASI],VLOOKUP(B30,DBRELASI[[NO]:[RELASI]],2,0),ARG[TANGGAL],CONF!$D$2)&lt;&gt;0,1,0)</f>
        <v>0</v>
      </c>
      <c r="M30" s="103" t="str">
        <f>IF(SUM(L30)&lt;&gt;0,VLOOKUP(B30,DBRELASI[[NO]:[RELASI]],2,0),"")</f>
        <v/>
      </c>
      <c r="N30" s="103" t="str">
        <f t="array" ref="N30">IFERROR(INDEX($M$5:$M$54,MATCH(0,COUNTIF($N$4:N29,$M$5:$M$54),0)),"")</f>
        <v/>
      </c>
      <c r="O30" s="100" t="str">
        <f t="shared" si="0"/>
        <v/>
      </c>
    </row>
    <row r="31" spans="2:15">
      <c r="B31" s="97">
        <f t="shared" si="1"/>
        <v>27</v>
      </c>
      <c r="C31" s="98">
        <f>IF(COUNTIFS(KB[RELASI],VLOOKUP(B31,DBRELASI[[NO]:[RELASI]],2,0),KB[TANGGAL],CONF!$D$2)&lt;&gt;0,1,0)</f>
        <v>0</v>
      </c>
      <c r="D31" s="99" t="str">
        <f>IF(SUM(C31:C31)&lt;&gt;0,VLOOKUP(B31,DBRELASI[[NO]:[RELASI]],2,0),"")</f>
        <v/>
      </c>
      <c r="E31" s="99" t="str">
        <f t="array" ref="E31">IFERROR(INDEX($D$5:$D$54,MATCH(0,COUNTIF($E$4:E30,$D$5:$D$54),0)),"")</f>
        <v/>
      </c>
      <c r="F31" s="98">
        <f>IF(COUNTIFS(KBS[RELASI],VLOOKUP(B31,DBRELASI[[NO]:[RELASI]],2,0),KBS[TANGGAL],CONF!$D$2)&lt;&gt;0,1,0)</f>
        <v>0</v>
      </c>
      <c r="G31" s="99" t="str">
        <f>IF(SUM(F31)&lt;&gt;0,VLOOKUP(B31,DBRELASI[[NO]:[RELASI]],2,0),"")</f>
        <v/>
      </c>
      <c r="H31" s="99" t="str">
        <f t="array" ref="H31">IFERROR(INDEX($G$5:$G$54,MATCH(0,COUNTIF($H$4:H30,$G$5:$G$54),0)),"")</f>
        <v/>
      </c>
      <c r="I31" s="98">
        <f>IF(COUNTIFS(KPR[RELASI],VLOOKUP(B31,DBRELASI[[NO]:[RELASI]],2,0),KPR[TANGGAL],CONF!$D$2)&lt;&gt;0,1,0)</f>
        <v>0</v>
      </c>
      <c r="J31" s="99" t="str">
        <f>IF(SUM(I31)&lt;&gt;0,VLOOKUP(B31,DBRELASI[[NO]:[RELASI]],2,0),"")</f>
        <v/>
      </c>
      <c r="K31" s="99" t="str">
        <f t="array" ref="K31">IFERROR(INDEX($J$5:$J$54,MATCH(0,COUNTIF($K$4:K30,$J$5:$J$54),0)),"")</f>
        <v/>
      </c>
      <c r="L31" s="98">
        <f>IF(COUNTIFS(ARG[RELASI],VLOOKUP(B31,DBRELASI[[NO]:[RELASI]],2,0),ARG[TANGGAL],CONF!$D$2)&lt;&gt;0,1,0)</f>
        <v>0</v>
      </c>
      <c r="M31" s="99" t="str">
        <f>IF(SUM(L31)&lt;&gt;0,VLOOKUP(B31,DBRELASI[[NO]:[RELASI]],2,0),"")</f>
        <v/>
      </c>
      <c r="N31" s="99" t="str">
        <f t="array" ref="N31">IFERROR(INDEX($M$5:$M$54,MATCH(0,COUNTIF($N$4:N30,$M$5:$M$54),0)),"")</f>
        <v/>
      </c>
      <c r="O31" s="100" t="str">
        <f t="shared" si="0"/>
        <v/>
      </c>
    </row>
    <row r="32" spans="2:15">
      <c r="B32" s="101">
        <f t="shared" si="1"/>
        <v>28</v>
      </c>
      <c r="C32" s="102">
        <f>IF(COUNTIFS(KB[RELASI],VLOOKUP(B32,DBRELASI[[NO]:[RELASI]],2,0),KB[TANGGAL],CONF!$D$2)&lt;&gt;0,1,0)</f>
        <v>0</v>
      </c>
      <c r="D32" s="103" t="str">
        <f>IF(SUM(C32:C32)&lt;&gt;0,VLOOKUP(B32,DBRELASI[[NO]:[RELASI]],2,0),"")</f>
        <v/>
      </c>
      <c r="E32" s="103" t="str">
        <f t="array" ref="E32">IFERROR(INDEX($D$5:$D$54,MATCH(0,COUNTIF($E$4:E31,$D$5:$D$54),0)),"")</f>
        <v/>
      </c>
      <c r="F32" s="102">
        <f>IF(COUNTIFS(KBS[RELASI],VLOOKUP(B32,DBRELASI[[NO]:[RELASI]],2,0),KBS[TANGGAL],CONF!$D$2)&lt;&gt;0,1,0)</f>
        <v>0</v>
      </c>
      <c r="G32" s="103" t="str">
        <f>IF(SUM(F32)&lt;&gt;0,VLOOKUP(B32,DBRELASI[[NO]:[RELASI]],2,0),"")</f>
        <v/>
      </c>
      <c r="H32" s="103" t="str">
        <f t="array" ref="H32">IFERROR(INDEX($G$5:$G$54,MATCH(0,COUNTIF($H$4:H31,$G$5:$G$54),0)),"")</f>
        <v/>
      </c>
      <c r="I32" s="102">
        <f>IF(COUNTIFS(KPR[RELASI],VLOOKUP(B32,DBRELASI[[NO]:[RELASI]],2,0),KPR[TANGGAL],CONF!$D$2)&lt;&gt;0,1,0)</f>
        <v>0</v>
      </c>
      <c r="J32" s="103" t="str">
        <f>IF(SUM(I32)&lt;&gt;0,VLOOKUP(B32,DBRELASI[[NO]:[RELASI]],2,0),"")</f>
        <v/>
      </c>
      <c r="K32" s="103" t="str">
        <f t="array" ref="K32">IFERROR(INDEX($J$5:$J$54,MATCH(0,COUNTIF($K$4:K31,$J$5:$J$54),0)),"")</f>
        <v/>
      </c>
      <c r="L32" s="102">
        <f>IF(COUNTIFS(ARG[RELASI],VLOOKUP(B32,DBRELASI[[NO]:[RELASI]],2,0),ARG[TANGGAL],CONF!$D$2)&lt;&gt;0,1,0)</f>
        <v>0</v>
      </c>
      <c r="M32" s="103" t="str">
        <f>IF(SUM(L32)&lt;&gt;0,VLOOKUP(B32,DBRELASI[[NO]:[RELASI]],2,0),"")</f>
        <v/>
      </c>
      <c r="N32" s="103" t="str">
        <f t="array" ref="N32">IFERROR(INDEX($M$5:$M$54,MATCH(0,COUNTIF($N$4:N31,$M$5:$M$54),0)),"")</f>
        <v/>
      </c>
      <c r="O32" s="100" t="str">
        <f t="shared" si="0"/>
        <v/>
      </c>
    </row>
    <row r="33" spans="2:15">
      <c r="B33" s="97">
        <f t="shared" si="1"/>
        <v>29</v>
      </c>
      <c r="C33" s="98">
        <f>IF(COUNTIFS(KB[RELASI],VLOOKUP(B33,DBRELASI[[NO]:[RELASI]],2,0),KB[TANGGAL],CONF!$D$2)&lt;&gt;0,1,0)</f>
        <v>0</v>
      </c>
      <c r="D33" s="99" t="str">
        <f>IF(SUM(C33:C33)&lt;&gt;0,VLOOKUP(B33,DBRELASI[[NO]:[RELASI]],2,0),"")</f>
        <v/>
      </c>
      <c r="E33" s="99" t="str">
        <f t="array" ref="E33">IFERROR(INDEX($D$5:$D$54,MATCH(0,COUNTIF($E$4:E32,$D$5:$D$54),0)),"")</f>
        <v/>
      </c>
      <c r="F33" s="98">
        <f>IF(COUNTIFS(KBS[RELASI],VLOOKUP(B33,DBRELASI[[NO]:[RELASI]],2,0),KBS[TANGGAL],CONF!$D$2)&lt;&gt;0,1,0)</f>
        <v>0</v>
      </c>
      <c r="G33" s="99" t="str">
        <f>IF(SUM(F33)&lt;&gt;0,VLOOKUP(B33,DBRELASI[[NO]:[RELASI]],2,0),"")</f>
        <v/>
      </c>
      <c r="H33" s="99" t="str">
        <f t="array" ref="H33">IFERROR(INDEX($G$5:$G$54,MATCH(0,COUNTIF($H$4:H32,$G$5:$G$54),0)),"")</f>
        <v/>
      </c>
      <c r="I33" s="98">
        <f>IF(COUNTIFS(KPR[RELASI],VLOOKUP(B33,DBRELASI[[NO]:[RELASI]],2,0),KPR[TANGGAL],CONF!$D$2)&lt;&gt;0,1,0)</f>
        <v>0</v>
      </c>
      <c r="J33" s="99" t="str">
        <f>IF(SUM(I33)&lt;&gt;0,VLOOKUP(B33,DBRELASI[[NO]:[RELASI]],2,0),"")</f>
        <v/>
      </c>
      <c r="K33" s="99" t="str">
        <f t="array" ref="K33">IFERROR(INDEX($J$5:$J$54,MATCH(0,COUNTIF($K$4:K32,$J$5:$J$54),0)),"")</f>
        <v/>
      </c>
      <c r="L33" s="98">
        <f>IF(COUNTIFS(ARG[RELASI],VLOOKUP(B33,DBRELASI[[NO]:[RELASI]],2,0),ARG[TANGGAL],CONF!$D$2)&lt;&gt;0,1,0)</f>
        <v>0</v>
      </c>
      <c r="M33" s="99" t="str">
        <f>IF(SUM(L33)&lt;&gt;0,VLOOKUP(B33,DBRELASI[[NO]:[RELASI]],2,0),"")</f>
        <v/>
      </c>
      <c r="N33" s="99" t="str">
        <f t="array" ref="N33">IFERROR(INDEX($M$5:$M$54,MATCH(0,COUNTIF($N$4:N32,$M$5:$M$54),0)),"")</f>
        <v/>
      </c>
      <c r="O33" s="100" t="str">
        <f t="shared" si="0"/>
        <v/>
      </c>
    </row>
    <row r="34" spans="2:15">
      <c r="B34" s="101">
        <f t="shared" si="1"/>
        <v>30</v>
      </c>
      <c r="C34" s="102">
        <f>IF(COUNTIFS(KB[RELASI],VLOOKUP(B34,DBRELASI[[NO]:[RELASI]],2,0),KB[TANGGAL],CONF!$D$2)&lt;&gt;0,1,0)</f>
        <v>0</v>
      </c>
      <c r="D34" s="103" t="str">
        <f>IF(SUM(C34:C34)&lt;&gt;0,VLOOKUP(B34,DBRELASI[[NO]:[RELASI]],2,0),"")</f>
        <v/>
      </c>
      <c r="E34" s="103" t="str">
        <f t="array" ref="E34">IFERROR(INDEX($D$5:$D$54,MATCH(0,COUNTIF($E$4:E33,$D$5:$D$54),0)),"")</f>
        <v/>
      </c>
      <c r="F34" s="102">
        <f>IF(COUNTIFS(KBS[RELASI],VLOOKUP(B34,DBRELASI[[NO]:[RELASI]],2,0),KBS[TANGGAL],CONF!$D$2)&lt;&gt;0,1,0)</f>
        <v>0</v>
      </c>
      <c r="G34" s="103" t="str">
        <f>IF(SUM(F34)&lt;&gt;0,VLOOKUP(B34,DBRELASI[[NO]:[RELASI]],2,0),"")</f>
        <v/>
      </c>
      <c r="H34" s="103" t="str">
        <f t="array" ref="H34">IFERROR(INDEX($G$5:$G$54,MATCH(0,COUNTIF($H$4:H33,$G$5:$G$54),0)),"")</f>
        <v/>
      </c>
      <c r="I34" s="102">
        <f>IF(COUNTIFS(KPR[RELASI],VLOOKUP(B34,DBRELASI[[NO]:[RELASI]],2,0),KPR[TANGGAL],CONF!$D$2)&lt;&gt;0,1,0)</f>
        <v>0</v>
      </c>
      <c r="J34" s="103" t="str">
        <f>IF(SUM(I34)&lt;&gt;0,VLOOKUP(B34,DBRELASI[[NO]:[RELASI]],2,0),"")</f>
        <v/>
      </c>
      <c r="K34" s="103" t="str">
        <f t="array" ref="K34">IFERROR(INDEX($J$5:$J$54,MATCH(0,COUNTIF($K$4:K33,$J$5:$J$54),0)),"")</f>
        <v/>
      </c>
      <c r="L34" s="102">
        <f>IF(COUNTIFS(ARG[RELASI],VLOOKUP(B34,DBRELASI[[NO]:[RELASI]],2,0),ARG[TANGGAL],CONF!$D$2)&lt;&gt;0,1,0)</f>
        <v>0</v>
      </c>
      <c r="M34" s="103" t="str">
        <f>IF(SUM(L34)&lt;&gt;0,VLOOKUP(B34,DBRELASI[[NO]:[RELASI]],2,0),"")</f>
        <v/>
      </c>
      <c r="N34" s="103" t="str">
        <f t="array" ref="N34">IFERROR(INDEX($M$5:$M$54,MATCH(0,COUNTIF($N$4:N33,$M$5:$M$54),0)),"")</f>
        <v/>
      </c>
      <c r="O34" s="100" t="str">
        <f t="shared" si="0"/>
        <v/>
      </c>
    </row>
    <row r="35" spans="2:15">
      <c r="B35" s="97">
        <f t="shared" si="1"/>
        <v>31</v>
      </c>
      <c r="C35" s="98">
        <f>IF(COUNTIFS(KB[RELASI],VLOOKUP(B35,DBRELASI[[NO]:[RELASI]],2,0),KB[TANGGAL],CONF!$D$2)&lt;&gt;0,1,0)</f>
        <v>0</v>
      </c>
      <c r="D35" s="99" t="str">
        <f>IF(SUM(C35:C35)&lt;&gt;0,VLOOKUP(B35,DBRELASI[[NO]:[RELASI]],2,0),"")</f>
        <v/>
      </c>
      <c r="E35" s="99" t="str">
        <f t="array" ref="E35">IFERROR(INDEX($D$5:$D$54,MATCH(0,COUNTIF($E$4:E34,$D$5:$D$54),0)),"")</f>
        <v/>
      </c>
      <c r="F35" s="98">
        <f>IF(COUNTIFS(KBS[RELASI],VLOOKUP(B35,DBRELASI[[NO]:[RELASI]],2,0),KBS[TANGGAL],CONF!$D$2)&lt;&gt;0,1,0)</f>
        <v>0</v>
      </c>
      <c r="G35" s="99" t="str">
        <f>IF(SUM(F35)&lt;&gt;0,VLOOKUP(B35,DBRELASI[[NO]:[RELASI]],2,0),"")</f>
        <v/>
      </c>
      <c r="H35" s="99" t="str">
        <f t="array" ref="H35">IFERROR(INDEX($G$5:$G$54,MATCH(0,COUNTIF($H$4:H34,$G$5:$G$54),0)),"")</f>
        <v/>
      </c>
      <c r="I35" s="98">
        <f>IF(COUNTIFS(KPR[RELASI],VLOOKUP(B35,DBRELASI[[NO]:[RELASI]],2,0),KPR[TANGGAL],CONF!$D$2)&lt;&gt;0,1,0)</f>
        <v>0</v>
      </c>
      <c r="J35" s="99" t="str">
        <f>IF(SUM(I35)&lt;&gt;0,VLOOKUP(B35,DBRELASI[[NO]:[RELASI]],2,0),"")</f>
        <v/>
      </c>
      <c r="K35" s="99" t="str">
        <f t="array" ref="K35">IFERROR(INDEX($J$5:$J$54,MATCH(0,COUNTIF($K$4:K34,$J$5:$J$54),0)),"")</f>
        <v/>
      </c>
      <c r="L35" s="98">
        <f>IF(COUNTIFS(ARG[RELASI],VLOOKUP(B35,DBRELASI[[NO]:[RELASI]],2,0),ARG[TANGGAL],CONF!$D$2)&lt;&gt;0,1,0)</f>
        <v>0</v>
      </c>
      <c r="M35" s="99" t="str">
        <f>IF(SUM(L35)&lt;&gt;0,VLOOKUP(B35,DBRELASI[[NO]:[RELASI]],2,0),"")</f>
        <v/>
      </c>
      <c r="N35" s="99" t="str">
        <f t="array" ref="N35">IFERROR(INDEX($M$5:$M$54,MATCH(0,COUNTIF($N$4:N34,$M$5:$M$54),0)),"")</f>
        <v/>
      </c>
      <c r="O35" s="100" t="str">
        <f t="shared" si="0"/>
        <v/>
      </c>
    </row>
    <row r="36" spans="2:15">
      <c r="B36" s="101">
        <f t="shared" si="1"/>
        <v>32</v>
      </c>
      <c r="C36" s="102">
        <f>IF(COUNTIFS(KB[RELASI],VLOOKUP(B36,DBRELASI[[NO]:[RELASI]],2,0),KB[TANGGAL],CONF!$D$2)&lt;&gt;0,1,0)</f>
        <v>0</v>
      </c>
      <c r="D36" s="103" t="str">
        <f>IF(SUM(C36:C36)&lt;&gt;0,VLOOKUP(B36,DBRELASI[[NO]:[RELASI]],2,0),"")</f>
        <v/>
      </c>
      <c r="E36" s="103" t="str">
        <f t="array" ref="E36">IFERROR(INDEX($D$5:$D$54,MATCH(0,COUNTIF($E$4:E35,$D$5:$D$54),0)),"")</f>
        <v/>
      </c>
      <c r="F36" s="102">
        <f>IF(COUNTIFS(KBS[RELASI],VLOOKUP(B36,DBRELASI[[NO]:[RELASI]],2,0),KBS[TANGGAL],CONF!$D$2)&lt;&gt;0,1,0)</f>
        <v>0</v>
      </c>
      <c r="G36" s="103" t="str">
        <f>IF(SUM(F36)&lt;&gt;0,VLOOKUP(B36,DBRELASI[[NO]:[RELASI]],2,0),"")</f>
        <v/>
      </c>
      <c r="H36" s="103" t="str">
        <f t="array" ref="H36">IFERROR(INDEX($G$5:$G$54,MATCH(0,COUNTIF($H$4:H35,$G$5:$G$54),0)),"")</f>
        <v/>
      </c>
      <c r="I36" s="102">
        <f>IF(COUNTIFS(KPR[RELASI],VLOOKUP(B36,DBRELASI[[NO]:[RELASI]],2,0),KPR[TANGGAL],CONF!$D$2)&lt;&gt;0,1,0)</f>
        <v>0</v>
      </c>
      <c r="J36" s="103" t="str">
        <f>IF(SUM(I36)&lt;&gt;0,VLOOKUP(B36,DBRELASI[[NO]:[RELASI]],2,0),"")</f>
        <v/>
      </c>
      <c r="K36" s="103" t="str">
        <f t="array" ref="K36">IFERROR(INDEX($J$5:$J$54,MATCH(0,COUNTIF($K$4:K35,$J$5:$J$54),0)),"")</f>
        <v/>
      </c>
      <c r="L36" s="102">
        <f>IF(COUNTIFS(ARG[RELASI],VLOOKUP(B36,DBRELASI[[NO]:[RELASI]],2,0),ARG[TANGGAL],CONF!$D$2)&lt;&gt;0,1,0)</f>
        <v>0</v>
      </c>
      <c r="M36" s="103" t="str">
        <f>IF(SUM(L36)&lt;&gt;0,VLOOKUP(B36,DBRELASI[[NO]:[RELASI]],2,0),"")</f>
        <v/>
      </c>
      <c r="N36" s="103" t="str">
        <f t="array" ref="N36">IFERROR(INDEX($M$5:$M$54,MATCH(0,COUNTIF($N$4:N35,$M$5:$M$54),0)),"")</f>
        <v/>
      </c>
      <c r="O36" s="100" t="str">
        <f t="shared" si="0"/>
        <v/>
      </c>
    </row>
    <row r="37" spans="2:15">
      <c r="B37" s="97">
        <f t="shared" si="1"/>
        <v>33</v>
      </c>
      <c r="C37" s="98">
        <f>IF(COUNTIFS(KB[RELASI],VLOOKUP(B37,DBRELASI[[NO]:[RELASI]],2,0),KB[TANGGAL],CONF!$D$2)&lt;&gt;0,1,0)</f>
        <v>0</v>
      </c>
      <c r="D37" s="99" t="str">
        <f>IF(SUM(C37:C37)&lt;&gt;0,VLOOKUP(B37,DBRELASI[[NO]:[RELASI]],2,0),"")</f>
        <v/>
      </c>
      <c r="E37" s="99" t="str">
        <f t="array" ref="E37">IFERROR(INDEX($D$5:$D$54,MATCH(0,COUNTIF($E$4:E36,$D$5:$D$54),0)),"")</f>
        <v/>
      </c>
      <c r="F37" s="98">
        <f>IF(COUNTIFS(KBS[RELASI],VLOOKUP(B37,DBRELASI[[NO]:[RELASI]],2,0),KBS[TANGGAL],CONF!$D$2)&lt;&gt;0,1,0)</f>
        <v>0</v>
      </c>
      <c r="G37" s="99" t="str">
        <f>IF(SUM(F37)&lt;&gt;0,VLOOKUP(B37,DBRELASI[[NO]:[RELASI]],2,0),"")</f>
        <v/>
      </c>
      <c r="H37" s="99" t="str">
        <f t="array" ref="H37">IFERROR(INDEX($G$5:$G$54,MATCH(0,COUNTIF($H$4:H36,$G$5:$G$54),0)),"")</f>
        <v/>
      </c>
      <c r="I37" s="98">
        <f>IF(COUNTIFS(KPR[RELASI],VLOOKUP(B37,DBRELASI[[NO]:[RELASI]],2,0),KPR[TANGGAL],CONF!$D$2)&lt;&gt;0,1,0)</f>
        <v>0</v>
      </c>
      <c r="J37" s="99" t="str">
        <f>IF(SUM(I37)&lt;&gt;0,VLOOKUP(B37,DBRELASI[[NO]:[RELASI]],2,0),"")</f>
        <v/>
      </c>
      <c r="K37" s="99" t="str">
        <f t="array" ref="K37">IFERROR(INDEX($J$5:$J$54,MATCH(0,COUNTIF($K$4:K36,$J$5:$J$54),0)),"")</f>
        <v/>
      </c>
      <c r="L37" s="98">
        <f>IF(COUNTIFS(ARG[RELASI],VLOOKUP(B37,DBRELASI[[NO]:[RELASI]],2,0),ARG[TANGGAL],CONF!$D$2)&lt;&gt;0,1,0)</f>
        <v>0</v>
      </c>
      <c r="M37" s="99" t="str">
        <f>IF(SUM(L37)&lt;&gt;0,VLOOKUP(B37,DBRELASI[[NO]:[RELASI]],2,0),"")</f>
        <v/>
      </c>
      <c r="N37" s="99" t="str">
        <f t="array" ref="N37">IFERROR(INDEX($M$5:$M$54,MATCH(0,COUNTIF($N$4:N36,$M$5:$M$54),0)),"")</f>
        <v/>
      </c>
      <c r="O37" s="100" t="str">
        <f t="shared" ref="O37:O54" si="2">IF($O$4=$Q$4,E37,IF($O$4=$Q$5,H37,IF($O$4=$Q$6,K37,IF($O$4=$Q$7,N37,""))))</f>
        <v/>
      </c>
    </row>
    <row r="38" spans="2:15">
      <c r="B38" s="101">
        <f t="shared" si="1"/>
        <v>34</v>
      </c>
      <c r="C38" s="102">
        <f>IF(COUNTIFS(KB[RELASI],VLOOKUP(B38,DBRELASI[[NO]:[RELASI]],2,0),KB[TANGGAL],CONF!$D$2)&lt;&gt;0,1,0)</f>
        <v>0</v>
      </c>
      <c r="D38" s="103" t="str">
        <f>IF(SUM(C38:C38)&lt;&gt;0,VLOOKUP(B38,DBRELASI[[NO]:[RELASI]],2,0),"")</f>
        <v/>
      </c>
      <c r="E38" s="103" t="str">
        <f t="array" ref="E38">IFERROR(INDEX($D$5:$D$54,MATCH(0,COUNTIF($E$4:E37,$D$5:$D$54),0)),"")</f>
        <v/>
      </c>
      <c r="F38" s="102">
        <f>IF(COUNTIFS(KBS[RELASI],VLOOKUP(B38,DBRELASI[[NO]:[RELASI]],2,0),KBS[TANGGAL],CONF!$D$2)&lt;&gt;0,1,0)</f>
        <v>0</v>
      </c>
      <c r="G38" s="103" t="str">
        <f>IF(SUM(F38)&lt;&gt;0,VLOOKUP(B38,DBRELASI[[NO]:[RELASI]],2,0),"")</f>
        <v/>
      </c>
      <c r="H38" s="103" t="str">
        <f t="array" ref="H38">IFERROR(INDEX($G$5:$G$54,MATCH(0,COUNTIF($H$4:H37,$G$5:$G$54),0)),"")</f>
        <v/>
      </c>
      <c r="I38" s="102">
        <f>IF(COUNTIFS(KPR[RELASI],VLOOKUP(B38,DBRELASI[[NO]:[RELASI]],2,0),KPR[TANGGAL],CONF!$D$2)&lt;&gt;0,1,0)</f>
        <v>0</v>
      </c>
      <c r="J38" s="103" t="str">
        <f>IF(SUM(I38)&lt;&gt;0,VLOOKUP(B38,DBRELASI[[NO]:[RELASI]],2,0),"")</f>
        <v/>
      </c>
      <c r="K38" s="103" t="str">
        <f t="array" ref="K38">IFERROR(INDEX($J$5:$J$54,MATCH(0,COUNTIF($K$4:K37,$J$5:$J$54),0)),"")</f>
        <v/>
      </c>
      <c r="L38" s="102">
        <f>IF(COUNTIFS(ARG[RELASI],VLOOKUP(B38,DBRELASI[[NO]:[RELASI]],2,0),ARG[TANGGAL],CONF!$D$2)&lt;&gt;0,1,0)</f>
        <v>0</v>
      </c>
      <c r="M38" s="103" t="str">
        <f>IF(SUM(L38)&lt;&gt;0,VLOOKUP(B38,DBRELASI[[NO]:[RELASI]],2,0),"")</f>
        <v/>
      </c>
      <c r="N38" s="103" t="str">
        <f t="array" ref="N38">IFERROR(INDEX($M$5:$M$54,MATCH(0,COUNTIF($N$4:N37,$M$5:$M$54),0)),"")</f>
        <v/>
      </c>
      <c r="O38" s="100" t="str">
        <f t="shared" si="2"/>
        <v/>
      </c>
    </row>
    <row r="39" spans="2:15">
      <c r="B39" s="97">
        <f t="shared" si="1"/>
        <v>35</v>
      </c>
      <c r="C39" s="98">
        <f>IF(COUNTIFS(KB[RELASI],VLOOKUP(B39,DBRELASI[[NO]:[RELASI]],2,0),KB[TANGGAL],CONF!$D$2)&lt;&gt;0,1,0)</f>
        <v>0</v>
      </c>
      <c r="D39" s="99" t="str">
        <f>IF(SUM(C39:C39)&lt;&gt;0,VLOOKUP(B39,DBRELASI[[NO]:[RELASI]],2,0),"")</f>
        <v/>
      </c>
      <c r="E39" s="99" t="str">
        <f t="array" ref="E39">IFERROR(INDEX($D$5:$D$54,MATCH(0,COUNTIF($E$4:E38,$D$5:$D$54),0)),"")</f>
        <v/>
      </c>
      <c r="F39" s="98">
        <f>IF(COUNTIFS(KBS[RELASI],VLOOKUP(B39,DBRELASI[[NO]:[RELASI]],2,0),KBS[TANGGAL],CONF!$D$2)&lt;&gt;0,1,0)</f>
        <v>0</v>
      </c>
      <c r="G39" s="99" t="str">
        <f>IF(SUM(F39)&lt;&gt;0,VLOOKUP(B39,DBRELASI[[NO]:[RELASI]],2,0),"")</f>
        <v/>
      </c>
      <c r="H39" s="99" t="str">
        <f t="array" ref="H39">IFERROR(INDEX($G$5:$G$54,MATCH(0,COUNTIF($H$4:H38,$G$5:$G$54),0)),"")</f>
        <v/>
      </c>
      <c r="I39" s="98">
        <f>IF(COUNTIFS(KPR[RELASI],VLOOKUP(B39,DBRELASI[[NO]:[RELASI]],2,0),KPR[TANGGAL],CONF!$D$2)&lt;&gt;0,1,0)</f>
        <v>0</v>
      </c>
      <c r="J39" s="99" t="str">
        <f>IF(SUM(I39)&lt;&gt;0,VLOOKUP(B39,DBRELASI[[NO]:[RELASI]],2,0),"")</f>
        <v/>
      </c>
      <c r="K39" s="99" t="str">
        <f t="array" ref="K39">IFERROR(INDEX($J$5:$J$54,MATCH(0,COUNTIF($K$4:K38,$J$5:$J$54),0)),"")</f>
        <v/>
      </c>
      <c r="L39" s="98">
        <f>IF(COUNTIFS(ARG[RELASI],VLOOKUP(B39,DBRELASI[[NO]:[RELASI]],2,0),ARG[TANGGAL],CONF!$D$2)&lt;&gt;0,1,0)</f>
        <v>0</v>
      </c>
      <c r="M39" s="99" t="str">
        <f>IF(SUM(L39)&lt;&gt;0,VLOOKUP(B39,DBRELASI[[NO]:[RELASI]],2,0),"")</f>
        <v/>
      </c>
      <c r="N39" s="99" t="str">
        <f t="array" ref="N39">IFERROR(INDEX($M$5:$M$54,MATCH(0,COUNTIF($N$4:N38,$M$5:$M$54),0)),"")</f>
        <v/>
      </c>
      <c r="O39" s="100" t="str">
        <f t="shared" si="2"/>
        <v/>
      </c>
    </row>
    <row r="40" spans="2:15">
      <c r="B40" s="101">
        <f t="shared" si="1"/>
        <v>36</v>
      </c>
      <c r="C40" s="102">
        <f>IF(COUNTIFS(KB[RELASI],VLOOKUP(B40,DBRELASI[[NO]:[RELASI]],2,0),KB[TANGGAL],CONF!$D$2)&lt;&gt;0,1,0)</f>
        <v>0</v>
      </c>
      <c r="D40" s="103" t="str">
        <f>IF(SUM(C40:C40)&lt;&gt;0,VLOOKUP(B40,DBRELASI[[NO]:[RELASI]],2,0),"")</f>
        <v/>
      </c>
      <c r="E40" s="103" t="str">
        <f t="array" ref="E40">IFERROR(INDEX($D$5:$D$54,MATCH(0,COUNTIF($E$4:E39,$D$5:$D$54),0)),"")</f>
        <v/>
      </c>
      <c r="F40" s="102">
        <f>IF(COUNTIFS(KBS[RELASI],VLOOKUP(B40,DBRELASI[[NO]:[RELASI]],2,0),KBS[TANGGAL],CONF!$D$2)&lt;&gt;0,1,0)</f>
        <v>0</v>
      </c>
      <c r="G40" s="103" t="str">
        <f>IF(SUM(F40)&lt;&gt;0,VLOOKUP(B40,DBRELASI[[NO]:[RELASI]],2,0),"")</f>
        <v/>
      </c>
      <c r="H40" s="103" t="str">
        <f t="array" ref="H40">IFERROR(INDEX($G$5:$G$54,MATCH(0,COUNTIF($H$4:H39,$G$5:$G$54),0)),"")</f>
        <v/>
      </c>
      <c r="I40" s="102">
        <f>IF(COUNTIFS(KPR[RELASI],VLOOKUP(B40,DBRELASI[[NO]:[RELASI]],2,0),KPR[TANGGAL],CONF!$D$2)&lt;&gt;0,1,0)</f>
        <v>0</v>
      </c>
      <c r="J40" s="103" t="str">
        <f>IF(SUM(I40)&lt;&gt;0,VLOOKUP(B40,DBRELASI[[NO]:[RELASI]],2,0),"")</f>
        <v/>
      </c>
      <c r="K40" s="103" t="str">
        <f t="array" ref="K40">IFERROR(INDEX($J$5:$J$54,MATCH(0,COUNTIF($K$4:K39,$J$5:$J$54),0)),"")</f>
        <v/>
      </c>
      <c r="L40" s="102">
        <f>IF(COUNTIFS(ARG[RELASI],VLOOKUP(B40,DBRELASI[[NO]:[RELASI]],2,0),ARG[TANGGAL],CONF!$D$2)&lt;&gt;0,1,0)</f>
        <v>0</v>
      </c>
      <c r="M40" s="103" t="str">
        <f>IF(SUM(L40)&lt;&gt;0,VLOOKUP(B40,DBRELASI[[NO]:[RELASI]],2,0),"")</f>
        <v/>
      </c>
      <c r="N40" s="103" t="str">
        <f t="array" ref="N40">IFERROR(INDEX($M$5:$M$54,MATCH(0,COUNTIF($N$4:N39,$M$5:$M$54),0)),"")</f>
        <v/>
      </c>
      <c r="O40" s="100" t="str">
        <f t="shared" si="2"/>
        <v/>
      </c>
    </row>
    <row r="41" spans="2:15">
      <c r="B41" s="97">
        <f t="shared" si="1"/>
        <v>37</v>
      </c>
      <c r="C41" s="98">
        <f>IF(COUNTIFS(KB[RELASI],VLOOKUP(B41,DBRELASI[[NO]:[RELASI]],2,0),KB[TANGGAL],CONF!$D$2)&lt;&gt;0,1,0)</f>
        <v>0</v>
      </c>
      <c r="D41" s="99" t="str">
        <f>IF(SUM(C41:C41)&lt;&gt;0,VLOOKUP(B41,DBRELASI[[NO]:[RELASI]],2,0),"")</f>
        <v/>
      </c>
      <c r="E41" s="99" t="str">
        <f t="array" ref="E41">IFERROR(INDEX($D$5:$D$54,MATCH(0,COUNTIF($E$4:E40,$D$5:$D$54),0)),"")</f>
        <v/>
      </c>
      <c r="F41" s="98">
        <f>IF(COUNTIFS(KBS[RELASI],VLOOKUP(B41,DBRELASI[[NO]:[RELASI]],2,0),KBS[TANGGAL],CONF!$D$2)&lt;&gt;0,1,0)</f>
        <v>0</v>
      </c>
      <c r="G41" s="99" t="str">
        <f>IF(SUM(F41)&lt;&gt;0,VLOOKUP(B41,DBRELASI[[NO]:[RELASI]],2,0),"")</f>
        <v/>
      </c>
      <c r="H41" s="99" t="str">
        <f t="array" ref="H41">IFERROR(INDEX($G$5:$G$54,MATCH(0,COUNTIF($H$4:H40,$G$5:$G$54),0)),"")</f>
        <v/>
      </c>
      <c r="I41" s="98">
        <f>IF(COUNTIFS(KPR[RELASI],VLOOKUP(B41,DBRELASI[[NO]:[RELASI]],2,0),KPR[TANGGAL],CONF!$D$2)&lt;&gt;0,1,0)</f>
        <v>0</v>
      </c>
      <c r="J41" s="99" t="str">
        <f>IF(SUM(I41)&lt;&gt;0,VLOOKUP(B41,DBRELASI[[NO]:[RELASI]],2,0),"")</f>
        <v/>
      </c>
      <c r="K41" s="99" t="str">
        <f t="array" ref="K41">IFERROR(INDEX($J$5:$J$54,MATCH(0,COUNTIF($K$4:K40,$J$5:$J$54),0)),"")</f>
        <v/>
      </c>
      <c r="L41" s="98">
        <f>IF(COUNTIFS(ARG[RELASI],VLOOKUP(B41,DBRELASI[[NO]:[RELASI]],2,0),ARG[TANGGAL],CONF!$D$2)&lt;&gt;0,1,0)</f>
        <v>0</v>
      </c>
      <c r="M41" s="99" t="str">
        <f>IF(SUM(L41)&lt;&gt;0,VLOOKUP(B41,DBRELASI[[NO]:[RELASI]],2,0),"")</f>
        <v/>
      </c>
      <c r="N41" s="99" t="str">
        <f t="array" ref="N41">IFERROR(INDEX($M$5:$M$54,MATCH(0,COUNTIF($N$4:N40,$M$5:$M$54),0)),"")</f>
        <v/>
      </c>
      <c r="O41" s="100" t="str">
        <f t="shared" si="2"/>
        <v/>
      </c>
    </row>
    <row r="42" spans="2:15">
      <c r="B42" s="101">
        <f t="shared" si="1"/>
        <v>38</v>
      </c>
      <c r="C42" s="102">
        <f>IF(COUNTIFS(KB[RELASI],VLOOKUP(B42,DBRELASI[[NO]:[RELASI]],2,0),KB[TANGGAL],CONF!$D$2)&lt;&gt;0,1,0)</f>
        <v>0</v>
      </c>
      <c r="D42" s="103" t="str">
        <f>IF(SUM(C42:C42)&lt;&gt;0,VLOOKUP(B42,DBRELASI[[NO]:[RELASI]],2,0),"")</f>
        <v/>
      </c>
      <c r="E42" s="103" t="str">
        <f t="array" ref="E42">IFERROR(INDEX($D$5:$D$54,MATCH(0,COUNTIF($E$4:E41,$D$5:$D$54),0)),"")</f>
        <v/>
      </c>
      <c r="F42" s="102">
        <f>IF(COUNTIFS(KBS[RELASI],VLOOKUP(B42,DBRELASI[[NO]:[RELASI]],2,0),KBS[TANGGAL],CONF!$D$2)&lt;&gt;0,1,0)</f>
        <v>0</v>
      </c>
      <c r="G42" s="103" t="str">
        <f>IF(SUM(F42)&lt;&gt;0,VLOOKUP(B42,DBRELASI[[NO]:[RELASI]],2,0),"")</f>
        <v/>
      </c>
      <c r="H42" s="103" t="str">
        <f t="array" ref="H42">IFERROR(INDEX($G$5:$G$54,MATCH(0,COUNTIF($H$4:H41,$G$5:$G$54),0)),"")</f>
        <v/>
      </c>
      <c r="I42" s="102">
        <f>IF(COUNTIFS(KPR[RELASI],VLOOKUP(B42,DBRELASI[[NO]:[RELASI]],2,0),KPR[TANGGAL],CONF!$D$2)&lt;&gt;0,1,0)</f>
        <v>0</v>
      </c>
      <c r="J42" s="103" t="str">
        <f>IF(SUM(I42)&lt;&gt;0,VLOOKUP(B42,DBRELASI[[NO]:[RELASI]],2,0),"")</f>
        <v/>
      </c>
      <c r="K42" s="103" t="str">
        <f t="array" ref="K42">IFERROR(INDEX($J$5:$J$54,MATCH(0,COUNTIF($K$4:K41,$J$5:$J$54),0)),"")</f>
        <v/>
      </c>
      <c r="L42" s="102">
        <f>IF(COUNTIFS(ARG[RELASI],VLOOKUP(B42,DBRELASI[[NO]:[RELASI]],2,0),ARG[TANGGAL],CONF!$D$2)&lt;&gt;0,1,0)</f>
        <v>0</v>
      </c>
      <c r="M42" s="103" t="str">
        <f>IF(SUM(L42)&lt;&gt;0,VLOOKUP(B42,DBRELASI[[NO]:[RELASI]],2,0),"")</f>
        <v/>
      </c>
      <c r="N42" s="103" t="str">
        <f t="array" ref="N42">IFERROR(INDEX($M$5:$M$54,MATCH(0,COUNTIF($N$4:N41,$M$5:$M$54),0)),"")</f>
        <v/>
      </c>
      <c r="O42" s="100" t="str">
        <f t="shared" si="2"/>
        <v/>
      </c>
    </row>
    <row r="43" spans="2:15">
      <c r="B43" s="97">
        <f t="shared" si="1"/>
        <v>39</v>
      </c>
      <c r="C43" s="98">
        <f>IF(COUNTIFS(KB[RELASI],VLOOKUP(B43,DBRELASI[[NO]:[RELASI]],2,0),KB[TANGGAL],CONF!$D$2)&lt;&gt;0,1,0)</f>
        <v>0</v>
      </c>
      <c r="D43" s="99" t="str">
        <f>IF(SUM(C43:C43)&lt;&gt;0,VLOOKUP(B43,DBRELASI[[NO]:[RELASI]],2,0),"")</f>
        <v/>
      </c>
      <c r="E43" s="99" t="str">
        <f t="array" ref="E43">IFERROR(INDEX($D$5:$D$54,MATCH(0,COUNTIF($E$4:E42,$D$5:$D$54),0)),"")</f>
        <v/>
      </c>
      <c r="F43" s="98">
        <f>IF(COUNTIFS(KBS[RELASI],VLOOKUP(B43,DBRELASI[[NO]:[RELASI]],2,0),KBS[TANGGAL],CONF!$D$2)&lt;&gt;0,1,0)</f>
        <v>0</v>
      </c>
      <c r="G43" s="99" t="str">
        <f>IF(SUM(F43)&lt;&gt;0,VLOOKUP(B43,DBRELASI[[NO]:[RELASI]],2,0),"")</f>
        <v/>
      </c>
      <c r="H43" s="99" t="str">
        <f t="array" ref="H43">IFERROR(INDEX($G$5:$G$54,MATCH(0,COUNTIF($H$4:H42,$G$5:$G$54),0)),"")</f>
        <v/>
      </c>
      <c r="I43" s="98">
        <f>IF(COUNTIFS(KPR[RELASI],VLOOKUP(B43,DBRELASI[[NO]:[RELASI]],2,0),KPR[TANGGAL],CONF!$D$2)&lt;&gt;0,1,0)</f>
        <v>0</v>
      </c>
      <c r="J43" s="99" t="str">
        <f>IF(SUM(I43)&lt;&gt;0,VLOOKUP(B43,DBRELASI[[NO]:[RELASI]],2,0),"")</f>
        <v/>
      </c>
      <c r="K43" s="99" t="str">
        <f t="array" ref="K43">IFERROR(INDEX($J$5:$J$54,MATCH(0,COUNTIF($K$4:K42,$J$5:$J$54),0)),"")</f>
        <v/>
      </c>
      <c r="L43" s="98">
        <f>IF(COUNTIFS(ARG[RELASI],VLOOKUP(B43,DBRELASI[[NO]:[RELASI]],2,0),ARG[TANGGAL],CONF!$D$2)&lt;&gt;0,1,0)</f>
        <v>0</v>
      </c>
      <c r="M43" s="99" t="str">
        <f>IF(SUM(L43)&lt;&gt;0,VLOOKUP(B43,DBRELASI[[NO]:[RELASI]],2,0),"")</f>
        <v/>
      </c>
      <c r="N43" s="99" t="str">
        <f t="array" ref="N43">IFERROR(INDEX($M$5:$M$54,MATCH(0,COUNTIF($N$4:N42,$M$5:$M$54),0)),"")</f>
        <v/>
      </c>
      <c r="O43" s="100" t="str">
        <f t="shared" si="2"/>
        <v/>
      </c>
    </row>
    <row r="44" spans="2:15">
      <c r="B44" s="101">
        <f t="shared" si="1"/>
        <v>40</v>
      </c>
      <c r="C44" s="102">
        <f>IF(COUNTIFS(KB[RELASI],VLOOKUP(B44,DBRELASI[[NO]:[RELASI]],2,0),KB[TANGGAL],CONF!$D$2)&lt;&gt;0,1,0)</f>
        <v>0</v>
      </c>
      <c r="D44" s="103" t="str">
        <f>IF(SUM(C44:C44)&lt;&gt;0,VLOOKUP(B44,DBRELASI[[NO]:[RELASI]],2,0),"")</f>
        <v/>
      </c>
      <c r="E44" s="103" t="str">
        <f t="array" ref="E44">IFERROR(INDEX($D$5:$D$54,MATCH(0,COUNTIF($E$4:E43,$D$5:$D$54),0)),"")</f>
        <v/>
      </c>
      <c r="F44" s="102">
        <f>IF(COUNTIFS(KBS[RELASI],VLOOKUP(B44,DBRELASI[[NO]:[RELASI]],2,0),KBS[TANGGAL],CONF!$D$2)&lt;&gt;0,1,0)</f>
        <v>0</v>
      </c>
      <c r="G44" s="103" t="str">
        <f>IF(SUM(F44)&lt;&gt;0,VLOOKUP(B44,DBRELASI[[NO]:[RELASI]],2,0),"")</f>
        <v/>
      </c>
      <c r="H44" s="103" t="str">
        <f t="array" ref="H44">IFERROR(INDEX($G$5:$G$54,MATCH(0,COUNTIF($H$4:H43,$G$5:$G$54),0)),"")</f>
        <v/>
      </c>
      <c r="I44" s="102">
        <f>IF(COUNTIFS(KPR[RELASI],VLOOKUP(B44,DBRELASI[[NO]:[RELASI]],2,0),KPR[TANGGAL],CONF!$D$2)&lt;&gt;0,1,0)</f>
        <v>0</v>
      </c>
      <c r="J44" s="103" t="str">
        <f>IF(SUM(I44)&lt;&gt;0,VLOOKUP(B44,DBRELASI[[NO]:[RELASI]],2,0),"")</f>
        <v/>
      </c>
      <c r="K44" s="103" t="str">
        <f t="array" ref="K44">IFERROR(INDEX($J$5:$J$54,MATCH(0,COUNTIF($K$4:K43,$J$5:$J$54),0)),"")</f>
        <v/>
      </c>
      <c r="L44" s="102">
        <f>IF(COUNTIFS(ARG[RELASI],VLOOKUP(B44,DBRELASI[[NO]:[RELASI]],2,0),ARG[TANGGAL],CONF!$D$2)&lt;&gt;0,1,0)</f>
        <v>0</v>
      </c>
      <c r="M44" s="103" t="str">
        <f>IF(SUM(L44)&lt;&gt;0,VLOOKUP(B44,DBRELASI[[NO]:[RELASI]],2,0),"")</f>
        <v/>
      </c>
      <c r="N44" s="103" t="str">
        <f t="array" ref="N44">IFERROR(INDEX($M$5:$M$54,MATCH(0,COUNTIF($N$4:N43,$M$5:$M$54),0)),"")</f>
        <v/>
      </c>
      <c r="O44" s="100" t="str">
        <f t="shared" si="2"/>
        <v/>
      </c>
    </row>
    <row r="45" spans="2:15">
      <c r="B45" s="97">
        <f t="shared" si="1"/>
        <v>41</v>
      </c>
      <c r="C45" s="98">
        <f>IF(COUNTIFS(KB[RELASI],VLOOKUP(B45,DBRELASI[[NO]:[RELASI]],2,0),KB[TANGGAL],CONF!$D$2)&lt;&gt;0,1,0)</f>
        <v>0</v>
      </c>
      <c r="D45" s="99" t="str">
        <f>IF(SUM(C45:C45)&lt;&gt;0,VLOOKUP(B45,DBRELASI[[NO]:[RELASI]],2,0),"")</f>
        <v/>
      </c>
      <c r="E45" s="99" t="str">
        <f t="array" ref="E45">IFERROR(INDEX($D$5:$D$54,MATCH(0,COUNTIF($E$4:E44,$D$5:$D$54),0)),"")</f>
        <v/>
      </c>
      <c r="F45" s="98">
        <f>IF(COUNTIFS(KBS[RELASI],VLOOKUP(B45,DBRELASI[[NO]:[RELASI]],2,0),KBS[TANGGAL],CONF!$D$2)&lt;&gt;0,1,0)</f>
        <v>0</v>
      </c>
      <c r="G45" s="99" t="str">
        <f>IF(SUM(F45)&lt;&gt;0,VLOOKUP(B45,DBRELASI[[NO]:[RELASI]],2,0),"")</f>
        <v/>
      </c>
      <c r="H45" s="99" t="str">
        <f t="array" ref="H45">IFERROR(INDEX($G$5:$G$54,MATCH(0,COUNTIF($H$4:H44,$G$5:$G$54),0)),"")</f>
        <v/>
      </c>
      <c r="I45" s="98">
        <f>IF(COUNTIFS(KPR[RELASI],VLOOKUP(B45,DBRELASI[[NO]:[RELASI]],2,0),KPR[TANGGAL],CONF!$D$2)&lt;&gt;0,1,0)</f>
        <v>0</v>
      </c>
      <c r="J45" s="99" t="str">
        <f>IF(SUM(I45)&lt;&gt;0,VLOOKUP(B45,DBRELASI[[NO]:[RELASI]],2,0),"")</f>
        <v/>
      </c>
      <c r="K45" s="99" t="str">
        <f t="array" ref="K45">IFERROR(INDEX($J$5:$J$54,MATCH(0,COUNTIF($K$4:K44,$J$5:$J$54),0)),"")</f>
        <v/>
      </c>
      <c r="L45" s="98">
        <f>IF(COUNTIFS(ARG[RELASI],VLOOKUP(B45,DBRELASI[[NO]:[RELASI]],2,0),ARG[TANGGAL],CONF!$D$2)&lt;&gt;0,1,0)</f>
        <v>0</v>
      </c>
      <c r="M45" s="99" t="str">
        <f>IF(SUM(L45)&lt;&gt;0,VLOOKUP(B45,DBRELASI[[NO]:[RELASI]],2,0),"")</f>
        <v/>
      </c>
      <c r="N45" s="99" t="str">
        <f t="array" ref="N45">IFERROR(INDEX($M$5:$M$54,MATCH(0,COUNTIF($N$4:N44,$M$5:$M$54),0)),"")</f>
        <v/>
      </c>
      <c r="O45" s="100" t="str">
        <f t="shared" si="2"/>
        <v/>
      </c>
    </row>
    <row r="46" spans="2:15">
      <c r="B46" s="101">
        <f t="shared" si="1"/>
        <v>42</v>
      </c>
      <c r="C46" s="102">
        <f>IF(COUNTIFS(KB[RELASI],VLOOKUP(B46,DBRELASI[[NO]:[RELASI]],2,0),KB[TANGGAL],CONF!$D$2)&lt;&gt;0,1,0)</f>
        <v>0</v>
      </c>
      <c r="D46" s="103" t="str">
        <f>IF(SUM(C46:C46)&lt;&gt;0,VLOOKUP(B46,DBRELASI[[NO]:[RELASI]],2,0),"")</f>
        <v/>
      </c>
      <c r="E46" s="103" t="str">
        <f t="array" ref="E46">IFERROR(INDEX($D$5:$D$54,MATCH(0,COUNTIF($E$4:E45,$D$5:$D$54),0)),"")</f>
        <v/>
      </c>
      <c r="F46" s="102">
        <f>IF(COUNTIFS(KBS[RELASI],VLOOKUP(B46,DBRELASI[[NO]:[RELASI]],2,0),KBS[TANGGAL],CONF!$D$2)&lt;&gt;0,1,0)</f>
        <v>0</v>
      </c>
      <c r="G46" s="103" t="str">
        <f>IF(SUM(F46)&lt;&gt;0,VLOOKUP(B46,DBRELASI[[NO]:[RELASI]],2,0),"")</f>
        <v/>
      </c>
      <c r="H46" s="103" t="str">
        <f t="array" ref="H46">IFERROR(INDEX($G$5:$G$54,MATCH(0,COUNTIF($H$4:H45,$G$5:$G$54),0)),"")</f>
        <v/>
      </c>
      <c r="I46" s="102">
        <f>IF(COUNTIFS(KPR[RELASI],VLOOKUP(B46,DBRELASI[[NO]:[RELASI]],2,0),KPR[TANGGAL],CONF!$D$2)&lt;&gt;0,1,0)</f>
        <v>0</v>
      </c>
      <c r="J46" s="103" t="str">
        <f>IF(SUM(I46)&lt;&gt;0,VLOOKUP(B46,DBRELASI[[NO]:[RELASI]],2,0),"")</f>
        <v/>
      </c>
      <c r="K46" s="103" t="str">
        <f t="array" ref="K46">IFERROR(INDEX($J$5:$J$54,MATCH(0,COUNTIF($K$4:K45,$J$5:$J$54),0)),"")</f>
        <v/>
      </c>
      <c r="L46" s="102">
        <f>IF(COUNTIFS(ARG[RELASI],VLOOKUP(B46,DBRELASI[[NO]:[RELASI]],2,0),ARG[TANGGAL],CONF!$D$2)&lt;&gt;0,1,0)</f>
        <v>0</v>
      </c>
      <c r="M46" s="103" t="str">
        <f>IF(SUM(L46)&lt;&gt;0,VLOOKUP(B46,DBRELASI[[NO]:[RELASI]],2,0),"")</f>
        <v/>
      </c>
      <c r="N46" s="103" t="str">
        <f t="array" ref="N46">IFERROR(INDEX($M$5:$M$54,MATCH(0,COUNTIF($N$4:N45,$M$5:$M$54),0)),"")</f>
        <v/>
      </c>
      <c r="O46" s="100" t="str">
        <f t="shared" si="2"/>
        <v/>
      </c>
    </row>
    <row r="47" spans="2:15">
      <c r="B47" s="97">
        <f t="shared" si="1"/>
        <v>43</v>
      </c>
      <c r="C47" s="98">
        <f>IF(COUNTIFS(KB[RELASI],VLOOKUP(B47,DBRELASI[[NO]:[RELASI]],2,0),KB[TANGGAL],CONF!$D$2)&lt;&gt;0,1,0)</f>
        <v>0</v>
      </c>
      <c r="D47" s="99" t="str">
        <f>IF(SUM(C47:C47)&lt;&gt;0,VLOOKUP(B47,DBRELASI[[NO]:[RELASI]],2,0),"")</f>
        <v/>
      </c>
      <c r="E47" s="99" t="str">
        <f t="array" ref="E47">IFERROR(INDEX($D$5:$D$54,MATCH(0,COUNTIF($E$4:E46,$D$5:$D$54),0)),"")</f>
        <v/>
      </c>
      <c r="F47" s="98">
        <f>IF(COUNTIFS(KBS[RELASI],VLOOKUP(B47,DBRELASI[[NO]:[RELASI]],2,0),KBS[TANGGAL],CONF!$D$2)&lt;&gt;0,1,0)</f>
        <v>0</v>
      </c>
      <c r="G47" s="99" t="str">
        <f>IF(SUM(F47)&lt;&gt;0,VLOOKUP(B47,DBRELASI[[NO]:[RELASI]],2,0),"")</f>
        <v/>
      </c>
      <c r="H47" s="99" t="str">
        <f t="array" ref="H47">IFERROR(INDEX($G$5:$G$54,MATCH(0,COUNTIF($H$4:H46,$G$5:$G$54),0)),"")</f>
        <v/>
      </c>
      <c r="I47" s="98">
        <f>IF(COUNTIFS(KPR[RELASI],VLOOKUP(B47,DBRELASI[[NO]:[RELASI]],2,0),KPR[TANGGAL],CONF!$D$2)&lt;&gt;0,1,0)</f>
        <v>0</v>
      </c>
      <c r="J47" s="99" t="str">
        <f>IF(SUM(I47)&lt;&gt;0,VLOOKUP(B47,DBRELASI[[NO]:[RELASI]],2,0),"")</f>
        <v/>
      </c>
      <c r="K47" s="99" t="str">
        <f t="array" ref="K47">IFERROR(INDEX($J$5:$J$54,MATCH(0,COUNTIF($K$4:K46,$J$5:$J$54),0)),"")</f>
        <v/>
      </c>
      <c r="L47" s="98">
        <f>IF(COUNTIFS(ARG[RELASI],VLOOKUP(B47,DBRELASI[[NO]:[RELASI]],2,0),ARG[TANGGAL],CONF!$D$2)&lt;&gt;0,1,0)</f>
        <v>0</v>
      </c>
      <c r="M47" s="99" t="str">
        <f>IF(SUM(L47)&lt;&gt;0,VLOOKUP(B47,DBRELASI[[NO]:[RELASI]],2,0),"")</f>
        <v/>
      </c>
      <c r="N47" s="99" t="str">
        <f t="array" ref="N47">IFERROR(INDEX($M$5:$M$54,MATCH(0,COUNTIF($N$4:N46,$M$5:$M$54),0)),"")</f>
        <v/>
      </c>
      <c r="O47" s="100" t="str">
        <f t="shared" si="2"/>
        <v/>
      </c>
    </row>
    <row r="48" spans="2:15">
      <c r="B48" s="101">
        <f t="shared" si="1"/>
        <v>44</v>
      </c>
      <c r="C48" s="102">
        <f>IF(COUNTIFS(KB[RELASI],VLOOKUP(B48,DBRELASI[[NO]:[RELASI]],2,0),KB[TANGGAL],CONF!$D$2)&lt;&gt;0,1,0)</f>
        <v>0</v>
      </c>
      <c r="D48" s="103" t="str">
        <f>IF(SUM(C48:C48)&lt;&gt;0,VLOOKUP(B48,DBRELASI[[NO]:[RELASI]],2,0),"")</f>
        <v/>
      </c>
      <c r="E48" s="103" t="str">
        <f t="array" ref="E48">IFERROR(INDEX($D$5:$D$54,MATCH(0,COUNTIF($E$4:E47,$D$5:$D$54),0)),"")</f>
        <v/>
      </c>
      <c r="F48" s="102">
        <f>IF(COUNTIFS(KBS[RELASI],VLOOKUP(B48,DBRELASI[[NO]:[RELASI]],2,0),KBS[TANGGAL],CONF!$D$2)&lt;&gt;0,1,0)</f>
        <v>0</v>
      </c>
      <c r="G48" s="103" t="str">
        <f>IF(SUM(F48)&lt;&gt;0,VLOOKUP(B48,DBRELASI[[NO]:[RELASI]],2,0),"")</f>
        <v/>
      </c>
      <c r="H48" s="103" t="str">
        <f t="array" ref="H48">IFERROR(INDEX($G$5:$G$54,MATCH(0,COUNTIF($H$4:H47,$G$5:$G$54),0)),"")</f>
        <v/>
      </c>
      <c r="I48" s="102">
        <f>IF(COUNTIFS(KPR[RELASI],VLOOKUP(B48,DBRELASI[[NO]:[RELASI]],2,0),KPR[TANGGAL],CONF!$D$2)&lt;&gt;0,1,0)</f>
        <v>0</v>
      </c>
      <c r="J48" s="103" t="str">
        <f>IF(SUM(I48)&lt;&gt;0,VLOOKUP(B48,DBRELASI[[NO]:[RELASI]],2,0),"")</f>
        <v/>
      </c>
      <c r="K48" s="103" t="str">
        <f t="array" ref="K48">IFERROR(INDEX($J$5:$J$54,MATCH(0,COUNTIF($K$4:K47,$J$5:$J$54),0)),"")</f>
        <v/>
      </c>
      <c r="L48" s="102">
        <f>IF(COUNTIFS(ARG[RELASI],VLOOKUP(B48,DBRELASI[[NO]:[RELASI]],2,0),ARG[TANGGAL],CONF!$D$2)&lt;&gt;0,1,0)</f>
        <v>0</v>
      </c>
      <c r="M48" s="103" t="str">
        <f>IF(SUM(L48)&lt;&gt;0,VLOOKUP(B48,DBRELASI[[NO]:[RELASI]],2,0),"")</f>
        <v/>
      </c>
      <c r="N48" s="103" t="str">
        <f t="array" ref="N48">IFERROR(INDEX($M$5:$M$54,MATCH(0,COUNTIF($N$4:N47,$M$5:$M$54),0)),"")</f>
        <v/>
      </c>
      <c r="O48" s="100" t="str">
        <f t="shared" si="2"/>
        <v/>
      </c>
    </row>
    <row r="49" spans="2:15">
      <c r="B49" s="97">
        <f t="shared" si="1"/>
        <v>45</v>
      </c>
      <c r="C49" s="98">
        <f>IF(COUNTIFS(KB[RELASI],VLOOKUP(B49,DBRELASI[[NO]:[RELASI]],2,0),KB[TANGGAL],CONF!$D$2)&lt;&gt;0,1,0)</f>
        <v>0</v>
      </c>
      <c r="D49" s="99" t="str">
        <f>IF(SUM(C49:C49)&lt;&gt;0,VLOOKUP(B49,DBRELASI[[NO]:[RELASI]],2,0),"")</f>
        <v/>
      </c>
      <c r="E49" s="99" t="str">
        <f t="array" ref="E49">IFERROR(INDEX($D$5:$D$54,MATCH(0,COUNTIF($E$4:E48,$D$5:$D$54),0)),"")</f>
        <v/>
      </c>
      <c r="F49" s="98">
        <f>IF(COUNTIFS(KBS[RELASI],VLOOKUP(B49,DBRELASI[[NO]:[RELASI]],2,0),KBS[TANGGAL],CONF!$D$2)&lt;&gt;0,1,0)</f>
        <v>0</v>
      </c>
      <c r="G49" s="99" t="str">
        <f>IF(SUM(F49)&lt;&gt;0,VLOOKUP(B49,DBRELASI[[NO]:[RELASI]],2,0),"")</f>
        <v/>
      </c>
      <c r="H49" s="99" t="str">
        <f t="array" ref="H49">IFERROR(INDEX($G$5:$G$54,MATCH(0,COUNTIF($H$4:H48,$G$5:$G$54),0)),"")</f>
        <v/>
      </c>
      <c r="I49" s="98">
        <f>IF(COUNTIFS(KPR[RELASI],VLOOKUP(B49,DBRELASI[[NO]:[RELASI]],2,0),KPR[TANGGAL],CONF!$D$2)&lt;&gt;0,1,0)</f>
        <v>0</v>
      </c>
      <c r="J49" s="99" t="str">
        <f>IF(SUM(I49)&lt;&gt;0,VLOOKUP(B49,DBRELASI[[NO]:[RELASI]],2,0),"")</f>
        <v/>
      </c>
      <c r="K49" s="99" t="str">
        <f t="array" ref="K49">IFERROR(INDEX($J$5:$J$54,MATCH(0,COUNTIF($K$4:K48,$J$5:$J$54),0)),"")</f>
        <v/>
      </c>
      <c r="L49" s="98">
        <f>IF(COUNTIFS(ARG[RELASI],VLOOKUP(B49,DBRELASI[[NO]:[RELASI]],2,0),ARG[TANGGAL],CONF!$D$2)&lt;&gt;0,1,0)</f>
        <v>0</v>
      </c>
      <c r="M49" s="99" t="str">
        <f>IF(SUM(L49)&lt;&gt;0,VLOOKUP(B49,DBRELASI[[NO]:[RELASI]],2,0),"")</f>
        <v/>
      </c>
      <c r="N49" s="99" t="str">
        <f t="array" ref="N49">IFERROR(INDEX($M$5:$M$54,MATCH(0,COUNTIF($N$4:N48,$M$5:$M$54),0)),"")</f>
        <v/>
      </c>
      <c r="O49" s="100" t="str">
        <f t="shared" si="2"/>
        <v/>
      </c>
    </row>
    <row r="50" spans="2:15">
      <c r="B50" s="101">
        <f t="shared" si="1"/>
        <v>46</v>
      </c>
      <c r="C50" s="102">
        <f>IF(COUNTIFS(KB[RELASI],VLOOKUP(B50,DBRELASI[[NO]:[RELASI]],2,0),KB[TANGGAL],CONF!$D$2)&lt;&gt;0,1,0)</f>
        <v>0</v>
      </c>
      <c r="D50" s="103" t="str">
        <f>IF(SUM(C50:C50)&lt;&gt;0,VLOOKUP(B50,DBRELASI[[NO]:[RELASI]],2,0),"")</f>
        <v/>
      </c>
      <c r="E50" s="103" t="str">
        <f t="array" ref="E50">IFERROR(INDEX($D$5:$D$54,MATCH(0,COUNTIF($E$4:E49,$D$5:$D$54),0)),"")</f>
        <v/>
      </c>
      <c r="F50" s="102">
        <f>IF(COUNTIFS(KBS[RELASI],VLOOKUP(B50,DBRELASI[[NO]:[RELASI]],2,0),KBS[TANGGAL],CONF!$D$2)&lt;&gt;0,1,0)</f>
        <v>0</v>
      </c>
      <c r="G50" s="103" t="str">
        <f>IF(SUM(F50)&lt;&gt;0,VLOOKUP(B50,DBRELASI[[NO]:[RELASI]],2,0),"")</f>
        <v/>
      </c>
      <c r="H50" s="103" t="str">
        <f t="array" ref="H50">IFERROR(INDEX($G$5:$G$54,MATCH(0,COUNTIF($H$4:H49,$G$5:$G$54),0)),"")</f>
        <v/>
      </c>
      <c r="I50" s="102">
        <f>IF(COUNTIFS(KPR[RELASI],VLOOKUP(B50,DBRELASI[[NO]:[RELASI]],2,0),KPR[TANGGAL],CONF!$D$2)&lt;&gt;0,1,0)</f>
        <v>0</v>
      </c>
      <c r="J50" s="103" t="str">
        <f>IF(SUM(I50)&lt;&gt;0,VLOOKUP(B50,DBRELASI[[NO]:[RELASI]],2,0),"")</f>
        <v/>
      </c>
      <c r="K50" s="103" t="str">
        <f t="array" ref="K50">IFERROR(INDEX($J$5:$J$54,MATCH(0,COUNTIF($K$4:K49,$J$5:$J$54),0)),"")</f>
        <v/>
      </c>
      <c r="L50" s="102">
        <f>IF(COUNTIFS(ARG[RELASI],VLOOKUP(B50,DBRELASI[[NO]:[RELASI]],2,0),ARG[TANGGAL],CONF!$D$2)&lt;&gt;0,1,0)</f>
        <v>0</v>
      </c>
      <c r="M50" s="103" t="str">
        <f>IF(SUM(L50)&lt;&gt;0,VLOOKUP(B50,DBRELASI[[NO]:[RELASI]],2,0),"")</f>
        <v/>
      </c>
      <c r="N50" s="103" t="str">
        <f t="array" ref="N50">IFERROR(INDEX($M$5:$M$54,MATCH(0,COUNTIF($N$4:N49,$M$5:$M$54),0)),"")</f>
        <v/>
      </c>
      <c r="O50" s="100" t="str">
        <f t="shared" si="2"/>
        <v/>
      </c>
    </row>
    <row r="51" spans="2:15">
      <c r="B51" s="97">
        <f t="shared" si="1"/>
        <v>47</v>
      </c>
      <c r="C51" s="98">
        <f>IF(COUNTIFS(KB[RELASI],VLOOKUP(B51,DBRELASI[[NO]:[RELASI]],2,0),KB[TANGGAL],CONF!$D$2)&lt;&gt;0,1,0)</f>
        <v>0</v>
      </c>
      <c r="D51" s="99" t="str">
        <f>IF(SUM(C51:C51)&lt;&gt;0,VLOOKUP(B51,DBRELASI[[NO]:[RELASI]],2,0),"")</f>
        <v/>
      </c>
      <c r="E51" s="99" t="str">
        <f t="array" ref="E51">IFERROR(INDEX($D$5:$D$54,MATCH(0,COUNTIF($E$4:E50,$D$5:$D$54),0)),"")</f>
        <v/>
      </c>
      <c r="F51" s="98">
        <f>IF(COUNTIFS(KBS[RELASI],VLOOKUP(B51,DBRELASI[[NO]:[RELASI]],2,0),KBS[TANGGAL],CONF!$D$2)&lt;&gt;0,1,0)</f>
        <v>0</v>
      </c>
      <c r="G51" s="99" t="str">
        <f>IF(SUM(F51)&lt;&gt;0,VLOOKUP(B51,DBRELASI[[NO]:[RELASI]],2,0),"")</f>
        <v/>
      </c>
      <c r="H51" s="99" t="str">
        <f t="array" ref="H51">IFERROR(INDEX($G$5:$G$54,MATCH(0,COUNTIF($H$4:H50,$G$5:$G$54),0)),"")</f>
        <v/>
      </c>
      <c r="I51" s="98">
        <f>IF(COUNTIFS(KPR[RELASI],VLOOKUP(B51,DBRELASI[[NO]:[RELASI]],2,0),KPR[TANGGAL],CONF!$D$2)&lt;&gt;0,1,0)</f>
        <v>0</v>
      </c>
      <c r="J51" s="99" t="str">
        <f>IF(SUM(I51)&lt;&gt;0,VLOOKUP(B51,DBRELASI[[NO]:[RELASI]],2,0),"")</f>
        <v/>
      </c>
      <c r="K51" s="99" t="str">
        <f t="array" ref="K51">IFERROR(INDEX($J$5:$J$54,MATCH(0,COUNTIF($K$4:K50,$J$5:$J$54),0)),"")</f>
        <v/>
      </c>
      <c r="L51" s="98">
        <f>IF(COUNTIFS(ARG[RELASI],VLOOKUP(B51,DBRELASI[[NO]:[RELASI]],2,0),ARG[TANGGAL],CONF!$D$2)&lt;&gt;0,1,0)</f>
        <v>0</v>
      </c>
      <c r="M51" s="99" t="str">
        <f>IF(SUM(L51)&lt;&gt;0,VLOOKUP(B51,DBRELASI[[NO]:[RELASI]],2,0),"")</f>
        <v/>
      </c>
      <c r="N51" s="99" t="str">
        <f t="array" ref="N51">IFERROR(INDEX($M$5:$M$54,MATCH(0,COUNTIF($N$4:N50,$M$5:$M$54),0)),"")</f>
        <v/>
      </c>
      <c r="O51" s="100" t="str">
        <f t="shared" si="2"/>
        <v/>
      </c>
    </row>
    <row r="52" spans="2:15">
      <c r="B52" s="101">
        <f t="shared" si="1"/>
        <v>48</v>
      </c>
      <c r="C52" s="102">
        <f>IF(COUNTIFS(KB[RELASI],VLOOKUP(B52,DBRELASI[[NO]:[RELASI]],2,0),KB[TANGGAL],CONF!$D$2)&lt;&gt;0,1,0)</f>
        <v>0</v>
      </c>
      <c r="D52" s="103" t="str">
        <f>IF(SUM(C52:C52)&lt;&gt;0,VLOOKUP(B52,DBRELASI[[NO]:[RELASI]],2,0),"")</f>
        <v/>
      </c>
      <c r="E52" s="103" t="str">
        <f t="array" ref="E52">IFERROR(INDEX($D$5:$D$54,MATCH(0,COUNTIF($E$4:E51,$D$5:$D$54),0)),"")</f>
        <v/>
      </c>
      <c r="F52" s="102">
        <f>IF(COUNTIFS(KBS[RELASI],VLOOKUP(B52,DBRELASI[[NO]:[RELASI]],2,0),KBS[TANGGAL],CONF!$D$2)&lt;&gt;0,1,0)</f>
        <v>0</v>
      </c>
      <c r="G52" s="103" t="str">
        <f>IF(SUM(F52)&lt;&gt;0,VLOOKUP(B52,DBRELASI[[NO]:[RELASI]],2,0),"")</f>
        <v/>
      </c>
      <c r="H52" s="103" t="str">
        <f t="array" ref="H52">IFERROR(INDEX($G$5:$G$54,MATCH(0,COUNTIF($H$4:H51,$G$5:$G$54),0)),"")</f>
        <v/>
      </c>
      <c r="I52" s="102">
        <f>IF(COUNTIFS(KPR[RELASI],VLOOKUP(B52,DBRELASI[[NO]:[RELASI]],2,0),KPR[TANGGAL],CONF!$D$2)&lt;&gt;0,1,0)</f>
        <v>0</v>
      </c>
      <c r="J52" s="103" t="str">
        <f>IF(SUM(I52)&lt;&gt;0,VLOOKUP(B52,DBRELASI[[NO]:[RELASI]],2,0),"")</f>
        <v/>
      </c>
      <c r="K52" s="103" t="str">
        <f t="array" ref="K52">IFERROR(INDEX($J$5:$J$54,MATCH(0,COUNTIF($K$4:K51,$J$5:$J$54),0)),"")</f>
        <v/>
      </c>
      <c r="L52" s="102">
        <f>IF(COUNTIFS(ARG[RELASI],VLOOKUP(B52,DBRELASI[[NO]:[RELASI]],2,0),ARG[TANGGAL],CONF!$D$2)&lt;&gt;0,1,0)</f>
        <v>0</v>
      </c>
      <c r="M52" s="103" t="str">
        <f>IF(SUM(L52)&lt;&gt;0,VLOOKUP(B52,DBRELASI[[NO]:[RELASI]],2,0),"")</f>
        <v/>
      </c>
      <c r="N52" s="103" t="str">
        <f t="array" ref="N52">IFERROR(INDEX($M$5:$M$54,MATCH(0,COUNTIF($N$4:N51,$M$5:$M$54),0)),"")</f>
        <v/>
      </c>
      <c r="O52" s="100" t="str">
        <f t="shared" si="2"/>
        <v/>
      </c>
    </row>
    <row r="53" spans="2:15">
      <c r="B53" s="97">
        <f t="shared" si="1"/>
        <v>49</v>
      </c>
      <c r="C53" s="98">
        <f>IF(COUNTIFS(KB[RELASI],VLOOKUP(B53,DBRELASI[[NO]:[RELASI]],2,0),KB[TANGGAL],CONF!$D$2)&lt;&gt;0,1,0)</f>
        <v>0</v>
      </c>
      <c r="D53" s="99" t="str">
        <f>IF(SUM(C53:C53)&lt;&gt;0,VLOOKUP(B53,DBRELASI[[NO]:[RELASI]],2,0),"")</f>
        <v/>
      </c>
      <c r="E53" s="99" t="str">
        <f t="array" ref="E53">IFERROR(INDEX($D$5:$D$54,MATCH(0,COUNTIF($E$4:E52,$D$5:$D$54),0)),"")</f>
        <v/>
      </c>
      <c r="F53" s="98">
        <f>IF(COUNTIFS(KBS[RELASI],VLOOKUP(B53,DBRELASI[[NO]:[RELASI]],2,0),KBS[TANGGAL],CONF!$D$2)&lt;&gt;0,1,0)</f>
        <v>0</v>
      </c>
      <c r="G53" s="99" t="str">
        <f>IF(SUM(F53)&lt;&gt;0,VLOOKUP(B53,DBRELASI[[NO]:[RELASI]],2,0),"")</f>
        <v/>
      </c>
      <c r="H53" s="99" t="str">
        <f t="array" ref="H53">IFERROR(INDEX($G$5:$G$54,MATCH(0,COUNTIF($H$4:H52,$G$5:$G$54),0)),"")</f>
        <v/>
      </c>
      <c r="I53" s="98">
        <f>IF(COUNTIFS(KPR[RELASI],VLOOKUP(B53,DBRELASI[[NO]:[RELASI]],2,0),KPR[TANGGAL],CONF!$D$2)&lt;&gt;0,1,0)</f>
        <v>0</v>
      </c>
      <c r="J53" s="99" t="str">
        <f>IF(SUM(I53)&lt;&gt;0,VLOOKUP(B53,DBRELASI[[NO]:[RELASI]],2,0),"")</f>
        <v/>
      </c>
      <c r="K53" s="99" t="str">
        <f t="array" ref="K53">IFERROR(INDEX($J$5:$J$54,MATCH(0,COUNTIF($K$4:K52,$J$5:$J$54),0)),"")</f>
        <v/>
      </c>
      <c r="L53" s="98">
        <f>IF(COUNTIFS(ARG[RELASI],VLOOKUP(B53,DBRELASI[[NO]:[RELASI]],2,0),ARG[TANGGAL],CONF!$D$2)&lt;&gt;0,1,0)</f>
        <v>0</v>
      </c>
      <c r="M53" s="99" t="str">
        <f>IF(SUM(L53)&lt;&gt;0,VLOOKUP(B53,DBRELASI[[NO]:[RELASI]],2,0),"")</f>
        <v/>
      </c>
      <c r="N53" s="99" t="str">
        <f t="array" ref="N53">IFERROR(INDEX($M$5:$M$54,MATCH(0,COUNTIF($N$4:N52,$M$5:$M$54),0)),"")</f>
        <v/>
      </c>
      <c r="O53" s="100" t="str">
        <f t="shared" si="2"/>
        <v/>
      </c>
    </row>
    <row r="54" spans="2:15">
      <c r="B54" s="104">
        <f t="shared" si="1"/>
        <v>50</v>
      </c>
      <c r="C54" s="105">
        <f>IF(COUNTIFS(KB[RELASI],VLOOKUP(B54,DBRELASI[[NO]:[RELASI]],2,0),KB[TANGGAL],CONF!$D$2)&lt;&gt;0,1,0)</f>
        <v>0</v>
      </c>
      <c r="D54" s="106" t="str">
        <f>IF(SUM(C54:C54)&lt;&gt;0,VLOOKUP(B54,DBRELASI[[NO]:[RELASI]],2,0),"")</f>
        <v/>
      </c>
      <c r="E54" s="107" t="str">
        <f t="array" ref="E54">IFERROR(INDEX($D$5:$D$54,MATCH(0,COUNTIF($E$4:E53,$D$5:$D$54),0)),"")</f>
        <v/>
      </c>
      <c r="F54" s="105">
        <f>IF(COUNTIFS(KBS[RELASI],VLOOKUP(B54,DBRELASI[[NO]:[RELASI]],2,0),KBS[TANGGAL],CONF!$D$2)&lt;&gt;0,1,0)</f>
        <v>0</v>
      </c>
      <c r="G54" s="106" t="str">
        <f>IF(SUM(F54)&lt;&gt;0,VLOOKUP(B54,DBRELASI[[NO]:[RELASI]],2,0),"")</f>
        <v/>
      </c>
      <c r="H54" s="106" t="str">
        <f t="array" ref="H54">IFERROR(INDEX($G$5:$G$54,MATCH(0,COUNTIF($H$4:H53,$G$5:$G$54),0)),"")</f>
        <v/>
      </c>
      <c r="I54" s="108">
        <f>IF(COUNTIFS(KPR[RELASI],VLOOKUP(B54,DBRELASI[[NO]:[RELASI]],2,0),KPR[TANGGAL],CONF!$D$2)&lt;&gt;0,1,0)</f>
        <v>0</v>
      </c>
      <c r="J54" s="106" t="str">
        <f>IF(SUM(I54)&lt;&gt;0,VLOOKUP(B54,DBRELASI[[NO]:[RELASI]],2,0),"")</f>
        <v/>
      </c>
      <c r="K54" s="106" t="str">
        <f t="array" ref="K54">IFERROR(INDEX($J$5:$J$54,MATCH(0,COUNTIF($K$4:K53,$J$5:$J$54),0)),"")</f>
        <v/>
      </c>
      <c r="L54" s="105">
        <f>IF(COUNTIFS(ARG[RELASI],VLOOKUP(B54,DBRELASI[[NO]:[RELASI]],2,0),ARG[TANGGAL],CONF!$D$2)&lt;&gt;0,1,0)</f>
        <v>0</v>
      </c>
      <c r="M54" s="106" t="str">
        <f>IF(SUM(L54)&lt;&gt;0,VLOOKUP(B54,DBRELASI[[NO]:[RELASI]],2,0),"")</f>
        <v/>
      </c>
      <c r="N54" s="106" t="str">
        <f t="array" ref="N54">IFERROR(INDEX($M$5:$M$54,MATCH(0,COUNTIF($N$4:N53,$M$5:$M$54),0)),"")</f>
        <v/>
      </c>
      <c r="O54" s="109" t="str">
        <f t="shared" si="2"/>
        <v/>
      </c>
    </row>
  </sheetData>
  <sheetProtection password="C6FF" sheet="1" objects="1" scenarios="1"/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2">
    <tabColor rgb="FFC00000"/>
  </sheetPr>
  <dimension ref="B2:C27"/>
  <sheetViews>
    <sheetView zoomScale="85" zoomScaleNormal="85" workbookViewId="0">
      <selection activeCell="K16" sqref="K16"/>
    </sheetView>
  </sheetViews>
  <sheetFormatPr defaultRowHeight="15"/>
  <cols>
    <col min="2" max="2" width="6.42578125" customWidth="1"/>
    <col min="3" max="3" width="31.42578125" bestFit="1" customWidth="1"/>
  </cols>
  <sheetData>
    <row r="2" spans="2:3" ht="25.5" customHeight="1">
      <c r="B2" s="723" t="s">
        <v>482</v>
      </c>
    </row>
    <row r="3" spans="2:3" ht="25.5" customHeight="1">
      <c r="B3" t="s">
        <v>323</v>
      </c>
    </row>
    <row r="4" spans="2:3" ht="25.5" customHeight="1">
      <c r="B4" t="s">
        <v>322</v>
      </c>
    </row>
    <row r="5" spans="2:3" ht="25.5" customHeight="1"/>
    <row r="7" spans="2:3">
      <c r="B7" t="s">
        <v>324</v>
      </c>
    </row>
    <row r="8" spans="2:3">
      <c r="B8" t="s">
        <v>326</v>
      </c>
      <c r="C8" t="s">
        <v>329</v>
      </c>
    </row>
    <row r="9" spans="2:3">
      <c r="B9" t="s">
        <v>326</v>
      </c>
      <c r="C9" t="s">
        <v>328</v>
      </c>
    </row>
    <row r="10" spans="2:3">
      <c r="B10" t="s">
        <v>327</v>
      </c>
      <c r="C10" t="s">
        <v>325</v>
      </c>
    </row>
    <row r="11" spans="2:3">
      <c r="B11" t="s">
        <v>463</v>
      </c>
    </row>
    <row r="12" spans="2:3">
      <c r="B12" s="723" t="s">
        <v>483</v>
      </c>
    </row>
    <row r="13" spans="2:3">
      <c r="B13" t="s">
        <v>330</v>
      </c>
    </row>
    <row r="14" spans="2:3">
      <c r="B14" s="723" t="s">
        <v>488</v>
      </c>
    </row>
    <row r="16" spans="2:3">
      <c r="B16" t="s">
        <v>332</v>
      </c>
    </row>
    <row r="19" spans="2:2">
      <c r="B19" s="734" t="s">
        <v>494</v>
      </c>
    </row>
    <row r="20" spans="2:2">
      <c r="B20" s="723" t="s">
        <v>495</v>
      </c>
    </row>
    <row r="21" spans="2:2">
      <c r="B21" s="723" t="s">
        <v>496</v>
      </c>
    </row>
    <row r="22" spans="2:2">
      <c r="B22" s="723" t="s">
        <v>497</v>
      </c>
    </row>
    <row r="23" spans="2:2">
      <c r="B23" s="723" t="s">
        <v>498</v>
      </c>
    </row>
    <row r="25" spans="2:2">
      <c r="B25" s="723" t="s">
        <v>499</v>
      </c>
    </row>
    <row r="26" spans="2:2">
      <c r="B26" s="723" t="s">
        <v>501</v>
      </c>
    </row>
    <row r="27" spans="2:2">
      <c r="B27" s="723" t="s">
        <v>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7"/>
  <dimension ref="B2:H43"/>
  <sheetViews>
    <sheetView zoomScale="85" zoomScaleNormal="85" workbookViewId="0">
      <selection activeCell="I8" sqref="I8"/>
    </sheetView>
  </sheetViews>
  <sheetFormatPr defaultRowHeight="15"/>
  <cols>
    <col min="1" max="1" width="9.140625" style="1"/>
    <col min="2" max="2" width="24" style="1" bestFit="1" customWidth="1"/>
    <col min="3" max="3" width="26" style="2" customWidth="1"/>
    <col min="4" max="6" width="24.140625" style="2" customWidth="1"/>
    <col min="7" max="16384" width="9.140625" style="1"/>
  </cols>
  <sheetData>
    <row r="2" spans="2:8" ht="19.5">
      <c r="B2" s="3" t="s">
        <v>9</v>
      </c>
      <c r="C2" s="4">
        <f>nilai</f>
        <v>7652253</v>
      </c>
      <c r="D2" s="5"/>
      <c r="E2" s="5"/>
      <c r="F2" s="5"/>
    </row>
    <row r="3" spans="2:8">
      <c r="B3" s="1241" t="s">
        <v>10</v>
      </c>
      <c r="C3" s="1242" t="str">
        <f>TRIM(C16&amp;" "&amp;D16&amp;" "&amp;E16&amp;" "&amp;F16)</f>
        <v>tujuh juta enam ratus lima puluh dua ribu dua ratus lima puluh tiga</v>
      </c>
      <c r="D3" s="1242"/>
      <c r="E3" s="1242"/>
      <c r="F3" s="1242"/>
    </row>
    <row r="4" spans="2:8">
      <c r="B4" s="1241"/>
      <c r="C4" s="1242"/>
      <c r="D4" s="1242"/>
      <c r="E4" s="1242"/>
      <c r="F4" s="1242"/>
    </row>
    <row r="5" spans="2:8">
      <c r="B5" s="1241"/>
      <c r="C5" s="1242"/>
      <c r="D5" s="1242"/>
      <c r="E5" s="1242"/>
      <c r="F5" s="1242"/>
    </row>
    <row r="7" spans="2:8" ht="15.75" thickBot="1"/>
    <row r="8" spans="2:8" ht="33" thickTop="1" thickBot="1">
      <c r="B8" s="6" t="s">
        <v>11</v>
      </c>
      <c r="C8" s="7" t="s">
        <v>12</v>
      </c>
      <c r="D8" s="7" t="s">
        <v>13</v>
      </c>
      <c r="E8" s="8" t="s">
        <v>14</v>
      </c>
      <c r="F8" s="9" t="s">
        <v>15</v>
      </c>
    </row>
    <row r="9" spans="2:8" ht="16.5" thickTop="1" thickBot="1">
      <c r="B9" s="10" t="s">
        <v>16</v>
      </c>
      <c r="C9" s="11">
        <v>1</v>
      </c>
      <c r="D9" s="11">
        <v>4</v>
      </c>
      <c r="E9" s="11">
        <v>7</v>
      </c>
      <c r="F9" s="12">
        <v>10</v>
      </c>
    </row>
    <row r="10" spans="2:8" ht="16.5" thickTop="1" thickBot="1">
      <c r="B10" s="13" t="s">
        <v>17</v>
      </c>
      <c r="C10" s="14">
        <v>3</v>
      </c>
      <c r="D10" s="14">
        <v>3</v>
      </c>
      <c r="E10" s="14">
        <v>3</v>
      </c>
      <c r="F10" s="15">
        <v>3</v>
      </c>
      <c r="H10"/>
    </row>
    <row r="11" spans="2:8" ht="16.5" thickTop="1" thickBot="1">
      <c r="B11" s="16" t="s">
        <v>18</v>
      </c>
      <c r="C11" s="17">
        <f>--MID(TEXT(TRUNC(N($C$2),0),REPT(0,12)),C9,C10)</f>
        <v>0</v>
      </c>
      <c r="D11" s="17">
        <f t="shared" ref="D11:E11" si="0">--MID(TEXT(TRUNC(N($C$2),0),REPT(0,12)),D9,D10)</f>
        <v>7</v>
      </c>
      <c r="E11" s="17">
        <f t="shared" si="0"/>
        <v>652</v>
      </c>
      <c r="F11" s="18">
        <f>--MID(TEXT(TRUNC(N($C$2),0),REPT(0,12)),F9,F10)</f>
        <v>253</v>
      </c>
    </row>
    <row r="12" spans="2:8" ht="15.75" thickTop="1">
      <c r="B12" s="19" t="s">
        <v>19</v>
      </c>
      <c r="C12" s="20">
        <f>N("Ambil angka Milyar")+--MID(TEXT(N(C$11),REPT(0,3)),1,1)</f>
        <v>0</v>
      </c>
      <c r="D12" s="20">
        <f>--MID(TEXT(N(D$11),REPT(0,3)),1,1)</f>
        <v>0</v>
      </c>
      <c r="E12" s="20">
        <f>--MID(TEXT(N(E$11),REPT(0,3)),1,1)</f>
        <v>6</v>
      </c>
      <c r="F12" s="20">
        <f>--MID(TEXT(N(F$11),REPT(0,3)),1,1)</f>
        <v>2</v>
      </c>
    </row>
    <row r="13" spans="2:8">
      <c r="B13" s="21" t="s">
        <v>20</v>
      </c>
      <c r="C13" s="22">
        <f>N("Bila digit pertama angka puluhan &gt; 1 MAKA hasilkan 1 digit angka depannya BILA TIDAK hasilkan Nol")+IF(--MID(TEXT(N(C$11),REPT(0,3)),2,1)&gt;1,--MID(TEXT(N(C$11),REPT(0,3)),2,1),0)</f>
        <v>0</v>
      </c>
      <c r="D13" s="22">
        <f>N("Bila digit pertama angka puluhan &gt; 1 MAKA hasilkan 1 digit angka depannya BILA TIDAK hasilkan Nol")+IF(--MID(TEXT(N(D$11),REPT(0,3)),2,1)&gt;1,--MID(TEXT(N(D$11),REPT(0,3)),2,1),0)</f>
        <v>0</v>
      </c>
      <c r="E13" s="22">
        <f>N("Bila digit pertama angka puluhan &gt; 1 MAKA hasilkan 1 digit angka depannya BILA TIDAK hasilkan Nol")+IF(--MID(TEXT(N(E$11),REPT(0,3)),2,1)&gt;1,--MID(TEXT(N(E$11),REPT(0,3)),2,1),0)</f>
        <v>5</v>
      </c>
      <c r="F13" s="22">
        <f>N("Bila digit pertama angka puluhan &gt; 1 MAKA hasilkan 1 digit angka depannya BILA TIDAK hasilkan Nol")+IF(--MID(TEXT(N(F$11),REPT(0,3)),2,1)&gt;1,--MID(TEXT(N(F$11),REPT(0,3)),2,1),0)</f>
        <v>5</v>
      </c>
    </row>
    <row r="14" spans="2:8">
      <c r="B14" s="21" t="s">
        <v>21</v>
      </c>
      <c r="C14" s="22">
        <f>N("Bila 2 digit terakhir &gt; 19 MAKA hasilkan 1 digit terakhir BILA TIDAK hasilkan 2 digit terakhir")+IF(--MID(TEXT(N(C$11),REPT(0,3)),2,2)&gt;19,--MID(TEXT(N(C$11),REPT(0,3)),3,1),--MID(TEXT(N(C$11),REPT(0,3)),2,2))</f>
        <v>0</v>
      </c>
      <c r="D14" s="22">
        <f>N("Bila 2 digit terakhir &gt; 19 MAKA hasilkan 1 digit terakhir BILA TIDAK hasilkan 2 digit terakhir")+IF(--MID(TEXT(N(D$11),REPT(0,3)),2,2)&gt;19,--MID(TEXT(N(D$11),REPT(0,3)),3,1),--MID(TEXT(N(D$11),REPT(0,3)),2,2))</f>
        <v>7</v>
      </c>
      <c r="E14" s="22">
        <f>N("Bila 2 digit terakhir &gt; 19 MAKA hasilkan 1 digit terakhir BILA TIDAK hasilkan 2 digit terakhir")+IF(--MID(TEXT(N(E$11),REPT(0,3)),2,2)&gt;19,--MID(TEXT(N(E$11),REPT(0,3)),3,1),--MID(TEXT(N(E$11),REPT(0,3)),2,2))</f>
        <v>2</v>
      </c>
      <c r="F14" s="22">
        <f>N("Bila 2 digit terakhir &gt; 19 MAKA hasilkan 1 digit terakhir BILA TIDAK hasilkan 2 digit terakhir")+IF(--MID(TEXT(N(F$11),REPT(0,3)),2,2)&gt;19,--MID(TEXT(N(F$11),REPT(0,3)),3,1),--MID(TEXT(N(F$11),REPT(0,3)),2,2))</f>
        <v>3</v>
      </c>
    </row>
    <row r="15" spans="2:8" ht="49.5" customHeight="1">
      <c r="B15" s="23" t="s">
        <v>22</v>
      </c>
      <c r="C15" s="24" t="str">
        <f>IF(C12=0," ",VLOOKUP(C12,tblTerbilang[],2,0)&amp;" ratus ")&amp;IF(C13=0," ",VLOOKUP(C13,tblTerbilang[],2,0)&amp;" puluh ")&amp;IF(C14=0," ",VLOOKUP(C14,tblTerbilang[],2,0))&amp;IF(SUM(C12:C14)=0," "," milyar ")</f>
        <v xml:space="preserve">    </v>
      </c>
      <c r="D15" s="24" t="str">
        <f>IF(D12=0," ",VLOOKUP(D12,tblTerbilang[],2,0)&amp;" ratus ")&amp;IF(D13=0," ",VLOOKUP(D13,tblTerbilang[],2,0)&amp;" puluh ")&amp;IF(D14=0," ",VLOOKUP(D14,tblTerbilang[],2,0))&amp;IF(SUM(D12:D14)=0," "," juta ")</f>
        <v xml:space="preserve">  tujuh juta </v>
      </c>
      <c r="E15" s="24" t="str">
        <f>IF(E12=0," ",VLOOKUP(E12,tblTerbilang[],2,0)&amp;" ratus ")&amp;IF(E13=0," ",VLOOKUP(E13,tblTerbilang[],2,0)&amp;" puluh ")&amp;IF(E14=0," ",VLOOKUP(E14,tblTerbilang[],2,0))&amp;IF(SUM(E12:E14)=0," "," ribu ")</f>
        <v xml:space="preserve">enam ratus lima puluh dua ribu </v>
      </c>
      <c r="F15" s="24" t="str">
        <f>IF(F12=0," ",VLOOKUP(F12,tblTerbilang[],2,0)&amp;" ratus ")&amp;IF(F13=0," ",VLOOKUP(F13,tblTerbilang[],2,0)&amp;" puluh ")&amp;IF(F14=0," ",VLOOKUP(F14,tblTerbilang[],2,0)&amp;" ")</f>
        <v xml:space="preserve">dua ratus lima puluh tiga </v>
      </c>
    </row>
    <row r="16" spans="2:8" ht="49.5" customHeight="1">
      <c r="B16" s="25" t="s">
        <v>23</v>
      </c>
      <c r="C16" s="26" t="str">
        <f>TRIM(SUBSTITUTE(SUBSTITUTE(IF(C11=1,SUBSTITUTE(TRIM(C15),"satu ribu"," seribu "),TRIM(C15)),"satu ratus"," seratus "),"satu puluh"," sepuluh "))</f>
        <v/>
      </c>
      <c r="D16" s="26" t="str">
        <f>TRIM(SUBSTITUTE(SUBSTITUTE(IF(D11=1,SUBSTITUTE(TRIM(D15),"satu ribu"," seribu "),TRIM(D15)),"satu ratus"," seratus "),"satu puluh"," sepuluh "))</f>
        <v>tujuh juta</v>
      </c>
      <c r="E16" s="26" t="str">
        <f>TRIM(SUBSTITUTE(SUBSTITUTE(IF(E11=1,SUBSTITUTE(TRIM(E15),"satu ribu"," seribu "),TRIM(E15)),"satu ratus"," seratus "),"satu puluh"," sepuluh "))</f>
        <v>enam ratus lima puluh dua ribu</v>
      </c>
      <c r="F16" s="26" t="str">
        <f>TRIM(SUBSTITUTE(SUBSTITUTE(IF(F11=1,SUBSTITUTE(TRIM(F15),"satu ribu"," seribu "),TRIM(F15)),"satu ratus"," seratus "),"satu puluh"," sepuluh "))</f>
        <v>dua ratus lima puluh tiga</v>
      </c>
    </row>
    <row r="23" spans="2:3">
      <c r="B23" s="27" t="s">
        <v>24</v>
      </c>
      <c r="C23" s="28" t="s">
        <v>10</v>
      </c>
    </row>
    <row r="24" spans="2:3">
      <c r="B24" s="1">
        <v>0</v>
      </c>
    </row>
    <row r="25" spans="2:3">
      <c r="B25" s="1">
        <v>1</v>
      </c>
      <c r="C25" s="2" t="s">
        <v>25</v>
      </c>
    </row>
    <row r="26" spans="2:3">
      <c r="B26" s="1">
        <v>2</v>
      </c>
      <c r="C26" s="2" t="s">
        <v>26</v>
      </c>
    </row>
    <row r="27" spans="2:3">
      <c r="B27" s="1">
        <v>3</v>
      </c>
      <c r="C27" s="2" t="s">
        <v>27</v>
      </c>
    </row>
    <row r="28" spans="2:3">
      <c r="B28" s="1">
        <v>4</v>
      </c>
      <c r="C28" s="2" t="s">
        <v>28</v>
      </c>
    </row>
    <row r="29" spans="2:3">
      <c r="B29" s="1">
        <v>5</v>
      </c>
      <c r="C29" s="2" t="s">
        <v>29</v>
      </c>
    </row>
    <row r="30" spans="2:3">
      <c r="B30" s="1">
        <v>6</v>
      </c>
      <c r="C30" s="2" t="s">
        <v>30</v>
      </c>
    </row>
    <row r="31" spans="2:3">
      <c r="B31" s="1">
        <v>7</v>
      </c>
      <c r="C31" s="2" t="s">
        <v>31</v>
      </c>
    </row>
    <row r="32" spans="2:3">
      <c r="B32" s="1">
        <v>8</v>
      </c>
      <c r="C32" s="2" t="s">
        <v>32</v>
      </c>
    </row>
    <row r="33" spans="2:3">
      <c r="B33" s="1">
        <v>9</v>
      </c>
      <c r="C33" s="2" t="s">
        <v>33</v>
      </c>
    </row>
    <row r="34" spans="2:3">
      <c r="B34" s="1">
        <v>10</v>
      </c>
      <c r="C34" s="2" t="s">
        <v>34</v>
      </c>
    </row>
    <row r="35" spans="2:3">
      <c r="B35" s="1">
        <v>11</v>
      </c>
      <c r="C35" s="2" t="s">
        <v>35</v>
      </c>
    </row>
    <row r="36" spans="2:3">
      <c r="B36" s="1">
        <v>12</v>
      </c>
      <c r="C36" s="2" t="s">
        <v>36</v>
      </c>
    </row>
    <row r="37" spans="2:3">
      <c r="B37" s="1">
        <v>13</v>
      </c>
      <c r="C37" s="2" t="s">
        <v>37</v>
      </c>
    </row>
    <row r="38" spans="2:3">
      <c r="B38" s="1">
        <v>14</v>
      </c>
      <c r="C38" s="2" t="s">
        <v>38</v>
      </c>
    </row>
    <row r="39" spans="2:3">
      <c r="B39" s="1">
        <v>15</v>
      </c>
      <c r="C39" s="2" t="s">
        <v>39</v>
      </c>
    </row>
    <row r="40" spans="2:3">
      <c r="B40" s="1">
        <v>16</v>
      </c>
      <c r="C40" s="2" t="s">
        <v>40</v>
      </c>
    </row>
    <row r="41" spans="2:3">
      <c r="B41" s="1">
        <v>17</v>
      </c>
      <c r="C41" s="2" t="s">
        <v>41</v>
      </c>
    </row>
    <row r="42" spans="2:3">
      <c r="B42" s="1">
        <v>18</v>
      </c>
      <c r="C42" s="2" t="s">
        <v>42</v>
      </c>
    </row>
    <row r="43" spans="2:3">
      <c r="B43" s="1">
        <v>19</v>
      </c>
      <c r="C43" s="2" t="s">
        <v>43</v>
      </c>
    </row>
  </sheetData>
  <mergeCells count="2">
    <mergeCell ref="B3:B5"/>
    <mergeCell ref="C3:F5"/>
  </mergeCells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6"/>
  <dimension ref="A2:I36"/>
  <sheetViews>
    <sheetView topLeftCell="A22" workbookViewId="0">
      <selection activeCell="I8" sqref="I8"/>
    </sheetView>
  </sheetViews>
  <sheetFormatPr defaultRowHeight="15"/>
  <cols>
    <col min="1" max="1" width="28.85546875" bestFit="1" customWidth="1"/>
    <col min="2" max="2" width="8" bestFit="1" customWidth="1"/>
    <col min="3" max="3" width="8" style="723" customWidth="1"/>
    <col min="4" max="5" width="3.140625" bestFit="1" customWidth="1"/>
    <col min="6" max="6" width="12" bestFit="1" customWidth="1"/>
  </cols>
  <sheetData>
    <row r="2" spans="1:9">
      <c r="B2" s="723" t="s">
        <v>489</v>
      </c>
      <c r="C2" s="723" t="s">
        <v>493</v>
      </c>
      <c r="D2" s="723" t="s">
        <v>490</v>
      </c>
      <c r="E2" s="723" t="s">
        <v>491</v>
      </c>
      <c r="F2" s="723" t="s">
        <v>492</v>
      </c>
      <c r="I2" t="s">
        <v>93</v>
      </c>
    </row>
    <row r="3" spans="1:9">
      <c r="A3" t="s">
        <v>288</v>
      </c>
      <c r="B3">
        <f>MATCH(A3,DBRELASI[RELASI])</f>
        <v>37</v>
      </c>
      <c r="I3" t="s">
        <v>93</v>
      </c>
    </row>
    <row r="4" spans="1:9">
      <c r="I4" t="s">
        <v>93</v>
      </c>
    </row>
    <row r="5" spans="1:9">
      <c r="I5" t="s">
        <v>77</v>
      </c>
    </row>
    <row r="6" spans="1:9">
      <c r="I6" t="s">
        <v>475</v>
      </c>
    </row>
    <row r="7" spans="1:9">
      <c r="I7" t="s">
        <v>77</v>
      </c>
    </row>
    <row r="8" spans="1:9">
      <c r="I8" t="s">
        <v>96</v>
      </c>
    </row>
    <row r="9" spans="1:9">
      <c r="I9" t="s">
        <v>83</v>
      </c>
    </row>
    <row r="10" spans="1:9">
      <c r="I10" t="s">
        <v>83</v>
      </c>
    </row>
    <row r="11" spans="1:9">
      <c r="I11" t="s">
        <v>83</v>
      </c>
    </row>
    <row r="12" spans="1:9">
      <c r="I12" t="s">
        <v>81</v>
      </c>
    </row>
    <row r="13" spans="1:9">
      <c r="I13" t="s">
        <v>81</v>
      </c>
    </row>
    <row r="14" spans="1:9">
      <c r="I14" t="s">
        <v>81</v>
      </c>
    </row>
    <row r="15" spans="1:9">
      <c r="I15" t="s">
        <v>81</v>
      </c>
    </row>
    <row r="16" spans="1:9">
      <c r="I16" t="s">
        <v>81</v>
      </c>
    </row>
    <row r="17" spans="9:9">
      <c r="I17" t="s">
        <v>81</v>
      </c>
    </row>
    <row r="18" spans="9:9">
      <c r="I18" t="s">
        <v>85</v>
      </c>
    </row>
    <row r="19" spans="9:9">
      <c r="I19" t="s">
        <v>74</v>
      </c>
    </row>
    <row r="20" spans="9:9">
      <c r="I20" t="s">
        <v>95</v>
      </c>
    </row>
    <row r="21" spans="9:9">
      <c r="I21" t="s">
        <v>95</v>
      </c>
    </row>
    <row r="22" spans="9:9">
      <c r="I22" t="s">
        <v>95</v>
      </c>
    </row>
    <row r="23" spans="9:9">
      <c r="I23" t="s">
        <v>95</v>
      </c>
    </row>
    <row r="24" spans="9:9">
      <c r="I24" t="s">
        <v>95</v>
      </c>
    </row>
    <row r="25" spans="9:9">
      <c r="I25" t="s">
        <v>83</v>
      </c>
    </row>
    <row r="26" spans="9:9">
      <c r="I26" t="s">
        <v>97</v>
      </c>
    </row>
    <row r="27" spans="9:9">
      <c r="I27" t="s">
        <v>97</v>
      </c>
    </row>
    <row r="28" spans="9:9">
      <c r="I28" t="s">
        <v>93</v>
      </c>
    </row>
    <row r="29" spans="9:9">
      <c r="I29" t="s">
        <v>77</v>
      </c>
    </row>
    <row r="30" spans="9:9">
      <c r="I30" t="s">
        <v>77</v>
      </c>
    </row>
    <row r="31" spans="9:9">
      <c r="I31" t="s">
        <v>96</v>
      </c>
    </row>
    <row r="32" spans="9:9">
      <c r="I32" t="s">
        <v>83</v>
      </c>
    </row>
    <row r="33" spans="9:9">
      <c r="I33" t="s">
        <v>83</v>
      </c>
    </row>
    <row r="34" spans="9:9">
      <c r="I34" t="s">
        <v>81</v>
      </c>
    </row>
    <row r="35" spans="9:9">
      <c r="I35" t="s">
        <v>85</v>
      </c>
    </row>
    <row r="36" spans="9:9">
      <c r="I36" t="s">
        <v>74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>
    <tabColor rgb="FF00B0F0"/>
  </sheetPr>
  <dimension ref="A1:G48"/>
  <sheetViews>
    <sheetView workbookViewId="0">
      <selection activeCell="I8" sqref="I8"/>
    </sheetView>
  </sheetViews>
  <sheetFormatPr defaultRowHeight="15"/>
  <cols>
    <col min="1" max="1" width="11.42578125" style="723" customWidth="1"/>
    <col min="2" max="2" width="17.140625" style="723" customWidth="1"/>
    <col min="3" max="3" width="18.85546875" style="723" customWidth="1"/>
    <col min="4" max="4" width="26.5703125" style="723" customWidth="1"/>
    <col min="5" max="5" width="20.85546875" style="723" customWidth="1"/>
    <col min="6" max="16384" width="9.140625" style="723"/>
  </cols>
  <sheetData>
    <row r="1" spans="1:7">
      <c r="A1" s="785" t="s">
        <v>626</v>
      </c>
      <c r="E1" s="884" t="s">
        <v>675</v>
      </c>
    </row>
    <row r="2" spans="1:7" ht="21.75" customHeight="1">
      <c r="A2" s="885"/>
      <c r="B2" s="1243" t="s">
        <v>537</v>
      </c>
      <c r="C2" s="1244"/>
      <c r="D2" s="1245"/>
      <c r="E2" s="886" t="s">
        <v>676</v>
      </c>
      <c r="G2" s="723" t="s">
        <v>677</v>
      </c>
    </row>
    <row r="3" spans="1:7" ht="21.75" customHeight="1">
      <c r="A3" s="887"/>
      <c r="B3" s="1246"/>
      <c r="C3" s="1247"/>
      <c r="D3" s="1248"/>
      <c r="E3" s="886" t="s">
        <v>678</v>
      </c>
    </row>
    <row r="4" spans="1:7" ht="21.75" customHeight="1">
      <c r="A4" s="888" t="s">
        <v>539</v>
      </c>
      <c r="B4" s="1249" t="s">
        <v>679</v>
      </c>
      <c r="C4" s="1250"/>
      <c r="D4" s="1251"/>
      <c r="E4" s="889" t="s">
        <v>680</v>
      </c>
    </row>
    <row r="5" spans="1:7" ht="19.5" customHeight="1">
      <c r="A5" s="888" t="s">
        <v>112</v>
      </c>
      <c r="B5" s="888" t="s">
        <v>104</v>
      </c>
      <c r="C5" s="888" t="s">
        <v>253</v>
      </c>
      <c r="D5" s="888" t="s">
        <v>621</v>
      </c>
      <c r="E5" s="888" t="s">
        <v>262</v>
      </c>
    </row>
    <row r="6" spans="1:7" ht="22.5" customHeight="1">
      <c r="A6" s="890"/>
      <c r="B6" s="890"/>
      <c r="C6" s="890"/>
      <c r="D6" s="890"/>
      <c r="E6" s="890"/>
    </row>
    <row r="7" spans="1:7" ht="22.5" customHeight="1">
      <c r="A7" s="891"/>
      <c r="B7" s="891"/>
      <c r="C7" s="891"/>
      <c r="D7" s="891"/>
      <c r="E7" s="891"/>
    </row>
    <row r="8" spans="1:7" ht="22.5" customHeight="1">
      <c r="A8" s="891"/>
      <c r="B8" s="891"/>
      <c r="C8" s="891"/>
      <c r="D8" s="891"/>
      <c r="E8" s="891"/>
    </row>
    <row r="9" spans="1:7" ht="22.5" customHeight="1">
      <c r="A9" s="891"/>
      <c r="B9" s="891"/>
      <c r="C9" s="891"/>
      <c r="D9" s="891"/>
      <c r="E9" s="891"/>
    </row>
    <row r="10" spans="1:7" ht="22.5" customHeight="1">
      <c r="A10" s="891"/>
      <c r="B10" s="891"/>
      <c r="C10" s="891"/>
      <c r="D10" s="891"/>
      <c r="E10" s="891"/>
    </row>
    <row r="11" spans="1:7" ht="22.5" customHeight="1">
      <c r="A11" s="891"/>
      <c r="B11" s="891"/>
      <c r="C11" s="891"/>
      <c r="D11" s="891"/>
      <c r="E11" s="891"/>
    </row>
    <row r="12" spans="1:7" ht="22.5" customHeight="1">
      <c r="A12" s="891"/>
      <c r="B12" s="891"/>
      <c r="C12" s="891"/>
      <c r="D12" s="891"/>
      <c r="E12" s="891"/>
    </row>
    <row r="13" spans="1:7" ht="22.5" customHeight="1">
      <c r="A13" s="891"/>
      <c r="B13" s="891"/>
      <c r="C13" s="891"/>
      <c r="D13" s="891"/>
      <c r="E13" s="891"/>
    </row>
    <row r="14" spans="1:7" ht="22.5" customHeight="1">
      <c r="A14" s="891"/>
      <c r="B14" s="891"/>
      <c r="C14" s="891"/>
      <c r="D14" s="891"/>
      <c r="E14" s="891"/>
    </row>
    <row r="15" spans="1:7" ht="22.5" customHeight="1">
      <c r="A15" s="891"/>
      <c r="B15" s="891"/>
      <c r="C15" s="891"/>
      <c r="D15" s="891"/>
      <c r="E15" s="891"/>
    </row>
    <row r="16" spans="1:7" ht="22.5" customHeight="1">
      <c r="A16" s="891"/>
      <c r="B16" s="891"/>
      <c r="C16" s="891"/>
      <c r="D16" s="891"/>
      <c r="E16" s="891"/>
    </row>
    <row r="17" spans="1:5" ht="22.5" customHeight="1">
      <c r="A17" s="891"/>
      <c r="B17" s="891"/>
      <c r="C17" s="891"/>
      <c r="D17" s="891"/>
      <c r="E17" s="891"/>
    </row>
    <row r="18" spans="1:5" ht="22.5" customHeight="1">
      <c r="A18" s="891"/>
      <c r="B18" s="891"/>
      <c r="C18" s="891"/>
      <c r="D18" s="891"/>
      <c r="E18" s="891"/>
    </row>
    <row r="19" spans="1:5" ht="22.5" customHeight="1">
      <c r="A19" s="891"/>
      <c r="B19" s="891"/>
      <c r="C19" s="891"/>
      <c r="D19" s="891"/>
      <c r="E19" s="891"/>
    </row>
    <row r="20" spans="1:5" ht="22.5" customHeight="1">
      <c r="A20" s="891"/>
      <c r="B20" s="891"/>
      <c r="C20" s="891"/>
      <c r="D20" s="891"/>
      <c r="E20" s="891"/>
    </row>
    <row r="21" spans="1:5" ht="22.5" customHeight="1">
      <c r="A21" s="891"/>
      <c r="B21" s="891"/>
      <c r="C21" s="891"/>
      <c r="D21" s="891"/>
      <c r="E21" s="891"/>
    </row>
    <row r="22" spans="1:5" ht="22.5" customHeight="1">
      <c r="A22" s="891"/>
      <c r="B22" s="891"/>
      <c r="C22" s="891"/>
      <c r="D22" s="891"/>
      <c r="E22" s="891"/>
    </row>
    <row r="23" spans="1:5" ht="22.5" customHeight="1">
      <c r="A23" s="891"/>
      <c r="B23" s="891"/>
      <c r="C23" s="891"/>
      <c r="D23" s="891"/>
      <c r="E23" s="891"/>
    </row>
    <row r="24" spans="1:5" ht="22.5" customHeight="1">
      <c r="A24" s="891"/>
      <c r="B24" s="891"/>
      <c r="C24" s="891"/>
      <c r="D24" s="891"/>
      <c r="E24" s="891"/>
    </row>
    <row r="25" spans="1:5" ht="22.5" customHeight="1">
      <c r="A25" s="891"/>
      <c r="B25" s="891"/>
      <c r="C25" s="891"/>
      <c r="D25" s="891"/>
      <c r="E25" s="891"/>
    </row>
    <row r="26" spans="1:5" ht="22.5" customHeight="1">
      <c r="A26" s="891"/>
      <c r="B26" s="891"/>
      <c r="C26" s="891"/>
      <c r="D26" s="891"/>
      <c r="E26" s="891"/>
    </row>
    <row r="27" spans="1:5" ht="22.5" customHeight="1">
      <c r="A27" s="891"/>
      <c r="B27" s="891"/>
      <c r="C27" s="892"/>
      <c r="D27" s="891"/>
      <c r="E27" s="891"/>
    </row>
    <row r="28" spans="1:5" ht="22.5" customHeight="1">
      <c r="A28" s="891"/>
      <c r="B28" s="891"/>
      <c r="C28" s="891"/>
      <c r="D28" s="891"/>
      <c r="E28" s="891"/>
    </row>
    <row r="29" spans="1:5" ht="22.5" customHeight="1" thickBot="1">
      <c r="A29" s="893"/>
      <c r="B29" s="893"/>
      <c r="C29" s="893"/>
      <c r="D29" s="893"/>
      <c r="E29" s="893"/>
    </row>
    <row r="30" spans="1:5" ht="22.5" customHeight="1" thickTop="1" thickBot="1">
      <c r="A30" s="1252" t="s">
        <v>68</v>
      </c>
      <c r="B30" s="1253"/>
      <c r="C30" s="894"/>
      <c r="D30" s="894"/>
      <c r="E30" s="894"/>
    </row>
    <row r="31" spans="1:5" ht="22.5" customHeight="1">
      <c r="A31" s="1254"/>
      <c r="B31" s="1255"/>
      <c r="C31" s="895"/>
      <c r="D31" s="895"/>
      <c r="E31" s="895"/>
    </row>
    <row r="32" spans="1:5">
      <c r="A32" s="840"/>
      <c r="B32" s="841"/>
      <c r="C32" s="841"/>
      <c r="D32" s="841"/>
      <c r="E32" s="842"/>
    </row>
    <row r="33" spans="1:5">
      <c r="A33" s="854"/>
      <c r="B33" s="29"/>
      <c r="C33" s="29"/>
      <c r="D33" s="29"/>
      <c r="E33" s="896" t="s">
        <v>634</v>
      </c>
    </row>
    <row r="34" spans="1:5">
      <c r="A34" s="854"/>
      <c r="B34" s="29"/>
      <c r="C34" s="29"/>
      <c r="D34" s="29"/>
      <c r="E34" s="442"/>
    </row>
    <row r="35" spans="1:5">
      <c r="A35" s="854"/>
      <c r="B35" s="29"/>
      <c r="C35" s="29"/>
      <c r="D35" s="29"/>
      <c r="E35" s="442"/>
    </row>
    <row r="36" spans="1:5">
      <c r="A36" s="854"/>
      <c r="B36" s="29"/>
      <c r="C36" s="29"/>
      <c r="D36" s="29"/>
      <c r="E36" s="896" t="s">
        <v>681</v>
      </c>
    </row>
    <row r="37" spans="1:5">
      <c r="A37" s="854"/>
      <c r="B37" s="29"/>
      <c r="C37" s="29"/>
      <c r="D37" s="29"/>
      <c r="E37" s="442"/>
    </row>
    <row r="38" spans="1:5">
      <c r="A38" s="854"/>
      <c r="B38" s="29"/>
      <c r="C38" s="29"/>
      <c r="D38" s="29"/>
      <c r="E38" s="442"/>
    </row>
    <row r="39" spans="1:5">
      <c r="A39" s="897" t="s">
        <v>673</v>
      </c>
      <c r="B39" s="784"/>
      <c r="C39" s="784"/>
      <c r="D39" s="784"/>
      <c r="E39" s="898" t="s">
        <v>682</v>
      </c>
    </row>
    <row r="48" spans="1:5" ht="6" customHeight="1"/>
  </sheetData>
  <mergeCells count="4">
    <mergeCell ref="B2:D3"/>
    <mergeCell ref="B4:D4"/>
    <mergeCell ref="A30:B30"/>
    <mergeCell ref="A31:B31"/>
  </mergeCells>
  <pageMargins left="0.45" right="0.2" top="0.5" bottom="0.25" header="0.3" footer="0.3"/>
  <pageSetup paperSize="9" orientation="portrait" horizontalDpi="4294967293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7">
    <tabColor rgb="FFFF0000"/>
  </sheetPr>
  <dimension ref="A1:AP56"/>
  <sheetViews>
    <sheetView workbookViewId="0">
      <selection activeCell="AH7" sqref="AH7"/>
    </sheetView>
  </sheetViews>
  <sheetFormatPr defaultRowHeight="15"/>
  <cols>
    <col min="1" max="1" width="1.5703125" style="786" customWidth="1"/>
    <col min="2" max="2" width="5.5703125" style="786" customWidth="1"/>
    <col min="3" max="8" width="3.7109375" style="786" customWidth="1"/>
    <col min="9" max="9" width="5" style="786" customWidth="1"/>
    <col min="10" max="13" width="3.7109375" style="786" customWidth="1"/>
    <col min="14" max="14" width="2.5703125" style="786" customWidth="1"/>
    <col min="15" max="24" width="3.7109375" style="786" customWidth="1"/>
    <col min="25" max="25" width="4.42578125" style="786" customWidth="1"/>
    <col min="26" max="26" width="2.7109375" style="786" customWidth="1"/>
    <col min="27" max="40" width="3.7109375" style="786" customWidth="1"/>
    <col min="41" max="16384" width="9.140625" style="786"/>
  </cols>
  <sheetData>
    <row r="1" spans="1:42" ht="15.75" thickBot="1">
      <c r="A1" s="785" t="s">
        <v>535</v>
      </c>
      <c r="V1" s="1305" t="s">
        <v>536</v>
      </c>
      <c r="W1" s="1305"/>
      <c r="X1" s="1305"/>
      <c r="Y1" s="1305"/>
      <c r="Z1" s="1305"/>
    </row>
    <row r="2" spans="1:42" ht="24" customHeight="1" thickTop="1">
      <c r="A2" s="787"/>
      <c r="B2" s="788"/>
      <c r="C2" s="788"/>
      <c r="D2" s="789"/>
      <c r="E2" s="1306" t="s">
        <v>537</v>
      </c>
      <c r="F2" s="1307"/>
      <c r="G2" s="1307"/>
      <c r="H2" s="1307"/>
      <c r="I2" s="1307"/>
      <c r="J2" s="1307"/>
      <c r="K2" s="1307"/>
      <c r="L2" s="1307"/>
      <c r="M2" s="1307"/>
      <c r="N2" s="1307"/>
      <c r="O2" s="1307"/>
      <c r="P2" s="1307"/>
      <c r="Q2" s="1307"/>
      <c r="R2" s="1307"/>
      <c r="S2" s="1308"/>
      <c r="T2" s="790" t="s">
        <v>538</v>
      </c>
      <c r="U2" s="791"/>
      <c r="V2" s="791" t="s">
        <v>3</v>
      </c>
      <c r="W2" s="792"/>
      <c r="X2" s="792"/>
      <c r="Y2" s="792"/>
      <c r="Z2" s="793"/>
    </row>
    <row r="3" spans="1:42" ht="24" customHeight="1">
      <c r="A3" s="794"/>
      <c r="B3" s="795"/>
      <c r="C3" s="795"/>
      <c r="D3" s="796"/>
      <c r="E3" s="1309"/>
      <c r="F3" s="1310"/>
      <c r="G3" s="1310"/>
      <c r="H3" s="1310"/>
      <c r="I3" s="1310"/>
      <c r="J3" s="1310"/>
      <c r="K3" s="1310"/>
      <c r="L3" s="1310"/>
      <c r="M3" s="1310"/>
      <c r="N3" s="1310"/>
      <c r="O3" s="1310"/>
      <c r="P3" s="1310"/>
      <c r="Q3" s="1310"/>
      <c r="R3" s="1310"/>
      <c r="S3" s="1311"/>
      <c r="T3" s="797" t="s">
        <v>106</v>
      </c>
      <c r="U3" s="798"/>
      <c r="V3" s="798" t="s">
        <v>3</v>
      </c>
      <c r="W3" s="799"/>
      <c r="X3" s="799"/>
      <c r="Y3" s="799"/>
      <c r="Z3" s="800"/>
    </row>
    <row r="4" spans="1:42" ht="29.25" customHeight="1">
      <c r="A4" s="1312" t="s">
        <v>539</v>
      </c>
      <c r="B4" s="1313"/>
      <c r="C4" s="1313"/>
      <c r="D4" s="1314"/>
      <c r="E4" s="1315" t="s">
        <v>540</v>
      </c>
      <c r="F4" s="1316"/>
      <c r="G4" s="1316"/>
      <c r="H4" s="1316"/>
      <c r="I4" s="1316"/>
      <c r="J4" s="1316"/>
      <c r="K4" s="1316"/>
      <c r="L4" s="1316"/>
      <c r="M4" s="1316"/>
      <c r="N4" s="1316"/>
      <c r="O4" s="1316"/>
      <c r="P4" s="1316"/>
      <c r="Q4" s="1316"/>
      <c r="R4" s="1316"/>
      <c r="S4" s="1317"/>
      <c r="T4" s="797" t="s">
        <v>541</v>
      </c>
      <c r="U4" s="798"/>
      <c r="V4" s="798" t="s">
        <v>542</v>
      </c>
      <c r="W4" s="799"/>
      <c r="X4" s="799"/>
      <c r="Y4" s="799"/>
      <c r="Z4" s="800"/>
      <c r="AB4" s="786">
        <v>1</v>
      </c>
    </row>
    <row r="5" spans="1:42" ht="10.5" customHeight="1">
      <c r="A5" s="801"/>
      <c r="B5" s="802"/>
      <c r="C5" s="802"/>
      <c r="D5" s="802"/>
      <c r="E5" s="802"/>
      <c r="F5" s="802"/>
      <c r="G5" s="802"/>
      <c r="H5" s="802"/>
      <c r="I5" s="802"/>
      <c r="J5" s="802"/>
      <c r="K5" s="802"/>
      <c r="L5" s="802"/>
      <c r="M5" s="802"/>
      <c r="N5" s="802"/>
      <c r="O5" s="802"/>
      <c r="P5" s="802"/>
      <c r="Q5" s="802"/>
      <c r="R5" s="802"/>
      <c r="S5" s="802"/>
      <c r="T5" s="802"/>
      <c r="U5" s="802"/>
      <c r="V5" s="802"/>
      <c r="W5" s="802"/>
      <c r="X5" s="802"/>
      <c r="Y5" s="802"/>
      <c r="Z5" s="803"/>
    </row>
    <row r="6" spans="1:42">
      <c r="A6" s="801"/>
      <c r="B6" s="802" t="s">
        <v>543</v>
      </c>
      <c r="C6" s="802"/>
      <c r="D6" s="802"/>
      <c r="E6" s="802"/>
      <c r="F6" s="802"/>
      <c r="G6" s="802"/>
      <c r="H6" s="802"/>
      <c r="I6" s="899" t="s">
        <v>3</v>
      </c>
      <c r="J6" s="802" t="str">
        <f>IFERROR(VLOOKUP($AB$4,DBRELASI[],2,0),"")</f>
        <v>ABU NAWAS</v>
      </c>
      <c r="K6" s="802"/>
      <c r="L6" s="802"/>
      <c r="M6" s="802"/>
      <c r="N6" s="802"/>
      <c r="O6" s="802"/>
      <c r="P6" s="802"/>
      <c r="Q6" s="802"/>
      <c r="R6" s="802"/>
      <c r="S6" s="802" t="s">
        <v>544</v>
      </c>
      <c r="T6" s="802"/>
      <c r="U6" s="802"/>
      <c r="V6" s="802"/>
      <c r="W6" s="802" t="str">
        <f>IFERROR(": "&amp;VLOOKUP($AB$4,DBRELASI[],10,0),"")</f>
        <v>: 08117003899</v>
      </c>
      <c r="X6" s="802"/>
      <c r="Y6" s="802"/>
      <c r="Z6" s="803"/>
    </row>
    <row r="7" spans="1:42">
      <c r="A7" s="801"/>
      <c r="B7" s="802" t="s">
        <v>114</v>
      </c>
      <c r="C7" s="802"/>
      <c r="D7" s="802"/>
      <c r="E7" s="802"/>
      <c r="F7" s="802"/>
      <c r="G7" s="802"/>
      <c r="H7" s="802"/>
      <c r="I7" s="899" t="s">
        <v>3</v>
      </c>
      <c r="J7" s="802" t="str">
        <f>IFERROR(VLOOKUP($AB$4,DBRELASI[],3,0),"")</f>
        <v>Simbar</v>
      </c>
      <c r="K7" s="802"/>
      <c r="L7" s="802"/>
      <c r="M7" s="802"/>
      <c r="N7" s="802"/>
      <c r="O7" s="802"/>
      <c r="P7" s="802"/>
      <c r="Q7" s="802"/>
      <c r="R7" s="802"/>
      <c r="S7" s="802" t="s">
        <v>545</v>
      </c>
      <c r="T7" s="802"/>
      <c r="U7" s="802"/>
      <c r="V7" s="802"/>
      <c r="W7" s="802" t="s">
        <v>3</v>
      </c>
      <c r="X7" s="802"/>
      <c r="Y7" s="802"/>
      <c r="Z7" s="803"/>
    </row>
    <row r="8" spans="1:42">
      <c r="A8" s="801"/>
      <c r="B8" s="802" t="s">
        <v>546</v>
      </c>
      <c r="C8" s="802"/>
      <c r="D8" s="802"/>
      <c r="E8" s="802"/>
      <c r="F8" s="802"/>
      <c r="G8" s="802"/>
      <c r="H8" s="802"/>
      <c r="I8" s="899" t="s">
        <v>3</v>
      </c>
      <c r="J8" s="802" t="s">
        <v>683</v>
      </c>
      <c r="K8" s="802"/>
      <c r="L8" s="802"/>
      <c r="M8" s="802"/>
      <c r="N8" s="802"/>
      <c r="O8" s="802"/>
      <c r="P8" s="802"/>
      <c r="Q8" s="802"/>
      <c r="R8" s="802"/>
      <c r="S8" s="802" t="s">
        <v>547</v>
      </c>
      <c r="T8" s="802"/>
      <c r="U8" s="802"/>
      <c r="V8" s="802"/>
      <c r="W8" s="802" t="s">
        <v>3</v>
      </c>
      <c r="X8" s="802"/>
      <c r="Y8" s="802"/>
      <c r="Z8" s="803"/>
    </row>
    <row r="9" spans="1:42">
      <c r="A9" s="801"/>
      <c r="B9" s="802" t="s">
        <v>548</v>
      </c>
      <c r="C9" s="802"/>
      <c r="D9" s="802"/>
      <c r="E9" s="802"/>
      <c r="F9" s="802"/>
      <c r="G9" s="802"/>
      <c r="H9" s="802"/>
      <c r="I9" s="899" t="s">
        <v>3</v>
      </c>
      <c r="J9" s="802" t="str">
        <f>IFERROR(VLOOKUP($AB$4,DBRELASI[],10,0),"")</f>
        <v>08117003899</v>
      </c>
      <c r="K9" s="802"/>
      <c r="L9" s="802"/>
      <c r="M9" s="802"/>
      <c r="N9" s="802"/>
      <c r="O9" s="802"/>
      <c r="P9" s="802"/>
      <c r="Q9" s="802"/>
      <c r="R9" s="802"/>
      <c r="S9" s="802"/>
      <c r="T9" s="802"/>
      <c r="U9" s="802"/>
      <c r="V9" s="802"/>
      <c r="W9" s="802"/>
      <c r="X9" s="802"/>
      <c r="Y9" s="802"/>
      <c r="Z9" s="803"/>
    </row>
    <row r="10" spans="1:42" ht="10.5" customHeight="1">
      <c r="A10" s="801"/>
      <c r="B10" s="802"/>
      <c r="C10" s="802"/>
      <c r="D10" s="802"/>
      <c r="E10" s="802"/>
      <c r="F10" s="802"/>
      <c r="G10" s="802"/>
      <c r="H10" s="802"/>
      <c r="I10" s="802"/>
      <c r="J10" s="802"/>
      <c r="K10" s="802"/>
      <c r="L10" s="802"/>
      <c r="M10" s="802"/>
      <c r="N10" s="802"/>
      <c r="O10" s="802"/>
      <c r="P10" s="802"/>
      <c r="Q10" s="802"/>
      <c r="R10" s="802"/>
      <c r="S10" s="802"/>
      <c r="T10" s="802"/>
      <c r="U10" s="802"/>
      <c r="V10" s="802"/>
      <c r="W10" s="802"/>
      <c r="X10" s="802"/>
      <c r="Y10" s="802"/>
      <c r="Z10" s="803"/>
    </row>
    <row r="11" spans="1:42">
      <c r="A11" s="801"/>
      <c r="B11" s="1318" t="s">
        <v>549</v>
      </c>
      <c r="C11" s="1271" t="s">
        <v>550</v>
      </c>
      <c r="D11" s="1272"/>
      <c r="E11" s="1272"/>
      <c r="F11" s="1272"/>
      <c r="G11" s="1272"/>
      <c r="H11" s="1272"/>
      <c r="I11" s="1273"/>
      <c r="J11" s="1271" t="s">
        <v>551</v>
      </c>
      <c r="K11" s="1273"/>
      <c r="L11" s="1280" t="s">
        <v>552</v>
      </c>
      <c r="M11" s="1281"/>
      <c r="N11" s="1281"/>
      <c r="O11" s="1281"/>
      <c r="P11" s="1282"/>
      <c r="Q11" s="1271" t="s">
        <v>18</v>
      </c>
      <c r="R11" s="1273"/>
      <c r="S11" s="1271" t="s">
        <v>553</v>
      </c>
      <c r="T11" s="1272"/>
      <c r="U11" s="1272"/>
      <c r="V11" s="1272"/>
      <c r="W11" s="1272"/>
      <c r="X11" s="1272"/>
      <c r="Y11" s="1273"/>
      <c r="Z11" s="803"/>
    </row>
    <row r="12" spans="1:42">
      <c r="A12" s="801"/>
      <c r="B12" s="1296"/>
      <c r="C12" s="1277"/>
      <c r="D12" s="1278"/>
      <c r="E12" s="1278"/>
      <c r="F12" s="1278"/>
      <c r="G12" s="1278"/>
      <c r="H12" s="1278"/>
      <c r="I12" s="1279"/>
      <c r="J12" s="1277"/>
      <c r="K12" s="1279"/>
      <c r="L12" s="1262" t="s">
        <v>554</v>
      </c>
      <c r="M12" s="1263"/>
      <c r="N12" s="1263"/>
      <c r="O12" s="1263"/>
      <c r="P12" s="1264"/>
      <c r="Q12" s="1277"/>
      <c r="R12" s="1279"/>
      <c r="S12" s="1277"/>
      <c r="T12" s="1278"/>
      <c r="U12" s="1278"/>
      <c r="V12" s="1278"/>
      <c r="W12" s="1278"/>
      <c r="X12" s="1278"/>
      <c r="Y12" s="1279"/>
      <c r="Z12" s="803"/>
    </row>
    <row r="13" spans="1:42">
      <c r="A13" s="801"/>
      <c r="B13" s="1295" t="s">
        <v>555</v>
      </c>
      <c r="C13" s="804" t="s">
        <v>556</v>
      </c>
      <c r="D13" s="805"/>
      <c r="E13" s="805"/>
      <c r="F13" s="805"/>
      <c r="G13" s="805"/>
      <c r="H13" s="805"/>
      <c r="I13" s="806"/>
      <c r="J13" s="807"/>
      <c r="K13" s="806"/>
      <c r="L13" s="1299" t="s">
        <v>557</v>
      </c>
      <c r="M13" s="1300"/>
      <c r="N13" s="1300"/>
      <c r="O13" s="1300"/>
      <c r="P13" s="1301"/>
      <c r="Q13" s="807"/>
      <c r="R13" s="806"/>
      <c r="S13" s="1256" t="s">
        <v>684</v>
      </c>
      <c r="T13" s="1257"/>
      <c r="U13" s="1257"/>
      <c r="V13" s="1257"/>
      <c r="W13" s="1257"/>
      <c r="X13" s="1257"/>
      <c r="Y13" s="1258"/>
      <c r="Z13" s="803"/>
      <c r="AF13" s="900" t="s">
        <v>684</v>
      </c>
      <c r="AG13" s="901"/>
      <c r="AH13" s="901"/>
      <c r="AI13" s="901"/>
      <c r="AJ13" s="901"/>
      <c r="AK13" s="901"/>
      <c r="AL13" s="901"/>
      <c r="AM13" s="901"/>
      <c r="AN13" s="901"/>
      <c r="AO13" s="901"/>
      <c r="AP13" s="902"/>
    </row>
    <row r="14" spans="1:42">
      <c r="A14" s="801"/>
      <c r="B14" s="1296"/>
      <c r="C14" s="808" t="s">
        <v>558</v>
      </c>
      <c r="D14" s="795"/>
      <c r="E14" s="795"/>
      <c r="F14" s="795"/>
      <c r="G14" s="795"/>
      <c r="H14" s="795"/>
      <c r="I14" s="796"/>
      <c r="J14" s="809"/>
      <c r="K14" s="796"/>
      <c r="L14" s="1302" t="s">
        <v>559</v>
      </c>
      <c r="M14" s="1303"/>
      <c r="N14" s="1303"/>
      <c r="O14" s="1303"/>
      <c r="P14" s="1304"/>
      <c r="Q14" s="809"/>
      <c r="R14" s="796"/>
      <c r="S14" s="1259"/>
      <c r="T14" s="1260"/>
      <c r="U14" s="1260"/>
      <c r="V14" s="1260"/>
      <c r="W14" s="1260"/>
      <c r="X14" s="1260"/>
      <c r="Y14" s="1261"/>
      <c r="Z14" s="803"/>
      <c r="AF14" s="903"/>
      <c r="AG14" s="904"/>
      <c r="AH14" s="904"/>
      <c r="AI14" s="904"/>
      <c r="AJ14" s="904"/>
      <c r="AK14" s="904"/>
      <c r="AL14" s="904"/>
      <c r="AM14" s="904"/>
      <c r="AN14" s="904"/>
      <c r="AO14" s="904"/>
      <c r="AP14" s="905"/>
    </row>
    <row r="15" spans="1:42">
      <c r="A15" s="801"/>
      <c r="B15" s="1295" t="s">
        <v>560</v>
      </c>
      <c r="C15" s="804" t="s">
        <v>561</v>
      </c>
      <c r="D15" s="805"/>
      <c r="E15" s="805"/>
      <c r="F15" s="805"/>
      <c r="G15" s="805"/>
      <c r="H15" s="805"/>
      <c r="I15" s="806"/>
      <c r="J15" s="807"/>
      <c r="K15" s="806"/>
      <c r="L15" s="1299" t="s">
        <v>557</v>
      </c>
      <c r="M15" s="1300"/>
      <c r="N15" s="1300"/>
      <c r="O15" s="1300"/>
      <c r="P15" s="1301"/>
      <c r="Q15" s="807"/>
      <c r="R15" s="806"/>
      <c r="S15" s="1256" t="s">
        <v>685</v>
      </c>
      <c r="T15" s="1257"/>
      <c r="U15" s="1257"/>
      <c r="V15" s="1257"/>
      <c r="W15" s="1257"/>
      <c r="X15" s="1257"/>
      <c r="Y15" s="1258"/>
      <c r="Z15" s="803"/>
      <c r="AF15" s="900" t="s">
        <v>685</v>
      </c>
      <c r="AG15" s="901"/>
      <c r="AH15" s="901"/>
      <c r="AI15" s="901"/>
      <c r="AJ15" s="901"/>
      <c r="AK15" s="901"/>
      <c r="AL15" s="901"/>
      <c r="AM15" s="901"/>
      <c r="AN15" s="901"/>
      <c r="AO15" s="901"/>
      <c r="AP15" s="902"/>
    </row>
    <row r="16" spans="1:42">
      <c r="A16" s="801"/>
      <c r="B16" s="1296"/>
      <c r="C16" s="808" t="s">
        <v>562</v>
      </c>
      <c r="D16" s="795"/>
      <c r="E16" s="795"/>
      <c r="F16" s="795"/>
      <c r="G16" s="795"/>
      <c r="H16" s="795"/>
      <c r="I16" s="796"/>
      <c r="J16" s="809"/>
      <c r="K16" s="796"/>
      <c r="L16" s="1302" t="s">
        <v>559</v>
      </c>
      <c r="M16" s="1303"/>
      <c r="N16" s="1303"/>
      <c r="O16" s="1303"/>
      <c r="P16" s="1304"/>
      <c r="Q16" s="809"/>
      <c r="R16" s="796"/>
      <c r="S16" s="1259"/>
      <c r="T16" s="1260"/>
      <c r="U16" s="1260"/>
      <c r="V16" s="1260"/>
      <c r="W16" s="1260"/>
      <c r="X16" s="1260"/>
      <c r="Y16" s="1261"/>
      <c r="Z16" s="803"/>
      <c r="AF16" s="903"/>
      <c r="AG16" s="904"/>
      <c r="AH16" s="904"/>
      <c r="AI16" s="904"/>
      <c r="AJ16" s="904"/>
      <c r="AK16" s="904"/>
      <c r="AL16" s="904"/>
      <c r="AM16" s="904"/>
      <c r="AN16" s="904"/>
      <c r="AO16" s="904"/>
      <c r="AP16" s="905"/>
    </row>
    <row r="17" spans="1:42" ht="15" customHeight="1">
      <c r="A17" s="801"/>
      <c r="B17" s="1295" t="s">
        <v>563</v>
      </c>
      <c r="C17" s="804" t="s">
        <v>564</v>
      </c>
      <c r="D17" s="805"/>
      <c r="E17" s="805"/>
      <c r="F17" s="805"/>
      <c r="G17" s="805"/>
      <c r="H17" s="805"/>
      <c r="I17" s="806"/>
      <c r="J17" s="807"/>
      <c r="K17" s="806"/>
      <c r="L17" s="1298" t="s">
        <v>565</v>
      </c>
      <c r="M17" s="1272"/>
      <c r="N17" s="1272"/>
      <c r="O17" s="1272"/>
      <c r="P17" s="1273"/>
      <c r="Q17" s="807"/>
      <c r="R17" s="806"/>
      <c r="S17" s="1256" t="s">
        <v>686</v>
      </c>
      <c r="T17" s="1257"/>
      <c r="U17" s="1257"/>
      <c r="V17" s="1257"/>
      <c r="W17" s="1257"/>
      <c r="X17" s="1257"/>
      <c r="Y17" s="1258"/>
      <c r="Z17" s="803"/>
      <c r="AF17" s="906" t="s">
        <v>686</v>
      </c>
      <c r="AG17" s="907"/>
      <c r="AH17" s="907"/>
      <c r="AI17" s="907"/>
      <c r="AJ17" s="907"/>
      <c r="AK17" s="907"/>
      <c r="AL17" s="907"/>
      <c r="AM17" s="907"/>
      <c r="AN17" s="907"/>
      <c r="AO17" s="907"/>
      <c r="AP17" s="908"/>
    </row>
    <row r="18" spans="1:42">
      <c r="A18" s="801"/>
      <c r="B18" s="1296"/>
      <c r="C18" s="808" t="s">
        <v>566</v>
      </c>
      <c r="D18" s="795"/>
      <c r="E18" s="795"/>
      <c r="F18" s="795"/>
      <c r="G18" s="795"/>
      <c r="H18" s="795"/>
      <c r="I18" s="796"/>
      <c r="J18" s="809"/>
      <c r="K18" s="796"/>
      <c r="L18" s="1277"/>
      <c r="M18" s="1278"/>
      <c r="N18" s="1278"/>
      <c r="O18" s="1278"/>
      <c r="P18" s="1279"/>
      <c r="Q18" s="809"/>
      <c r="R18" s="796"/>
      <c r="S18" s="1259"/>
      <c r="T18" s="1260"/>
      <c r="U18" s="1260"/>
      <c r="V18" s="1260"/>
      <c r="W18" s="1260"/>
      <c r="X18" s="1260"/>
      <c r="Y18" s="1261"/>
      <c r="Z18" s="803"/>
      <c r="AF18" s="909"/>
      <c r="AG18" s="910"/>
      <c r="AH18" s="910"/>
      <c r="AI18" s="910"/>
      <c r="AJ18" s="910"/>
      <c r="AK18" s="910"/>
      <c r="AL18" s="910"/>
      <c r="AM18" s="910"/>
      <c r="AN18" s="910"/>
      <c r="AO18" s="910"/>
      <c r="AP18" s="911"/>
    </row>
    <row r="19" spans="1:42">
      <c r="A19" s="801"/>
      <c r="B19" s="1295" t="s">
        <v>567</v>
      </c>
      <c r="C19" s="804" t="s">
        <v>568</v>
      </c>
      <c r="D19" s="805"/>
      <c r="E19" s="805"/>
      <c r="F19" s="805"/>
      <c r="G19" s="805"/>
      <c r="H19" s="805"/>
      <c r="I19" s="806"/>
      <c r="J19" s="807"/>
      <c r="K19" s="806"/>
      <c r="L19" s="1297" t="s">
        <v>569</v>
      </c>
      <c r="M19" s="1272"/>
      <c r="N19" s="1272"/>
      <c r="O19" s="1272"/>
      <c r="P19" s="1273"/>
      <c r="Q19" s="807"/>
      <c r="R19" s="806"/>
      <c r="S19" s="1256" t="s">
        <v>687</v>
      </c>
      <c r="T19" s="1257"/>
      <c r="U19" s="1257"/>
      <c r="V19" s="1257"/>
      <c r="W19" s="1257"/>
      <c r="X19" s="1257"/>
      <c r="Y19" s="1258"/>
      <c r="Z19" s="803"/>
      <c r="AF19" s="900" t="s">
        <v>687</v>
      </c>
      <c r="AG19" s="901"/>
      <c r="AH19" s="901"/>
      <c r="AI19" s="901"/>
      <c r="AJ19" s="901"/>
      <c r="AK19" s="901"/>
      <c r="AL19" s="901"/>
      <c r="AM19" s="901"/>
      <c r="AN19" s="901"/>
      <c r="AO19" s="901"/>
      <c r="AP19" s="902"/>
    </row>
    <row r="20" spans="1:42">
      <c r="A20" s="801"/>
      <c r="B20" s="1296"/>
      <c r="C20" s="808" t="s">
        <v>570</v>
      </c>
      <c r="D20" s="795"/>
      <c r="E20" s="795"/>
      <c r="F20" s="795"/>
      <c r="G20" s="795"/>
      <c r="H20" s="795"/>
      <c r="I20" s="796"/>
      <c r="J20" s="809"/>
      <c r="K20" s="796"/>
      <c r="L20" s="1277"/>
      <c r="M20" s="1278"/>
      <c r="N20" s="1278"/>
      <c r="O20" s="1278"/>
      <c r="P20" s="1279"/>
      <c r="Q20" s="809"/>
      <c r="R20" s="796"/>
      <c r="S20" s="1259"/>
      <c r="T20" s="1260"/>
      <c r="U20" s="1260"/>
      <c r="V20" s="1260"/>
      <c r="W20" s="1260"/>
      <c r="X20" s="1260"/>
      <c r="Y20" s="1261"/>
      <c r="Z20" s="803"/>
      <c r="AF20" s="903"/>
      <c r="AG20" s="904"/>
      <c r="AH20" s="904"/>
      <c r="AI20" s="904"/>
      <c r="AJ20" s="904"/>
      <c r="AK20" s="904"/>
      <c r="AL20" s="904"/>
      <c r="AM20" s="904"/>
      <c r="AN20" s="904"/>
      <c r="AO20" s="904"/>
      <c r="AP20" s="905"/>
    </row>
    <row r="21" spans="1:42">
      <c r="A21" s="801"/>
      <c r="B21" s="1295" t="s">
        <v>571</v>
      </c>
      <c r="C21" s="804" t="s">
        <v>572</v>
      </c>
      <c r="D21" s="805"/>
      <c r="E21" s="805"/>
      <c r="F21" s="805"/>
      <c r="G21" s="805"/>
      <c r="H21" s="805"/>
      <c r="I21" s="806"/>
      <c r="J21" s="807"/>
      <c r="K21" s="806"/>
      <c r="L21" s="1297" t="s">
        <v>573</v>
      </c>
      <c r="M21" s="1272"/>
      <c r="N21" s="1272"/>
      <c r="O21" s="1272"/>
      <c r="P21" s="1273"/>
      <c r="Q21" s="807"/>
      <c r="R21" s="806"/>
      <c r="S21" s="1256" t="s">
        <v>688</v>
      </c>
      <c r="T21" s="1257"/>
      <c r="U21" s="1257"/>
      <c r="V21" s="1257"/>
      <c r="W21" s="1257"/>
      <c r="X21" s="1257"/>
      <c r="Y21" s="1258"/>
      <c r="Z21" s="803"/>
      <c r="AF21" s="912" t="s">
        <v>688</v>
      </c>
      <c r="AG21" s="913"/>
      <c r="AH21" s="913"/>
      <c r="AI21" s="913"/>
      <c r="AJ21" s="913"/>
      <c r="AK21" s="913"/>
      <c r="AL21" s="913"/>
      <c r="AM21" s="913"/>
      <c r="AN21" s="913"/>
      <c r="AO21" s="913"/>
      <c r="AP21" s="914"/>
    </row>
    <row r="22" spans="1:42">
      <c r="A22" s="801"/>
      <c r="B22" s="1296"/>
      <c r="C22" s="808" t="s">
        <v>574</v>
      </c>
      <c r="D22" s="795"/>
      <c r="E22" s="795"/>
      <c r="F22" s="795"/>
      <c r="G22" s="795"/>
      <c r="H22" s="795"/>
      <c r="I22" s="796"/>
      <c r="J22" s="809"/>
      <c r="K22" s="796"/>
      <c r="L22" s="1277"/>
      <c r="M22" s="1278"/>
      <c r="N22" s="1278"/>
      <c r="O22" s="1278"/>
      <c r="P22" s="1279"/>
      <c r="Q22" s="809"/>
      <c r="R22" s="796"/>
      <c r="S22" s="1259"/>
      <c r="T22" s="1260"/>
      <c r="U22" s="1260"/>
      <c r="V22" s="1260"/>
      <c r="W22" s="1260"/>
      <c r="X22" s="1260"/>
      <c r="Y22" s="1261"/>
      <c r="Z22" s="803"/>
      <c r="AF22" s="915"/>
      <c r="AG22" s="916"/>
      <c r="AH22" s="916"/>
      <c r="AI22" s="916"/>
      <c r="AJ22" s="916"/>
      <c r="AK22" s="916"/>
      <c r="AL22" s="916"/>
      <c r="AM22" s="916"/>
      <c r="AN22" s="916"/>
      <c r="AO22" s="916"/>
      <c r="AP22" s="917"/>
    </row>
    <row r="23" spans="1:42" ht="15" customHeight="1">
      <c r="A23" s="801"/>
      <c r="B23" s="1295" t="s">
        <v>575</v>
      </c>
      <c r="C23" s="804" t="s">
        <v>576</v>
      </c>
      <c r="D23" s="805"/>
      <c r="E23" s="805"/>
      <c r="F23" s="805"/>
      <c r="G23" s="805"/>
      <c r="H23" s="805"/>
      <c r="I23" s="806"/>
      <c r="J23" s="807"/>
      <c r="K23" s="806"/>
      <c r="L23" s="1297" t="s">
        <v>573</v>
      </c>
      <c r="M23" s="1272"/>
      <c r="N23" s="1272"/>
      <c r="O23" s="1272"/>
      <c r="P23" s="1273"/>
      <c r="Q23" s="807"/>
      <c r="R23" s="806"/>
      <c r="S23" s="1256" t="s">
        <v>689</v>
      </c>
      <c r="T23" s="1257"/>
      <c r="U23" s="1257"/>
      <c r="V23" s="1257"/>
      <c r="W23" s="1257"/>
      <c r="X23" s="1257"/>
      <c r="Y23" s="1258"/>
      <c r="Z23" s="803"/>
      <c r="AF23" s="906" t="s">
        <v>689</v>
      </c>
      <c r="AG23" s="907"/>
      <c r="AH23" s="907"/>
      <c r="AI23" s="907"/>
      <c r="AJ23" s="907"/>
      <c r="AK23" s="907"/>
      <c r="AL23" s="907"/>
      <c r="AM23" s="907"/>
      <c r="AN23" s="907"/>
      <c r="AO23" s="907"/>
      <c r="AP23" s="908"/>
    </row>
    <row r="24" spans="1:42">
      <c r="A24" s="801"/>
      <c r="B24" s="1296"/>
      <c r="C24" s="808" t="s">
        <v>577</v>
      </c>
      <c r="D24" s="795"/>
      <c r="E24" s="795"/>
      <c r="F24" s="795"/>
      <c r="G24" s="795"/>
      <c r="H24" s="795"/>
      <c r="I24" s="796"/>
      <c r="J24" s="809"/>
      <c r="K24" s="796"/>
      <c r="L24" s="1277"/>
      <c r="M24" s="1278"/>
      <c r="N24" s="1278"/>
      <c r="O24" s="1278"/>
      <c r="P24" s="1279"/>
      <c r="Q24" s="809"/>
      <c r="R24" s="796"/>
      <c r="S24" s="1259"/>
      <c r="T24" s="1260"/>
      <c r="U24" s="1260"/>
      <c r="V24" s="1260"/>
      <c r="W24" s="1260"/>
      <c r="X24" s="1260"/>
      <c r="Y24" s="1261"/>
      <c r="Z24" s="803"/>
      <c r="AF24" s="909"/>
      <c r="AG24" s="910"/>
      <c r="AH24" s="910"/>
      <c r="AI24" s="910"/>
      <c r="AJ24" s="910"/>
      <c r="AK24" s="910"/>
      <c r="AL24" s="910"/>
      <c r="AM24" s="910"/>
      <c r="AN24" s="910"/>
      <c r="AO24" s="910"/>
      <c r="AP24" s="911"/>
    </row>
    <row r="25" spans="1:42">
      <c r="A25" s="801"/>
      <c r="B25" s="1295" t="s">
        <v>578</v>
      </c>
      <c r="C25" s="804" t="s">
        <v>579</v>
      </c>
      <c r="D25" s="805"/>
      <c r="E25" s="805"/>
      <c r="F25" s="805"/>
      <c r="G25" s="805"/>
      <c r="H25" s="805"/>
      <c r="I25" s="806"/>
      <c r="J25" s="807"/>
      <c r="K25" s="806"/>
      <c r="L25" s="1297" t="s">
        <v>573</v>
      </c>
      <c r="M25" s="1272"/>
      <c r="N25" s="1272"/>
      <c r="O25" s="1272"/>
      <c r="P25" s="1273"/>
      <c r="Q25" s="807"/>
      <c r="R25" s="806"/>
      <c r="S25" s="1256" t="s">
        <v>287</v>
      </c>
      <c r="T25" s="1257"/>
      <c r="U25" s="1257"/>
      <c r="V25" s="1257"/>
      <c r="W25" s="1257"/>
      <c r="X25" s="1257"/>
      <c r="Y25" s="1258"/>
      <c r="Z25" s="803"/>
      <c r="AF25" s="918" t="s">
        <v>287</v>
      </c>
      <c r="AG25" s="913"/>
      <c r="AH25" s="913"/>
      <c r="AI25" s="913"/>
      <c r="AJ25" s="913"/>
      <c r="AK25" s="913"/>
      <c r="AL25" s="913"/>
      <c r="AM25" s="913"/>
      <c r="AN25" s="913"/>
      <c r="AO25" s="913"/>
      <c r="AP25" s="914"/>
    </row>
    <row r="26" spans="1:42">
      <c r="A26" s="801"/>
      <c r="B26" s="1296"/>
      <c r="C26" s="808" t="s">
        <v>580</v>
      </c>
      <c r="D26" s="795"/>
      <c r="E26" s="795"/>
      <c r="F26" s="795"/>
      <c r="G26" s="795"/>
      <c r="H26" s="795"/>
      <c r="I26" s="796"/>
      <c r="J26" s="809"/>
      <c r="K26" s="796"/>
      <c r="L26" s="1277"/>
      <c r="M26" s="1278"/>
      <c r="N26" s="1278"/>
      <c r="O26" s="1278"/>
      <c r="P26" s="1279"/>
      <c r="Q26" s="809"/>
      <c r="R26" s="796"/>
      <c r="S26" s="1259"/>
      <c r="T26" s="1260"/>
      <c r="U26" s="1260"/>
      <c r="V26" s="1260"/>
      <c r="W26" s="1260"/>
      <c r="X26" s="1260"/>
      <c r="Y26" s="1261"/>
      <c r="Z26" s="803"/>
      <c r="AF26" s="915"/>
      <c r="AG26" s="916"/>
      <c r="AH26" s="916"/>
      <c r="AI26" s="916"/>
      <c r="AJ26" s="916"/>
      <c r="AK26" s="916"/>
      <c r="AL26" s="916"/>
      <c r="AM26" s="916"/>
      <c r="AN26" s="916"/>
      <c r="AO26" s="916"/>
      <c r="AP26" s="917"/>
    </row>
    <row r="27" spans="1:42">
      <c r="A27" s="801"/>
      <c r="B27" s="1295" t="s">
        <v>581</v>
      </c>
      <c r="C27" s="804" t="s">
        <v>582</v>
      </c>
      <c r="D27" s="805"/>
      <c r="E27" s="805"/>
      <c r="F27" s="805"/>
      <c r="G27" s="805"/>
      <c r="H27" s="805"/>
      <c r="I27" s="806"/>
      <c r="J27" s="807"/>
      <c r="K27" s="806"/>
      <c r="L27" s="1297" t="s">
        <v>573</v>
      </c>
      <c r="M27" s="1272"/>
      <c r="N27" s="1272"/>
      <c r="O27" s="1272"/>
      <c r="P27" s="1273"/>
      <c r="Q27" s="807"/>
      <c r="R27" s="806"/>
      <c r="S27" s="1256" t="s">
        <v>690</v>
      </c>
      <c r="T27" s="1257"/>
      <c r="U27" s="1257"/>
      <c r="V27" s="1257"/>
      <c r="W27" s="1257"/>
      <c r="X27" s="1257"/>
      <c r="Y27" s="1258"/>
      <c r="Z27" s="803"/>
      <c r="AF27" s="912" t="s">
        <v>690</v>
      </c>
      <c r="AG27" s="919"/>
      <c r="AH27" s="919"/>
      <c r="AI27" s="919"/>
      <c r="AJ27" s="919"/>
      <c r="AK27" s="919"/>
      <c r="AL27" s="919"/>
      <c r="AM27" s="919"/>
      <c r="AN27" s="919"/>
      <c r="AO27" s="919"/>
      <c r="AP27" s="920"/>
    </row>
    <row r="28" spans="1:42">
      <c r="A28" s="801"/>
      <c r="B28" s="1296"/>
      <c r="C28" s="808" t="s">
        <v>583</v>
      </c>
      <c r="D28" s="795"/>
      <c r="E28" s="795"/>
      <c r="F28" s="795"/>
      <c r="G28" s="795"/>
      <c r="H28" s="795"/>
      <c r="I28" s="796"/>
      <c r="J28" s="809"/>
      <c r="K28" s="796"/>
      <c r="L28" s="1277"/>
      <c r="M28" s="1278"/>
      <c r="N28" s="1278"/>
      <c r="O28" s="1278"/>
      <c r="P28" s="1279"/>
      <c r="Q28" s="809"/>
      <c r="R28" s="796"/>
      <c r="S28" s="1259"/>
      <c r="T28" s="1260"/>
      <c r="U28" s="1260"/>
      <c r="V28" s="1260"/>
      <c r="W28" s="1260"/>
      <c r="X28" s="1260"/>
      <c r="Y28" s="1261"/>
      <c r="Z28" s="803"/>
      <c r="AF28" s="921"/>
      <c r="AG28" s="922"/>
      <c r="AH28" s="922"/>
      <c r="AI28" s="922"/>
      <c r="AJ28" s="922"/>
      <c r="AK28" s="922"/>
      <c r="AL28" s="922"/>
      <c r="AM28" s="922"/>
      <c r="AN28" s="922"/>
      <c r="AO28" s="922"/>
      <c r="AP28" s="923"/>
    </row>
    <row r="29" spans="1:42" ht="12" customHeight="1">
      <c r="A29" s="801"/>
      <c r="B29" s="802"/>
      <c r="C29" s="802"/>
      <c r="D29" s="802"/>
      <c r="E29" s="802"/>
      <c r="F29" s="802"/>
      <c r="G29" s="802"/>
      <c r="H29" s="802"/>
      <c r="I29" s="802"/>
      <c r="J29" s="802"/>
      <c r="K29" s="802"/>
      <c r="L29" s="802"/>
      <c r="M29" s="802"/>
      <c r="N29" s="802"/>
      <c r="O29" s="802"/>
      <c r="P29" s="802"/>
      <c r="Q29" s="802"/>
      <c r="R29" s="802"/>
      <c r="S29" s="802"/>
      <c r="T29" s="802"/>
      <c r="U29" s="802"/>
      <c r="V29" s="802"/>
      <c r="W29" s="802"/>
      <c r="X29" s="802"/>
      <c r="Y29" s="802"/>
      <c r="Z29" s="803"/>
    </row>
    <row r="30" spans="1:42">
      <c r="A30" s="801"/>
      <c r="B30" s="802" t="s">
        <v>584</v>
      </c>
      <c r="C30" s="802"/>
      <c r="D30" s="802"/>
      <c r="E30" s="802"/>
      <c r="F30" s="802" t="s">
        <v>585</v>
      </c>
      <c r="G30" s="802" t="s">
        <v>586</v>
      </c>
      <c r="H30" s="802"/>
      <c r="I30" s="802"/>
      <c r="J30" s="802"/>
      <c r="K30" s="802"/>
      <c r="L30" s="802"/>
      <c r="M30" s="802"/>
      <c r="N30" s="802"/>
      <c r="O30" s="802"/>
      <c r="P30" s="802"/>
      <c r="Q30" s="802" t="s">
        <v>587</v>
      </c>
      <c r="R30" s="802"/>
      <c r="S30" s="802"/>
      <c r="T30" s="802"/>
      <c r="U30" s="802"/>
      <c r="V30" s="795"/>
      <c r="W30" s="795"/>
      <c r="X30" s="802"/>
      <c r="Y30" s="802"/>
      <c r="Z30" s="803"/>
    </row>
    <row r="31" spans="1:42">
      <c r="A31" s="801"/>
      <c r="B31" s="802" t="s">
        <v>588</v>
      </c>
      <c r="C31" s="802"/>
      <c r="D31" s="802"/>
      <c r="E31" s="802"/>
      <c r="F31" s="802" t="s">
        <v>3</v>
      </c>
      <c r="G31" s="802"/>
      <c r="H31" s="802"/>
      <c r="I31" s="802"/>
      <c r="J31" s="802"/>
      <c r="K31" s="802"/>
      <c r="L31" s="802"/>
      <c r="M31" s="802"/>
      <c r="N31" s="802"/>
      <c r="O31" s="802"/>
      <c r="P31" s="802"/>
      <c r="Q31" s="802"/>
      <c r="R31" s="802"/>
      <c r="S31" s="802"/>
      <c r="T31" s="802"/>
      <c r="U31" s="802"/>
      <c r="V31" s="802"/>
      <c r="W31" s="802"/>
      <c r="X31" s="802"/>
      <c r="Y31" s="802"/>
      <c r="Z31" s="803"/>
    </row>
    <row r="32" spans="1:42" ht="12" customHeight="1">
      <c r="A32" s="801"/>
      <c r="B32" s="802"/>
      <c r="C32" s="802"/>
      <c r="D32" s="802"/>
      <c r="E32" s="802"/>
      <c r="F32" s="802"/>
      <c r="G32" s="802"/>
      <c r="H32" s="802"/>
      <c r="I32" s="802"/>
      <c r="J32" s="802"/>
      <c r="K32" s="802"/>
      <c r="L32" s="802"/>
      <c r="M32" s="802"/>
      <c r="N32" s="802"/>
      <c r="O32" s="802"/>
      <c r="P32" s="802"/>
      <c r="Q32" s="802"/>
      <c r="R32" s="802"/>
      <c r="S32" s="802"/>
      <c r="T32" s="802"/>
      <c r="U32" s="802"/>
      <c r="V32" s="802"/>
      <c r="W32" s="802"/>
      <c r="X32" s="802"/>
      <c r="Y32" s="802"/>
      <c r="Z32" s="803"/>
    </row>
    <row r="33" spans="1:26">
      <c r="A33" s="801"/>
      <c r="B33" s="802"/>
      <c r="C33" s="810"/>
      <c r="D33" s="802"/>
      <c r="E33" s="810"/>
      <c r="F33" s="802"/>
      <c r="G33" s="810"/>
      <c r="H33" s="802"/>
      <c r="I33" s="802"/>
      <c r="J33" s="802"/>
      <c r="K33" s="802"/>
      <c r="L33" s="802"/>
      <c r="M33" s="802"/>
      <c r="N33" s="802"/>
      <c r="O33" s="802"/>
      <c r="P33" s="802"/>
      <c r="Q33" s="802"/>
      <c r="R33" s="802"/>
      <c r="S33" s="802"/>
      <c r="T33" s="802"/>
      <c r="U33" s="802"/>
      <c r="V33" s="802"/>
      <c r="W33" s="802"/>
      <c r="X33" s="802"/>
      <c r="Y33" s="802"/>
      <c r="Z33" s="803"/>
    </row>
    <row r="34" spans="1:26" ht="9" customHeight="1">
      <c r="A34" s="801"/>
      <c r="B34" s="802"/>
      <c r="C34" s="802"/>
      <c r="D34" s="802"/>
      <c r="E34" s="802"/>
      <c r="F34" s="802"/>
      <c r="G34" s="802"/>
      <c r="H34" s="802"/>
      <c r="I34" s="802"/>
      <c r="J34" s="802"/>
      <c r="K34" s="802"/>
      <c r="L34" s="802"/>
      <c r="M34" s="802"/>
      <c r="N34" s="802"/>
      <c r="O34" s="802"/>
      <c r="P34" s="802"/>
      <c r="Q34" s="802"/>
      <c r="R34" s="802"/>
      <c r="S34" s="802"/>
      <c r="T34" s="802"/>
      <c r="U34" s="802"/>
      <c r="V34" s="802"/>
      <c r="W34" s="802"/>
      <c r="X34" s="802"/>
      <c r="Y34" s="802"/>
      <c r="Z34" s="803"/>
    </row>
    <row r="35" spans="1:26">
      <c r="A35" s="801"/>
      <c r="B35" s="802"/>
      <c r="C35" s="811" t="s">
        <v>589</v>
      </c>
      <c r="D35" s="802"/>
      <c r="E35" s="811" t="s">
        <v>590</v>
      </c>
      <c r="F35" s="802"/>
      <c r="G35" s="811" t="s">
        <v>591</v>
      </c>
      <c r="H35" s="802"/>
      <c r="I35" s="802"/>
      <c r="J35" s="802"/>
      <c r="K35" s="802"/>
      <c r="L35" s="802"/>
      <c r="M35" s="802"/>
      <c r="N35" s="802"/>
      <c r="O35" s="802"/>
      <c r="P35" s="802"/>
      <c r="Q35" s="802"/>
      <c r="R35" s="802"/>
      <c r="S35" s="802"/>
      <c r="T35" s="802"/>
      <c r="U35" s="802"/>
      <c r="V35" s="802"/>
      <c r="W35" s="802"/>
      <c r="X35" s="802"/>
      <c r="Y35" s="802"/>
      <c r="Z35" s="803"/>
    </row>
    <row r="36" spans="1:26">
      <c r="A36" s="801"/>
      <c r="B36" s="812" t="s">
        <v>592</v>
      </c>
      <c r="C36" s="802"/>
      <c r="D36" s="802"/>
      <c r="E36" s="802"/>
      <c r="F36" s="802"/>
      <c r="G36" s="802"/>
      <c r="H36" s="802"/>
      <c r="I36" s="802"/>
      <c r="J36" s="802"/>
      <c r="K36" s="802"/>
      <c r="L36" s="802"/>
      <c r="M36" s="802"/>
      <c r="N36" s="802"/>
      <c r="O36" s="802"/>
      <c r="P36" s="802"/>
      <c r="Q36" s="802"/>
      <c r="R36" s="802"/>
      <c r="S36" s="802"/>
      <c r="T36" s="802"/>
      <c r="U36" s="802"/>
      <c r="V36" s="802"/>
      <c r="W36" s="802"/>
      <c r="X36" s="802"/>
      <c r="Y36" s="802"/>
      <c r="Z36" s="803"/>
    </row>
    <row r="37" spans="1:26">
      <c r="A37" s="801"/>
      <c r="B37" s="812" t="s">
        <v>593</v>
      </c>
      <c r="C37" s="802"/>
      <c r="D37" s="802"/>
      <c r="E37" s="802"/>
      <c r="F37" s="802"/>
      <c r="G37" s="802"/>
      <c r="H37" s="802"/>
      <c r="I37" s="802"/>
      <c r="J37" s="802"/>
      <c r="K37" s="802"/>
      <c r="L37" s="802"/>
      <c r="M37" s="802"/>
      <c r="N37" s="802"/>
      <c r="O37" s="802"/>
      <c r="P37" s="802"/>
      <c r="Q37" s="802"/>
      <c r="R37" s="802"/>
      <c r="S37" s="802"/>
      <c r="T37" s="802"/>
      <c r="U37" s="802"/>
      <c r="V37" s="802"/>
      <c r="W37" s="802"/>
      <c r="X37" s="802"/>
      <c r="Y37" s="802"/>
      <c r="Z37" s="803"/>
    </row>
    <row r="38" spans="1:26">
      <c r="A38" s="801"/>
      <c r="B38" s="812" t="s">
        <v>594</v>
      </c>
      <c r="C38" s="802"/>
      <c r="D38" s="802"/>
      <c r="E38" s="802"/>
      <c r="F38" s="802"/>
      <c r="G38" s="802"/>
      <c r="H38" s="802"/>
      <c r="I38" s="802"/>
      <c r="J38" s="802"/>
      <c r="K38" s="802"/>
      <c r="L38" s="802"/>
      <c r="M38" s="802"/>
      <c r="N38" s="802"/>
      <c r="O38" s="802"/>
      <c r="P38" s="802"/>
      <c r="Q38" s="802"/>
      <c r="R38" s="802"/>
      <c r="S38" s="802"/>
      <c r="T38" s="802"/>
      <c r="U38" s="802"/>
      <c r="V38" s="802"/>
      <c r="W38" s="802"/>
      <c r="X38" s="802"/>
      <c r="Y38" s="802"/>
      <c r="Z38" s="803"/>
    </row>
    <row r="39" spans="1:26">
      <c r="A39" s="801"/>
      <c r="B39" s="802"/>
      <c r="C39" s="802"/>
      <c r="D39" s="802"/>
      <c r="E39" s="802"/>
      <c r="F39" s="802"/>
      <c r="G39" s="802"/>
      <c r="H39" s="802"/>
      <c r="I39" s="802"/>
      <c r="J39" s="802"/>
      <c r="K39" s="802"/>
      <c r="L39" s="802"/>
      <c r="M39" s="802"/>
      <c r="N39" s="802"/>
      <c r="O39" s="802"/>
      <c r="P39" s="802"/>
      <c r="Q39" s="802" t="s">
        <v>595</v>
      </c>
      <c r="R39" s="802"/>
      <c r="S39" s="802"/>
      <c r="T39" s="802"/>
      <c r="U39" s="802"/>
      <c r="V39" s="802"/>
      <c r="W39" s="802"/>
      <c r="X39" s="802"/>
      <c r="Y39" s="802"/>
      <c r="Z39" s="803"/>
    </row>
    <row r="40" spans="1:26">
      <c r="A40" s="801"/>
      <c r="B40" s="802"/>
      <c r="C40" s="802"/>
      <c r="D40" s="802"/>
      <c r="E40" s="802"/>
      <c r="F40" s="802"/>
      <c r="G40" s="802"/>
      <c r="H40" s="802"/>
      <c r="I40" s="802"/>
      <c r="J40" s="802"/>
      <c r="K40" s="802"/>
      <c r="L40" s="802"/>
      <c r="M40" s="802"/>
      <c r="N40" s="802"/>
      <c r="O40" s="802"/>
      <c r="P40" s="802"/>
      <c r="Q40" s="802"/>
      <c r="R40" s="802"/>
      <c r="S40" s="802"/>
      <c r="T40" s="802"/>
      <c r="U40" s="802"/>
      <c r="V40" s="802"/>
      <c r="W40" s="802"/>
      <c r="X40" s="802"/>
      <c r="Y40" s="802"/>
      <c r="Z40" s="803"/>
    </row>
    <row r="41" spans="1:26">
      <c r="A41" s="801"/>
      <c r="B41" s="802"/>
      <c r="C41" s="802"/>
      <c r="D41" s="802" t="s">
        <v>596</v>
      </c>
      <c r="E41" s="802"/>
      <c r="F41" s="802"/>
      <c r="G41" s="802"/>
      <c r="H41" s="802"/>
      <c r="I41" s="802"/>
      <c r="J41" s="802"/>
      <c r="K41" s="802" t="s">
        <v>597</v>
      </c>
      <c r="L41" s="802"/>
      <c r="M41" s="802"/>
      <c r="N41" s="802"/>
      <c r="O41" s="802"/>
      <c r="P41" s="802"/>
      <c r="Q41" s="802"/>
      <c r="R41" s="802"/>
      <c r="S41" s="802" t="s">
        <v>598</v>
      </c>
      <c r="T41" s="802"/>
      <c r="U41" s="802"/>
      <c r="V41" s="802"/>
      <c r="W41" s="802"/>
      <c r="X41" s="802"/>
      <c r="Y41" s="802"/>
      <c r="Z41" s="803"/>
    </row>
    <row r="42" spans="1:26">
      <c r="A42" s="801"/>
      <c r="B42" s="802"/>
      <c r="C42" s="802"/>
      <c r="D42" s="1286" t="s">
        <v>599</v>
      </c>
      <c r="E42" s="1286"/>
      <c r="F42" s="1286"/>
      <c r="G42" s="1286"/>
      <c r="H42" s="802"/>
      <c r="I42" s="802"/>
      <c r="J42" s="802"/>
      <c r="K42" s="1286" t="s">
        <v>600</v>
      </c>
      <c r="L42" s="1286"/>
      <c r="M42" s="1286"/>
      <c r="N42" s="1286"/>
      <c r="O42" s="1286"/>
      <c r="P42" s="802"/>
      <c r="Q42" s="802"/>
      <c r="R42" s="802"/>
      <c r="S42" s="1286" t="s">
        <v>601</v>
      </c>
      <c r="T42" s="1286"/>
      <c r="U42" s="1286"/>
      <c r="V42" s="1286"/>
      <c r="W42" s="802"/>
      <c r="X42" s="802"/>
      <c r="Y42" s="802"/>
      <c r="Z42" s="803"/>
    </row>
    <row r="43" spans="1:26">
      <c r="A43" s="801"/>
      <c r="B43" s="802"/>
      <c r="C43" s="802"/>
      <c r="D43" s="802"/>
      <c r="E43" s="802"/>
      <c r="F43" s="802"/>
      <c r="G43" s="802"/>
      <c r="H43" s="802"/>
      <c r="I43" s="802"/>
      <c r="J43" s="802"/>
      <c r="K43" s="802"/>
      <c r="L43" s="802"/>
      <c r="M43" s="802"/>
      <c r="N43" s="802"/>
      <c r="O43" s="802"/>
      <c r="P43" s="802"/>
      <c r="Q43" s="802"/>
      <c r="R43" s="802"/>
      <c r="S43" s="802"/>
      <c r="T43" s="802"/>
      <c r="U43" s="802"/>
      <c r="V43" s="802"/>
      <c r="W43" s="802"/>
      <c r="X43" s="802"/>
      <c r="Y43" s="802"/>
      <c r="Z43" s="803"/>
    </row>
    <row r="44" spans="1:26">
      <c r="A44" s="801"/>
      <c r="B44" s="802"/>
      <c r="C44" s="802"/>
      <c r="D44" s="802"/>
      <c r="E44" s="802"/>
      <c r="F44" s="802"/>
      <c r="G44" s="802"/>
      <c r="H44" s="802"/>
      <c r="I44" s="802"/>
      <c r="J44" s="802"/>
      <c r="K44" s="802"/>
      <c r="L44" s="802"/>
      <c r="M44" s="802"/>
      <c r="N44" s="802"/>
      <c r="O44" s="802"/>
      <c r="P44" s="802"/>
      <c r="Q44" s="802"/>
      <c r="R44" s="802"/>
      <c r="S44" s="802"/>
      <c r="T44" s="802"/>
      <c r="U44" s="802"/>
      <c r="V44" s="802"/>
      <c r="W44" s="802"/>
      <c r="X44" s="802"/>
      <c r="Y44" s="802"/>
      <c r="Z44" s="803"/>
    </row>
    <row r="45" spans="1:26">
      <c r="A45" s="801"/>
      <c r="B45" s="802"/>
      <c r="C45" s="802"/>
      <c r="D45" s="1286" t="s">
        <v>602</v>
      </c>
      <c r="E45" s="1286"/>
      <c r="F45" s="1286"/>
      <c r="G45" s="1286"/>
      <c r="H45" s="802"/>
      <c r="I45" s="802"/>
      <c r="J45" s="802"/>
      <c r="K45" s="1286" t="s">
        <v>602</v>
      </c>
      <c r="L45" s="1286"/>
      <c r="M45" s="1286"/>
      <c r="N45" s="1286"/>
      <c r="O45" s="1286"/>
      <c r="P45" s="802"/>
      <c r="Q45" s="802"/>
      <c r="R45" s="802"/>
      <c r="S45" s="1286" t="s">
        <v>603</v>
      </c>
      <c r="T45" s="1286"/>
      <c r="U45" s="1286"/>
      <c r="V45" s="1286"/>
      <c r="W45" s="802"/>
      <c r="X45" s="802"/>
      <c r="Y45" s="802"/>
      <c r="Z45" s="803"/>
    </row>
    <row r="46" spans="1:26" ht="12.75" customHeight="1">
      <c r="A46" s="801"/>
      <c r="B46" s="802"/>
      <c r="C46" s="802"/>
      <c r="D46" s="802"/>
      <c r="E46" s="802"/>
      <c r="F46" s="802"/>
      <c r="G46" s="802"/>
      <c r="H46" s="802"/>
      <c r="I46" s="802"/>
      <c r="J46" s="802"/>
      <c r="K46" s="802"/>
      <c r="L46" s="802"/>
      <c r="M46" s="802"/>
      <c r="N46" s="802"/>
      <c r="O46" s="802"/>
      <c r="P46" s="802"/>
      <c r="Q46" s="802"/>
      <c r="R46" s="802"/>
      <c r="S46" s="802"/>
      <c r="T46" s="802"/>
      <c r="U46" s="802"/>
      <c r="V46" s="802"/>
      <c r="W46" s="802"/>
      <c r="X46" s="802"/>
      <c r="Y46" s="802"/>
      <c r="Z46" s="803"/>
    </row>
    <row r="47" spans="1:26">
      <c r="A47" s="801"/>
      <c r="B47" s="802" t="s">
        <v>604</v>
      </c>
      <c r="C47" s="802"/>
      <c r="D47" s="802"/>
      <c r="E47" s="802"/>
      <c r="F47" s="802"/>
      <c r="G47" s="802"/>
      <c r="H47" s="802"/>
      <c r="I47" s="1290" t="s">
        <v>105</v>
      </c>
      <c r="J47" s="1291"/>
      <c r="K47" s="1292"/>
      <c r="L47" s="1290" t="s">
        <v>18</v>
      </c>
      <c r="M47" s="1291"/>
      <c r="N47" s="1291"/>
      <c r="O47" s="1292"/>
      <c r="P47" s="1290" t="s">
        <v>605</v>
      </c>
      <c r="Q47" s="1291"/>
      <c r="R47" s="1291"/>
      <c r="S47" s="1292"/>
      <c r="T47" s="1290" t="s">
        <v>606</v>
      </c>
      <c r="U47" s="1292"/>
      <c r="V47" s="1290" t="s">
        <v>584</v>
      </c>
      <c r="W47" s="1291"/>
      <c r="X47" s="1291"/>
      <c r="Y47" s="1292"/>
      <c r="Z47" s="803"/>
    </row>
    <row r="48" spans="1:26">
      <c r="A48" s="801"/>
      <c r="B48" s="802" t="s">
        <v>589</v>
      </c>
      <c r="C48" s="813" t="s">
        <v>607</v>
      </c>
      <c r="D48" s="802"/>
      <c r="E48" s="802"/>
      <c r="F48" s="802"/>
      <c r="G48" s="802"/>
      <c r="H48" s="802"/>
      <c r="I48" s="1271" t="s">
        <v>253</v>
      </c>
      <c r="J48" s="1272"/>
      <c r="K48" s="1273"/>
      <c r="L48" s="1280" t="s">
        <v>608</v>
      </c>
      <c r="M48" s="1281"/>
      <c r="N48" s="1281"/>
      <c r="O48" s="1282"/>
      <c r="P48" s="1283" t="s">
        <v>609</v>
      </c>
      <c r="Q48" s="1281"/>
      <c r="R48" s="1281"/>
      <c r="S48" s="1282"/>
      <c r="T48" s="1280" t="s">
        <v>589</v>
      </c>
      <c r="U48" s="1284"/>
      <c r="V48" s="1283" t="s">
        <v>610</v>
      </c>
      <c r="W48" s="1281"/>
      <c r="X48" s="1281"/>
      <c r="Y48" s="1282"/>
      <c r="Z48" s="803"/>
    </row>
    <row r="49" spans="1:26">
      <c r="A49" s="801"/>
      <c r="B49" s="802" t="s">
        <v>590</v>
      </c>
      <c r="C49" s="813" t="s">
        <v>611</v>
      </c>
      <c r="D49" s="802"/>
      <c r="E49" s="802"/>
      <c r="F49" s="802"/>
      <c r="G49" s="802"/>
      <c r="H49" s="802"/>
      <c r="I49" s="1274"/>
      <c r="J49" s="1275"/>
      <c r="K49" s="1276"/>
      <c r="L49" s="1285" t="s">
        <v>612</v>
      </c>
      <c r="M49" s="1286"/>
      <c r="N49" s="1286"/>
      <c r="O49" s="1287"/>
      <c r="P49" s="1288" t="s">
        <v>613</v>
      </c>
      <c r="Q49" s="1286"/>
      <c r="R49" s="1286"/>
      <c r="S49" s="1287"/>
      <c r="T49" s="1285" t="s">
        <v>590</v>
      </c>
      <c r="U49" s="1289"/>
      <c r="V49" s="1288" t="s">
        <v>610</v>
      </c>
      <c r="W49" s="1286"/>
      <c r="X49" s="1286"/>
      <c r="Y49" s="1287"/>
      <c r="Z49" s="803"/>
    </row>
    <row r="50" spans="1:26">
      <c r="A50" s="801"/>
      <c r="B50" s="802" t="s">
        <v>591</v>
      </c>
      <c r="C50" s="813" t="s">
        <v>614</v>
      </c>
      <c r="D50" s="802"/>
      <c r="E50" s="802"/>
      <c r="F50" s="802"/>
      <c r="G50" s="802"/>
      <c r="H50" s="802"/>
      <c r="I50" s="1277"/>
      <c r="J50" s="1278"/>
      <c r="K50" s="1279"/>
      <c r="L50" s="1285" t="s">
        <v>615</v>
      </c>
      <c r="M50" s="1286"/>
      <c r="N50" s="1286"/>
      <c r="O50" s="1287"/>
      <c r="P50" s="1285" t="s">
        <v>616</v>
      </c>
      <c r="Q50" s="1286"/>
      <c r="R50" s="1286"/>
      <c r="S50" s="1287"/>
      <c r="T50" s="1262" t="s">
        <v>591</v>
      </c>
      <c r="U50" s="1265"/>
      <c r="V50" s="1288" t="s">
        <v>617</v>
      </c>
      <c r="W50" s="1293"/>
      <c r="X50" s="1293"/>
      <c r="Y50" s="1294"/>
      <c r="Z50" s="803"/>
    </row>
    <row r="51" spans="1:26">
      <c r="A51" s="801"/>
      <c r="B51" s="802" t="s">
        <v>253</v>
      </c>
      <c r="C51" s="814" t="s">
        <v>618</v>
      </c>
      <c r="D51" s="802"/>
      <c r="E51" s="802"/>
      <c r="F51" s="802"/>
      <c r="G51" s="802"/>
      <c r="H51" s="802"/>
      <c r="I51" s="1271" t="s">
        <v>619</v>
      </c>
      <c r="J51" s="1272"/>
      <c r="K51" s="1273"/>
      <c r="L51" s="1280" t="s">
        <v>620</v>
      </c>
      <c r="M51" s="1281"/>
      <c r="N51" s="1281"/>
      <c r="O51" s="1282"/>
      <c r="P51" s="1283" t="s">
        <v>609</v>
      </c>
      <c r="Q51" s="1281"/>
      <c r="R51" s="1281"/>
      <c r="S51" s="1282"/>
      <c r="T51" s="1280" t="s">
        <v>589</v>
      </c>
      <c r="U51" s="1284"/>
      <c r="V51" s="1283" t="s">
        <v>610</v>
      </c>
      <c r="W51" s="1281"/>
      <c r="X51" s="1281"/>
      <c r="Y51" s="1282"/>
      <c r="Z51" s="803"/>
    </row>
    <row r="52" spans="1:26">
      <c r="A52" s="801"/>
      <c r="B52" s="802" t="s">
        <v>621</v>
      </c>
      <c r="C52" s="814" t="s">
        <v>622</v>
      </c>
      <c r="D52" s="802"/>
      <c r="E52" s="802"/>
      <c r="F52" s="802"/>
      <c r="G52" s="802"/>
      <c r="H52" s="802"/>
      <c r="I52" s="1274"/>
      <c r="J52" s="1275"/>
      <c r="K52" s="1276"/>
      <c r="L52" s="1285" t="s">
        <v>623</v>
      </c>
      <c r="M52" s="1286"/>
      <c r="N52" s="1286"/>
      <c r="O52" s="1287"/>
      <c r="P52" s="1288" t="s">
        <v>613</v>
      </c>
      <c r="Q52" s="1286"/>
      <c r="R52" s="1286"/>
      <c r="S52" s="1287"/>
      <c r="T52" s="1285" t="s">
        <v>590</v>
      </c>
      <c r="U52" s="1289"/>
      <c r="V52" s="1288" t="s">
        <v>610</v>
      </c>
      <c r="W52" s="1286"/>
      <c r="X52" s="1286"/>
      <c r="Y52" s="1287"/>
      <c r="Z52" s="803"/>
    </row>
    <row r="53" spans="1:26">
      <c r="A53" s="801"/>
      <c r="B53" s="802"/>
      <c r="C53" s="802"/>
      <c r="D53" s="802"/>
      <c r="E53" s="802"/>
      <c r="F53" s="802"/>
      <c r="G53" s="802"/>
      <c r="H53" s="802"/>
      <c r="I53" s="1277"/>
      <c r="J53" s="1278"/>
      <c r="K53" s="1279"/>
      <c r="L53" s="1262" t="s">
        <v>615</v>
      </c>
      <c r="M53" s="1263"/>
      <c r="N53" s="1263"/>
      <c r="O53" s="1264"/>
      <c r="P53" s="1262" t="s">
        <v>616</v>
      </c>
      <c r="Q53" s="1263"/>
      <c r="R53" s="1263"/>
      <c r="S53" s="1264"/>
      <c r="T53" s="1262" t="s">
        <v>591</v>
      </c>
      <c r="U53" s="1265"/>
      <c r="V53" s="1266" t="s">
        <v>617</v>
      </c>
      <c r="W53" s="1267"/>
      <c r="X53" s="1267"/>
      <c r="Y53" s="1268"/>
      <c r="Z53" s="803"/>
    </row>
    <row r="54" spans="1:26" ht="11.25" customHeight="1">
      <c r="A54" s="801"/>
      <c r="B54" s="802"/>
      <c r="C54" s="802"/>
      <c r="D54" s="802"/>
      <c r="E54" s="802"/>
      <c r="F54" s="802"/>
      <c r="G54" s="802"/>
      <c r="H54" s="802"/>
      <c r="I54" s="802"/>
      <c r="J54" s="802"/>
      <c r="K54" s="802"/>
      <c r="L54" s="802"/>
      <c r="M54" s="802"/>
      <c r="N54" s="802"/>
      <c r="O54" s="802"/>
      <c r="P54" s="802"/>
      <c r="Q54" s="802"/>
      <c r="R54" s="802"/>
      <c r="S54" s="802"/>
      <c r="T54" s="802"/>
      <c r="U54" s="802"/>
      <c r="V54" s="802"/>
      <c r="W54" s="802"/>
      <c r="X54" s="802"/>
      <c r="Y54" s="802"/>
      <c r="Z54" s="803"/>
    </row>
    <row r="55" spans="1:26" ht="15.75" thickBot="1">
      <c r="A55" s="815" t="s">
        <v>624</v>
      </c>
      <c r="B55" s="816"/>
      <c r="C55" s="816"/>
      <c r="D55" s="816"/>
      <c r="E55" s="816"/>
      <c r="F55" s="816"/>
      <c r="G55" s="816"/>
      <c r="H55" s="816"/>
      <c r="I55" s="816"/>
      <c r="J55" s="816"/>
      <c r="K55" s="816"/>
      <c r="L55" s="816"/>
      <c r="M55" s="816"/>
      <c r="N55" s="816"/>
      <c r="O55" s="816"/>
      <c r="P55" s="816"/>
      <c r="Q55" s="816"/>
      <c r="R55" s="816"/>
      <c r="S55" s="816"/>
      <c r="T55" s="816"/>
      <c r="U55" s="816"/>
      <c r="V55" s="1269" t="s">
        <v>625</v>
      </c>
      <c r="W55" s="1269"/>
      <c r="X55" s="1269"/>
      <c r="Y55" s="1269"/>
      <c r="Z55" s="1270"/>
    </row>
    <row r="56" spans="1:26" ht="15.75" thickTop="1"/>
  </sheetData>
  <mergeCells count="75">
    <mergeCell ref="V1:Z1"/>
    <mergeCell ref="E2:S3"/>
    <mergeCell ref="A4:D4"/>
    <mergeCell ref="E4:S4"/>
    <mergeCell ref="B11:B12"/>
    <mergeCell ref="C11:I12"/>
    <mergeCell ref="J11:K12"/>
    <mergeCell ref="L11:P11"/>
    <mergeCell ref="Q11:R12"/>
    <mergeCell ref="S11:Y12"/>
    <mergeCell ref="L12:P12"/>
    <mergeCell ref="B13:B14"/>
    <mergeCell ref="L13:P13"/>
    <mergeCell ref="L14:P14"/>
    <mergeCell ref="B15:B16"/>
    <mergeCell ref="L15:P15"/>
    <mergeCell ref="L16:P16"/>
    <mergeCell ref="B17:B18"/>
    <mergeCell ref="L17:P18"/>
    <mergeCell ref="B19:B20"/>
    <mergeCell ref="L19:P20"/>
    <mergeCell ref="B21:B22"/>
    <mergeCell ref="L21:P22"/>
    <mergeCell ref="B23:B24"/>
    <mergeCell ref="L23:P24"/>
    <mergeCell ref="B25:B26"/>
    <mergeCell ref="L25:P26"/>
    <mergeCell ref="B27:B28"/>
    <mergeCell ref="L27:P28"/>
    <mergeCell ref="D42:G42"/>
    <mergeCell ref="K42:O42"/>
    <mergeCell ref="S42:V42"/>
    <mergeCell ref="D45:G45"/>
    <mergeCell ref="K45:O45"/>
    <mergeCell ref="S45:V45"/>
    <mergeCell ref="I48:K50"/>
    <mergeCell ref="L48:O48"/>
    <mergeCell ref="P48:S48"/>
    <mergeCell ref="T48:U48"/>
    <mergeCell ref="V48:Y48"/>
    <mergeCell ref="L49:O49"/>
    <mergeCell ref="P49:S49"/>
    <mergeCell ref="T49:U49"/>
    <mergeCell ref="V49:Y49"/>
    <mergeCell ref="L50:O50"/>
    <mergeCell ref="P50:S50"/>
    <mergeCell ref="T50:U50"/>
    <mergeCell ref="V50:Y50"/>
    <mergeCell ref="I47:K47"/>
    <mergeCell ref="L47:O47"/>
    <mergeCell ref="P47:S47"/>
    <mergeCell ref="T47:U47"/>
    <mergeCell ref="V47:Y47"/>
    <mergeCell ref="P53:S53"/>
    <mergeCell ref="T53:U53"/>
    <mergeCell ref="V53:Y53"/>
    <mergeCell ref="V55:Z55"/>
    <mergeCell ref="I51:K53"/>
    <mergeCell ref="L51:O51"/>
    <mergeCell ref="P51:S51"/>
    <mergeCell ref="T51:U51"/>
    <mergeCell ref="V51:Y51"/>
    <mergeCell ref="L52:O52"/>
    <mergeCell ref="P52:S52"/>
    <mergeCell ref="T52:U52"/>
    <mergeCell ref="V52:Y52"/>
    <mergeCell ref="L53:O53"/>
    <mergeCell ref="S25:Y26"/>
    <mergeCell ref="S27:Y28"/>
    <mergeCell ref="S13:Y14"/>
    <mergeCell ref="S15:Y16"/>
    <mergeCell ref="S17:Y18"/>
    <mergeCell ref="S19:Y20"/>
    <mergeCell ref="S21:Y22"/>
    <mergeCell ref="S23:Y24"/>
  </mergeCells>
  <pageMargins left="0.45" right="0.2" top="0.25" bottom="0.25" header="0.3" footer="0.3"/>
  <pageSetup paperSize="9" orientation="portrait" horizontalDpi="4294967293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8">
    <tabColor rgb="FF7030A0"/>
  </sheetPr>
  <dimension ref="B2:FA72"/>
  <sheetViews>
    <sheetView zoomScale="85" zoomScaleNormal="85" workbookViewId="0">
      <pane xSplit="6" ySplit="10" topLeftCell="G11" activePane="bottomRight" state="frozen"/>
      <selection pane="topRight" activeCell="G1" sqref="G1"/>
      <selection pane="bottomLeft" activeCell="A11" sqref="A11"/>
      <selection pane="bottomRight" activeCell="T15" sqref="T15:V15"/>
    </sheetView>
  </sheetViews>
  <sheetFormatPr defaultRowHeight="15"/>
  <cols>
    <col min="1" max="1" width="3" style="723" customWidth="1"/>
    <col min="2" max="2" width="5" style="723" customWidth="1"/>
    <col min="3" max="4" width="2.7109375" style="723" customWidth="1"/>
    <col min="5" max="5" width="2.42578125" style="723" customWidth="1"/>
    <col min="6" max="6" width="14.7109375" style="723" customWidth="1"/>
    <col min="7" max="7" width="15.7109375" style="723" customWidth="1"/>
    <col min="8" max="9" width="2.7109375" style="723" customWidth="1"/>
    <col min="10" max="139" width="5.28515625" style="723" customWidth="1"/>
    <col min="140" max="140" width="2.7109375" style="723" customWidth="1"/>
    <col min="141" max="141" width="3.7109375" style="723" customWidth="1"/>
    <col min="142" max="142" width="4" style="723" customWidth="1"/>
    <col min="143" max="147" width="2.7109375" style="723" customWidth="1"/>
    <col min="148" max="148" width="3.7109375" style="723" customWidth="1"/>
    <col min="149" max="149" width="4" style="723" customWidth="1"/>
    <col min="150" max="156" width="2.7109375" style="723" customWidth="1"/>
    <col min="157" max="16384" width="9.140625" style="723"/>
  </cols>
  <sheetData>
    <row r="2" spans="2:157" ht="15.75" thickBot="1">
      <c r="B2" s="785" t="s">
        <v>626</v>
      </c>
      <c r="EO2" s="1362" t="s">
        <v>627</v>
      </c>
      <c r="EP2" s="1362"/>
      <c r="EQ2" s="1362"/>
      <c r="ER2" s="1362"/>
      <c r="ES2" s="1362"/>
    </row>
    <row r="3" spans="2:157" ht="18" customHeight="1">
      <c r="B3" s="817"/>
      <c r="C3" s="818"/>
      <c r="D3" s="818"/>
      <c r="E3" s="818"/>
      <c r="F3" s="819"/>
      <c r="G3" s="1363" t="s">
        <v>537</v>
      </c>
      <c r="H3" s="1364"/>
      <c r="I3" s="1364"/>
      <c r="J3" s="1364"/>
      <c r="K3" s="1364"/>
      <c r="L3" s="1364"/>
      <c r="M3" s="1364"/>
      <c r="N3" s="1364"/>
      <c r="O3" s="1364"/>
      <c r="P3" s="1364"/>
      <c r="Q3" s="1364"/>
      <c r="R3" s="1364"/>
      <c r="S3" s="1364"/>
      <c r="T3" s="1364"/>
      <c r="U3" s="1364"/>
      <c r="V3" s="1364"/>
      <c r="W3" s="1364"/>
      <c r="X3" s="1364"/>
      <c r="Y3" s="1364"/>
      <c r="Z3" s="1364"/>
      <c r="AA3" s="1364"/>
      <c r="AB3" s="1364"/>
      <c r="AC3" s="1364"/>
      <c r="AD3" s="1364"/>
      <c r="AE3" s="1364"/>
      <c r="AF3" s="1364"/>
      <c r="AG3" s="1364"/>
      <c r="AH3" s="1364"/>
      <c r="AI3" s="1364"/>
      <c r="AJ3" s="1364"/>
      <c r="AK3" s="1364"/>
      <c r="AL3" s="1364"/>
      <c r="AM3" s="1364"/>
      <c r="AN3" s="1364"/>
      <c r="AO3" s="1364"/>
      <c r="AP3" s="1364"/>
      <c r="AQ3" s="1364"/>
      <c r="AR3" s="1364"/>
      <c r="AS3" s="1364"/>
      <c r="AT3" s="1364"/>
      <c r="AU3" s="1364"/>
      <c r="AV3" s="1364"/>
      <c r="AW3" s="1364"/>
      <c r="AX3" s="1364"/>
      <c r="AY3" s="1364"/>
      <c r="AZ3" s="1364"/>
      <c r="BA3" s="1364"/>
      <c r="BB3" s="1364"/>
      <c r="BC3" s="1364"/>
      <c r="BD3" s="1364"/>
      <c r="BE3" s="1364"/>
      <c r="BF3" s="1364"/>
      <c r="BG3" s="1364"/>
      <c r="BH3" s="1364"/>
      <c r="BI3" s="1364"/>
      <c r="BJ3" s="1364"/>
      <c r="BK3" s="1364"/>
      <c r="BL3" s="1364"/>
      <c r="BM3" s="1364"/>
      <c r="BN3" s="1364"/>
      <c r="BO3" s="1364"/>
      <c r="BP3" s="1364"/>
      <c r="BQ3" s="1364"/>
      <c r="BR3" s="1364"/>
      <c r="BS3" s="1364"/>
      <c r="BT3" s="1364"/>
      <c r="BU3" s="1364"/>
      <c r="BV3" s="1364"/>
      <c r="BW3" s="1364"/>
      <c r="BX3" s="1364"/>
      <c r="BY3" s="1364"/>
      <c r="BZ3" s="1364"/>
      <c r="CA3" s="1364"/>
      <c r="CB3" s="1364"/>
      <c r="CC3" s="1364"/>
      <c r="CD3" s="1364"/>
      <c r="CE3" s="1364"/>
      <c r="CF3" s="1364"/>
      <c r="CG3" s="1364"/>
      <c r="CH3" s="1364"/>
      <c r="CI3" s="1364"/>
      <c r="CJ3" s="1364"/>
      <c r="CK3" s="1364"/>
      <c r="CL3" s="1364"/>
      <c r="CM3" s="1364"/>
      <c r="CN3" s="1364"/>
      <c r="CO3" s="1364"/>
      <c r="CP3" s="1364"/>
      <c r="CQ3" s="1364"/>
      <c r="CR3" s="1364"/>
      <c r="CS3" s="1364"/>
      <c r="CT3" s="1364"/>
      <c r="CU3" s="1364"/>
      <c r="CV3" s="1364"/>
      <c r="CW3" s="1364"/>
      <c r="CX3" s="1364"/>
      <c r="CY3" s="1364"/>
      <c r="CZ3" s="1364"/>
      <c r="DA3" s="1364"/>
      <c r="DB3" s="1364"/>
      <c r="DC3" s="1364"/>
      <c r="DD3" s="1364"/>
      <c r="DE3" s="1364"/>
      <c r="DF3" s="1364"/>
      <c r="DG3" s="1364"/>
      <c r="DH3" s="1364"/>
      <c r="DI3" s="1364"/>
      <c r="DJ3" s="1364"/>
      <c r="DK3" s="1364"/>
      <c r="DL3" s="1364"/>
      <c r="DM3" s="1364"/>
      <c r="DN3" s="1364"/>
      <c r="DO3" s="1364"/>
      <c r="DP3" s="1364"/>
      <c r="DQ3" s="1364"/>
      <c r="DR3" s="1364"/>
      <c r="DS3" s="1364"/>
      <c r="DT3" s="1364"/>
      <c r="DU3" s="1364"/>
      <c r="DV3" s="1364"/>
      <c r="DW3" s="1364"/>
      <c r="DX3" s="1364"/>
      <c r="DY3" s="1364"/>
      <c r="DZ3" s="1364"/>
      <c r="EA3" s="1364"/>
      <c r="EB3" s="1364"/>
      <c r="EC3" s="1364"/>
      <c r="ED3" s="1364"/>
      <c r="EE3" s="1364"/>
      <c r="EF3" s="1364"/>
      <c r="EG3" s="1364"/>
      <c r="EH3" s="1364"/>
      <c r="EI3" s="1364"/>
      <c r="EJ3" s="820" t="s">
        <v>538</v>
      </c>
      <c r="EK3" s="821"/>
      <c r="EL3" s="821" t="s">
        <v>3</v>
      </c>
      <c r="EM3" s="818"/>
      <c r="EN3" s="818"/>
      <c r="EO3" s="818"/>
      <c r="EP3" s="818"/>
      <c r="EQ3" s="818"/>
      <c r="ER3" s="818"/>
      <c r="ES3" s="822"/>
    </row>
    <row r="4" spans="2:157" ht="18" customHeight="1">
      <c r="B4" s="823"/>
      <c r="C4" s="824"/>
      <c r="D4" s="824"/>
      <c r="E4" s="824"/>
      <c r="F4" s="825"/>
      <c r="G4" s="1246"/>
      <c r="H4" s="1247"/>
      <c r="I4" s="1247"/>
      <c r="J4" s="1247"/>
      <c r="K4" s="1247"/>
      <c r="L4" s="1247"/>
      <c r="M4" s="1247"/>
      <c r="N4" s="1247"/>
      <c r="O4" s="1247"/>
      <c r="P4" s="1247"/>
      <c r="Q4" s="1247"/>
      <c r="R4" s="1247"/>
      <c r="S4" s="1247"/>
      <c r="T4" s="1247"/>
      <c r="U4" s="1247"/>
      <c r="V4" s="1247"/>
      <c r="W4" s="1247"/>
      <c r="X4" s="1247"/>
      <c r="Y4" s="1247"/>
      <c r="Z4" s="1247"/>
      <c r="AA4" s="1247"/>
      <c r="AB4" s="1247"/>
      <c r="AC4" s="1247"/>
      <c r="AD4" s="1247"/>
      <c r="AE4" s="1247"/>
      <c r="AF4" s="1247"/>
      <c r="AG4" s="1247"/>
      <c r="AH4" s="1247"/>
      <c r="AI4" s="1247"/>
      <c r="AJ4" s="1247"/>
      <c r="AK4" s="1247"/>
      <c r="AL4" s="1247"/>
      <c r="AM4" s="1247"/>
      <c r="AN4" s="1247"/>
      <c r="AO4" s="1247"/>
      <c r="AP4" s="1247"/>
      <c r="AQ4" s="1247"/>
      <c r="AR4" s="1247"/>
      <c r="AS4" s="1247"/>
      <c r="AT4" s="1247"/>
      <c r="AU4" s="1247"/>
      <c r="AV4" s="1247"/>
      <c r="AW4" s="1247"/>
      <c r="AX4" s="1247"/>
      <c r="AY4" s="1247"/>
      <c r="AZ4" s="1247"/>
      <c r="BA4" s="1247"/>
      <c r="BB4" s="1247"/>
      <c r="BC4" s="1247"/>
      <c r="BD4" s="1247"/>
      <c r="BE4" s="1247"/>
      <c r="BF4" s="1247"/>
      <c r="BG4" s="1247"/>
      <c r="BH4" s="1247"/>
      <c r="BI4" s="1247"/>
      <c r="BJ4" s="1247"/>
      <c r="BK4" s="1247"/>
      <c r="BL4" s="1247"/>
      <c r="BM4" s="1247"/>
      <c r="BN4" s="1247"/>
      <c r="BO4" s="1247"/>
      <c r="BP4" s="1247"/>
      <c r="BQ4" s="1247"/>
      <c r="BR4" s="1247"/>
      <c r="BS4" s="1247"/>
      <c r="BT4" s="1247"/>
      <c r="BU4" s="1247"/>
      <c r="BV4" s="1247"/>
      <c r="BW4" s="1247"/>
      <c r="BX4" s="1247"/>
      <c r="BY4" s="1247"/>
      <c r="BZ4" s="1247"/>
      <c r="CA4" s="1247"/>
      <c r="CB4" s="1247"/>
      <c r="CC4" s="1247"/>
      <c r="CD4" s="1247"/>
      <c r="CE4" s="1247"/>
      <c r="CF4" s="1247"/>
      <c r="CG4" s="1247"/>
      <c r="CH4" s="1247"/>
      <c r="CI4" s="1247"/>
      <c r="CJ4" s="1247"/>
      <c r="CK4" s="1247"/>
      <c r="CL4" s="1247"/>
      <c r="CM4" s="1247"/>
      <c r="CN4" s="1247"/>
      <c r="CO4" s="1247"/>
      <c r="CP4" s="1247"/>
      <c r="CQ4" s="1247"/>
      <c r="CR4" s="1247"/>
      <c r="CS4" s="1247"/>
      <c r="CT4" s="1247"/>
      <c r="CU4" s="1247"/>
      <c r="CV4" s="1247"/>
      <c r="CW4" s="1247"/>
      <c r="CX4" s="1247"/>
      <c r="CY4" s="1247"/>
      <c r="CZ4" s="1247"/>
      <c r="DA4" s="1247"/>
      <c r="DB4" s="1247"/>
      <c r="DC4" s="1247"/>
      <c r="DD4" s="1247"/>
      <c r="DE4" s="1247"/>
      <c r="DF4" s="1247"/>
      <c r="DG4" s="1247"/>
      <c r="DH4" s="1247"/>
      <c r="DI4" s="1247"/>
      <c r="DJ4" s="1247"/>
      <c r="DK4" s="1247"/>
      <c r="DL4" s="1247"/>
      <c r="DM4" s="1247"/>
      <c r="DN4" s="1247"/>
      <c r="DO4" s="1247"/>
      <c r="DP4" s="1247"/>
      <c r="DQ4" s="1247"/>
      <c r="DR4" s="1247"/>
      <c r="DS4" s="1247"/>
      <c r="DT4" s="1247"/>
      <c r="DU4" s="1247"/>
      <c r="DV4" s="1247"/>
      <c r="DW4" s="1247"/>
      <c r="DX4" s="1247"/>
      <c r="DY4" s="1247"/>
      <c r="DZ4" s="1247"/>
      <c r="EA4" s="1247"/>
      <c r="EB4" s="1247"/>
      <c r="EC4" s="1247"/>
      <c r="ED4" s="1247"/>
      <c r="EE4" s="1247"/>
      <c r="EF4" s="1247"/>
      <c r="EG4" s="1247"/>
      <c r="EH4" s="1247"/>
      <c r="EI4" s="1247"/>
      <c r="EJ4" s="826" t="s">
        <v>106</v>
      </c>
      <c r="EK4" s="827"/>
      <c r="EL4" s="827" t="s">
        <v>3</v>
      </c>
      <c r="EM4" s="29"/>
      <c r="EN4" s="29"/>
      <c r="EO4" s="29"/>
      <c r="EP4" s="29"/>
      <c r="EQ4" s="29"/>
      <c r="ER4" s="29"/>
      <c r="ES4" s="828"/>
      <c r="FA4" s="723">
        <v>2020</v>
      </c>
    </row>
    <row r="5" spans="2:157" ht="18" customHeight="1">
      <c r="B5" s="1365" t="s">
        <v>539</v>
      </c>
      <c r="C5" s="1366"/>
      <c r="D5" s="1366"/>
      <c r="E5" s="1366"/>
      <c r="F5" s="1367"/>
      <c r="G5" s="1243" t="s">
        <v>628</v>
      </c>
      <c r="H5" s="1244"/>
      <c r="I5" s="1244"/>
      <c r="J5" s="1244"/>
      <c r="K5" s="1244"/>
      <c r="L5" s="1244"/>
      <c r="M5" s="1244"/>
      <c r="N5" s="1244"/>
      <c r="O5" s="1244"/>
      <c r="P5" s="1244"/>
      <c r="Q5" s="1244"/>
      <c r="R5" s="1244"/>
      <c r="S5" s="1244"/>
      <c r="T5" s="1244"/>
      <c r="U5" s="1244"/>
      <c r="V5" s="1244"/>
      <c r="W5" s="1244"/>
      <c r="X5" s="1244"/>
      <c r="Y5" s="1244"/>
      <c r="Z5" s="1244"/>
      <c r="AA5" s="1244"/>
      <c r="AB5" s="1244"/>
      <c r="AC5" s="1244"/>
      <c r="AD5" s="1244"/>
      <c r="AE5" s="1244"/>
      <c r="AF5" s="1244"/>
      <c r="AG5" s="1244"/>
      <c r="AH5" s="1244"/>
      <c r="AI5" s="1244"/>
      <c r="AJ5" s="1244"/>
      <c r="AK5" s="1244"/>
      <c r="AL5" s="1244"/>
      <c r="AM5" s="1244"/>
      <c r="AN5" s="1244"/>
      <c r="AO5" s="1244"/>
      <c r="AP5" s="1244"/>
      <c r="AQ5" s="1244"/>
      <c r="AR5" s="1244"/>
      <c r="AS5" s="1244"/>
      <c r="AT5" s="1244"/>
      <c r="AU5" s="1244"/>
      <c r="AV5" s="1244"/>
      <c r="AW5" s="1244"/>
      <c r="AX5" s="1244"/>
      <c r="AY5" s="1244"/>
      <c r="AZ5" s="1244"/>
      <c r="BA5" s="1244"/>
      <c r="BB5" s="1244"/>
      <c r="BC5" s="1244"/>
      <c r="BD5" s="1244"/>
      <c r="BE5" s="1244"/>
      <c r="BF5" s="1244"/>
      <c r="BG5" s="1244"/>
      <c r="BH5" s="1244"/>
      <c r="BI5" s="1244"/>
      <c r="BJ5" s="1244"/>
      <c r="BK5" s="1244"/>
      <c r="BL5" s="1244"/>
      <c r="BM5" s="1244"/>
      <c r="BN5" s="1244"/>
      <c r="BO5" s="1244"/>
      <c r="BP5" s="1244"/>
      <c r="BQ5" s="1244"/>
      <c r="BR5" s="1244"/>
      <c r="BS5" s="1244"/>
      <c r="BT5" s="1244"/>
      <c r="BU5" s="1244"/>
      <c r="BV5" s="1244"/>
      <c r="BW5" s="1244"/>
      <c r="BX5" s="1244"/>
      <c r="BY5" s="1244"/>
      <c r="BZ5" s="1244"/>
      <c r="CA5" s="1244"/>
      <c r="CB5" s="1244"/>
      <c r="CC5" s="1244"/>
      <c r="CD5" s="1244"/>
      <c r="CE5" s="1244"/>
      <c r="CF5" s="1244"/>
      <c r="CG5" s="1244"/>
      <c r="CH5" s="1244"/>
      <c r="CI5" s="1244"/>
      <c r="CJ5" s="1244"/>
      <c r="CK5" s="1244"/>
      <c r="CL5" s="1244"/>
      <c r="CM5" s="1244"/>
      <c r="CN5" s="1244"/>
      <c r="CO5" s="1244"/>
      <c r="CP5" s="1244"/>
      <c r="CQ5" s="1244"/>
      <c r="CR5" s="1244"/>
      <c r="CS5" s="1244"/>
      <c r="CT5" s="1244"/>
      <c r="CU5" s="1244"/>
      <c r="CV5" s="1244"/>
      <c r="CW5" s="1244"/>
      <c r="CX5" s="1244"/>
      <c r="CY5" s="1244"/>
      <c r="CZ5" s="1244"/>
      <c r="DA5" s="1244"/>
      <c r="DB5" s="1244"/>
      <c r="DC5" s="1244"/>
      <c r="DD5" s="1244"/>
      <c r="DE5" s="1244"/>
      <c r="DF5" s="1244"/>
      <c r="DG5" s="1244"/>
      <c r="DH5" s="1244"/>
      <c r="DI5" s="1244"/>
      <c r="DJ5" s="1244"/>
      <c r="DK5" s="1244"/>
      <c r="DL5" s="1244"/>
      <c r="DM5" s="1244"/>
      <c r="DN5" s="1244"/>
      <c r="DO5" s="1244"/>
      <c r="DP5" s="1244"/>
      <c r="DQ5" s="1244"/>
      <c r="DR5" s="1244"/>
      <c r="DS5" s="1244"/>
      <c r="DT5" s="1244"/>
      <c r="DU5" s="1244"/>
      <c r="DV5" s="1244"/>
      <c r="DW5" s="1244"/>
      <c r="DX5" s="1244"/>
      <c r="DY5" s="1244"/>
      <c r="DZ5" s="1244"/>
      <c r="EA5" s="1244"/>
      <c r="EB5" s="1244"/>
      <c r="EC5" s="1244"/>
      <c r="ED5" s="1244"/>
      <c r="EE5" s="1244"/>
      <c r="EF5" s="1244"/>
      <c r="EG5" s="1244"/>
      <c r="EH5" s="1244"/>
      <c r="EI5" s="1244"/>
      <c r="EJ5" s="826" t="s">
        <v>541</v>
      </c>
      <c r="EK5" s="827"/>
      <c r="EL5" s="827" t="s">
        <v>3</v>
      </c>
      <c r="EM5" s="29"/>
      <c r="EN5" s="29"/>
      <c r="EO5" s="29"/>
      <c r="EP5" s="29"/>
      <c r="EQ5" s="29"/>
      <c r="ER5" s="29"/>
      <c r="ES5" s="828"/>
      <c r="FA5" s="723">
        <v>1</v>
      </c>
    </row>
    <row r="6" spans="2:157" ht="18" customHeight="1">
      <c r="B6" s="1368"/>
      <c r="C6" s="1369"/>
      <c r="D6" s="1369"/>
      <c r="E6" s="1369"/>
      <c r="F6" s="1370"/>
      <c r="G6" s="1246" t="s">
        <v>629</v>
      </c>
      <c r="H6" s="1247"/>
      <c r="I6" s="1247"/>
      <c r="J6" s="1247"/>
      <c r="K6" s="1247"/>
      <c r="L6" s="1247"/>
      <c r="M6" s="1247"/>
      <c r="N6" s="1247"/>
      <c r="O6" s="1247"/>
      <c r="P6" s="1247"/>
      <c r="Q6" s="1247"/>
      <c r="R6" s="1247"/>
      <c r="S6" s="1247"/>
      <c r="T6" s="1247"/>
      <c r="U6" s="1247"/>
      <c r="V6" s="1247"/>
      <c r="W6" s="1247"/>
      <c r="X6" s="1247"/>
      <c r="Y6" s="1247"/>
      <c r="Z6" s="1247"/>
      <c r="AA6" s="1247"/>
      <c r="AB6" s="1247"/>
      <c r="AC6" s="1247"/>
      <c r="AD6" s="1247"/>
      <c r="AE6" s="1247"/>
      <c r="AF6" s="1247"/>
      <c r="AG6" s="1247"/>
      <c r="AH6" s="1247"/>
      <c r="AI6" s="1247"/>
      <c r="AJ6" s="1247"/>
      <c r="AK6" s="1247"/>
      <c r="AL6" s="1247"/>
      <c r="AM6" s="1247"/>
      <c r="AN6" s="1247"/>
      <c r="AO6" s="1247"/>
      <c r="AP6" s="1247"/>
      <c r="AQ6" s="1247"/>
      <c r="AR6" s="1247"/>
      <c r="AS6" s="1247"/>
      <c r="AT6" s="1247"/>
      <c r="AU6" s="1247"/>
      <c r="AV6" s="1247"/>
      <c r="AW6" s="1247"/>
      <c r="AX6" s="1247"/>
      <c r="AY6" s="1247"/>
      <c r="AZ6" s="1247"/>
      <c r="BA6" s="1247"/>
      <c r="BB6" s="1247"/>
      <c r="BC6" s="1247"/>
      <c r="BD6" s="1247"/>
      <c r="BE6" s="1247"/>
      <c r="BF6" s="1247"/>
      <c r="BG6" s="1247"/>
      <c r="BH6" s="1247"/>
      <c r="BI6" s="1247"/>
      <c r="BJ6" s="1247"/>
      <c r="BK6" s="1247"/>
      <c r="BL6" s="1247"/>
      <c r="BM6" s="1247"/>
      <c r="BN6" s="1247"/>
      <c r="BO6" s="1247"/>
      <c r="BP6" s="1247"/>
      <c r="BQ6" s="1247"/>
      <c r="BR6" s="1247"/>
      <c r="BS6" s="1247"/>
      <c r="BT6" s="1247"/>
      <c r="BU6" s="1247"/>
      <c r="BV6" s="1247"/>
      <c r="BW6" s="1247"/>
      <c r="BX6" s="1247"/>
      <c r="BY6" s="1247"/>
      <c r="BZ6" s="1247"/>
      <c r="CA6" s="1247"/>
      <c r="CB6" s="1247"/>
      <c r="CC6" s="1247"/>
      <c r="CD6" s="1247"/>
      <c r="CE6" s="1247"/>
      <c r="CF6" s="1247"/>
      <c r="CG6" s="1247"/>
      <c r="CH6" s="1247"/>
      <c r="CI6" s="1247"/>
      <c r="CJ6" s="1247"/>
      <c r="CK6" s="1247"/>
      <c r="CL6" s="1247"/>
      <c r="CM6" s="1247"/>
      <c r="CN6" s="1247"/>
      <c r="CO6" s="1247"/>
      <c r="CP6" s="1247"/>
      <c r="CQ6" s="1247"/>
      <c r="CR6" s="1247"/>
      <c r="CS6" s="1247"/>
      <c r="CT6" s="1247"/>
      <c r="CU6" s="1247"/>
      <c r="CV6" s="1247"/>
      <c r="CW6" s="1247"/>
      <c r="CX6" s="1247"/>
      <c r="CY6" s="1247"/>
      <c r="CZ6" s="1247"/>
      <c r="DA6" s="1247"/>
      <c r="DB6" s="1247"/>
      <c r="DC6" s="1247"/>
      <c r="DD6" s="1247"/>
      <c r="DE6" s="1247"/>
      <c r="DF6" s="1247"/>
      <c r="DG6" s="1247"/>
      <c r="DH6" s="1247"/>
      <c r="DI6" s="1247"/>
      <c r="DJ6" s="1247"/>
      <c r="DK6" s="1247"/>
      <c r="DL6" s="1247"/>
      <c r="DM6" s="1247"/>
      <c r="DN6" s="1247"/>
      <c r="DO6" s="1247"/>
      <c r="DP6" s="1247"/>
      <c r="DQ6" s="1247"/>
      <c r="DR6" s="1247"/>
      <c r="DS6" s="1247"/>
      <c r="DT6" s="1247"/>
      <c r="DU6" s="1247"/>
      <c r="DV6" s="1247"/>
      <c r="DW6" s="1247"/>
      <c r="DX6" s="1247"/>
      <c r="DY6" s="1247"/>
      <c r="DZ6" s="1247"/>
      <c r="EA6" s="1247"/>
      <c r="EB6" s="1247"/>
      <c r="EC6" s="1247"/>
      <c r="ED6" s="1247"/>
      <c r="EE6" s="1247"/>
      <c r="EF6" s="1247"/>
      <c r="EG6" s="1247"/>
      <c r="EH6" s="1247"/>
      <c r="EI6" s="1247"/>
      <c r="EJ6" s="829"/>
      <c r="EK6" s="824"/>
      <c r="EL6" s="824"/>
      <c r="EM6" s="824"/>
      <c r="EN6" s="824"/>
      <c r="EO6" s="824"/>
      <c r="EP6" s="824"/>
      <c r="EQ6" s="824"/>
      <c r="ER6" s="824"/>
      <c r="ES6" s="830"/>
    </row>
    <row r="7" spans="2:157" ht="15" customHeight="1">
      <c r="B7" s="1371" t="s">
        <v>112</v>
      </c>
      <c r="C7" s="831"/>
      <c r="D7" s="832"/>
      <c r="E7" s="832"/>
      <c r="F7" s="833"/>
      <c r="G7" s="1374" t="s">
        <v>114</v>
      </c>
      <c r="H7" s="1375"/>
      <c r="I7" s="1376"/>
      <c r="J7" s="1381">
        <v>2019</v>
      </c>
      <c r="K7" s="1382"/>
      <c r="L7" s="1382"/>
      <c r="M7" s="1382"/>
      <c r="N7" s="1382"/>
      <c r="O7" s="1382"/>
      <c r="P7" s="1382"/>
      <c r="Q7" s="1382"/>
      <c r="R7" s="1382"/>
      <c r="S7" s="1383"/>
      <c r="T7" s="1334" t="s">
        <v>282</v>
      </c>
      <c r="U7" s="1335"/>
      <c r="V7" s="1335"/>
      <c r="W7" s="1335"/>
      <c r="X7" s="1335"/>
      <c r="Y7" s="1335"/>
      <c r="Z7" s="1335"/>
      <c r="AA7" s="1335"/>
      <c r="AB7" s="1335"/>
      <c r="AC7" s="1335"/>
      <c r="AD7" s="1335"/>
      <c r="AE7" s="1335"/>
      <c r="AF7" s="1335"/>
      <c r="AG7" s="1335"/>
      <c r="AH7" s="1335"/>
      <c r="AI7" s="1335"/>
      <c r="AJ7" s="1335"/>
      <c r="AK7" s="1335"/>
      <c r="AL7" s="1335"/>
      <c r="AM7" s="1335"/>
      <c r="AN7" s="1335"/>
      <c r="AO7" s="1335"/>
      <c r="AP7" s="1335"/>
      <c r="AQ7" s="1335"/>
      <c r="AR7" s="1335"/>
      <c r="AS7" s="1335"/>
      <c r="AT7" s="1335"/>
      <c r="AU7" s="1335"/>
      <c r="AV7" s="1335"/>
      <c r="AW7" s="1335"/>
      <c r="AX7" s="1335"/>
      <c r="AY7" s="1335"/>
      <c r="AZ7" s="1335"/>
      <c r="BA7" s="1335"/>
      <c r="BB7" s="1335"/>
      <c r="BC7" s="1335"/>
      <c r="BD7" s="1335"/>
      <c r="BE7" s="1335"/>
      <c r="BF7" s="1335"/>
      <c r="BG7" s="1335"/>
      <c r="BH7" s="1335"/>
      <c r="BI7" s="1335"/>
      <c r="BJ7" s="1335"/>
      <c r="BK7" s="1335"/>
      <c r="BL7" s="1335"/>
      <c r="BM7" s="1335"/>
      <c r="BN7" s="1335"/>
      <c r="BO7" s="1335"/>
      <c r="BP7" s="1335"/>
      <c r="BQ7" s="1335"/>
      <c r="BR7" s="1335"/>
      <c r="BS7" s="1335"/>
      <c r="BT7" s="1335"/>
      <c r="BU7" s="1335"/>
      <c r="BV7" s="1335"/>
      <c r="BW7" s="1335"/>
      <c r="BX7" s="1335"/>
      <c r="BY7" s="1335"/>
      <c r="BZ7" s="1335"/>
      <c r="CA7" s="1335"/>
      <c r="CB7" s="1335"/>
      <c r="CC7" s="1335"/>
      <c r="CD7" s="1335"/>
      <c r="CE7" s="1335"/>
      <c r="CF7" s="1335"/>
      <c r="CG7" s="1335"/>
      <c r="CH7" s="1335"/>
      <c r="CI7" s="1335"/>
      <c r="CJ7" s="1335"/>
      <c r="CK7" s="1335"/>
      <c r="CL7" s="1335"/>
      <c r="CM7" s="1335"/>
      <c r="CN7" s="1335"/>
      <c r="CO7" s="1335"/>
      <c r="CP7" s="1335"/>
      <c r="CQ7" s="1335"/>
      <c r="CR7" s="1335"/>
      <c r="CS7" s="1335"/>
      <c r="CT7" s="1335"/>
      <c r="CU7" s="1335"/>
      <c r="CV7" s="1335"/>
      <c r="CW7" s="1335"/>
      <c r="CX7" s="1335"/>
      <c r="CY7" s="1335"/>
      <c r="CZ7" s="1335"/>
      <c r="DA7" s="1335"/>
      <c r="DB7" s="1335"/>
      <c r="DC7" s="1335"/>
      <c r="DD7" s="1335"/>
      <c r="DE7" s="1335"/>
      <c r="DF7" s="1335"/>
      <c r="DG7" s="1335"/>
      <c r="DH7" s="1335"/>
      <c r="DI7" s="1335"/>
      <c r="DJ7" s="1335"/>
      <c r="DK7" s="1335"/>
      <c r="DL7" s="1335"/>
      <c r="DM7" s="1335"/>
      <c r="DN7" s="1335"/>
      <c r="DO7" s="1335"/>
      <c r="DP7" s="1335"/>
      <c r="DQ7" s="1335"/>
      <c r="DR7" s="1335"/>
      <c r="DS7" s="1335"/>
      <c r="DT7" s="1335"/>
      <c r="DU7" s="1335"/>
      <c r="DV7" s="1335"/>
      <c r="DW7" s="1335"/>
      <c r="DX7" s="1335"/>
      <c r="DY7" s="1335"/>
      <c r="DZ7" s="1335"/>
      <c r="EA7" s="1335"/>
      <c r="EB7" s="1335"/>
      <c r="EC7" s="1335"/>
      <c r="ED7" s="1335"/>
      <c r="EE7" s="1335"/>
      <c r="EF7" s="1335"/>
      <c r="EG7" s="1335"/>
      <c r="EH7" s="1335"/>
      <c r="EI7" s="1335"/>
      <c r="EJ7" s="1356" t="s">
        <v>630</v>
      </c>
      <c r="EK7" s="1387"/>
      <c r="EL7" s="1387"/>
      <c r="EM7" s="1387"/>
      <c r="EN7" s="1387"/>
      <c r="EO7" s="1387"/>
      <c r="EP7" s="1387"/>
      <c r="EQ7" s="1387"/>
      <c r="ER7" s="1387"/>
      <c r="ES7" s="1388"/>
    </row>
    <row r="8" spans="2:157" ht="15" customHeight="1">
      <c r="B8" s="1372"/>
      <c r="C8" s="1394" t="s">
        <v>631</v>
      </c>
      <c r="D8" s="1395"/>
      <c r="E8" s="1395"/>
      <c r="F8" s="1396"/>
      <c r="G8" s="1377"/>
      <c r="H8" s="1325"/>
      <c r="I8" s="1326"/>
      <c r="J8" s="1384"/>
      <c r="K8" s="1385"/>
      <c r="L8" s="1385"/>
      <c r="M8" s="1385"/>
      <c r="N8" s="1385"/>
      <c r="O8" s="1385"/>
      <c r="P8" s="1385"/>
      <c r="Q8" s="1385"/>
      <c r="R8" s="1385"/>
      <c r="S8" s="1386"/>
      <c r="T8" s="1327">
        <f>DATE($J$7+1,$FA$5,1)</f>
        <v>43831</v>
      </c>
      <c r="U8" s="1328"/>
      <c r="V8" s="1328"/>
      <c r="W8" s="1328"/>
      <c r="X8" s="1328"/>
      <c r="Y8" s="1328"/>
      <c r="Z8" s="1328"/>
      <c r="AA8" s="1328"/>
      <c r="AB8" s="1328"/>
      <c r="AC8" s="1329"/>
      <c r="AD8" s="1327">
        <f>DATE(YEAR(T8),MONTH(T8)+1,1)</f>
        <v>43862</v>
      </c>
      <c r="AE8" s="1328"/>
      <c r="AF8" s="1328"/>
      <c r="AG8" s="1328"/>
      <c r="AH8" s="1328"/>
      <c r="AI8" s="1328"/>
      <c r="AJ8" s="1328"/>
      <c r="AK8" s="1328"/>
      <c r="AL8" s="1328"/>
      <c r="AM8" s="1329"/>
      <c r="AN8" s="1327">
        <f>DATE(YEAR(AD8),MONTH(AD8)+1,1)</f>
        <v>43891</v>
      </c>
      <c r="AO8" s="1328"/>
      <c r="AP8" s="1328"/>
      <c r="AQ8" s="1328"/>
      <c r="AR8" s="1328"/>
      <c r="AS8" s="1328"/>
      <c r="AT8" s="1328"/>
      <c r="AU8" s="1328"/>
      <c r="AV8" s="1328"/>
      <c r="AW8" s="1329"/>
      <c r="AX8" s="1327">
        <f>DATE(YEAR(AN8),MONTH(AN8)+1,1)</f>
        <v>43922</v>
      </c>
      <c r="AY8" s="1328"/>
      <c r="AZ8" s="1328"/>
      <c r="BA8" s="1328"/>
      <c r="BB8" s="1328"/>
      <c r="BC8" s="1328"/>
      <c r="BD8" s="1328"/>
      <c r="BE8" s="1328"/>
      <c r="BF8" s="1328"/>
      <c r="BG8" s="1329"/>
      <c r="BH8" s="1327">
        <f>DATE(YEAR(AX8),MONTH(AX8)+1,1)</f>
        <v>43952</v>
      </c>
      <c r="BI8" s="1328"/>
      <c r="BJ8" s="1328"/>
      <c r="BK8" s="1328"/>
      <c r="BL8" s="1328"/>
      <c r="BM8" s="1328"/>
      <c r="BN8" s="1328"/>
      <c r="BO8" s="1328"/>
      <c r="BP8" s="1328"/>
      <c r="BQ8" s="1329"/>
      <c r="BR8" s="1327">
        <f t="shared" ref="BR8" si="0">DATE(YEAR(BH8),MONTH(BH8)+1,1)</f>
        <v>43983</v>
      </c>
      <c r="BS8" s="1328"/>
      <c r="BT8" s="1328"/>
      <c r="BU8" s="1328"/>
      <c r="BV8" s="1328"/>
      <c r="BW8" s="1328"/>
      <c r="BX8" s="1328"/>
      <c r="BY8" s="1328"/>
      <c r="BZ8" s="1328"/>
      <c r="CA8" s="1329"/>
      <c r="CB8" s="1327">
        <f t="shared" ref="CB8" si="1">DATE(YEAR(BR8),MONTH(BR8)+1,1)</f>
        <v>44013</v>
      </c>
      <c r="CC8" s="1328"/>
      <c r="CD8" s="1328"/>
      <c r="CE8" s="1328"/>
      <c r="CF8" s="1328"/>
      <c r="CG8" s="1328"/>
      <c r="CH8" s="1328"/>
      <c r="CI8" s="1328"/>
      <c r="CJ8" s="1328"/>
      <c r="CK8" s="1329"/>
      <c r="CL8" s="1327">
        <f t="shared" ref="CL8" si="2">DATE(YEAR(CB8),MONTH(CB8)+1,1)</f>
        <v>44044</v>
      </c>
      <c r="CM8" s="1328"/>
      <c r="CN8" s="1328"/>
      <c r="CO8" s="1328"/>
      <c r="CP8" s="1328"/>
      <c r="CQ8" s="1328"/>
      <c r="CR8" s="1328"/>
      <c r="CS8" s="1328"/>
      <c r="CT8" s="1328"/>
      <c r="CU8" s="1329"/>
      <c r="CV8" s="1327">
        <f t="shared" ref="CV8" si="3">DATE(YEAR(CL8),MONTH(CL8)+1,1)</f>
        <v>44075</v>
      </c>
      <c r="CW8" s="1328"/>
      <c r="CX8" s="1328"/>
      <c r="CY8" s="1328"/>
      <c r="CZ8" s="1328"/>
      <c r="DA8" s="1328"/>
      <c r="DB8" s="1328"/>
      <c r="DC8" s="1328"/>
      <c r="DD8" s="1328"/>
      <c r="DE8" s="1329"/>
      <c r="DF8" s="1327">
        <f t="shared" ref="DF8" si="4">DATE(YEAR(CV8),MONTH(CV8)+1,1)</f>
        <v>44105</v>
      </c>
      <c r="DG8" s="1328"/>
      <c r="DH8" s="1328"/>
      <c r="DI8" s="1328"/>
      <c r="DJ8" s="1328"/>
      <c r="DK8" s="1328"/>
      <c r="DL8" s="1328"/>
      <c r="DM8" s="1328"/>
      <c r="DN8" s="1328"/>
      <c r="DO8" s="1329"/>
      <c r="DP8" s="1327">
        <f t="shared" ref="DP8" si="5">DATE(YEAR(DF8),MONTH(DF8)+1,1)</f>
        <v>44136</v>
      </c>
      <c r="DQ8" s="1328"/>
      <c r="DR8" s="1328"/>
      <c r="DS8" s="1328"/>
      <c r="DT8" s="1328"/>
      <c r="DU8" s="1328"/>
      <c r="DV8" s="1328"/>
      <c r="DW8" s="1328"/>
      <c r="DX8" s="1328"/>
      <c r="DY8" s="1329"/>
      <c r="DZ8" s="1327">
        <f>DATE(YEAR(DP8),MONTH(DP8)+1,1)</f>
        <v>44166</v>
      </c>
      <c r="EA8" s="1328"/>
      <c r="EB8" s="1328"/>
      <c r="EC8" s="1328"/>
      <c r="ED8" s="1328"/>
      <c r="EE8" s="1328"/>
      <c r="EF8" s="1328"/>
      <c r="EG8" s="1328"/>
      <c r="EH8" s="1328"/>
      <c r="EI8" s="1329"/>
      <c r="EJ8" s="1353"/>
      <c r="EK8" s="1389"/>
      <c r="EL8" s="1389"/>
      <c r="EM8" s="1389"/>
      <c r="EN8" s="1389"/>
      <c r="EO8" s="1389"/>
      <c r="EP8" s="1389"/>
      <c r="EQ8" s="1389"/>
      <c r="ER8" s="1389"/>
      <c r="ES8" s="1390"/>
    </row>
    <row r="9" spans="2:157" ht="15" customHeight="1">
      <c r="B9" s="1372"/>
      <c r="C9" s="1394"/>
      <c r="D9" s="1395"/>
      <c r="E9" s="1395"/>
      <c r="F9" s="1396"/>
      <c r="G9" s="1377"/>
      <c r="H9" s="1325"/>
      <c r="I9" s="1326"/>
      <c r="J9" s="1330" t="s">
        <v>364</v>
      </c>
      <c r="K9" s="1330"/>
      <c r="L9" s="1331"/>
      <c r="M9" s="1334" t="s">
        <v>632</v>
      </c>
      <c r="N9" s="1335"/>
      <c r="O9" s="1335"/>
      <c r="P9" s="1336"/>
      <c r="Q9" s="1337" t="s">
        <v>389</v>
      </c>
      <c r="R9" s="1330"/>
      <c r="S9" s="1331"/>
      <c r="T9" s="1330" t="s">
        <v>364</v>
      </c>
      <c r="U9" s="1330"/>
      <c r="V9" s="1331"/>
      <c r="W9" s="1334" t="s">
        <v>632</v>
      </c>
      <c r="X9" s="1335"/>
      <c r="Y9" s="1335"/>
      <c r="Z9" s="1336"/>
      <c r="AA9" s="1337" t="s">
        <v>389</v>
      </c>
      <c r="AB9" s="1330"/>
      <c r="AC9" s="1331"/>
      <c r="AD9" s="1330" t="s">
        <v>364</v>
      </c>
      <c r="AE9" s="1330"/>
      <c r="AF9" s="1331"/>
      <c r="AG9" s="1334" t="s">
        <v>632</v>
      </c>
      <c r="AH9" s="1335"/>
      <c r="AI9" s="1335"/>
      <c r="AJ9" s="1336"/>
      <c r="AK9" s="1337" t="s">
        <v>389</v>
      </c>
      <c r="AL9" s="1330"/>
      <c r="AM9" s="1331"/>
      <c r="AN9" s="1330" t="s">
        <v>364</v>
      </c>
      <c r="AO9" s="1330"/>
      <c r="AP9" s="1331"/>
      <c r="AQ9" s="1334" t="s">
        <v>632</v>
      </c>
      <c r="AR9" s="1335"/>
      <c r="AS9" s="1335"/>
      <c r="AT9" s="1336"/>
      <c r="AU9" s="1337" t="s">
        <v>389</v>
      </c>
      <c r="AV9" s="1330"/>
      <c r="AW9" s="1331"/>
      <c r="AX9" s="1330" t="s">
        <v>364</v>
      </c>
      <c r="AY9" s="1330"/>
      <c r="AZ9" s="1331"/>
      <c r="BA9" s="1334" t="s">
        <v>632</v>
      </c>
      <c r="BB9" s="1335"/>
      <c r="BC9" s="1335"/>
      <c r="BD9" s="1336"/>
      <c r="BE9" s="1337" t="s">
        <v>389</v>
      </c>
      <c r="BF9" s="1330"/>
      <c r="BG9" s="1331"/>
      <c r="BH9" s="1330" t="s">
        <v>364</v>
      </c>
      <c r="BI9" s="1330"/>
      <c r="BJ9" s="1331"/>
      <c r="BK9" s="1334" t="s">
        <v>632</v>
      </c>
      <c r="BL9" s="1335"/>
      <c r="BM9" s="1335"/>
      <c r="BN9" s="1336"/>
      <c r="BO9" s="1337" t="s">
        <v>389</v>
      </c>
      <c r="BP9" s="1330"/>
      <c r="BQ9" s="1331"/>
      <c r="BR9" s="1330" t="s">
        <v>364</v>
      </c>
      <c r="BS9" s="1330"/>
      <c r="BT9" s="1331"/>
      <c r="BU9" s="1334" t="s">
        <v>632</v>
      </c>
      <c r="BV9" s="1335"/>
      <c r="BW9" s="1335"/>
      <c r="BX9" s="1336"/>
      <c r="BY9" s="1337" t="s">
        <v>389</v>
      </c>
      <c r="BZ9" s="1330"/>
      <c r="CA9" s="1331"/>
      <c r="CB9" s="1330" t="s">
        <v>364</v>
      </c>
      <c r="CC9" s="1330"/>
      <c r="CD9" s="1331"/>
      <c r="CE9" s="1334" t="s">
        <v>632</v>
      </c>
      <c r="CF9" s="1335"/>
      <c r="CG9" s="1335"/>
      <c r="CH9" s="1336"/>
      <c r="CI9" s="1337" t="s">
        <v>389</v>
      </c>
      <c r="CJ9" s="1330"/>
      <c r="CK9" s="1331"/>
      <c r="CL9" s="1330" t="s">
        <v>364</v>
      </c>
      <c r="CM9" s="1330"/>
      <c r="CN9" s="1331"/>
      <c r="CO9" s="1334" t="s">
        <v>632</v>
      </c>
      <c r="CP9" s="1335"/>
      <c r="CQ9" s="1335"/>
      <c r="CR9" s="1336"/>
      <c r="CS9" s="1337" t="s">
        <v>389</v>
      </c>
      <c r="CT9" s="1330"/>
      <c r="CU9" s="1331"/>
      <c r="CV9" s="1330" t="s">
        <v>364</v>
      </c>
      <c r="CW9" s="1330"/>
      <c r="CX9" s="1331"/>
      <c r="CY9" s="1334" t="s">
        <v>632</v>
      </c>
      <c r="CZ9" s="1335"/>
      <c r="DA9" s="1335"/>
      <c r="DB9" s="1336"/>
      <c r="DC9" s="1337" t="s">
        <v>389</v>
      </c>
      <c r="DD9" s="1330"/>
      <c r="DE9" s="1331"/>
      <c r="DF9" s="1330" t="s">
        <v>364</v>
      </c>
      <c r="DG9" s="1330"/>
      <c r="DH9" s="1331"/>
      <c r="DI9" s="1334" t="s">
        <v>632</v>
      </c>
      <c r="DJ9" s="1335"/>
      <c r="DK9" s="1335"/>
      <c r="DL9" s="1336"/>
      <c r="DM9" s="1337" t="s">
        <v>389</v>
      </c>
      <c r="DN9" s="1330"/>
      <c r="DO9" s="1331"/>
      <c r="DP9" s="1330" t="s">
        <v>364</v>
      </c>
      <c r="DQ9" s="1330"/>
      <c r="DR9" s="1331"/>
      <c r="DS9" s="1334" t="s">
        <v>632</v>
      </c>
      <c r="DT9" s="1335"/>
      <c r="DU9" s="1335"/>
      <c r="DV9" s="1336"/>
      <c r="DW9" s="1337" t="s">
        <v>389</v>
      </c>
      <c r="DX9" s="1330"/>
      <c r="DY9" s="1331"/>
      <c r="DZ9" s="1330" t="s">
        <v>364</v>
      </c>
      <c r="EA9" s="1330"/>
      <c r="EB9" s="1331"/>
      <c r="EC9" s="1334" t="s">
        <v>632</v>
      </c>
      <c r="ED9" s="1335"/>
      <c r="EE9" s="1335"/>
      <c r="EF9" s="1336"/>
      <c r="EG9" s="1337" t="s">
        <v>389</v>
      </c>
      <c r="EH9" s="1330"/>
      <c r="EI9" s="1331"/>
      <c r="EJ9" s="1330" t="s">
        <v>364</v>
      </c>
      <c r="EK9" s="1330"/>
      <c r="EL9" s="1331"/>
      <c r="EM9" s="1334" t="s">
        <v>632</v>
      </c>
      <c r="EN9" s="1335"/>
      <c r="EO9" s="1335"/>
      <c r="EP9" s="1336"/>
      <c r="EQ9" s="1337" t="s">
        <v>389</v>
      </c>
      <c r="ER9" s="1330"/>
      <c r="ES9" s="1347"/>
    </row>
    <row r="10" spans="2:157">
      <c r="B10" s="1373"/>
      <c r="C10" s="834"/>
      <c r="D10" s="835"/>
      <c r="E10" s="835"/>
      <c r="F10" s="836"/>
      <c r="G10" s="1378"/>
      <c r="H10" s="1379"/>
      <c r="I10" s="1380"/>
      <c r="J10" s="1332"/>
      <c r="K10" s="1332"/>
      <c r="L10" s="1333"/>
      <c r="M10" s="1334" t="s">
        <v>402</v>
      </c>
      <c r="N10" s="1336"/>
      <c r="O10" s="1334" t="s">
        <v>46</v>
      </c>
      <c r="P10" s="1336"/>
      <c r="Q10" s="1338"/>
      <c r="R10" s="1332"/>
      <c r="S10" s="1333"/>
      <c r="T10" s="1332"/>
      <c r="U10" s="1332"/>
      <c r="V10" s="1333"/>
      <c r="W10" s="1334" t="s">
        <v>402</v>
      </c>
      <c r="X10" s="1336"/>
      <c r="Y10" s="1334" t="s">
        <v>46</v>
      </c>
      <c r="Z10" s="1336"/>
      <c r="AA10" s="1338"/>
      <c r="AB10" s="1332"/>
      <c r="AC10" s="1333"/>
      <c r="AD10" s="1332"/>
      <c r="AE10" s="1332"/>
      <c r="AF10" s="1333"/>
      <c r="AG10" s="1334" t="s">
        <v>402</v>
      </c>
      <c r="AH10" s="1336"/>
      <c r="AI10" s="1334" t="s">
        <v>46</v>
      </c>
      <c r="AJ10" s="1336"/>
      <c r="AK10" s="1338"/>
      <c r="AL10" s="1332"/>
      <c r="AM10" s="1333"/>
      <c r="AN10" s="1332"/>
      <c r="AO10" s="1332"/>
      <c r="AP10" s="1333"/>
      <c r="AQ10" s="1334" t="s">
        <v>402</v>
      </c>
      <c r="AR10" s="1336"/>
      <c r="AS10" s="1334" t="s">
        <v>46</v>
      </c>
      <c r="AT10" s="1336"/>
      <c r="AU10" s="1338"/>
      <c r="AV10" s="1332"/>
      <c r="AW10" s="1333"/>
      <c r="AX10" s="1332"/>
      <c r="AY10" s="1332"/>
      <c r="AZ10" s="1333"/>
      <c r="BA10" s="1334" t="s">
        <v>402</v>
      </c>
      <c r="BB10" s="1336"/>
      <c r="BC10" s="1334" t="s">
        <v>46</v>
      </c>
      <c r="BD10" s="1336"/>
      <c r="BE10" s="1338"/>
      <c r="BF10" s="1332"/>
      <c r="BG10" s="1333"/>
      <c r="BH10" s="1332"/>
      <c r="BI10" s="1332"/>
      <c r="BJ10" s="1333"/>
      <c r="BK10" s="1334" t="s">
        <v>402</v>
      </c>
      <c r="BL10" s="1336"/>
      <c r="BM10" s="1334" t="s">
        <v>46</v>
      </c>
      <c r="BN10" s="1336"/>
      <c r="BO10" s="1338"/>
      <c r="BP10" s="1332"/>
      <c r="BQ10" s="1333"/>
      <c r="BR10" s="1332"/>
      <c r="BS10" s="1332"/>
      <c r="BT10" s="1333"/>
      <c r="BU10" s="1334" t="s">
        <v>402</v>
      </c>
      <c r="BV10" s="1336"/>
      <c r="BW10" s="1334" t="s">
        <v>46</v>
      </c>
      <c r="BX10" s="1336"/>
      <c r="BY10" s="1338"/>
      <c r="BZ10" s="1332"/>
      <c r="CA10" s="1333"/>
      <c r="CB10" s="1332"/>
      <c r="CC10" s="1332"/>
      <c r="CD10" s="1333"/>
      <c r="CE10" s="1334" t="s">
        <v>402</v>
      </c>
      <c r="CF10" s="1336"/>
      <c r="CG10" s="1334" t="s">
        <v>46</v>
      </c>
      <c r="CH10" s="1336"/>
      <c r="CI10" s="1338"/>
      <c r="CJ10" s="1332"/>
      <c r="CK10" s="1333"/>
      <c r="CL10" s="1332"/>
      <c r="CM10" s="1332"/>
      <c r="CN10" s="1333"/>
      <c r="CO10" s="1334" t="s">
        <v>402</v>
      </c>
      <c r="CP10" s="1336"/>
      <c r="CQ10" s="1334" t="s">
        <v>46</v>
      </c>
      <c r="CR10" s="1336"/>
      <c r="CS10" s="1338"/>
      <c r="CT10" s="1332"/>
      <c r="CU10" s="1333"/>
      <c r="CV10" s="1332"/>
      <c r="CW10" s="1332"/>
      <c r="CX10" s="1333"/>
      <c r="CY10" s="1334" t="s">
        <v>402</v>
      </c>
      <c r="CZ10" s="1336"/>
      <c r="DA10" s="1334" t="s">
        <v>46</v>
      </c>
      <c r="DB10" s="1336"/>
      <c r="DC10" s="1338"/>
      <c r="DD10" s="1332"/>
      <c r="DE10" s="1333"/>
      <c r="DF10" s="1332"/>
      <c r="DG10" s="1332"/>
      <c r="DH10" s="1333"/>
      <c r="DI10" s="1334" t="s">
        <v>402</v>
      </c>
      <c r="DJ10" s="1336"/>
      <c r="DK10" s="1334" t="s">
        <v>46</v>
      </c>
      <c r="DL10" s="1336"/>
      <c r="DM10" s="1338"/>
      <c r="DN10" s="1332"/>
      <c r="DO10" s="1333"/>
      <c r="DP10" s="1332"/>
      <c r="DQ10" s="1332"/>
      <c r="DR10" s="1333"/>
      <c r="DS10" s="1334" t="s">
        <v>402</v>
      </c>
      <c r="DT10" s="1336"/>
      <c r="DU10" s="1334" t="s">
        <v>46</v>
      </c>
      <c r="DV10" s="1336"/>
      <c r="DW10" s="1338"/>
      <c r="DX10" s="1332"/>
      <c r="DY10" s="1333"/>
      <c r="DZ10" s="1332"/>
      <c r="EA10" s="1332"/>
      <c r="EB10" s="1333"/>
      <c r="EC10" s="1334" t="s">
        <v>402</v>
      </c>
      <c r="ED10" s="1336"/>
      <c r="EE10" s="1334" t="s">
        <v>46</v>
      </c>
      <c r="EF10" s="1336"/>
      <c r="EG10" s="1338"/>
      <c r="EH10" s="1332"/>
      <c r="EI10" s="1333"/>
      <c r="EJ10" s="1332"/>
      <c r="EK10" s="1332"/>
      <c r="EL10" s="1333"/>
      <c r="EM10" s="1334" t="s">
        <v>402</v>
      </c>
      <c r="EN10" s="1336"/>
      <c r="EO10" s="1334" t="s">
        <v>46</v>
      </c>
      <c r="EP10" s="1336"/>
      <c r="EQ10" s="1338"/>
      <c r="ER10" s="1332"/>
      <c r="ES10" s="1348"/>
    </row>
    <row r="11" spans="2:157" ht="18" customHeight="1">
      <c r="B11" s="1039">
        <v>1</v>
      </c>
      <c r="C11" s="837" t="str">
        <f>RELASI!C3</f>
        <v>ABU NAWAS</v>
      </c>
      <c r="D11" s="838"/>
      <c r="E11" s="838"/>
      <c r="F11" s="839"/>
      <c r="G11" s="840" t="str">
        <f>RELASI!D3</f>
        <v>Simbar</v>
      </c>
      <c r="H11" s="841"/>
      <c r="I11" s="842"/>
      <c r="J11" s="1319">
        <f>SUMIFS(KB[NETTO],KB[RELASI],C11,KB[TYPE],"A",KB[TANGGAL],"&gt;="&amp;DATE($J$7,1,1),KB[TANGGAL],"&lt;"&amp;DATE($J$7+1,1,0))/12</f>
        <v>0</v>
      </c>
      <c r="K11" s="1324"/>
      <c r="L11" s="1320"/>
      <c r="M11" s="1319">
        <f>IFERROR(O11/J11%,0)</f>
        <v>0</v>
      </c>
      <c r="N11" s="1320"/>
      <c r="O11" s="1321">
        <f>SUMIFS(KB[TPOT],KB[RELASI],C11,KB[TYPE],"A",KB[TANGGAL],"&gt;="&amp;DATE($J$7,1,1),KB[TANGGAL],"&lt;"&amp;DATE($J$7+1,1,0))/12</f>
        <v>0</v>
      </c>
      <c r="P11" s="1322"/>
      <c r="Q11" s="1321">
        <f>SUMIFS(KB[NETTO2],KB[RELASI],C11,KB[TYPE],"A",KB[TANGGAL],"&gt;="&amp;DATE($J$7,1,1),KB[TANGGAL],"&lt;"&amp;DATE($J$7+1,1,0))/12</f>
        <v>0</v>
      </c>
      <c r="R11" s="1323"/>
      <c r="S11" s="1322"/>
      <c r="T11" s="1321">
        <f>SUMIFS(KB[NETTO],KB[RELASI],C11,KB[TYPE],"A",KB[TANGGAL],"&gt;="&amp;$T$8,KB[TANGGAL],"&lt;"&amp;DATE(YEAR($T$8),MONTH($T$8)+1,0))</f>
        <v>0</v>
      </c>
      <c r="U11" s="1323"/>
      <c r="V11" s="1322"/>
      <c r="W11" s="1319">
        <f>IFERROR(Y11/T11%,0)</f>
        <v>0</v>
      </c>
      <c r="X11" s="1320"/>
      <c r="Y11" s="1339">
        <f>SUMIFS(KB[TPOT],KB[RELASI],C11,KB[TYPE],"A",KB[TANGGAL],"&gt;="&amp;$T$8,KB[TANGGAL],"&lt;"&amp;DATE(YEAR($T$8),MONTH($T$8)+1,0))</f>
        <v>0</v>
      </c>
      <c r="Z11" s="1340"/>
      <c r="AA11" s="1339">
        <f>SUMIFS(KB[NETTO2],KB[RELASI],C11,KB[TYPE],"A",KB[TANGGAL],"&gt;="&amp;$T$8,KB[TANGGAL],"&lt;"&amp;DATE(YEAR($T$8),MONTH($T$8)+1,0))</f>
        <v>0</v>
      </c>
      <c r="AB11" s="1341"/>
      <c r="AC11" s="1340"/>
      <c r="AD11" s="1321">
        <f>SUMIFS(KB[NETTO],KB[RELASI],C11,KB[TYPE],"A",KB[TANGGAL],"&gt;="&amp;$AD$8,KB[TANGGAL],"&lt;"&amp;DATE(YEAR($AD$8),MONTH($AD$8)+1,0))</f>
        <v>0</v>
      </c>
      <c r="AE11" s="1323"/>
      <c r="AF11" s="1322"/>
      <c r="AG11" s="1321">
        <f>IFERROR(AI11/AD11%,0)</f>
        <v>0</v>
      </c>
      <c r="AH11" s="1322"/>
      <c r="AI11" s="1321">
        <f>SUMIFS(KB[TPOT],KB[RELASI],C11,KB[TYPE],"A",KB[TANGGAL],"&gt;="&amp;$AD$8,KB[TANGGAL],"&lt;"&amp;DATE(YEAR($AD$8),MONTH($AD$8)+1,0))</f>
        <v>0</v>
      </c>
      <c r="AJ11" s="1322"/>
      <c r="AK11" s="1321">
        <f>SUMIFS(KB[NETTO2],KB[RELASI],C11,KB[TYPE],"A",KB[TANGGAL],"&gt;="&amp;$AD$8,KB[TANGGAL],"&lt;"&amp;DATE(YEAR($AD$8),MONTH($AD$8)+1,0))</f>
        <v>0</v>
      </c>
      <c r="AL11" s="1323"/>
      <c r="AM11" s="1322"/>
      <c r="AN11" s="1321">
        <f>SUMIFS(KB[NETTO],KB[RELASI],C11,KB[TYPE],"A",KB[TANGGAL],"&gt;="&amp;$AN$8,KB[TANGGAL],"&lt;"&amp;DATE(YEAR($AN$8),MONTH($AN$8)+1,0))</f>
        <v>0</v>
      </c>
      <c r="AO11" s="1323"/>
      <c r="AP11" s="1322"/>
      <c r="AQ11" s="1321">
        <f>IFERROR(AS11/AN11%,0)</f>
        <v>0</v>
      </c>
      <c r="AR11" s="1322"/>
      <c r="AS11" s="1321">
        <f>SUMIFS(KB[TPOT],KB[RELASI],C11,KB[TYPE],"A",KB[TANGGAL],"&gt;="&amp;$AN$8,KB[TANGGAL],"&lt;"&amp;DATE(YEAR($AN$8),MONTH($AN$8)+1,0))</f>
        <v>0</v>
      </c>
      <c r="AT11" s="1322"/>
      <c r="AU11" s="1321">
        <f>SUMIFS(KB[NETTO2],KB[RELASI],C11,KB[TYPE],"A",KB[TANGGAL],"&gt;="&amp;$AN$8,KB[TANGGAL],"&lt;"&amp;DATE(YEAR($AN$8),MONTH($AN$8)+1,0))</f>
        <v>0</v>
      </c>
      <c r="AV11" s="1323"/>
      <c r="AW11" s="1322"/>
      <c r="AX11" s="1321">
        <f>SUMIFS(KB[NETTO],KB[RELASI],C11,KB[TYPE],"A",KB[TANGGAL],"&gt;="&amp;$AX$8,KB[TANGGAL],"&lt;"&amp;DATE(YEAR($AX$8),MONTH($AX$8)+1,0))</f>
        <v>0</v>
      </c>
      <c r="AY11" s="1323"/>
      <c r="AZ11" s="1322"/>
      <c r="BA11" s="1321">
        <f>IFERROR(BC11/AX11%,0)</f>
        <v>0</v>
      </c>
      <c r="BB11" s="1322"/>
      <c r="BC11" s="1321">
        <f>SUMIFS(KB[TPOT],KB[RELASI],C11,KB[TYPE],"A",KB[TANGGAL],"&gt;="&amp;$AX$8,KB[TANGGAL],"&lt;"&amp;DATE(YEAR($AX$8),MONTH($AX$8)+1,0))</f>
        <v>0</v>
      </c>
      <c r="BD11" s="1322"/>
      <c r="BE11" s="1321">
        <f>SUMIFS(KB[NETTO2],KB[RELASI],C11,KB[TYPE],"A",KB[TANGGAL],"&gt;="&amp;$AX$8,KB[TANGGAL],"&lt;"&amp;DATE(YEAR($AX$8),MONTH($AX$8)+1,0))</f>
        <v>0</v>
      </c>
      <c r="BF11" s="1323"/>
      <c r="BG11" s="1322"/>
      <c r="BH11" s="1321">
        <f>SUMIFS(KB[NETTO],KB[RELASI],C11,KB[TYPE],"A",KB[TANGGAL],"&gt;="&amp;$BH$8,KB[TANGGAL],"&lt;"&amp;DATE(YEAR($BH$8),MONTH($BH$8)+1,0))</f>
        <v>0</v>
      </c>
      <c r="BI11" s="1323"/>
      <c r="BJ11" s="1322"/>
      <c r="BK11" s="1321">
        <f>IFERROR(BM11/BH11%,0)</f>
        <v>0</v>
      </c>
      <c r="BL11" s="1322"/>
      <c r="BM11" s="1321">
        <f>SUMIFS(KB[TPOT],KB[RELASI],C11,KB[TYPE],"A",KB[TANGGAL],"&gt;="&amp;$BH$8,KB[TANGGAL],"&lt;"&amp;DATE(YEAR($BH$8),MONTH($BH$8)+1,0))</f>
        <v>0</v>
      </c>
      <c r="BN11" s="1322"/>
      <c r="BO11" s="1321">
        <f>SUMIFS(KB[NETTO2],KB[RELASI],C11,KB[TYPE],"A",KB[TANGGAL],"&gt;="&amp;$BH$8,KB[TANGGAL],"&lt;"&amp;DATE(YEAR($BH$8),MONTH($BH$8)+1,0))</f>
        <v>0</v>
      </c>
      <c r="BP11" s="1323"/>
      <c r="BQ11" s="1322"/>
      <c r="BR11" s="1321">
        <f>SUMIFS(KB[NETTO],KB[RELASI],C11,KB[TYPE],"A",KB[TANGGAL],"&gt;="&amp;$BR$8,KB[TANGGAL],"&lt;"&amp;DATE(YEAR($BR$8),MONTH($BR$8)+1,0))</f>
        <v>0</v>
      </c>
      <c r="BS11" s="1323"/>
      <c r="BT11" s="1322"/>
      <c r="BU11" s="1321">
        <f>IFERROR(BW11/BR11%,0)</f>
        <v>0</v>
      </c>
      <c r="BV11" s="1322"/>
      <c r="BW11" s="1321">
        <f>SUMIFS(KB[TPOT],KB[RELASI],C11,KB[TYPE],"A",KB[TANGGAL],"&gt;="&amp;$BR$8,KB[TANGGAL],"&lt;"&amp;DATE(YEAR($BR$8),MONTH($BR$8)+1,0))</f>
        <v>0</v>
      </c>
      <c r="BX11" s="1322"/>
      <c r="BY11" s="1321">
        <f>SUMIFS(KB[NETTO2],KB[RELASI],C11,KB[TYPE],"A",KB[TANGGAL],"&gt;="&amp;$BR$8,KB[TANGGAL],"&lt;"&amp;DATE(YEAR($BR$8),MONTH($BR$8)+1,0))</f>
        <v>0</v>
      </c>
      <c r="BZ11" s="1323"/>
      <c r="CA11" s="1322"/>
      <c r="CB11" s="1321">
        <f>SUMIFS(KB[NETTO],KB[RELASI],C11,KB[TYPE],"A",KB[TANGGAL],"&gt;="&amp;$CB$8,KB[TANGGAL],"&lt;"&amp;DATE(YEAR($CB$8),MONTH($CB$8)+1,0))</f>
        <v>0</v>
      </c>
      <c r="CC11" s="1323"/>
      <c r="CD11" s="1322"/>
      <c r="CE11" s="1321">
        <f>IFERROR(CG11/CB11%,0)</f>
        <v>0</v>
      </c>
      <c r="CF11" s="1322"/>
      <c r="CG11" s="1321">
        <f>SUMIFS(KB[TPOT],KB[RELASI],C11,KB[TYPE],"A",KB[TANGGAL],"&gt;="&amp;$CB$8,KB[TANGGAL],"&lt;"&amp;DATE(YEAR($CB$8),MONTH($CB$8)+1,0))</f>
        <v>0</v>
      </c>
      <c r="CH11" s="1322"/>
      <c r="CI11" s="1321">
        <f>SUMIFS(KB[NETTO2],KB[RELASI],C11,KB[TYPE],"A",KB[TANGGAL],"&gt;="&amp;$CB$8,KB[TANGGAL],"&lt;"&amp;DATE(YEAR($CB$8),MONTH($CB$8)+1,0))</f>
        <v>0</v>
      </c>
      <c r="CJ11" s="1323"/>
      <c r="CK11" s="1322"/>
      <c r="CL11" s="1321">
        <f>SUMIFS(KB[NETTO],KB[RELASI],C11,KB[TYPE],"A",KB[TANGGAL],"&gt;="&amp;$CL$8,KB[TANGGAL],"&lt;"&amp;DATE(YEAR($CL$8),MONTH($CL$8)+1,0))</f>
        <v>0</v>
      </c>
      <c r="CM11" s="1323"/>
      <c r="CN11" s="1322"/>
      <c r="CO11" s="1321">
        <f>IFERROR(CQ11/CL11%,0)</f>
        <v>0</v>
      </c>
      <c r="CP11" s="1322"/>
      <c r="CQ11" s="1321">
        <f>SUMIFS(KB[TPOT],KB[RELASI],C11,KB[TYPE],"A",KB[TANGGAL],"&gt;="&amp;$CL$8,KB[TANGGAL],"&lt;"&amp;DATE(YEAR($CL$8),MONTH($CL$8)+1,0))</f>
        <v>0</v>
      </c>
      <c r="CR11" s="1322"/>
      <c r="CS11" s="1321">
        <f>SUMIFS(KB[NETTO2],KB[RELASI],C11,KB[TYPE],"A",KB[TANGGAL],"&gt;="&amp;$CL$8,KB[TANGGAL],"&lt;"&amp;DATE(YEAR($CL$8),MONTH($CL$8)+1,0))</f>
        <v>0</v>
      </c>
      <c r="CT11" s="1323"/>
      <c r="CU11" s="1322"/>
      <c r="CV11" s="1321">
        <f>SUMIFS(KB[NETTO],KB[RELASI],C11,KB[TYPE],"A",KB[TANGGAL],"&gt;="&amp;$CV$8,KB[TANGGAL],"&lt;"&amp;DATE(YEAR($CV$8),MONTH($CV$8)+1,0))</f>
        <v>0</v>
      </c>
      <c r="CW11" s="1323"/>
      <c r="CX11" s="1322"/>
      <c r="CY11" s="1321">
        <f>IFERROR(DA11/CV11%,0)</f>
        <v>0</v>
      </c>
      <c r="CZ11" s="1322"/>
      <c r="DA11" s="1321">
        <f>SUMIFS(KB[TPOT],KB[RELASI],C11,KB[TYPE],"A",KB[TANGGAL],"&gt;="&amp;$CV$8,KB[TANGGAL],"&lt;"&amp;DATE(YEAR($CV$8),MONTH($CV$8)+1,0))</f>
        <v>0</v>
      </c>
      <c r="DB11" s="1322"/>
      <c r="DC11" s="1321">
        <f>SUMIFS(KB[NETTO2],KB[RELASI],C11,KB[TYPE],"A",KB[TANGGAL],"&gt;="&amp;$CV$8,KB[TANGGAL],"&lt;"&amp;DATE(YEAR($CV$8),MONTH($CV$8)+1,0))</f>
        <v>0</v>
      </c>
      <c r="DD11" s="1323"/>
      <c r="DE11" s="1322"/>
      <c r="DF11" s="1321">
        <f>SUMIFS(KB[NETTO],KB[RELASI],C11,KB[TYPE],"A",KB[TANGGAL],"&gt;="&amp;$DF$8,KB[TANGGAL],"&lt;"&amp;DATE(YEAR($DF$8),MONTH($DF$8)+1,0))</f>
        <v>0</v>
      </c>
      <c r="DG11" s="1323"/>
      <c r="DH11" s="1322"/>
      <c r="DI11" s="1321">
        <f>IFERROR(DK11/DF11%,0)</f>
        <v>0</v>
      </c>
      <c r="DJ11" s="1322"/>
      <c r="DK11" s="1321">
        <f>SUMIFS(KB[TPOT],KB[RELASI],C11,KB[TYPE],"A",KB[TANGGAL],"&gt;="&amp;$DF$8,KB[TANGGAL],"&lt;"&amp;DATE(YEAR($DF$8),MONTH($DF$8)+1,0))</f>
        <v>0</v>
      </c>
      <c r="DL11" s="1322"/>
      <c r="DM11" s="1321">
        <f>SUMIFS(KB[NETTO2],KB[RELASI],C11,KB[TYPE],"A",KB[TANGGAL],"&gt;="&amp;$DF$8,KB[TANGGAL],"&lt;"&amp;DATE(YEAR($DF$8),MONTH($DF$8)+1,0))</f>
        <v>0</v>
      </c>
      <c r="DN11" s="1323"/>
      <c r="DO11" s="1322"/>
      <c r="DP11" s="1321">
        <f>SUMIFS(KB[NETTO],KB[RELASI],C11,KB[TYPE],"A",KB[TANGGAL],"&gt;="&amp;$DP$8,KB[TANGGAL],"&lt;"&amp;DATE(YEAR($DP$8),MONTH($DP$8)+1,0))</f>
        <v>0</v>
      </c>
      <c r="DQ11" s="1323"/>
      <c r="DR11" s="1322"/>
      <c r="DS11" s="1321">
        <f>IFERROR(DU11/DP11%,0)</f>
        <v>0</v>
      </c>
      <c r="DT11" s="1322"/>
      <c r="DU11" s="1321">
        <f>SUMIFS(KB[TPOT],KB[RELASI],C11,KB[TYPE],"A",KB[TANGGAL],"&gt;="&amp;$DP$8,KB[TANGGAL],"&lt;"&amp;DATE(YEAR($DP$8),MONTH($DP$8)+1,0))</f>
        <v>0</v>
      </c>
      <c r="DV11" s="1322"/>
      <c r="DW11" s="1321">
        <f>SUMIFS(KB[NETTO2],KB[RELASI],C11,KB[TYPE],"A",KB[TANGGAL],"&gt;="&amp;$DP$8,KB[TANGGAL],"&lt;"&amp;DATE(YEAR($DP$8),MONTH($DP$8)+1,0))</f>
        <v>0</v>
      </c>
      <c r="DX11" s="1323"/>
      <c r="DY11" s="1322"/>
      <c r="DZ11" s="1321">
        <f>SUMIFS(KB[NETTO],KB[RELASI],C11,KB[TYPE],"A",KB[TANGGAL],"&gt;="&amp;$DZ$8,KB[TANGGAL],"&lt;"&amp;DATE(YEAR($DZ$8),MONTH($DZ$8)+1,0))</f>
        <v>0</v>
      </c>
      <c r="EA11" s="1323"/>
      <c r="EB11" s="1322"/>
      <c r="EC11" s="1321">
        <f>IFERROR(EE11/DZ11%,0)</f>
        <v>0</v>
      </c>
      <c r="ED11" s="1322"/>
      <c r="EE11" s="1321">
        <f>SUMIFS(KB[TPOT],KB[RELASI],C11,KB[TYPE],"A",KB[TANGGAL],"&gt;="&amp;$DZ$8,KB[TANGGAL],"&lt;"&amp;DATE(YEAR($DZ$8),MONTH($DZ$8)+1,0))</f>
        <v>0</v>
      </c>
      <c r="EF11" s="1322"/>
      <c r="EG11" s="1321">
        <f>SUMIFS(KB[NETTO2],KB[RELASI],C11,KB[TYPE],"A",KB[TANGGAL],"&gt;="&amp;$DZ$8,KB[TANGGAL],"&lt;"&amp;DATE(YEAR($DZ$8),MONTH($DZ$8)+1,0))</f>
        <v>0</v>
      </c>
      <c r="EH11" s="1323"/>
      <c r="EI11" s="1322"/>
      <c r="EJ11" s="837"/>
      <c r="EK11" s="838"/>
      <c r="EL11" s="839"/>
      <c r="EM11" s="837"/>
      <c r="EN11" s="839"/>
      <c r="EO11" s="837"/>
      <c r="EP11" s="839"/>
      <c r="EQ11" s="837"/>
      <c r="ER11" s="838"/>
      <c r="ES11" s="843"/>
    </row>
    <row r="12" spans="2:157" ht="18" customHeight="1">
      <c r="B12" s="1040">
        <f>+B11+1</f>
        <v>2</v>
      </c>
      <c r="C12" s="844" t="str">
        <f>RELASI!C4</f>
        <v>ADEN</v>
      </c>
      <c r="D12" s="845"/>
      <c r="E12" s="845"/>
      <c r="F12" s="846"/>
      <c r="G12" s="844" t="str">
        <f>RELASI!D4</f>
        <v>Enok</v>
      </c>
      <c r="H12" s="845"/>
      <c r="I12" s="846"/>
      <c r="J12" s="1319">
        <f>SUMIFS(KB[NETTO],KB[RELASI],C12,KB[TYPE],"A",KB[TANGGAL],"&gt;="&amp;DATE($J$7,1,1),KB[TANGGAL],"&lt;"&amp;DATE($J$7+1,1,0))/12</f>
        <v>0</v>
      </c>
      <c r="K12" s="1324"/>
      <c r="L12" s="1320"/>
      <c r="M12" s="1319">
        <f>IFERROR(O12/J12%,0)</f>
        <v>0</v>
      </c>
      <c r="N12" s="1320"/>
      <c r="O12" s="1321">
        <f>SUMIFS(KB[TPOT],KB[RELASI],C12,KB[TYPE],"A",KB[TANGGAL],"&gt;="&amp;DATE($J$7,1,1),KB[TANGGAL],"&lt;"&amp;DATE($J$7+1,1,0))/12</f>
        <v>0</v>
      </c>
      <c r="P12" s="1322"/>
      <c r="Q12" s="1321">
        <f>SUMIFS(KB[NETTO2],KB[RELASI],C12,KB[TYPE],"A",KB[TANGGAL],"&gt;="&amp;DATE($J$7,1,1),KB[TANGGAL],"&lt;"&amp;DATE($J$7+1,1,0))/12</f>
        <v>0</v>
      </c>
      <c r="R12" s="1323"/>
      <c r="S12" s="1322"/>
      <c r="T12" s="1321">
        <f>SUMIFS(KB[NETTO],KB[RELASI],C12,KB[TYPE],"A",KB[TANGGAL],"&gt;="&amp;$T$8,KB[TANGGAL],"&lt;"&amp;DATE($FA$4,$FA$5+1,0))</f>
        <v>0</v>
      </c>
      <c r="U12" s="1323"/>
      <c r="V12" s="1322"/>
      <c r="W12" s="1319">
        <f t="shared" ref="W12:W14" si="6">IFERROR(Y12/T12%,0)</f>
        <v>0</v>
      </c>
      <c r="X12" s="1320"/>
      <c r="Y12" s="1339">
        <f>SUMIFS(KB[TPOT],KB[RELASI],C12,KB[TYPE],"A",KB[TANGGAL],"&gt;="&amp;$T$8,KB[TANGGAL],"&lt;"&amp;DATE($FA$4,$FA$5+1,0))</f>
        <v>0</v>
      </c>
      <c r="Z12" s="1340"/>
      <c r="AA12" s="1339">
        <f>SUMIFS(KB[NETTO2],KB[RELASI],C12,KB[TYPE],"A",KB[TANGGAL],"&gt;="&amp;$T$8,KB[TANGGAL],"&lt;"&amp;DATE($FA$4,$FA$5+1,0))</f>
        <v>0</v>
      </c>
      <c r="AB12" s="1341"/>
      <c r="AC12" s="1340"/>
      <c r="AD12" s="1321">
        <f>SUMIFS(KB[NETTO],KB[RELASI],C12,KB[TYPE],"A",KB[TANGGAL],"&gt;="&amp;$AD$8,KB[TANGGAL],"&lt;"&amp;DATE($FA$4,MONTH($AD$8)+1,0))</f>
        <v>0</v>
      </c>
      <c r="AE12" s="1323"/>
      <c r="AF12" s="1322"/>
      <c r="AG12" s="1321">
        <f t="shared" ref="AG12:AG56" si="7">IFERROR(Y12/T12%,0)</f>
        <v>0</v>
      </c>
      <c r="AH12" s="1322"/>
      <c r="AI12" s="1321">
        <f>SUMIFS(KB[TPOT],KB[RELASI],C12,KB[TYPE],"A",KB[TANGGAL],"&gt;="&amp;$AD$8,KB[TANGGAL],"&lt;"&amp;DATE($FA$4,MONTH($AD$8)+1,0))</f>
        <v>0</v>
      </c>
      <c r="AJ12" s="1322"/>
      <c r="AK12" s="1321">
        <f>SUMIFS(KB[NETTO2],KB[RELASI],C12,KB[TYPE],"A",KB[TANGGAL],"&gt;="&amp;$AD$8,KB[TANGGAL],"&lt;"&amp;DATE($FA$4,MONTH($AD$8)+1,0))</f>
        <v>0</v>
      </c>
      <c r="AL12" s="1323"/>
      <c r="AM12" s="1322"/>
      <c r="AN12" s="1321">
        <f>SUMIFS(KB[NETTO],KB[RELASI],C12,KB[TYPE],"A",KB[TANGGAL],"&gt;="&amp;$AN$8,KB[TANGGAL],"&lt;"&amp;DATE(YEAR($AN$8),MONTH($AN$8)+1,0))</f>
        <v>0</v>
      </c>
      <c r="AO12" s="1323"/>
      <c r="AP12" s="1322"/>
      <c r="AQ12" s="1321">
        <f t="shared" ref="AQ12:AQ56" si="8">IFERROR(AS12/AN12%,0)</f>
        <v>0</v>
      </c>
      <c r="AR12" s="1322"/>
      <c r="AS12" s="1321">
        <f>SUMIFS(KB[TPOT],KB[RELASI],C12,KB[TYPE],"A",KB[TANGGAL],"&gt;="&amp;$AN$8,KB[TANGGAL],"&lt;"&amp;DATE(YEAR($AN$8),MONTH($AN$8)+1,0))</f>
        <v>0</v>
      </c>
      <c r="AT12" s="1322"/>
      <c r="AU12" s="1321">
        <f>SUMIFS(KB[NETTO2],KB[RELASI],C12,KB[TYPE],"A",KB[TANGGAL],"&gt;="&amp;$AN$8,KB[TANGGAL],"&lt;"&amp;DATE(YEAR($AN$8),MONTH($AN$8)+1,0))</f>
        <v>0</v>
      </c>
      <c r="AV12" s="1323"/>
      <c r="AW12" s="1322"/>
      <c r="AX12" s="1321">
        <f>SUMIFS(KB[NETTO],KB[RELASI],C12,KB[TYPE],"A",KB[TANGGAL],"&gt;="&amp;$AX$8,KB[TANGGAL],"&lt;"&amp;DATE(YEAR($AX$8),MONTH($AX$8)+1,0))</f>
        <v>0</v>
      </c>
      <c r="AY12" s="1323"/>
      <c r="AZ12" s="1322"/>
      <c r="BA12" s="1321">
        <f t="shared" ref="BA12:BA56" si="9">IFERROR(BC12/AX12%,0)</f>
        <v>0</v>
      </c>
      <c r="BB12" s="1322"/>
      <c r="BC12" s="1321">
        <f>SUMIFS(KB[TPOT],KB[RELASI],C12,KB[TYPE],"A",KB[TANGGAL],"&gt;="&amp;$AX$8,KB[TANGGAL],"&lt;"&amp;DATE(YEAR($AX$8),MONTH($AX$8)+1,0))</f>
        <v>0</v>
      </c>
      <c r="BD12" s="1322"/>
      <c r="BE12" s="1321">
        <f>SUMIFS(KB[NETTO2],KB[RELASI],C12,KB[TYPE],"A",KB[TANGGAL],"&gt;="&amp;$AX$8,KB[TANGGAL],"&lt;"&amp;DATE(YEAR($AX$8),MONTH($AX$8)+1,0))</f>
        <v>0</v>
      </c>
      <c r="BF12" s="1323"/>
      <c r="BG12" s="1322"/>
      <c r="BH12" s="1321">
        <f>SUMIFS(KB[NETTO],KB[RELASI],C12,KB[TYPE],"A",KB[TANGGAL],"&gt;="&amp;$BH$8,KB[TANGGAL],"&lt;"&amp;DATE(YEAR($BH$8),MONTH($BH$8)+1,0))</f>
        <v>0</v>
      </c>
      <c r="BI12" s="1323"/>
      <c r="BJ12" s="1322"/>
      <c r="BK12" s="1321">
        <f t="shared" ref="BK12:BK56" si="10">IFERROR(BM12/BH12%,0)</f>
        <v>0</v>
      </c>
      <c r="BL12" s="1322"/>
      <c r="BM12" s="1321">
        <f>SUMIFS(KB[TPOT],KB[RELASI],C12,KB[TYPE],"A",KB[TANGGAL],"&gt;="&amp;$BH$8,KB[TANGGAL],"&lt;"&amp;DATE(YEAR($BH$8),MONTH($BH$8)+1,0))</f>
        <v>0</v>
      </c>
      <c r="BN12" s="1322"/>
      <c r="BO12" s="1321">
        <f>SUMIFS(KB[NETTO2],KB[RELASI],C12,KB[TYPE],"A",KB[TANGGAL],"&gt;="&amp;$BH$8,KB[TANGGAL],"&lt;"&amp;DATE(YEAR($BH$8),MONTH($BH$8)+1,0))</f>
        <v>0</v>
      </c>
      <c r="BP12" s="1323"/>
      <c r="BQ12" s="1322"/>
      <c r="BR12" s="1321">
        <f>SUMIFS(KB[NETTO],KB[RELASI],C12,KB[TYPE],"A",KB[TANGGAL],"&gt;="&amp;$BR$8,KB[TANGGAL],"&lt;"&amp;DATE(YEAR($BR$8),MONTH($BR$8)+1,0))</f>
        <v>0</v>
      </c>
      <c r="BS12" s="1323"/>
      <c r="BT12" s="1322"/>
      <c r="BU12" s="1321">
        <f t="shared" ref="BU12:BU56" si="11">IFERROR(BW12/BR12%,0)</f>
        <v>0</v>
      </c>
      <c r="BV12" s="1322"/>
      <c r="BW12" s="1321">
        <f>SUMIFS(KB[TPOT],KB[RELASI],C12,KB[TYPE],"A",KB[TANGGAL],"&gt;="&amp;$BR$8,KB[TANGGAL],"&lt;"&amp;DATE(YEAR($BR$8),MONTH($BR$8)+1,0))</f>
        <v>0</v>
      </c>
      <c r="BX12" s="1322"/>
      <c r="BY12" s="1321">
        <f>SUMIFS(KB[NETTO2],KB[RELASI],C12,KB[TYPE],"A",KB[TANGGAL],"&gt;="&amp;$BR$8,KB[TANGGAL],"&lt;"&amp;DATE(YEAR($BR$8),MONTH($BR$8)+1,0))</f>
        <v>0</v>
      </c>
      <c r="BZ12" s="1323"/>
      <c r="CA12" s="1322"/>
      <c r="CB12" s="1321">
        <f>SUMIFS(KB[NETTO],KB[RELASI],C12,KB[TYPE],"A",KB[TANGGAL],"&gt;="&amp;$CB$8,KB[TANGGAL],"&lt;"&amp;DATE(YEAR($CB$8),MONTH($CB$8)+1,0))</f>
        <v>0</v>
      </c>
      <c r="CC12" s="1323"/>
      <c r="CD12" s="1322"/>
      <c r="CE12" s="1321">
        <f t="shared" ref="CE12:CE56" si="12">IFERROR(CG12/CB12%,0)</f>
        <v>0</v>
      </c>
      <c r="CF12" s="1322"/>
      <c r="CG12" s="1321">
        <f>SUMIFS(KB[TPOT],KB[RELASI],C12,KB[TYPE],"A",KB[TANGGAL],"&gt;="&amp;$CB$8,KB[TANGGAL],"&lt;"&amp;DATE(YEAR($CB$8),MONTH($CB$8)+1,0))</f>
        <v>0</v>
      </c>
      <c r="CH12" s="1322"/>
      <c r="CI12" s="1321">
        <f>SUMIFS(KB[NETTO2],KB[RELASI],C12,KB[TYPE],"A",KB[TANGGAL],"&gt;="&amp;$CB$8,KB[TANGGAL],"&lt;"&amp;DATE(YEAR($CB$8),MONTH($CB$8)+1,0))</f>
        <v>0</v>
      </c>
      <c r="CJ12" s="1323"/>
      <c r="CK12" s="1322"/>
      <c r="CL12" s="1321">
        <f>SUMIFS(KB[NETTO],KB[RELASI],C12,KB[TYPE],"A",KB[TANGGAL],"&gt;="&amp;$CL$8,KB[TANGGAL],"&lt;"&amp;DATE(YEAR($CL$8),MONTH($CL$8)+1,0))</f>
        <v>0</v>
      </c>
      <c r="CM12" s="1323"/>
      <c r="CN12" s="1322"/>
      <c r="CO12" s="1321">
        <f t="shared" ref="CO12:CO56" si="13">IFERROR(CQ12/CL12%,0)</f>
        <v>0</v>
      </c>
      <c r="CP12" s="1322"/>
      <c r="CQ12" s="1321">
        <f>SUMIFS(KB[TPOT],KB[RELASI],C12,KB[TYPE],"A",KB[TANGGAL],"&gt;="&amp;$CL$8,KB[TANGGAL],"&lt;"&amp;DATE(YEAR($CL$8),MONTH($CL$8)+1,0))</f>
        <v>0</v>
      </c>
      <c r="CR12" s="1322"/>
      <c r="CS12" s="1321">
        <f>SUMIFS(KB[NETTO2],KB[RELASI],C12,KB[TYPE],"A",KB[TANGGAL],"&gt;="&amp;$CL$8,KB[TANGGAL],"&lt;"&amp;DATE(YEAR($CL$8),MONTH($CL$8)+1,0))</f>
        <v>0</v>
      </c>
      <c r="CT12" s="1323"/>
      <c r="CU12" s="1322"/>
      <c r="CV12" s="1321">
        <f>SUMIFS(KB[NETTO],KB[RELASI],C12,KB[TYPE],"A",KB[TANGGAL],"&gt;="&amp;$CV$8,KB[TANGGAL],"&lt;"&amp;DATE(YEAR($CV$8),MONTH($CV$8)+1,0))</f>
        <v>0</v>
      </c>
      <c r="CW12" s="1323"/>
      <c r="CX12" s="1322"/>
      <c r="CY12" s="1321">
        <f t="shared" ref="CY12:CY56" si="14">IFERROR(DA12/CV12%,0)</f>
        <v>0</v>
      </c>
      <c r="CZ12" s="1322"/>
      <c r="DA12" s="1321">
        <f>SUMIFS(KB[TPOT],KB[RELASI],C12,KB[TYPE],"A",KB[TANGGAL],"&gt;="&amp;$CV$8,KB[TANGGAL],"&lt;"&amp;DATE(YEAR($CV$8),MONTH($CV$8)+1,0))</f>
        <v>0</v>
      </c>
      <c r="DB12" s="1322"/>
      <c r="DC12" s="1321">
        <f>SUMIFS(KB[NETTO2],KB[RELASI],C12,KB[TYPE],"A",KB[TANGGAL],"&gt;="&amp;$CV$8,KB[TANGGAL],"&lt;"&amp;DATE(YEAR($CV$8),MONTH($CV$8)+1,0))</f>
        <v>0</v>
      </c>
      <c r="DD12" s="1323"/>
      <c r="DE12" s="1322"/>
      <c r="DF12" s="1321">
        <f>SUMIFS(KB[NETTO],KB[RELASI],C12,KB[TYPE],"A",KB[TANGGAL],"&gt;="&amp;$DF$8,KB[TANGGAL],"&lt;"&amp;DATE(YEAR($DF$8),MONTH($DF$8)+1,0))</f>
        <v>0</v>
      </c>
      <c r="DG12" s="1323"/>
      <c r="DH12" s="1322"/>
      <c r="DI12" s="1321">
        <f t="shared" ref="DI12:DI56" si="15">IFERROR(DK12/DF12%,0)</f>
        <v>0</v>
      </c>
      <c r="DJ12" s="1322"/>
      <c r="DK12" s="1321">
        <f>SUMIFS(KB[TPOT],KB[RELASI],C12,KB[TYPE],"A",KB[TANGGAL],"&gt;="&amp;$DF$8,KB[TANGGAL],"&lt;"&amp;DATE(YEAR($DF$8),MONTH($DF$8)+1,0))</f>
        <v>0</v>
      </c>
      <c r="DL12" s="1322"/>
      <c r="DM12" s="1321">
        <f>SUMIFS(KB[NETTO2],KB[RELASI],C12,KB[TYPE],"A",KB[TANGGAL],"&gt;="&amp;$DF$8,KB[TANGGAL],"&lt;"&amp;DATE(YEAR($DF$8),MONTH($DF$8)+1,0))</f>
        <v>0</v>
      </c>
      <c r="DN12" s="1323"/>
      <c r="DO12" s="1322"/>
      <c r="DP12" s="1321">
        <f>SUMIFS(KB[NETTO],KB[RELASI],C12,KB[TYPE],"A",KB[TANGGAL],"&gt;="&amp;$DP$8,KB[TANGGAL],"&lt;"&amp;DATE(YEAR($DP$8),MONTH($DP$8)+1,0))</f>
        <v>0</v>
      </c>
      <c r="DQ12" s="1323"/>
      <c r="DR12" s="1322"/>
      <c r="DS12" s="1321">
        <f t="shared" ref="DS12:DS56" si="16">IFERROR(DU12/DP12%,0)</f>
        <v>0</v>
      </c>
      <c r="DT12" s="1322"/>
      <c r="DU12" s="1321">
        <f>SUMIFS(KB[TPOT],KB[RELASI],C12,KB[TYPE],"A",KB[TANGGAL],"&gt;="&amp;$DP$8,KB[TANGGAL],"&lt;"&amp;DATE(YEAR($DP$8),MONTH($DP$8)+1,0))</f>
        <v>0</v>
      </c>
      <c r="DV12" s="1322"/>
      <c r="DW12" s="1321">
        <f>SUMIFS(KB[NETTO2],KB[RELASI],C12,KB[TYPE],"A",KB[TANGGAL],"&gt;="&amp;$DP$8,KB[TANGGAL],"&lt;"&amp;DATE(YEAR($DP$8),MONTH($DP$8)+1,0))</f>
        <v>0</v>
      </c>
      <c r="DX12" s="1323"/>
      <c r="DY12" s="1322"/>
      <c r="DZ12" s="1321">
        <f>SUMIFS(KB[NETTO],KB[RELASI],C12,KB[TYPE],"A",KB[TANGGAL],"&gt;="&amp;$DZ$8,KB[TANGGAL],"&lt;"&amp;DATE(YEAR($DZ$8),MONTH($DZ$8)+1,0))</f>
        <v>0</v>
      </c>
      <c r="EA12" s="1323"/>
      <c r="EB12" s="1322"/>
      <c r="EC12" s="1321">
        <f t="shared" ref="EC12:EC56" si="17">IFERROR(EE12/DZ12%,0)</f>
        <v>0</v>
      </c>
      <c r="ED12" s="1322"/>
      <c r="EE12" s="1321">
        <f>SUMIFS(KB[TPOT],KB[RELASI],C12,KB[TYPE],"A",KB[TANGGAL],"&gt;="&amp;$DZ$8,KB[TANGGAL],"&lt;"&amp;DATE(YEAR($DZ$8),MONTH($DZ$8)+1,0))</f>
        <v>0</v>
      </c>
      <c r="EF12" s="1322"/>
      <c r="EG12" s="1321">
        <f>SUMIFS(KB[NETTO2],KB[RELASI],C12,KB[TYPE],"A",KB[TANGGAL],"&gt;="&amp;$DZ$8,KB[TANGGAL],"&lt;"&amp;DATE(YEAR($DZ$8),MONTH($DZ$8)+1,0))</f>
        <v>0</v>
      </c>
      <c r="EH12" s="1323"/>
      <c r="EI12" s="1322"/>
      <c r="EJ12" s="844"/>
      <c r="EK12" s="845"/>
      <c r="EL12" s="846"/>
      <c r="EM12" s="844"/>
      <c r="EN12" s="846"/>
      <c r="EO12" s="844"/>
      <c r="EP12" s="846"/>
      <c r="EQ12" s="844"/>
      <c r="ER12" s="845"/>
      <c r="ES12" s="847"/>
    </row>
    <row r="13" spans="2:157" ht="18" customHeight="1">
      <c r="B13" s="1040">
        <f t="shared" ref="B13:B60" si="18">+B12+1</f>
        <v>3</v>
      </c>
      <c r="C13" s="844" t="str">
        <f>RELASI!C5</f>
        <v>AHMAD TARMIZI</v>
      </c>
      <c r="D13" s="845"/>
      <c r="E13" s="845"/>
      <c r="F13" s="846"/>
      <c r="G13" s="844" t="str">
        <f>RELASI!D5</f>
        <v>Tembilahan</v>
      </c>
      <c r="H13" s="845"/>
      <c r="I13" s="846"/>
      <c r="J13" s="1319">
        <f>SUMIFS(KB[NETTO],KB[RELASI],C13,KB[TYPE],"A",KB[TANGGAL],"&gt;="&amp;DATE($J$7,1,1),KB[TANGGAL],"&lt;"&amp;DATE($J$7+1,1,0))/12</f>
        <v>0</v>
      </c>
      <c r="K13" s="1324"/>
      <c r="L13" s="1320"/>
      <c r="M13" s="1319">
        <f>IFERROR(O13/J13%,0)</f>
        <v>0</v>
      </c>
      <c r="N13" s="1320"/>
      <c r="O13" s="1321">
        <f>SUMIFS(KB[TPOT],KB[RELASI],C13,KB[TYPE],"A",KB[TANGGAL],"&gt;="&amp;DATE($J$7,1,1),KB[TANGGAL],"&lt;"&amp;DATE($J$7+1,1,0))/12</f>
        <v>0</v>
      </c>
      <c r="P13" s="1322"/>
      <c r="Q13" s="1321">
        <f>SUMIFS(KB[NETTO2],KB[RELASI],C13,KB[TYPE],"A",KB[TANGGAL],"&gt;="&amp;DATE($J$7,1,1),KB[TANGGAL],"&lt;"&amp;DATE($J$7+1,1,0))/12</f>
        <v>0</v>
      </c>
      <c r="R13" s="1323"/>
      <c r="S13" s="1322"/>
      <c r="T13" s="1319">
        <f>SUMIFS(KB[NETTO],KB[RELASI],C13,KB[TYPE],"A",KB[TANGGAL],"&gt;="&amp;$T$8,KB[TANGGAL],"&lt;"&amp;DATE($FA$4,$FA$5+1,0))</f>
        <v>0</v>
      </c>
      <c r="U13" s="1324"/>
      <c r="V13" s="1320"/>
      <c r="W13" s="1319">
        <f t="shared" si="6"/>
        <v>0</v>
      </c>
      <c r="X13" s="1320"/>
      <c r="Y13" s="1339">
        <f>SUMIFS(KB[TPOT],KB[RELASI],C13,KB[TYPE],"A",KB[TANGGAL],"&gt;="&amp;$T$8,KB[TANGGAL],"&lt;"&amp;DATE($FA$4,$FA$5+1,0))</f>
        <v>0</v>
      </c>
      <c r="Z13" s="1340"/>
      <c r="AA13" s="1339">
        <f>SUMIFS(KB[NETTO2],KB[RELASI],C13,KB[TYPE],"A",KB[TANGGAL],"&gt;="&amp;$T$8,KB[TANGGAL],"&lt;"&amp;DATE($FA$4,$FA$5+1,0))</f>
        <v>0</v>
      </c>
      <c r="AB13" s="1341"/>
      <c r="AC13" s="1340"/>
      <c r="AD13" s="1321">
        <f>SUMIFS(KB[NETTO],KB[RELASI],C13,KB[TYPE],"A",KB[TANGGAL],"&gt;="&amp;$AD$8,KB[TANGGAL],"&lt;"&amp;DATE($FA$4,MONTH($AD$8)+1,0))</f>
        <v>0</v>
      </c>
      <c r="AE13" s="1323"/>
      <c r="AF13" s="1322"/>
      <c r="AG13" s="1321">
        <f t="shared" si="7"/>
        <v>0</v>
      </c>
      <c r="AH13" s="1322"/>
      <c r="AI13" s="1321">
        <f>SUMIFS(KB[TPOT],KB[RELASI],C13,KB[TYPE],"A",KB[TANGGAL],"&gt;="&amp;$AD$8,KB[TANGGAL],"&lt;"&amp;DATE($FA$4,MONTH($AD$8)+1,0))</f>
        <v>0</v>
      </c>
      <c r="AJ13" s="1322"/>
      <c r="AK13" s="1321">
        <f>SUMIFS(KB[NETTO2],KB[RELASI],C13,KB[TYPE],"A",KB[TANGGAL],"&gt;="&amp;$AD$8,KB[TANGGAL],"&lt;"&amp;DATE($FA$4,MONTH($AD$8)+1,0))</f>
        <v>0</v>
      </c>
      <c r="AL13" s="1323"/>
      <c r="AM13" s="1322"/>
      <c r="AN13" s="1321">
        <f>SUMIFS(KB[NETTO],KB[RELASI],C13,KB[TYPE],"A",KB[TANGGAL],"&gt;="&amp;$AN$8,KB[TANGGAL],"&lt;"&amp;DATE(YEAR($AN$8),MONTH($AN$8)+1,0))</f>
        <v>0</v>
      </c>
      <c r="AO13" s="1323"/>
      <c r="AP13" s="1322"/>
      <c r="AQ13" s="1321">
        <f t="shared" si="8"/>
        <v>0</v>
      </c>
      <c r="AR13" s="1322"/>
      <c r="AS13" s="1321">
        <f>SUMIFS(KB[TPOT],KB[RELASI],C13,KB[TYPE],"A",KB[TANGGAL],"&gt;="&amp;$AN$8,KB[TANGGAL],"&lt;"&amp;DATE(YEAR($AN$8),MONTH($AN$8)+1,0))</f>
        <v>0</v>
      </c>
      <c r="AT13" s="1322"/>
      <c r="AU13" s="1321">
        <f>SUMIFS(KB[NETTO2],KB[RELASI],C13,KB[TYPE],"A",KB[TANGGAL],"&gt;="&amp;$AN$8,KB[TANGGAL],"&lt;"&amp;DATE(YEAR($AN$8),MONTH($AN$8)+1,0))</f>
        <v>0</v>
      </c>
      <c r="AV13" s="1323"/>
      <c r="AW13" s="1322"/>
      <c r="AX13" s="1321">
        <f>SUMIFS(KB[NETTO],KB[RELASI],C13,KB[TYPE],"A",KB[TANGGAL],"&gt;="&amp;$AX$8,KB[TANGGAL],"&lt;"&amp;DATE(YEAR($AX$8),MONTH($AX$8)+1,0))</f>
        <v>0</v>
      </c>
      <c r="AY13" s="1323"/>
      <c r="AZ13" s="1322"/>
      <c r="BA13" s="1321">
        <f t="shared" si="9"/>
        <v>0</v>
      </c>
      <c r="BB13" s="1322"/>
      <c r="BC13" s="1321">
        <f>SUMIFS(KB[TPOT],KB[RELASI],C13,KB[TYPE],"A",KB[TANGGAL],"&gt;="&amp;$AX$8,KB[TANGGAL],"&lt;"&amp;DATE(YEAR($AX$8),MONTH($AX$8)+1,0))</f>
        <v>0</v>
      </c>
      <c r="BD13" s="1322"/>
      <c r="BE13" s="1321">
        <f>SUMIFS(KB[NETTO2],KB[RELASI],C13,KB[TYPE],"A",KB[TANGGAL],"&gt;="&amp;$AX$8,KB[TANGGAL],"&lt;"&amp;DATE(YEAR($AX$8),MONTH($AX$8)+1,0))</f>
        <v>0</v>
      </c>
      <c r="BF13" s="1323"/>
      <c r="BG13" s="1322"/>
      <c r="BH13" s="1321">
        <f>SUMIFS(KB[NETTO],KB[RELASI],C13,KB[TYPE],"A",KB[TANGGAL],"&gt;="&amp;$BH$8,KB[TANGGAL],"&lt;"&amp;DATE(YEAR($BH$8),MONTH($BH$8)+1,0))</f>
        <v>0</v>
      </c>
      <c r="BI13" s="1323"/>
      <c r="BJ13" s="1322"/>
      <c r="BK13" s="1321">
        <f t="shared" si="10"/>
        <v>0</v>
      </c>
      <c r="BL13" s="1322"/>
      <c r="BM13" s="1321">
        <f>SUMIFS(KB[TPOT],KB[RELASI],C13,KB[TYPE],"A",KB[TANGGAL],"&gt;="&amp;$BH$8,KB[TANGGAL],"&lt;"&amp;DATE(YEAR($BH$8),MONTH($BH$8)+1,0))</f>
        <v>0</v>
      </c>
      <c r="BN13" s="1322"/>
      <c r="BO13" s="1321">
        <f>SUMIFS(KB[NETTO2],KB[RELASI],C13,KB[TYPE],"A",KB[TANGGAL],"&gt;="&amp;$BH$8,KB[TANGGAL],"&lt;"&amp;DATE(YEAR($BH$8),MONTH($BH$8)+1,0))</f>
        <v>0</v>
      </c>
      <c r="BP13" s="1323"/>
      <c r="BQ13" s="1322"/>
      <c r="BR13" s="1321">
        <f>SUMIFS(KB[NETTO],KB[RELASI],C13,KB[TYPE],"A",KB[TANGGAL],"&gt;="&amp;$BR$8,KB[TANGGAL],"&lt;"&amp;DATE(YEAR($BR$8),MONTH($BR$8)+1,0))</f>
        <v>0</v>
      </c>
      <c r="BS13" s="1323"/>
      <c r="BT13" s="1322"/>
      <c r="BU13" s="1321">
        <f t="shared" si="11"/>
        <v>0</v>
      </c>
      <c r="BV13" s="1322"/>
      <c r="BW13" s="1321">
        <f>SUMIFS(KB[TPOT],KB[RELASI],C13,KB[TYPE],"A",KB[TANGGAL],"&gt;="&amp;$BR$8,KB[TANGGAL],"&lt;"&amp;DATE(YEAR($BR$8),MONTH($BR$8)+1,0))</f>
        <v>0</v>
      </c>
      <c r="BX13" s="1322"/>
      <c r="BY13" s="1321">
        <f>SUMIFS(KB[NETTO2],KB[RELASI],C13,KB[TYPE],"A",KB[TANGGAL],"&gt;="&amp;$BR$8,KB[TANGGAL],"&lt;"&amp;DATE(YEAR($BR$8),MONTH($BR$8)+1,0))</f>
        <v>0</v>
      </c>
      <c r="BZ13" s="1323"/>
      <c r="CA13" s="1322"/>
      <c r="CB13" s="1321">
        <f>SUMIFS(KB[NETTO],KB[RELASI],C13,KB[TYPE],"A",KB[TANGGAL],"&gt;="&amp;$CB$8,KB[TANGGAL],"&lt;"&amp;DATE(YEAR($CB$8),MONTH($CB$8)+1,0))</f>
        <v>0</v>
      </c>
      <c r="CC13" s="1323"/>
      <c r="CD13" s="1322"/>
      <c r="CE13" s="1321">
        <f t="shared" si="12"/>
        <v>0</v>
      </c>
      <c r="CF13" s="1322"/>
      <c r="CG13" s="1321">
        <f>SUMIFS(KB[TPOT],KB[RELASI],C13,KB[TYPE],"A",KB[TANGGAL],"&gt;="&amp;$CB$8,KB[TANGGAL],"&lt;"&amp;DATE(YEAR($CB$8),MONTH($CB$8)+1,0))</f>
        <v>0</v>
      </c>
      <c r="CH13" s="1322"/>
      <c r="CI13" s="1321">
        <f>SUMIFS(KB[NETTO2],KB[RELASI],C13,KB[TYPE],"A",KB[TANGGAL],"&gt;="&amp;$CB$8,KB[TANGGAL],"&lt;"&amp;DATE(YEAR($CB$8),MONTH($CB$8)+1,0))</f>
        <v>0</v>
      </c>
      <c r="CJ13" s="1323"/>
      <c r="CK13" s="1322"/>
      <c r="CL13" s="1321">
        <f>SUMIFS(KB[NETTO],KB[RELASI],C13,KB[TYPE],"A",KB[TANGGAL],"&gt;="&amp;$CL$8,KB[TANGGAL],"&lt;"&amp;DATE(YEAR($CL$8),MONTH($CL$8)+1,0))</f>
        <v>0</v>
      </c>
      <c r="CM13" s="1323"/>
      <c r="CN13" s="1322"/>
      <c r="CO13" s="1321">
        <f t="shared" si="13"/>
        <v>0</v>
      </c>
      <c r="CP13" s="1322"/>
      <c r="CQ13" s="1321">
        <f>SUMIFS(KB[TPOT],KB[RELASI],C13,KB[TYPE],"A",KB[TANGGAL],"&gt;="&amp;$CL$8,KB[TANGGAL],"&lt;"&amp;DATE(YEAR($CL$8),MONTH($CL$8)+1,0))</f>
        <v>0</v>
      </c>
      <c r="CR13" s="1322"/>
      <c r="CS13" s="1321">
        <f>SUMIFS(KB[NETTO2],KB[RELASI],C13,KB[TYPE],"A",KB[TANGGAL],"&gt;="&amp;$CL$8,KB[TANGGAL],"&lt;"&amp;DATE(YEAR($CL$8),MONTH($CL$8)+1,0))</f>
        <v>0</v>
      </c>
      <c r="CT13" s="1323"/>
      <c r="CU13" s="1322"/>
      <c r="CV13" s="1321">
        <f>SUMIFS(KB[NETTO],KB[RELASI],C13,KB[TYPE],"A",KB[TANGGAL],"&gt;="&amp;$CV$8,KB[TANGGAL],"&lt;"&amp;DATE(YEAR($CV$8),MONTH($CV$8)+1,0))</f>
        <v>0</v>
      </c>
      <c r="CW13" s="1323"/>
      <c r="CX13" s="1322"/>
      <c r="CY13" s="1321">
        <f t="shared" si="14"/>
        <v>0</v>
      </c>
      <c r="CZ13" s="1322"/>
      <c r="DA13" s="1321">
        <f>SUMIFS(KB[TPOT],KB[RELASI],C13,KB[TYPE],"A",KB[TANGGAL],"&gt;="&amp;$CV$8,KB[TANGGAL],"&lt;"&amp;DATE(YEAR($CV$8),MONTH($CV$8)+1,0))</f>
        <v>0</v>
      </c>
      <c r="DB13" s="1322"/>
      <c r="DC13" s="1321">
        <f>SUMIFS(KB[NETTO2],KB[RELASI],C13,KB[TYPE],"A",KB[TANGGAL],"&gt;="&amp;$CV$8,KB[TANGGAL],"&lt;"&amp;DATE(YEAR($CV$8),MONTH($CV$8)+1,0))</f>
        <v>0</v>
      </c>
      <c r="DD13" s="1323"/>
      <c r="DE13" s="1322"/>
      <c r="DF13" s="1321">
        <f>SUMIFS(KB[NETTO],KB[RELASI],C13,KB[TYPE],"A",KB[TANGGAL],"&gt;="&amp;$DF$8,KB[TANGGAL],"&lt;"&amp;DATE(YEAR($DF$8),MONTH($DF$8)+1,0))</f>
        <v>0</v>
      </c>
      <c r="DG13" s="1323"/>
      <c r="DH13" s="1322"/>
      <c r="DI13" s="1321">
        <f t="shared" si="15"/>
        <v>0</v>
      </c>
      <c r="DJ13" s="1322"/>
      <c r="DK13" s="1321">
        <f>SUMIFS(KB[TPOT],KB[RELASI],C13,KB[TYPE],"A",KB[TANGGAL],"&gt;="&amp;$DF$8,KB[TANGGAL],"&lt;"&amp;DATE(YEAR($DF$8),MONTH($DF$8)+1,0))</f>
        <v>0</v>
      </c>
      <c r="DL13" s="1322"/>
      <c r="DM13" s="1321">
        <f>SUMIFS(KB[NETTO2],KB[RELASI],C13,KB[TYPE],"A",KB[TANGGAL],"&gt;="&amp;$DF$8,KB[TANGGAL],"&lt;"&amp;DATE(YEAR($DF$8),MONTH($DF$8)+1,0))</f>
        <v>0</v>
      </c>
      <c r="DN13" s="1323"/>
      <c r="DO13" s="1322"/>
      <c r="DP13" s="1321">
        <f>SUMIFS(KB[NETTO],KB[RELASI],C13,KB[TYPE],"A",KB[TANGGAL],"&gt;="&amp;$DP$8,KB[TANGGAL],"&lt;"&amp;DATE(YEAR($DP$8),MONTH($DP$8)+1,0))</f>
        <v>0</v>
      </c>
      <c r="DQ13" s="1323"/>
      <c r="DR13" s="1322"/>
      <c r="DS13" s="1321">
        <f t="shared" si="16"/>
        <v>0</v>
      </c>
      <c r="DT13" s="1322"/>
      <c r="DU13" s="1321">
        <f>SUMIFS(KB[TPOT],KB[RELASI],C13,KB[TYPE],"A",KB[TANGGAL],"&gt;="&amp;$DP$8,KB[TANGGAL],"&lt;"&amp;DATE(YEAR($DP$8),MONTH($DP$8)+1,0))</f>
        <v>0</v>
      </c>
      <c r="DV13" s="1322"/>
      <c r="DW13" s="1321">
        <f>SUMIFS(KB[NETTO2],KB[RELASI],C13,KB[TYPE],"A",KB[TANGGAL],"&gt;="&amp;$DP$8,KB[TANGGAL],"&lt;"&amp;DATE(YEAR($DP$8),MONTH($DP$8)+1,0))</f>
        <v>0</v>
      </c>
      <c r="DX13" s="1323"/>
      <c r="DY13" s="1322"/>
      <c r="DZ13" s="1321">
        <f>SUMIFS(KB[NETTO],KB[RELASI],C13,KB[TYPE],"A",KB[TANGGAL],"&gt;="&amp;$DZ$8,KB[TANGGAL],"&lt;"&amp;DATE(YEAR($DZ$8),MONTH($DZ$8)+1,0))</f>
        <v>0</v>
      </c>
      <c r="EA13" s="1323"/>
      <c r="EB13" s="1322"/>
      <c r="EC13" s="1321">
        <f t="shared" si="17"/>
        <v>0</v>
      </c>
      <c r="ED13" s="1322"/>
      <c r="EE13" s="1321">
        <f>SUMIFS(KB[TPOT],KB[RELASI],C13,KB[TYPE],"A",KB[TANGGAL],"&gt;="&amp;$DZ$8,KB[TANGGAL],"&lt;"&amp;DATE(YEAR($DZ$8),MONTH($DZ$8)+1,0))</f>
        <v>0</v>
      </c>
      <c r="EF13" s="1322"/>
      <c r="EG13" s="1321">
        <f>SUMIFS(KB[NETTO2],KB[RELASI],C13,KB[TYPE],"A",KB[TANGGAL],"&gt;="&amp;$DZ$8,KB[TANGGAL],"&lt;"&amp;DATE(YEAR($DZ$8),MONTH($DZ$8)+1,0))</f>
        <v>0</v>
      </c>
      <c r="EH13" s="1323"/>
      <c r="EI13" s="1322"/>
      <c r="EJ13" s="844"/>
      <c r="EK13" s="845"/>
      <c r="EL13" s="846"/>
      <c r="EM13" s="844"/>
      <c r="EN13" s="846"/>
      <c r="EO13" s="844"/>
      <c r="EP13" s="846"/>
      <c r="EQ13" s="844"/>
      <c r="ER13" s="845"/>
      <c r="ES13" s="847"/>
    </row>
    <row r="14" spans="2:157" ht="18" customHeight="1">
      <c r="B14" s="1040">
        <f t="shared" si="18"/>
        <v>4</v>
      </c>
      <c r="C14" s="844" t="str">
        <f>RELASI!C6</f>
        <v>AHUAT</v>
      </c>
      <c r="D14" s="845"/>
      <c r="E14" s="845"/>
      <c r="F14" s="846"/>
      <c r="G14" s="844" t="str">
        <f>RELASI!D6</f>
        <v>Belaras</v>
      </c>
      <c r="H14" s="845"/>
      <c r="I14" s="846"/>
      <c r="J14" s="1319">
        <f>SUMIFS(KB[NETTO],KB[RELASI],C14,KB[TYPE],"A",KB[TANGGAL],"&gt;="&amp;DATE($J$7,1,1),KB[TANGGAL],"&lt;"&amp;DATE($J$7+1,1,0))/12</f>
        <v>0</v>
      </c>
      <c r="K14" s="1324"/>
      <c r="L14" s="1320"/>
      <c r="M14" s="1319">
        <f>IFERROR(O14/J14%,0)</f>
        <v>0</v>
      </c>
      <c r="N14" s="1320"/>
      <c r="O14" s="1321">
        <f>SUMIFS(KB[TPOT],KB[RELASI],C14,KB[TYPE],"A",KB[TANGGAL],"&gt;="&amp;DATE($J$7,1,1),KB[TANGGAL],"&lt;"&amp;DATE($J$7+1,1,0))/12</f>
        <v>0</v>
      </c>
      <c r="P14" s="1322"/>
      <c r="Q14" s="1321">
        <f>SUMIFS(KB[NETTO2],KB[RELASI],C14,KB[TYPE],"A",KB[TANGGAL],"&gt;="&amp;DATE($J$7,1,1),KB[TANGGAL],"&lt;"&amp;DATE($J$7+1,1,0))/12</f>
        <v>0</v>
      </c>
      <c r="R14" s="1323"/>
      <c r="S14" s="1322"/>
      <c r="T14" s="1319">
        <f>SUMIFS(KB[NETTO],KB[RELASI],C14,KB[TYPE],"A",KB[TANGGAL],"&gt;="&amp;$T$8,KB[TANGGAL],"&lt;"&amp;DATE($FA$4,$FA$5+1,0))</f>
        <v>0</v>
      </c>
      <c r="U14" s="1324"/>
      <c r="V14" s="1320"/>
      <c r="W14" s="1319">
        <f t="shared" si="6"/>
        <v>0</v>
      </c>
      <c r="X14" s="1320"/>
      <c r="Y14" s="1339">
        <f>SUMIFS(KB[TPOT],KB[RELASI],C14,KB[TYPE],"A",KB[TANGGAL],"&gt;="&amp;$T$8,KB[TANGGAL],"&lt;"&amp;DATE($FA$4,$FA$5+1,0))</f>
        <v>0</v>
      </c>
      <c r="Z14" s="1340"/>
      <c r="AA14" s="1339">
        <f>SUMIFS(KB[NETTO2],KB[RELASI],C14,KB[TYPE],"A",KB[TANGGAL],"&gt;="&amp;$T$8,KB[TANGGAL],"&lt;"&amp;DATE($FA$4,$FA$5+1,0))</f>
        <v>0</v>
      </c>
      <c r="AB14" s="1341"/>
      <c r="AC14" s="1340"/>
      <c r="AD14" s="1321">
        <f>SUMIFS(KB[NETTO],KB[RELASI],C14,KB[TYPE],"A",KB[TANGGAL],"&gt;="&amp;$AD$8,KB[TANGGAL],"&lt;"&amp;DATE($FA$4,MONTH($AD$8)+1,0))</f>
        <v>0</v>
      </c>
      <c r="AE14" s="1323"/>
      <c r="AF14" s="1322"/>
      <c r="AG14" s="1321">
        <f t="shared" si="7"/>
        <v>0</v>
      </c>
      <c r="AH14" s="1322"/>
      <c r="AI14" s="1321">
        <f>SUMIFS(KB[TPOT],KB[RELASI],C14,KB[TYPE],"A",KB[TANGGAL],"&gt;="&amp;$AD$8,KB[TANGGAL],"&lt;"&amp;DATE($FA$4,MONTH($AD$8)+1,0))</f>
        <v>0</v>
      </c>
      <c r="AJ14" s="1322"/>
      <c r="AK14" s="1321">
        <f>SUMIFS(KB[NETTO2],KB[RELASI],C14,KB[TYPE],"A",KB[TANGGAL],"&gt;="&amp;$AD$8,KB[TANGGAL],"&lt;"&amp;DATE($FA$4,MONTH($AD$8)+1,0))</f>
        <v>0</v>
      </c>
      <c r="AL14" s="1323"/>
      <c r="AM14" s="1322"/>
      <c r="AN14" s="1321">
        <f>SUMIFS(KB[NETTO],KB[RELASI],C14,KB[TYPE],"A",KB[TANGGAL],"&gt;="&amp;$AN$8,KB[TANGGAL],"&lt;"&amp;DATE(YEAR($AN$8),MONTH($AN$8)+1,0))</f>
        <v>0</v>
      </c>
      <c r="AO14" s="1323"/>
      <c r="AP14" s="1322"/>
      <c r="AQ14" s="1321">
        <f t="shared" si="8"/>
        <v>0</v>
      </c>
      <c r="AR14" s="1322"/>
      <c r="AS14" s="1321">
        <f>SUMIFS(KB[TPOT],KB[RELASI],C14,KB[TYPE],"A",KB[TANGGAL],"&gt;="&amp;$AN$8,KB[TANGGAL],"&lt;"&amp;DATE(YEAR($AN$8),MONTH($AN$8)+1,0))</f>
        <v>0</v>
      </c>
      <c r="AT14" s="1322"/>
      <c r="AU14" s="1321">
        <f>SUMIFS(KB[NETTO2],KB[RELASI],C14,KB[TYPE],"A",KB[TANGGAL],"&gt;="&amp;$AN$8,KB[TANGGAL],"&lt;"&amp;DATE(YEAR($AN$8),MONTH($AN$8)+1,0))</f>
        <v>0</v>
      </c>
      <c r="AV14" s="1323"/>
      <c r="AW14" s="1322"/>
      <c r="AX14" s="1321">
        <f>SUMIFS(KB[NETTO],KB[RELASI],C14,KB[TYPE],"A",KB[TANGGAL],"&gt;="&amp;$AX$8,KB[TANGGAL],"&lt;"&amp;DATE(YEAR($AX$8),MONTH($AX$8)+1,0))</f>
        <v>0</v>
      </c>
      <c r="AY14" s="1323"/>
      <c r="AZ14" s="1322"/>
      <c r="BA14" s="1321">
        <f t="shared" si="9"/>
        <v>0</v>
      </c>
      <c r="BB14" s="1322"/>
      <c r="BC14" s="1321">
        <f>SUMIFS(KB[TPOT],KB[RELASI],C14,KB[TYPE],"A",KB[TANGGAL],"&gt;="&amp;$AX$8,KB[TANGGAL],"&lt;"&amp;DATE(YEAR($AX$8),MONTH($AX$8)+1,0))</f>
        <v>0</v>
      </c>
      <c r="BD14" s="1322"/>
      <c r="BE14" s="1321">
        <f>SUMIFS(KB[NETTO2],KB[RELASI],C14,KB[TYPE],"A",KB[TANGGAL],"&gt;="&amp;$AX$8,KB[TANGGAL],"&lt;"&amp;DATE(YEAR($AX$8),MONTH($AX$8)+1,0))</f>
        <v>0</v>
      </c>
      <c r="BF14" s="1323"/>
      <c r="BG14" s="1322"/>
      <c r="BH14" s="1321">
        <f>SUMIFS(KB[NETTO],KB[RELASI],C14,KB[TYPE],"A",KB[TANGGAL],"&gt;="&amp;$BH$8,KB[TANGGAL],"&lt;"&amp;DATE(YEAR($BH$8),MONTH($BH$8)+1,0))</f>
        <v>0</v>
      </c>
      <c r="BI14" s="1323"/>
      <c r="BJ14" s="1322"/>
      <c r="BK14" s="1321">
        <f t="shared" si="10"/>
        <v>0</v>
      </c>
      <c r="BL14" s="1322"/>
      <c r="BM14" s="1321">
        <f>SUMIFS(KB[TPOT],KB[RELASI],C14,KB[TYPE],"A",KB[TANGGAL],"&gt;="&amp;$BH$8,KB[TANGGAL],"&lt;"&amp;DATE(YEAR($BH$8),MONTH($BH$8)+1,0))</f>
        <v>0</v>
      </c>
      <c r="BN14" s="1322"/>
      <c r="BO14" s="1321">
        <f>SUMIFS(KB[NETTO2],KB[RELASI],C14,KB[TYPE],"A",KB[TANGGAL],"&gt;="&amp;$BH$8,KB[TANGGAL],"&lt;"&amp;DATE(YEAR($BH$8),MONTH($BH$8)+1,0))</f>
        <v>0</v>
      </c>
      <c r="BP14" s="1323"/>
      <c r="BQ14" s="1322"/>
      <c r="BR14" s="1321">
        <f>SUMIFS(KB[NETTO],KB[RELASI],C14,KB[TYPE],"A",KB[TANGGAL],"&gt;="&amp;$BR$8,KB[TANGGAL],"&lt;"&amp;DATE(YEAR($BR$8),MONTH($BR$8)+1,0))</f>
        <v>0</v>
      </c>
      <c r="BS14" s="1323"/>
      <c r="BT14" s="1322"/>
      <c r="BU14" s="1321">
        <f t="shared" si="11"/>
        <v>0</v>
      </c>
      <c r="BV14" s="1322"/>
      <c r="BW14" s="1321">
        <f>SUMIFS(KB[TPOT],KB[RELASI],C14,KB[TYPE],"A",KB[TANGGAL],"&gt;="&amp;$BR$8,KB[TANGGAL],"&lt;"&amp;DATE(YEAR($BR$8),MONTH($BR$8)+1,0))</f>
        <v>0</v>
      </c>
      <c r="BX14" s="1322"/>
      <c r="BY14" s="1321">
        <f>SUMIFS(KB[NETTO2],KB[RELASI],C14,KB[TYPE],"A",KB[TANGGAL],"&gt;="&amp;$BR$8,KB[TANGGAL],"&lt;"&amp;DATE(YEAR($BR$8),MONTH($BR$8)+1,0))</f>
        <v>0</v>
      </c>
      <c r="BZ14" s="1323"/>
      <c r="CA14" s="1322"/>
      <c r="CB14" s="1321">
        <f>SUMIFS(KB[NETTO],KB[RELASI],C14,KB[TYPE],"A",KB[TANGGAL],"&gt;="&amp;$CB$8,KB[TANGGAL],"&lt;"&amp;DATE(YEAR($CB$8),MONTH($CB$8)+1,0))</f>
        <v>0</v>
      </c>
      <c r="CC14" s="1323"/>
      <c r="CD14" s="1322"/>
      <c r="CE14" s="1321">
        <f t="shared" si="12"/>
        <v>0</v>
      </c>
      <c r="CF14" s="1322"/>
      <c r="CG14" s="1321">
        <f>SUMIFS(KB[TPOT],KB[RELASI],C14,KB[TYPE],"A",KB[TANGGAL],"&gt;="&amp;$CB$8,KB[TANGGAL],"&lt;"&amp;DATE(YEAR($CB$8),MONTH($CB$8)+1,0))</f>
        <v>0</v>
      </c>
      <c r="CH14" s="1322"/>
      <c r="CI14" s="1321">
        <f>SUMIFS(KB[NETTO2],KB[RELASI],C14,KB[TYPE],"A",KB[TANGGAL],"&gt;="&amp;$CB$8,KB[TANGGAL],"&lt;"&amp;DATE(YEAR($CB$8),MONTH($CB$8)+1,0))</f>
        <v>0</v>
      </c>
      <c r="CJ14" s="1323"/>
      <c r="CK14" s="1322"/>
      <c r="CL14" s="1321">
        <f>SUMIFS(KB[NETTO],KB[RELASI],C14,KB[TYPE],"A",KB[TANGGAL],"&gt;="&amp;$CL$8,KB[TANGGAL],"&lt;"&amp;DATE(YEAR($CL$8),MONTH($CL$8)+1,0))</f>
        <v>0</v>
      </c>
      <c r="CM14" s="1323"/>
      <c r="CN14" s="1322"/>
      <c r="CO14" s="1321">
        <f t="shared" si="13"/>
        <v>0</v>
      </c>
      <c r="CP14" s="1322"/>
      <c r="CQ14" s="1321">
        <f>SUMIFS(KB[TPOT],KB[RELASI],C14,KB[TYPE],"A",KB[TANGGAL],"&gt;="&amp;$CL$8,KB[TANGGAL],"&lt;"&amp;DATE(YEAR($CL$8),MONTH($CL$8)+1,0))</f>
        <v>0</v>
      </c>
      <c r="CR14" s="1322"/>
      <c r="CS14" s="1321">
        <f>SUMIFS(KB[NETTO2],KB[RELASI],C14,KB[TYPE],"A",KB[TANGGAL],"&gt;="&amp;$CL$8,KB[TANGGAL],"&lt;"&amp;DATE(YEAR($CL$8),MONTH($CL$8)+1,0))</f>
        <v>0</v>
      </c>
      <c r="CT14" s="1323"/>
      <c r="CU14" s="1322"/>
      <c r="CV14" s="1321">
        <f>SUMIFS(KB[NETTO],KB[RELASI],C14,KB[TYPE],"A",KB[TANGGAL],"&gt;="&amp;$CV$8,KB[TANGGAL],"&lt;"&amp;DATE(YEAR($CV$8),MONTH($CV$8)+1,0))</f>
        <v>0</v>
      </c>
      <c r="CW14" s="1323"/>
      <c r="CX14" s="1322"/>
      <c r="CY14" s="1321">
        <f t="shared" si="14"/>
        <v>0</v>
      </c>
      <c r="CZ14" s="1322"/>
      <c r="DA14" s="1321">
        <f>SUMIFS(KB[TPOT],KB[RELASI],C14,KB[TYPE],"A",KB[TANGGAL],"&gt;="&amp;$CV$8,KB[TANGGAL],"&lt;"&amp;DATE(YEAR($CV$8),MONTH($CV$8)+1,0))</f>
        <v>0</v>
      </c>
      <c r="DB14" s="1322"/>
      <c r="DC14" s="1321">
        <f>SUMIFS(KB[NETTO2],KB[RELASI],C14,KB[TYPE],"A",KB[TANGGAL],"&gt;="&amp;$CV$8,KB[TANGGAL],"&lt;"&amp;DATE(YEAR($CV$8),MONTH($CV$8)+1,0))</f>
        <v>0</v>
      </c>
      <c r="DD14" s="1323"/>
      <c r="DE14" s="1322"/>
      <c r="DF14" s="1321">
        <f>SUMIFS(KB[NETTO],KB[RELASI],C14,KB[TYPE],"A",KB[TANGGAL],"&gt;="&amp;$DF$8,KB[TANGGAL],"&lt;"&amp;DATE(YEAR($DF$8),MONTH($DF$8)+1,0))</f>
        <v>0</v>
      </c>
      <c r="DG14" s="1323"/>
      <c r="DH14" s="1322"/>
      <c r="DI14" s="1321">
        <f t="shared" si="15"/>
        <v>0</v>
      </c>
      <c r="DJ14" s="1322"/>
      <c r="DK14" s="1321">
        <f>SUMIFS(KB[TPOT],KB[RELASI],C14,KB[TYPE],"A",KB[TANGGAL],"&gt;="&amp;$DF$8,KB[TANGGAL],"&lt;"&amp;DATE(YEAR($DF$8),MONTH($DF$8)+1,0))</f>
        <v>0</v>
      </c>
      <c r="DL14" s="1322"/>
      <c r="DM14" s="1321">
        <f>SUMIFS(KB[NETTO2],KB[RELASI],C14,KB[TYPE],"A",KB[TANGGAL],"&gt;="&amp;$DF$8,KB[TANGGAL],"&lt;"&amp;DATE(YEAR($DF$8),MONTH($DF$8)+1,0))</f>
        <v>0</v>
      </c>
      <c r="DN14" s="1323"/>
      <c r="DO14" s="1322"/>
      <c r="DP14" s="1321">
        <f>SUMIFS(KB[NETTO],KB[RELASI],C14,KB[TYPE],"A",KB[TANGGAL],"&gt;="&amp;$DP$8,KB[TANGGAL],"&lt;"&amp;DATE(YEAR($DP$8),MONTH($DP$8)+1,0))</f>
        <v>0</v>
      </c>
      <c r="DQ14" s="1323"/>
      <c r="DR14" s="1322"/>
      <c r="DS14" s="1321">
        <f t="shared" si="16"/>
        <v>0</v>
      </c>
      <c r="DT14" s="1322"/>
      <c r="DU14" s="1321">
        <f>SUMIFS(KB[TPOT],KB[RELASI],C14,KB[TYPE],"A",KB[TANGGAL],"&gt;="&amp;$DP$8,KB[TANGGAL],"&lt;"&amp;DATE(YEAR($DP$8),MONTH($DP$8)+1,0))</f>
        <v>0</v>
      </c>
      <c r="DV14" s="1322"/>
      <c r="DW14" s="1321">
        <f>SUMIFS(KB[NETTO2],KB[RELASI],C14,KB[TYPE],"A",KB[TANGGAL],"&gt;="&amp;$DP$8,KB[TANGGAL],"&lt;"&amp;DATE(YEAR($DP$8),MONTH($DP$8)+1,0))</f>
        <v>0</v>
      </c>
      <c r="DX14" s="1323"/>
      <c r="DY14" s="1322"/>
      <c r="DZ14" s="1321">
        <f>SUMIFS(KB[NETTO],KB[RELASI],C14,KB[TYPE],"A",KB[TANGGAL],"&gt;="&amp;$DZ$8,KB[TANGGAL],"&lt;"&amp;DATE(YEAR($DZ$8),MONTH($DZ$8)+1,0))</f>
        <v>0</v>
      </c>
      <c r="EA14" s="1323"/>
      <c r="EB14" s="1322"/>
      <c r="EC14" s="1321">
        <f t="shared" si="17"/>
        <v>0</v>
      </c>
      <c r="ED14" s="1322"/>
      <c r="EE14" s="1321">
        <f>SUMIFS(KB[TPOT],KB[RELASI],C14,KB[TYPE],"A",KB[TANGGAL],"&gt;="&amp;$DZ$8,KB[TANGGAL],"&lt;"&amp;DATE(YEAR($DZ$8),MONTH($DZ$8)+1,0))</f>
        <v>0</v>
      </c>
      <c r="EF14" s="1322"/>
      <c r="EG14" s="1321">
        <f>SUMIFS(KB[NETTO2],KB[RELASI],C14,KB[TYPE],"A",KB[TANGGAL],"&gt;="&amp;$DZ$8,KB[TANGGAL],"&lt;"&amp;DATE(YEAR($DZ$8),MONTH($DZ$8)+1,0))</f>
        <v>0</v>
      </c>
      <c r="EH14" s="1323"/>
      <c r="EI14" s="1322"/>
      <c r="EJ14" s="844"/>
      <c r="EK14" s="845"/>
      <c r="EL14" s="846"/>
      <c r="EM14" s="844"/>
      <c r="EN14" s="846"/>
      <c r="EO14" s="844"/>
      <c r="EP14" s="846"/>
      <c r="EQ14" s="844"/>
      <c r="ER14" s="845"/>
      <c r="ES14" s="847"/>
    </row>
    <row r="15" spans="2:157" ht="18" customHeight="1">
      <c r="B15" s="1040">
        <f t="shared" si="18"/>
        <v>5</v>
      </c>
      <c r="C15" s="844" t="str">
        <f>RELASI!C7</f>
        <v>AHWA</v>
      </c>
      <c r="D15" s="845"/>
      <c r="E15" s="845"/>
      <c r="F15" s="846"/>
      <c r="G15" s="844" t="str">
        <f>RELASI!D7</f>
        <v>Sei Piring</v>
      </c>
      <c r="H15" s="845"/>
      <c r="I15" s="846"/>
      <c r="J15" s="1319">
        <f>SUMIFS(KB[NETTO],KB[RELASI],C15,KB[TYPE],"A",KB[TANGGAL],"&gt;="&amp;DATE($J$7,1,1),KB[TANGGAL],"&lt;"&amp;DATE($J$7+1,1,0))/12</f>
        <v>0</v>
      </c>
      <c r="K15" s="1324"/>
      <c r="L15" s="1320"/>
      <c r="M15" s="1319">
        <f t="shared" ref="M15:M57" si="19">IFERROR(O15/J15%,0)</f>
        <v>0</v>
      </c>
      <c r="N15" s="1320"/>
      <c r="O15" s="1321">
        <f>SUMIFS(KB[TPOT],KB[RELASI],C15,KB[TYPE],"A",KB[TANGGAL],"&gt;="&amp;DATE($J$7,1,1),KB[TANGGAL],"&lt;"&amp;DATE($J$7+1,1,0))/12</f>
        <v>0</v>
      </c>
      <c r="P15" s="1322"/>
      <c r="Q15" s="1321">
        <f>SUMIFS(KB[NETTO2],KB[RELASI],C15,KB[TYPE],"A",KB[TANGGAL],"&gt;="&amp;DATE($J$7,1,1),KB[TANGGAL],"&lt;"&amp;DATE($J$7+1,1,0))/12</f>
        <v>0</v>
      </c>
      <c r="R15" s="1323"/>
      <c r="S15" s="1322"/>
      <c r="T15" s="1319">
        <f>SUMIFS(KB[NETTO],KB[RELASI],C15,KB[TYPE],"A",KB[TANGGAL],"&gt;="&amp;$T$8,KB[TANGGAL],"&lt;"&amp;DATE($FA$4,$FA$5+1,0))</f>
        <v>0</v>
      </c>
      <c r="U15" s="1324"/>
      <c r="V15" s="1320"/>
      <c r="W15" s="1319">
        <f t="shared" ref="W15:W56" si="20">IFERROR(Y15/T15%,0)</f>
        <v>0</v>
      </c>
      <c r="X15" s="1320"/>
      <c r="Y15" s="1339">
        <f>SUMIFS(KB[TPOT],KB[RELASI],C15,KB[TYPE],"A",KB[TANGGAL],"&gt;="&amp;$T$8,KB[TANGGAL],"&lt;"&amp;DATE($FA$4,$FA$5+1,0))</f>
        <v>0</v>
      </c>
      <c r="Z15" s="1340"/>
      <c r="AA15" s="1339">
        <f>SUMIFS(KB[NETTO2],KB[RELASI],C15,KB[TYPE],"A",KB[TANGGAL],"&gt;="&amp;$T$8,KB[TANGGAL],"&lt;"&amp;DATE($FA$4,$FA$5+1,0))</f>
        <v>0</v>
      </c>
      <c r="AB15" s="1341"/>
      <c r="AC15" s="1340"/>
      <c r="AD15" s="1321">
        <f>SUMIFS(KB[NETTO],KB[RELASI],C15,KB[TYPE],"A",KB[TANGGAL],"&gt;="&amp;$AD$8,KB[TANGGAL],"&lt;"&amp;DATE($FA$4,MONTH($AD$8)+1,0))</f>
        <v>0</v>
      </c>
      <c r="AE15" s="1323"/>
      <c r="AF15" s="1322"/>
      <c r="AG15" s="1321">
        <f t="shared" si="7"/>
        <v>0</v>
      </c>
      <c r="AH15" s="1322"/>
      <c r="AI15" s="1321">
        <f>SUMIFS(KB[TPOT],KB[RELASI],C15,KB[TYPE],"A",KB[TANGGAL],"&gt;="&amp;$AD$8,KB[TANGGAL],"&lt;"&amp;DATE($FA$4,MONTH($AD$8)+1,0))</f>
        <v>0</v>
      </c>
      <c r="AJ15" s="1322"/>
      <c r="AK15" s="1321">
        <f>SUMIFS(KB[NETTO2],KB[RELASI],C15,KB[TYPE],"A",KB[TANGGAL],"&gt;="&amp;$AD$8,KB[TANGGAL],"&lt;"&amp;DATE($FA$4,MONTH($AD$8)+1,0))</f>
        <v>0</v>
      </c>
      <c r="AL15" s="1323"/>
      <c r="AM15" s="1322"/>
      <c r="AN15" s="1321">
        <f>SUMIFS(KB[NETTO],KB[RELASI],C15,KB[TYPE],"A",KB[TANGGAL],"&gt;="&amp;$AN$8,KB[TANGGAL],"&lt;"&amp;DATE(YEAR($AN$8),MONTH($AN$8)+1,0))</f>
        <v>0</v>
      </c>
      <c r="AO15" s="1323"/>
      <c r="AP15" s="1322"/>
      <c r="AQ15" s="1321">
        <f t="shared" si="8"/>
        <v>0</v>
      </c>
      <c r="AR15" s="1322"/>
      <c r="AS15" s="1321">
        <f>SUMIFS(KB[TPOT],KB[RELASI],C15,KB[TYPE],"A",KB[TANGGAL],"&gt;="&amp;$AN$8,KB[TANGGAL],"&lt;"&amp;DATE(YEAR($AN$8),MONTH($AN$8)+1,0))</f>
        <v>0</v>
      </c>
      <c r="AT15" s="1322"/>
      <c r="AU15" s="1321">
        <f>SUMIFS(KB[NETTO2],KB[RELASI],C15,KB[TYPE],"A",KB[TANGGAL],"&gt;="&amp;$AN$8,KB[TANGGAL],"&lt;"&amp;DATE(YEAR($AN$8),MONTH($AN$8)+1,0))</f>
        <v>0</v>
      </c>
      <c r="AV15" s="1323"/>
      <c r="AW15" s="1322"/>
      <c r="AX15" s="1321">
        <f>SUMIFS(KB[NETTO],KB[RELASI],C15,KB[TYPE],"A",KB[TANGGAL],"&gt;="&amp;$AX$8,KB[TANGGAL],"&lt;"&amp;DATE(YEAR($AX$8),MONTH($AX$8)+1,0))</f>
        <v>0</v>
      </c>
      <c r="AY15" s="1323"/>
      <c r="AZ15" s="1322"/>
      <c r="BA15" s="1321">
        <f t="shared" si="9"/>
        <v>0</v>
      </c>
      <c r="BB15" s="1322"/>
      <c r="BC15" s="1321">
        <f>SUMIFS(KB[TPOT],KB[RELASI],C15,KB[TYPE],"A",KB[TANGGAL],"&gt;="&amp;$AX$8,KB[TANGGAL],"&lt;"&amp;DATE(YEAR($AX$8),MONTH($AX$8)+1,0))</f>
        <v>0</v>
      </c>
      <c r="BD15" s="1322"/>
      <c r="BE15" s="1321">
        <f>SUMIFS(KB[NETTO2],KB[RELASI],C15,KB[TYPE],"A",KB[TANGGAL],"&gt;="&amp;$AX$8,KB[TANGGAL],"&lt;"&amp;DATE(YEAR($AX$8),MONTH($AX$8)+1,0))</f>
        <v>0</v>
      </c>
      <c r="BF15" s="1323"/>
      <c r="BG15" s="1322"/>
      <c r="BH15" s="1321">
        <f>SUMIFS(KB[NETTO],KB[RELASI],C15,KB[TYPE],"A",KB[TANGGAL],"&gt;="&amp;$BH$8,KB[TANGGAL],"&lt;"&amp;DATE(YEAR($BH$8),MONTH($BH$8)+1,0))</f>
        <v>0</v>
      </c>
      <c r="BI15" s="1323"/>
      <c r="BJ15" s="1322"/>
      <c r="BK15" s="1321">
        <f t="shared" si="10"/>
        <v>0</v>
      </c>
      <c r="BL15" s="1322"/>
      <c r="BM15" s="1321">
        <f>SUMIFS(KB[TPOT],KB[RELASI],C15,KB[TYPE],"A",KB[TANGGAL],"&gt;="&amp;$BH$8,KB[TANGGAL],"&lt;"&amp;DATE(YEAR($BH$8),MONTH($BH$8)+1,0))</f>
        <v>0</v>
      </c>
      <c r="BN15" s="1322"/>
      <c r="BO15" s="1321">
        <f>SUMIFS(KB[NETTO2],KB[RELASI],C15,KB[TYPE],"A",KB[TANGGAL],"&gt;="&amp;$BH$8,KB[TANGGAL],"&lt;"&amp;DATE(YEAR($BH$8),MONTH($BH$8)+1,0))</f>
        <v>0</v>
      </c>
      <c r="BP15" s="1323"/>
      <c r="BQ15" s="1322"/>
      <c r="BR15" s="1321">
        <f>SUMIFS(KB[NETTO],KB[RELASI],C15,KB[TYPE],"A",KB[TANGGAL],"&gt;="&amp;$BR$8,KB[TANGGAL],"&lt;"&amp;DATE(YEAR($BR$8),MONTH($BR$8)+1,0))</f>
        <v>0</v>
      </c>
      <c r="BS15" s="1323"/>
      <c r="BT15" s="1322"/>
      <c r="BU15" s="1321">
        <f t="shared" si="11"/>
        <v>0</v>
      </c>
      <c r="BV15" s="1322"/>
      <c r="BW15" s="1321">
        <f>SUMIFS(KB[TPOT],KB[RELASI],C15,KB[TYPE],"A",KB[TANGGAL],"&gt;="&amp;$BR$8,KB[TANGGAL],"&lt;"&amp;DATE(YEAR($BR$8),MONTH($BR$8)+1,0))</f>
        <v>0</v>
      </c>
      <c r="BX15" s="1322"/>
      <c r="BY15" s="1321">
        <f>SUMIFS(KB[NETTO2],KB[RELASI],C15,KB[TYPE],"A",KB[TANGGAL],"&gt;="&amp;$BR$8,KB[TANGGAL],"&lt;"&amp;DATE(YEAR($BR$8),MONTH($BR$8)+1,0))</f>
        <v>0</v>
      </c>
      <c r="BZ15" s="1323"/>
      <c r="CA15" s="1322"/>
      <c r="CB15" s="1321">
        <f>SUMIFS(KB[NETTO],KB[RELASI],C15,KB[TYPE],"A",KB[TANGGAL],"&gt;="&amp;$CB$8,KB[TANGGAL],"&lt;"&amp;DATE(YEAR($CB$8),MONTH($CB$8)+1,0))</f>
        <v>0</v>
      </c>
      <c r="CC15" s="1323"/>
      <c r="CD15" s="1322"/>
      <c r="CE15" s="1321">
        <f t="shared" si="12"/>
        <v>0</v>
      </c>
      <c r="CF15" s="1322"/>
      <c r="CG15" s="1321">
        <f>SUMIFS(KB[TPOT],KB[RELASI],C15,KB[TYPE],"A",KB[TANGGAL],"&gt;="&amp;$CB$8,KB[TANGGAL],"&lt;"&amp;DATE(YEAR($CB$8),MONTH($CB$8)+1,0))</f>
        <v>0</v>
      </c>
      <c r="CH15" s="1322"/>
      <c r="CI15" s="1321">
        <f>SUMIFS(KB[NETTO2],KB[RELASI],C15,KB[TYPE],"A",KB[TANGGAL],"&gt;="&amp;$CB$8,KB[TANGGAL],"&lt;"&amp;DATE(YEAR($CB$8),MONTH($CB$8)+1,0))</f>
        <v>0</v>
      </c>
      <c r="CJ15" s="1323"/>
      <c r="CK15" s="1322"/>
      <c r="CL15" s="1321">
        <f>SUMIFS(KB[NETTO],KB[RELASI],C15,KB[TYPE],"A",KB[TANGGAL],"&gt;="&amp;$CL$8,KB[TANGGAL],"&lt;"&amp;DATE(YEAR($CL$8),MONTH($CL$8)+1,0))</f>
        <v>0</v>
      </c>
      <c r="CM15" s="1323"/>
      <c r="CN15" s="1322"/>
      <c r="CO15" s="1321">
        <f t="shared" si="13"/>
        <v>0</v>
      </c>
      <c r="CP15" s="1322"/>
      <c r="CQ15" s="1321">
        <f>SUMIFS(KB[TPOT],KB[RELASI],C15,KB[TYPE],"A",KB[TANGGAL],"&gt;="&amp;$CL$8,KB[TANGGAL],"&lt;"&amp;DATE(YEAR($CL$8),MONTH($CL$8)+1,0))</f>
        <v>0</v>
      </c>
      <c r="CR15" s="1322"/>
      <c r="CS15" s="1321">
        <f>SUMIFS(KB[NETTO2],KB[RELASI],C15,KB[TYPE],"A",KB[TANGGAL],"&gt;="&amp;$CL$8,KB[TANGGAL],"&lt;"&amp;DATE(YEAR($CL$8),MONTH($CL$8)+1,0))</f>
        <v>0</v>
      </c>
      <c r="CT15" s="1323"/>
      <c r="CU15" s="1322"/>
      <c r="CV15" s="1321">
        <f>SUMIFS(KB[NETTO],KB[RELASI],C15,KB[TYPE],"A",KB[TANGGAL],"&gt;="&amp;$CV$8,KB[TANGGAL],"&lt;"&amp;DATE(YEAR($CV$8),MONTH($CV$8)+1,0))</f>
        <v>0</v>
      </c>
      <c r="CW15" s="1323"/>
      <c r="CX15" s="1322"/>
      <c r="CY15" s="1321">
        <f t="shared" si="14"/>
        <v>0</v>
      </c>
      <c r="CZ15" s="1322"/>
      <c r="DA15" s="1321">
        <f>SUMIFS(KB[TPOT],KB[RELASI],C15,KB[TYPE],"A",KB[TANGGAL],"&gt;="&amp;$CV$8,KB[TANGGAL],"&lt;"&amp;DATE(YEAR($CV$8),MONTH($CV$8)+1,0))</f>
        <v>0</v>
      </c>
      <c r="DB15" s="1322"/>
      <c r="DC15" s="1321">
        <f>SUMIFS(KB[NETTO2],KB[RELASI],C15,KB[TYPE],"A",KB[TANGGAL],"&gt;="&amp;$CV$8,KB[TANGGAL],"&lt;"&amp;DATE(YEAR($CV$8),MONTH($CV$8)+1,0))</f>
        <v>0</v>
      </c>
      <c r="DD15" s="1323"/>
      <c r="DE15" s="1322"/>
      <c r="DF15" s="1321">
        <f>SUMIFS(KB[NETTO],KB[RELASI],C15,KB[TYPE],"A",KB[TANGGAL],"&gt;="&amp;$DF$8,KB[TANGGAL],"&lt;"&amp;DATE(YEAR($DF$8),MONTH($DF$8)+1,0))</f>
        <v>0</v>
      </c>
      <c r="DG15" s="1323"/>
      <c r="DH15" s="1322"/>
      <c r="DI15" s="1321">
        <f t="shared" si="15"/>
        <v>0</v>
      </c>
      <c r="DJ15" s="1322"/>
      <c r="DK15" s="1321">
        <f>SUMIFS(KB[TPOT],KB[RELASI],C15,KB[TYPE],"A",KB[TANGGAL],"&gt;="&amp;$DF$8,KB[TANGGAL],"&lt;"&amp;DATE(YEAR($DF$8),MONTH($DF$8)+1,0))</f>
        <v>0</v>
      </c>
      <c r="DL15" s="1322"/>
      <c r="DM15" s="1321">
        <f>SUMIFS(KB[NETTO2],KB[RELASI],C15,KB[TYPE],"A",KB[TANGGAL],"&gt;="&amp;$DF$8,KB[TANGGAL],"&lt;"&amp;DATE(YEAR($DF$8),MONTH($DF$8)+1,0))</f>
        <v>0</v>
      </c>
      <c r="DN15" s="1323"/>
      <c r="DO15" s="1322"/>
      <c r="DP15" s="1321">
        <f>SUMIFS(KB[NETTO],KB[RELASI],C15,KB[TYPE],"A",KB[TANGGAL],"&gt;="&amp;$DP$8,KB[TANGGAL],"&lt;"&amp;DATE(YEAR($DP$8),MONTH($DP$8)+1,0))</f>
        <v>0</v>
      </c>
      <c r="DQ15" s="1323"/>
      <c r="DR15" s="1322"/>
      <c r="DS15" s="1321">
        <f t="shared" si="16"/>
        <v>0</v>
      </c>
      <c r="DT15" s="1322"/>
      <c r="DU15" s="1321">
        <f>SUMIFS(KB[TPOT],KB[RELASI],C15,KB[TYPE],"A",KB[TANGGAL],"&gt;="&amp;$DP$8,KB[TANGGAL],"&lt;"&amp;DATE(YEAR($DP$8),MONTH($DP$8)+1,0))</f>
        <v>0</v>
      </c>
      <c r="DV15" s="1322"/>
      <c r="DW15" s="1321">
        <f>SUMIFS(KB[NETTO2],KB[RELASI],C15,KB[TYPE],"A",KB[TANGGAL],"&gt;="&amp;$DP$8,KB[TANGGAL],"&lt;"&amp;DATE(YEAR($DP$8),MONTH($DP$8)+1,0))</f>
        <v>0</v>
      </c>
      <c r="DX15" s="1323"/>
      <c r="DY15" s="1322"/>
      <c r="DZ15" s="1321">
        <f>SUMIFS(KB[NETTO],KB[RELASI],C15,KB[TYPE],"A",KB[TANGGAL],"&gt;="&amp;$DZ$8,KB[TANGGAL],"&lt;"&amp;DATE(YEAR($DZ$8),MONTH($DZ$8)+1,0))</f>
        <v>0</v>
      </c>
      <c r="EA15" s="1323"/>
      <c r="EB15" s="1322"/>
      <c r="EC15" s="1321">
        <f t="shared" si="17"/>
        <v>0</v>
      </c>
      <c r="ED15" s="1322"/>
      <c r="EE15" s="1321">
        <f>SUMIFS(KB[TPOT],KB[RELASI],C15,KB[TYPE],"A",KB[TANGGAL],"&gt;="&amp;$DZ$8,KB[TANGGAL],"&lt;"&amp;DATE(YEAR($DZ$8),MONTH($DZ$8)+1,0))</f>
        <v>0</v>
      </c>
      <c r="EF15" s="1322"/>
      <c r="EG15" s="1321">
        <f>SUMIFS(KB[NETTO2],KB[RELASI],C15,KB[TYPE],"A",KB[TANGGAL],"&gt;="&amp;$DZ$8,KB[TANGGAL],"&lt;"&amp;DATE(YEAR($DZ$8),MONTH($DZ$8)+1,0))</f>
        <v>0</v>
      </c>
      <c r="EH15" s="1323"/>
      <c r="EI15" s="1322"/>
      <c r="EJ15" s="844"/>
      <c r="EK15" s="845"/>
      <c r="EL15" s="846"/>
      <c r="EM15" s="844"/>
      <c r="EN15" s="846"/>
      <c r="EO15" s="844"/>
      <c r="EP15" s="846"/>
      <c r="EQ15" s="844"/>
      <c r="ER15" s="845"/>
      <c r="ES15" s="847"/>
    </row>
    <row r="16" spans="2:157" ht="18" customHeight="1">
      <c r="B16" s="1040">
        <f t="shared" si="18"/>
        <v>6</v>
      </c>
      <c r="C16" s="844" t="str">
        <f>RELASI!C8</f>
        <v>AMIR</v>
      </c>
      <c r="D16" s="845"/>
      <c r="E16" s="845"/>
      <c r="F16" s="846"/>
      <c r="G16" s="844" t="str">
        <f>RELASI!D8</f>
        <v>Kuala Enok</v>
      </c>
      <c r="H16" s="845"/>
      <c r="I16" s="846"/>
      <c r="J16" s="1319">
        <f>SUMIFS(KB[NETTO],KB[RELASI],C16,KB[TYPE],"A",KB[TANGGAL],"&gt;="&amp;DATE($J$7,1,1),KB[TANGGAL],"&lt;"&amp;DATE($J$7+1,1,0))/12</f>
        <v>0</v>
      </c>
      <c r="K16" s="1324"/>
      <c r="L16" s="1320"/>
      <c r="M16" s="1319">
        <f t="shared" si="19"/>
        <v>0</v>
      </c>
      <c r="N16" s="1320"/>
      <c r="O16" s="1321">
        <f>SUMIFS(KB[TPOT],KB[RELASI],C16,KB[TYPE],"A",KB[TANGGAL],"&gt;="&amp;DATE($J$7,1,1),KB[TANGGAL],"&lt;"&amp;DATE($J$7+1,1,0))/12</f>
        <v>0</v>
      </c>
      <c r="P16" s="1322"/>
      <c r="Q16" s="1321">
        <f>SUMIFS(KB[NETTO2],KB[RELASI],C16,KB[TYPE],"A",KB[TANGGAL],"&gt;="&amp;DATE($J$7,1,1),KB[TANGGAL],"&lt;"&amp;DATE($J$7+1,1,0))/12</f>
        <v>0</v>
      </c>
      <c r="R16" s="1323"/>
      <c r="S16" s="1322"/>
      <c r="T16" s="1321">
        <f>SUMIFS(KB[NETTO],KB[RELASI],C16,KB[TYPE],"A",KB[TANGGAL],"&gt;="&amp;$T$8,KB[TANGGAL],"&lt;"&amp;DATE($FA$4,$FA$5+1,0))</f>
        <v>55190</v>
      </c>
      <c r="U16" s="1323"/>
      <c r="V16" s="1322"/>
      <c r="W16" s="1319">
        <f t="shared" si="20"/>
        <v>6.0000000000000009</v>
      </c>
      <c r="X16" s="1320"/>
      <c r="Y16" s="1339">
        <f>SUMIFS(KB[TPOT],KB[RELASI],C16,KB[TYPE],"A",KB[TANGGAL],"&gt;="&amp;$T$8,KB[TANGGAL],"&lt;"&amp;DATE($FA$4,$FA$5+1,0))</f>
        <v>3311.4000000000005</v>
      </c>
      <c r="Z16" s="1340"/>
      <c r="AA16" s="1339">
        <f>SUMIFS(KB[NETTO2],KB[RELASI],C16,KB[TYPE],"A",KB[TANGGAL],"&gt;="&amp;$T$8,KB[TANGGAL],"&lt;"&amp;DATE($FA$4,$FA$5+1,0))</f>
        <v>51878.599999999991</v>
      </c>
      <c r="AB16" s="1341"/>
      <c r="AC16" s="1340"/>
      <c r="AD16" s="1321">
        <f>SUMIFS(KB[NETTO],KB[RELASI],C16,KB[TYPE],"A",KB[TANGGAL],"&gt;="&amp;$AD$8,KB[TANGGAL],"&lt;"&amp;DATE($FA$4,MONTH($AD$8)+1,0))</f>
        <v>8600</v>
      </c>
      <c r="AE16" s="1323"/>
      <c r="AF16" s="1322"/>
      <c r="AG16" s="1321">
        <f t="shared" si="7"/>
        <v>6.0000000000000009</v>
      </c>
      <c r="AH16" s="1322"/>
      <c r="AI16" s="1321">
        <f>SUMIFS(KB[TPOT],KB[RELASI],C16,KB[TYPE],"A",KB[TANGGAL],"&gt;="&amp;$AD$8,KB[TANGGAL],"&lt;"&amp;DATE($FA$4,MONTH($AD$8)+1,0))</f>
        <v>516</v>
      </c>
      <c r="AJ16" s="1322"/>
      <c r="AK16" s="1321">
        <f>SUMIFS(KB[NETTO2],KB[RELASI],C16,KB[TYPE],"A",KB[TANGGAL],"&gt;="&amp;$AD$8,KB[TANGGAL],"&lt;"&amp;DATE($FA$4,MONTH($AD$8)+1,0))</f>
        <v>8084</v>
      </c>
      <c r="AL16" s="1323"/>
      <c r="AM16" s="1322"/>
      <c r="AN16" s="1321">
        <f>SUMIFS(KB[NETTO],KB[RELASI],C16,KB[TYPE],"A",KB[TANGGAL],"&gt;="&amp;$AN$8,KB[TANGGAL],"&lt;"&amp;DATE(YEAR($AN$8),MONTH($AN$8)+1,0))</f>
        <v>0</v>
      </c>
      <c r="AO16" s="1323"/>
      <c r="AP16" s="1322"/>
      <c r="AQ16" s="1321">
        <f t="shared" si="8"/>
        <v>0</v>
      </c>
      <c r="AR16" s="1322"/>
      <c r="AS16" s="1321">
        <f>SUMIFS(KB[TPOT],KB[RELASI],C16,KB[TYPE],"A",KB[TANGGAL],"&gt;="&amp;$AN$8,KB[TANGGAL],"&lt;"&amp;DATE(YEAR($AN$8),MONTH($AN$8)+1,0))</f>
        <v>0</v>
      </c>
      <c r="AT16" s="1322"/>
      <c r="AU16" s="1321">
        <f>SUMIFS(KB[NETTO2],KB[RELASI],C16,KB[TYPE],"A",KB[TANGGAL],"&gt;="&amp;$AN$8,KB[TANGGAL],"&lt;"&amp;DATE(YEAR($AN$8),MONTH($AN$8)+1,0))</f>
        <v>0</v>
      </c>
      <c r="AV16" s="1323"/>
      <c r="AW16" s="1322"/>
      <c r="AX16" s="1321">
        <f>SUMIFS(KB[NETTO],KB[RELASI],C16,KB[TYPE],"A",KB[TANGGAL],"&gt;="&amp;$AX$8,KB[TANGGAL],"&lt;"&amp;DATE(YEAR($AX$8),MONTH($AX$8)+1,0))</f>
        <v>0</v>
      </c>
      <c r="AY16" s="1323"/>
      <c r="AZ16" s="1322"/>
      <c r="BA16" s="1321">
        <f t="shared" si="9"/>
        <v>0</v>
      </c>
      <c r="BB16" s="1322"/>
      <c r="BC16" s="1321">
        <f>SUMIFS(KB[TPOT],KB[RELASI],C16,KB[TYPE],"A",KB[TANGGAL],"&gt;="&amp;$AX$8,KB[TANGGAL],"&lt;"&amp;DATE(YEAR($AX$8),MONTH($AX$8)+1,0))</f>
        <v>0</v>
      </c>
      <c r="BD16" s="1322"/>
      <c r="BE16" s="1321">
        <f>SUMIFS(KB[NETTO2],KB[RELASI],C16,KB[TYPE],"A",KB[TANGGAL],"&gt;="&amp;$AX$8,KB[TANGGAL],"&lt;"&amp;DATE(YEAR($AX$8),MONTH($AX$8)+1,0))</f>
        <v>0</v>
      </c>
      <c r="BF16" s="1323"/>
      <c r="BG16" s="1322"/>
      <c r="BH16" s="1321">
        <f>SUMIFS(KB[NETTO],KB[RELASI],C16,KB[TYPE],"A",KB[TANGGAL],"&gt;="&amp;$BH$8,KB[TANGGAL],"&lt;"&amp;DATE(YEAR($BH$8),MONTH($BH$8)+1,0))</f>
        <v>0</v>
      </c>
      <c r="BI16" s="1323"/>
      <c r="BJ16" s="1322"/>
      <c r="BK16" s="1321">
        <f t="shared" si="10"/>
        <v>0</v>
      </c>
      <c r="BL16" s="1322"/>
      <c r="BM16" s="1321">
        <f>SUMIFS(KB[TPOT],KB[RELASI],C16,KB[TYPE],"A",KB[TANGGAL],"&gt;="&amp;$BH$8,KB[TANGGAL],"&lt;"&amp;DATE(YEAR($BH$8),MONTH($BH$8)+1,0))</f>
        <v>0</v>
      </c>
      <c r="BN16" s="1322"/>
      <c r="BO16" s="1321">
        <f>SUMIFS(KB[NETTO2],KB[RELASI],C16,KB[TYPE],"A",KB[TANGGAL],"&gt;="&amp;$BH$8,KB[TANGGAL],"&lt;"&amp;DATE(YEAR($BH$8),MONTH($BH$8)+1,0))</f>
        <v>0</v>
      </c>
      <c r="BP16" s="1323"/>
      <c r="BQ16" s="1322"/>
      <c r="BR16" s="1321">
        <f>SUMIFS(KB[NETTO],KB[RELASI],C16,KB[TYPE],"A",KB[TANGGAL],"&gt;="&amp;$BR$8,KB[TANGGAL],"&lt;"&amp;DATE(YEAR($BR$8),MONTH($BR$8)+1,0))</f>
        <v>0</v>
      </c>
      <c r="BS16" s="1323"/>
      <c r="BT16" s="1322"/>
      <c r="BU16" s="1321">
        <f t="shared" si="11"/>
        <v>0</v>
      </c>
      <c r="BV16" s="1322"/>
      <c r="BW16" s="1321">
        <f>SUMIFS(KB[TPOT],KB[RELASI],C16,KB[TYPE],"A",KB[TANGGAL],"&gt;="&amp;$BR$8,KB[TANGGAL],"&lt;"&amp;DATE(YEAR($BR$8),MONTH($BR$8)+1,0))</f>
        <v>0</v>
      </c>
      <c r="BX16" s="1322"/>
      <c r="BY16" s="1321">
        <f>SUMIFS(KB[NETTO2],KB[RELASI],C16,KB[TYPE],"A",KB[TANGGAL],"&gt;="&amp;$BR$8,KB[TANGGAL],"&lt;"&amp;DATE(YEAR($BR$8),MONTH($BR$8)+1,0))</f>
        <v>0</v>
      </c>
      <c r="BZ16" s="1323"/>
      <c r="CA16" s="1322"/>
      <c r="CB16" s="1321">
        <f>SUMIFS(KB[NETTO],KB[RELASI],C16,KB[TYPE],"A",KB[TANGGAL],"&gt;="&amp;$CB$8,KB[TANGGAL],"&lt;"&amp;DATE(YEAR($CB$8),MONTH($CB$8)+1,0))</f>
        <v>0</v>
      </c>
      <c r="CC16" s="1323"/>
      <c r="CD16" s="1322"/>
      <c r="CE16" s="1321">
        <f t="shared" si="12"/>
        <v>0</v>
      </c>
      <c r="CF16" s="1322"/>
      <c r="CG16" s="1321">
        <f>SUMIFS(KB[TPOT],KB[RELASI],C16,KB[TYPE],"A",KB[TANGGAL],"&gt;="&amp;$CB$8,KB[TANGGAL],"&lt;"&amp;DATE(YEAR($CB$8),MONTH($CB$8)+1,0))</f>
        <v>0</v>
      </c>
      <c r="CH16" s="1322"/>
      <c r="CI16" s="1321">
        <f>SUMIFS(KB[NETTO2],KB[RELASI],C16,KB[TYPE],"A",KB[TANGGAL],"&gt;="&amp;$CB$8,KB[TANGGAL],"&lt;"&amp;DATE(YEAR($CB$8),MONTH($CB$8)+1,0))</f>
        <v>0</v>
      </c>
      <c r="CJ16" s="1323"/>
      <c r="CK16" s="1322"/>
      <c r="CL16" s="1321">
        <f>SUMIFS(KB[NETTO],KB[RELASI],C16,KB[TYPE],"A",KB[TANGGAL],"&gt;="&amp;$CL$8,KB[TANGGAL],"&lt;"&amp;DATE(YEAR($CL$8),MONTH($CL$8)+1,0))</f>
        <v>0</v>
      </c>
      <c r="CM16" s="1323"/>
      <c r="CN16" s="1322"/>
      <c r="CO16" s="1321">
        <f t="shared" si="13"/>
        <v>0</v>
      </c>
      <c r="CP16" s="1322"/>
      <c r="CQ16" s="1321">
        <f>SUMIFS(KB[TPOT],KB[RELASI],C16,KB[TYPE],"A",KB[TANGGAL],"&gt;="&amp;$CL$8,KB[TANGGAL],"&lt;"&amp;DATE(YEAR($CL$8),MONTH($CL$8)+1,0))</f>
        <v>0</v>
      </c>
      <c r="CR16" s="1322"/>
      <c r="CS16" s="1321">
        <f>SUMIFS(KB[NETTO2],KB[RELASI],C16,KB[TYPE],"A",KB[TANGGAL],"&gt;="&amp;$CL$8,KB[TANGGAL],"&lt;"&amp;DATE(YEAR($CL$8),MONTH($CL$8)+1,0))</f>
        <v>0</v>
      </c>
      <c r="CT16" s="1323"/>
      <c r="CU16" s="1322"/>
      <c r="CV16" s="1321">
        <f>SUMIFS(KB[NETTO],KB[RELASI],C16,KB[TYPE],"A",KB[TANGGAL],"&gt;="&amp;$CV$8,KB[TANGGAL],"&lt;"&amp;DATE(YEAR($CV$8),MONTH($CV$8)+1,0))</f>
        <v>0</v>
      </c>
      <c r="CW16" s="1323"/>
      <c r="CX16" s="1322"/>
      <c r="CY16" s="1321">
        <f t="shared" si="14"/>
        <v>0</v>
      </c>
      <c r="CZ16" s="1322"/>
      <c r="DA16" s="1321">
        <f>SUMIFS(KB[TPOT],KB[RELASI],C16,KB[TYPE],"A",KB[TANGGAL],"&gt;="&amp;$CV$8,KB[TANGGAL],"&lt;"&amp;DATE(YEAR($CV$8),MONTH($CV$8)+1,0))</f>
        <v>0</v>
      </c>
      <c r="DB16" s="1322"/>
      <c r="DC16" s="1321">
        <f>SUMIFS(KB[NETTO2],KB[RELASI],C16,KB[TYPE],"A",KB[TANGGAL],"&gt;="&amp;$CV$8,KB[TANGGAL],"&lt;"&amp;DATE(YEAR($CV$8),MONTH($CV$8)+1,0))</f>
        <v>0</v>
      </c>
      <c r="DD16" s="1323"/>
      <c r="DE16" s="1322"/>
      <c r="DF16" s="1321">
        <f>SUMIFS(KB[NETTO],KB[RELASI],C16,KB[TYPE],"A",KB[TANGGAL],"&gt;="&amp;$DF$8,KB[TANGGAL],"&lt;"&amp;DATE(YEAR($DF$8),MONTH($DF$8)+1,0))</f>
        <v>0</v>
      </c>
      <c r="DG16" s="1323"/>
      <c r="DH16" s="1322"/>
      <c r="DI16" s="1321">
        <f t="shared" si="15"/>
        <v>0</v>
      </c>
      <c r="DJ16" s="1322"/>
      <c r="DK16" s="1321">
        <f>SUMIFS(KB[TPOT],KB[RELASI],C16,KB[TYPE],"A",KB[TANGGAL],"&gt;="&amp;$DF$8,KB[TANGGAL],"&lt;"&amp;DATE(YEAR($DF$8),MONTH($DF$8)+1,0))</f>
        <v>0</v>
      </c>
      <c r="DL16" s="1322"/>
      <c r="DM16" s="1321">
        <f>SUMIFS(KB[NETTO2],KB[RELASI],C16,KB[TYPE],"A",KB[TANGGAL],"&gt;="&amp;$DF$8,KB[TANGGAL],"&lt;"&amp;DATE(YEAR($DF$8),MONTH($DF$8)+1,0))</f>
        <v>0</v>
      </c>
      <c r="DN16" s="1323"/>
      <c r="DO16" s="1322"/>
      <c r="DP16" s="1321">
        <f>SUMIFS(KB[NETTO],KB[RELASI],C16,KB[TYPE],"A",KB[TANGGAL],"&gt;="&amp;$DP$8,KB[TANGGAL],"&lt;"&amp;DATE(YEAR($DP$8),MONTH($DP$8)+1,0))</f>
        <v>0</v>
      </c>
      <c r="DQ16" s="1323"/>
      <c r="DR16" s="1322"/>
      <c r="DS16" s="1321">
        <f t="shared" si="16"/>
        <v>0</v>
      </c>
      <c r="DT16" s="1322"/>
      <c r="DU16" s="1321">
        <f>SUMIFS(KB[TPOT],KB[RELASI],C16,KB[TYPE],"A",KB[TANGGAL],"&gt;="&amp;$DP$8,KB[TANGGAL],"&lt;"&amp;DATE(YEAR($DP$8),MONTH($DP$8)+1,0))</f>
        <v>0</v>
      </c>
      <c r="DV16" s="1322"/>
      <c r="DW16" s="1321">
        <f>SUMIFS(KB[NETTO2],KB[RELASI],C16,KB[TYPE],"A",KB[TANGGAL],"&gt;="&amp;$DP$8,KB[TANGGAL],"&lt;"&amp;DATE(YEAR($DP$8),MONTH($DP$8)+1,0))</f>
        <v>0</v>
      </c>
      <c r="DX16" s="1323"/>
      <c r="DY16" s="1322"/>
      <c r="DZ16" s="1321">
        <f>SUMIFS(KB[NETTO],KB[RELASI],C16,KB[TYPE],"A",KB[TANGGAL],"&gt;="&amp;$DZ$8,KB[TANGGAL],"&lt;"&amp;DATE(YEAR($DZ$8),MONTH($DZ$8)+1,0))</f>
        <v>0</v>
      </c>
      <c r="EA16" s="1323"/>
      <c r="EB16" s="1322"/>
      <c r="EC16" s="1321">
        <f t="shared" si="17"/>
        <v>0</v>
      </c>
      <c r="ED16" s="1322"/>
      <c r="EE16" s="1321">
        <f>SUMIFS(KB[TPOT],KB[RELASI],C16,KB[TYPE],"A",KB[TANGGAL],"&gt;="&amp;$DZ$8,KB[TANGGAL],"&lt;"&amp;DATE(YEAR($DZ$8),MONTH($DZ$8)+1,0))</f>
        <v>0</v>
      </c>
      <c r="EF16" s="1322"/>
      <c r="EG16" s="1321">
        <f>SUMIFS(KB[NETTO2],KB[RELASI],C16,KB[TYPE],"A",KB[TANGGAL],"&gt;="&amp;$DZ$8,KB[TANGGAL],"&lt;"&amp;DATE(YEAR($DZ$8),MONTH($DZ$8)+1,0))</f>
        <v>0</v>
      </c>
      <c r="EH16" s="1323"/>
      <c r="EI16" s="1322"/>
      <c r="EJ16" s="844"/>
      <c r="EK16" s="845"/>
      <c r="EL16" s="846"/>
      <c r="EM16" s="844"/>
      <c r="EN16" s="846"/>
      <c r="EO16" s="844"/>
      <c r="EP16" s="846"/>
      <c r="EQ16" s="844"/>
      <c r="ER16" s="845"/>
      <c r="ES16" s="847"/>
    </row>
    <row r="17" spans="2:149" ht="18" customHeight="1">
      <c r="B17" s="1040">
        <f t="shared" si="18"/>
        <v>7</v>
      </c>
      <c r="C17" s="844" t="str">
        <f>RELASI!C9</f>
        <v>AMIRUDDIN</v>
      </c>
      <c r="D17" s="845"/>
      <c r="E17" s="845"/>
      <c r="F17" s="846"/>
      <c r="G17" s="844" t="str">
        <f>RELASI!D9</f>
        <v>P. Enok</v>
      </c>
      <c r="H17" s="845"/>
      <c r="I17" s="846"/>
      <c r="J17" s="1319">
        <f>SUMIFS(KB[NETTO],KB[RELASI],C17,KB[TYPE],"A",KB[TANGGAL],"&gt;="&amp;DATE($J$7,1,1),KB[TANGGAL],"&lt;"&amp;DATE($J$7+1,1,0))/12</f>
        <v>0</v>
      </c>
      <c r="K17" s="1324"/>
      <c r="L17" s="1320"/>
      <c r="M17" s="1319">
        <f t="shared" si="19"/>
        <v>0</v>
      </c>
      <c r="N17" s="1320"/>
      <c r="O17" s="1321">
        <f>SUMIFS(KB[TPOT],KB[RELASI],C17,KB[TYPE],"A",KB[TANGGAL],"&gt;="&amp;DATE($J$7,1,1),KB[TANGGAL],"&lt;"&amp;DATE($J$7+1,1,0))/12</f>
        <v>0</v>
      </c>
      <c r="P17" s="1322"/>
      <c r="Q17" s="1321">
        <f>SUMIFS(KB[NETTO2],KB[RELASI],C17,KB[TYPE],"A",KB[TANGGAL],"&gt;="&amp;DATE($J$7,1,1),KB[TANGGAL],"&lt;"&amp;DATE($J$7+1,1,0))/12</f>
        <v>0</v>
      </c>
      <c r="R17" s="1323"/>
      <c r="S17" s="1322"/>
      <c r="T17" s="1321">
        <f>SUMIFS(KB[NETTO],KB[RELASI],C17,KB[TYPE],"A",KB[TANGGAL],"&gt;="&amp;$T$8,KB[TANGGAL],"&lt;"&amp;DATE($FA$4,$FA$5+1,0))</f>
        <v>0</v>
      </c>
      <c r="U17" s="1323"/>
      <c r="V17" s="1322"/>
      <c r="W17" s="1319">
        <f t="shared" si="20"/>
        <v>0</v>
      </c>
      <c r="X17" s="1320"/>
      <c r="Y17" s="1339">
        <f>SUMIFS(KB[TPOT],KB[RELASI],C17,KB[TYPE],"A",KB[TANGGAL],"&gt;="&amp;$T$8,KB[TANGGAL],"&lt;"&amp;DATE($FA$4,$FA$5+1,0))</f>
        <v>0</v>
      </c>
      <c r="Z17" s="1340"/>
      <c r="AA17" s="1339">
        <f>SUMIFS(KB[NETTO2],KB[RELASI],C17,KB[TYPE],"A",KB[TANGGAL],"&gt;="&amp;$T$8,KB[TANGGAL],"&lt;"&amp;DATE($FA$4,$FA$5+1,0))</f>
        <v>0</v>
      </c>
      <c r="AB17" s="1341"/>
      <c r="AC17" s="1340"/>
      <c r="AD17" s="1321">
        <f>SUMIFS(KB[NETTO],KB[RELASI],C17,KB[TYPE],"A",KB[TANGGAL],"&gt;="&amp;$AD$8,KB[TANGGAL],"&lt;"&amp;DATE($FA$4,MONTH($AD$8)+1,0))</f>
        <v>0</v>
      </c>
      <c r="AE17" s="1323"/>
      <c r="AF17" s="1322"/>
      <c r="AG17" s="1321">
        <f t="shared" si="7"/>
        <v>0</v>
      </c>
      <c r="AH17" s="1322"/>
      <c r="AI17" s="1321">
        <f>SUMIFS(KB[TPOT],KB[RELASI],C17,KB[TYPE],"A",KB[TANGGAL],"&gt;="&amp;$AD$8,KB[TANGGAL],"&lt;"&amp;DATE($FA$4,MONTH($AD$8)+1,0))</f>
        <v>0</v>
      </c>
      <c r="AJ17" s="1322"/>
      <c r="AK17" s="1321">
        <f>SUMIFS(KB[NETTO2],KB[RELASI],C17,KB[TYPE],"A",KB[TANGGAL],"&gt;="&amp;$AD$8,KB[TANGGAL],"&lt;"&amp;DATE($FA$4,MONTH($AD$8)+1,0))</f>
        <v>0</v>
      </c>
      <c r="AL17" s="1323"/>
      <c r="AM17" s="1322"/>
      <c r="AN17" s="1321">
        <f>SUMIFS(KB[NETTO],KB[RELASI],C17,KB[TYPE],"A",KB[TANGGAL],"&gt;="&amp;$AN$8,KB[TANGGAL],"&lt;"&amp;DATE(YEAR($AN$8),MONTH($AN$8)+1,0))</f>
        <v>0</v>
      </c>
      <c r="AO17" s="1323"/>
      <c r="AP17" s="1322"/>
      <c r="AQ17" s="1321">
        <f t="shared" si="8"/>
        <v>0</v>
      </c>
      <c r="AR17" s="1322"/>
      <c r="AS17" s="1321">
        <f>SUMIFS(KB[TPOT],KB[RELASI],C17,KB[TYPE],"A",KB[TANGGAL],"&gt;="&amp;$AN$8,KB[TANGGAL],"&lt;"&amp;DATE(YEAR($AN$8),MONTH($AN$8)+1,0))</f>
        <v>0</v>
      </c>
      <c r="AT17" s="1322"/>
      <c r="AU17" s="1321">
        <f>SUMIFS(KB[NETTO2],KB[RELASI],C17,KB[TYPE],"A",KB[TANGGAL],"&gt;="&amp;$AN$8,KB[TANGGAL],"&lt;"&amp;DATE(YEAR($AN$8),MONTH($AN$8)+1,0))</f>
        <v>0</v>
      </c>
      <c r="AV17" s="1323"/>
      <c r="AW17" s="1322"/>
      <c r="AX17" s="1321">
        <f>SUMIFS(KB[NETTO],KB[RELASI],C17,KB[TYPE],"A",KB[TANGGAL],"&gt;="&amp;$AX$8,KB[TANGGAL],"&lt;"&amp;DATE(YEAR($AX$8),MONTH($AX$8)+1,0))</f>
        <v>0</v>
      </c>
      <c r="AY17" s="1323"/>
      <c r="AZ17" s="1322"/>
      <c r="BA17" s="1321">
        <f t="shared" si="9"/>
        <v>0</v>
      </c>
      <c r="BB17" s="1322"/>
      <c r="BC17" s="1321">
        <f>SUMIFS(KB[TPOT],KB[RELASI],C17,KB[TYPE],"A",KB[TANGGAL],"&gt;="&amp;$AX$8,KB[TANGGAL],"&lt;"&amp;DATE(YEAR($AX$8),MONTH($AX$8)+1,0))</f>
        <v>0</v>
      </c>
      <c r="BD17" s="1322"/>
      <c r="BE17" s="1321">
        <f>SUMIFS(KB[NETTO2],KB[RELASI],C17,KB[TYPE],"A",KB[TANGGAL],"&gt;="&amp;$AX$8,KB[TANGGAL],"&lt;"&amp;DATE(YEAR($AX$8),MONTH($AX$8)+1,0))</f>
        <v>0</v>
      </c>
      <c r="BF17" s="1323"/>
      <c r="BG17" s="1322"/>
      <c r="BH17" s="1321">
        <f>SUMIFS(KB[NETTO],KB[RELASI],C17,KB[TYPE],"A",KB[TANGGAL],"&gt;="&amp;$BH$8,KB[TANGGAL],"&lt;"&amp;DATE(YEAR($BH$8),MONTH($BH$8)+1,0))</f>
        <v>0</v>
      </c>
      <c r="BI17" s="1323"/>
      <c r="BJ17" s="1322"/>
      <c r="BK17" s="1321">
        <f t="shared" si="10"/>
        <v>0</v>
      </c>
      <c r="BL17" s="1322"/>
      <c r="BM17" s="1321">
        <f>SUMIFS(KB[TPOT],KB[RELASI],C17,KB[TYPE],"A",KB[TANGGAL],"&gt;="&amp;$BH$8,KB[TANGGAL],"&lt;"&amp;DATE(YEAR($BH$8),MONTH($BH$8)+1,0))</f>
        <v>0</v>
      </c>
      <c r="BN17" s="1322"/>
      <c r="BO17" s="1321">
        <f>SUMIFS(KB[NETTO2],KB[RELASI],C17,KB[TYPE],"A",KB[TANGGAL],"&gt;="&amp;$BH$8,KB[TANGGAL],"&lt;"&amp;DATE(YEAR($BH$8),MONTH($BH$8)+1,0))</f>
        <v>0</v>
      </c>
      <c r="BP17" s="1323"/>
      <c r="BQ17" s="1322"/>
      <c r="BR17" s="1321">
        <f>SUMIFS(KB[NETTO],KB[RELASI],C17,KB[TYPE],"A",KB[TANGGAL],"&gt;="&amp;$BR$8,KB[TANGGAL],"&lt;"&amp;DATE(YEAR($BR$8),MONTH($BR$8)+1,0))</f>
        <v>0</v>
      </c>
      <c r="BS17" s="1323"/>
      <c r="BT17" s="1322"/>
      <c r="BU17" s="1321">
        <f t="shared" si="11"/>
        <v>0</v>
      </c>
      <c r="BV17" s="1322"/>
      <c r="BW17" s="1321">
        <f>SUMIFS(KB[TPOT],KB[RELASI],C17,KB[TYPE],"A",KB[TANGGAL],"&gt;="&amp;$BR$8,KB[TANGGAL],"&lt;"&amp;DATE(YEAR($BR$8),MONTH($BR$8)+1,0))</f>
        <v>0</v>
      </c>
      <c r="BX17" s="1322"/>
      <c r="BY17" s="1321">
        <f>SUMIFS(KB[NETTO2],KB[RELASI],C17,KB[TYPE],"A",KB[TANGGAL],"&gt;="&amp;$BR$8,KB[TANGGAL],"&lt;"&amp;DATE(YEAR($BR$8),MONTH($BR$8)+1,0))</f>
        <v>0</v>
      </c>
      <c r="BZ17" s="1323"/>
      <c r="CA17" s="1322"/>
      <c r="CB17" s="1321">
        <f>SUMIFS(KB[NETTO],KB[RELASI],C17,KB[TYPE],"A",KB[TANGGAL],"&gt;="&amp;$CB$8,KB[TANGGAL],"&lt;"&amp;DATE(YEAR($CB$8),MONTH($CB$8)+1,0))</f>
        <v>0</v>
      </c>
      <c r="CC17" s="1323"/>
      <c r="CD17" s="1322"/>
      <c r="CE17" s="1321">
        <f t="shared" si="12"/>
        <v>0</v>
      </c>
      <c r="CF17" s="1322"/>
      <c r="CG17" s="1321">
        <f>SUMIFS(KB[TPOT],KB[RELASI],C17,KB[TYPE],"A",KB[TANGGAL],"&gt;="&amp;$CB$8,KB[TANGGAL],"&lt;"&amp;DATE(YEAR($CB$8),MONTH($CB$8)+1,0))</f>
        <v>0</v>
      </c>
      <c r="CH17" s="1322"/>
      <c r="CI17" s="1321">
        <f>SUMIFS(KB[NETTO2],KB[RELASI],C17,KB[TYPE],"A",KB[TANGGAL],"&gt;="&amp;$CB$8,KB[TANGGAL],"&lt;"&amp;DATE(YEAR($CB$8),MONTH($CB$8)+1,0))</f>
        <v>0</v>
      </c>
      <c r="CJ17" s="1323"/>
      <c r="CK17" s="1322"/>
      <c r="CL17" s="1321">
        <f>SUMIFS(KB[NETTO],KB[RELASI],C17,KB[TYPE],"A",KB[TANGGAL],"&gt;="&amp;$CL$8,KB[TANGGAL],"&lt;"&amp;DATE(YEAR($CL$8),MONTH($CL$8)+1,0))</f>
        <v>0</v>
      </c>
      <c r="CM17" s="1323"/>
      <c r="CN17" s="1322"/>
      <c r="CO17" s="1321">
        <f t="shared" si="13"/>
        <v>0</v>
      </c>
      <c r="CP17" s="1322"/>
      <c r="CQ17" s="1321">
        <f>SUMIFS(KB[TPOT],KB[RELASI],C17,KB[TYPE],"A",KB[TANGGAL],"&gt;="&amp;$CL$8,KB[TANGGAL],"&lt;"&amp;DATE(YEAR($CL$8),MONTH($CL$8)+1,0))</f>
        <v>0</v>
      </c>
      <c r="CR17" s="1322"/>
      <c r="CS17" s="1321">
        <f>SUMIFS(KB[NETTO2],KB[RELASI],C17,KB[TYPE],"A",KB[TANGGAL],"&gt;="&amp;$CL$8,KB[TANGGAL],"&lt;"&amp;DATE(YEAR($CL$8),MONTH($CL$8)+1,0))</f>
        <v>0</v>
      </c>
      <c r="CT17" s="1323"/>
      <c r="CU17" s="1322"/>
      <c r="CV17" s="1321">
        <f>SUMIFS(KB[NETTO],KB[RELASI],C17,KB[TYPE],"A",KB[TANGGAL],"&gt;="&amp;$CV$8,KB[TANGGAL],"&lt;"&amp;DATE(YEAR($CV$8),MONTH($CV$8)+1,0))</f>
        <v>0</v>
      </c>
      <c r="CW17" s="1323"/>
      <c r="CX17" s="1322"/>
      <c r="CY17" s="1321">
        <f t="shared" si="14"/>
        <v>0</v>
      </c>
      <c r="CZ17" s="1322"/>
      <c r="DA17" s="1321">
        <f>SUMIFS(KB[TPOT],KB[RELASI],C17,KB[TYPE],"A",KB[TANGGAL],"&gt;="&amp;$CV$8,KB[TANGGAL],"&lt;"&amp;DATE(YEAR($CV$8),MONTH($CV$8)+1,0))</f>
        <v>0</v>
      </c>
      <c r="DB17" s="1322"/>
      <c r="DC17" s="1321">
        <f>SUMIFS(KB[NETTO2],KB[RELASI],C17,KB[TYPE],"A",KB[TANGGAL],"&gt;="&amp;$CV$8,KB[TANGGAL],"&lt;"&amp;DATE(YEAR($CV$8),MONTH($CV$8)+1,0))</f>
        <v>0</v>
      </c>
      <c r="DD17" s="1323"/>
      <c r="DE17" s="1322"/>
      <c r="DF17" s="1321">
        <f>SUMIFS(KB[NETTO],KB[RELASI],C17,KB[TYPE],"A",KB[TANGGAL],"&gt;="&amp;$DF$8,KB[TANGGAL],"&lt;"&amp;DATE(YEAR($DF$8),MONTH($DF$8)+1,0))</f>
        <v>0</v>
      </c>
      <c r="DG17" s="1323"/>
      <c r="DH17" s="1322"/>
      <c r="DI17" s="1321">
        <f t="shared" si="15"/>
        <v>0</v>
      </c>
      <c r="DJ17" s="1322"/>
      <c r="DK17" s="1321">
        <f>SUMIFS(KB[TPOT],KB[RELASI],C17,KB[TYPE],"A",KB[TANGGAL],"&gt;="&amp;$DF$8,KB[TANGGAL],"&lt;"&amp;DATE(YEAR($DF$8),MONTH($DF$8)+1,0))</f>
        <v>0</v>
      </c>
      <c r="DL17" s="1322"/>
      <c r="DM17" s="1321">
        <f>SUMIFS(KB[NETTO2],KB[RELASI],C17,KB[TYPE],"A",KB[TANGGAL],"&gt;="&amp;$DF$8,KB[TANGGAL],"&lt;"&amp;DATE(YEAR($DF$8),MONTH($DF$8)+1,0))</f>
        <v>0</v>
      </c>
      <c r="DN17" s="1323"/>
      <c r="DO17" s="1322"/>
      <c r="DP17" s="1321">
        <f>SUMIFS(KB[NETTO],KB[RELASI],C17,KB[TYPE],"A",KB[TANGGAL],"&gt;="&amp;$DP$8,KB[TANGGAL],"&lt;"&amp;DATE(YEAR($DP$8),MONTH($DP$8)+1,0))</f>
        <v>0</v>
      </c>
      <c r="DQ17" s="1323"/>
      <c r="DR17" s="1322"/>
      <c r="DS17" s="1321">
        <f t="shared" si="16"/>
        <v>0</v>
      </c>
      <c r="DT17" s="1322"/>
      <c r="DU17" s="1321">
        <f>SUMIFS(KB[TPOT],KB[RELASI],C17,KB[TYPE],"A",KB[TANGGAL],"&gt;="&amp;$DP$8,KB[TANGGAL],"&lt;"&amp;DATE(YEAR($DP$8),MONTH($DP$8)+1,0))</f>
        <v>0</v>
      </c>
      <c r="DV17" s="1322"/>
      <c r="DW17" s="1321">
        <f>SUMIFS(KB[NETTO2],KB[RELASI],C17,KB[TYPE],"A",KB[TANGGAL],"&gt;="&amp;$DP$8,KB[TANGGAL],"&lt;"&amp;DATE(YEAR($DP$8),MONTH($DP$8)+1,0))</f>
        <v>0</v>
      </c>
      <c r="DX17" s="1323"/>
      <c r="DY17" s="1322"/>
      <c r="DZ17" s="1321">
        <f>SUMIFS(KB[NETTO],KB[RELASI],C17,KB[TYPE],"A",KB[TANGGAL],"&gt;="&amp;$DZ$8,KB[TANGGAL],"&lt;"&amp;DATE(YEAR($DZ$8),MONTH($DZ$8)+1,0))</f>
        <v>0</v>
      </c>
      <c r="EA17" s="1323"/>
      <c r="EB17" s="1322"/>
      <c r="EC17" s="1321">
        <f t="shared" si="17"/>
        <v>0</v>
      </c>
      <c r="ED17" s="1322"/>
      <c r="EE17" s="1321">
        <f>SUMIFS(KB[TPOT],KB[RELASI],C17,KB[TYPE],"A",KB[TANGGAL],"&gt;="&amp;$DZ$8,KB[TANGGAL],"&lt;"&amp;DATE(YEAR($DZ$8),MONTH($DZ$8)+1,0))</f>
        <v>0</v>
      </c>
      <c r="EF17" s="1322"/>
      <c r="EG17" s="1321">
        <f>SUMIFS(KB[NETTO2],KB[RELASI],C17,KB[TYPE],"A",KB[TANGGAL],"&gt;="&amp;$DZ$8,KB[TANGGAL],"&lt;"&amp;DATE(YEAR($DZ$8),MONTH($DZ$8)+1,0))</f>
        <v>0</v>
      </c>
      <c r="EH17" s="1323"/>
      <c r="EI17" s="1322"/>
      <c r="EJ17" s="844"/>
      <c r="EK17" s="845"/>
      <c r="EL17" s="846"/>
      <c r="EM17" s="844"/>
      <c r="EN17" s="846"/>
      <c r="EO17" s="844"/>
      <c r="EP17" s="846"/>
      <c r="EQ17" s="844"/>
      <c r="ER17" s="845"/>
      <c r="ES17" s="847"/>
    </row>
    <row r="18" spans="2:149" ht="18" customHeight="1">
      <c r="B18" s="1040">
        <f t="shared" si="18"/>
        <v>8</v>
      </c>
      <c r="C18" s="844" t="str">
        <f>RELASI!C10</f>
        <v>BUMDESA AMANAH NEGERI</v>
      </c>
      <c r="D18" s="845"/>
      <c r="E18" s="845"/>
      <c r="F18" s="846"/>
      <c r="G18" s="844" t="str">
        <f>RELASI!D10</f>
        <v>Mumpa</v>
      </c>
      <c r="H18" s="845"/>
      <c r="I18" s="846"/>
      <c r="J18" s="1319">
        <f>SUMIFS(KB[NETTO],KB[RELASI],C18,KB[TYPE],"A",KB[TANGGAL],"&gt;="&amp;DATE($J$7,1,1),KB[TANGGAL],"&lt;"&amp;DATE($J$7+1,1,0))/12</f>
        <v>0</v>
      </c>
      <c r="K18" s="1324"/>
      <c r="L18" s="1320"/>
      <c r="M18" s="1319">
        <f t="shared" si="19"/>
        <v>0</v>
      </c>
      <c r="N18" s="1320"/>
      <c r="O18" s="1321">
        <f>SUMIFS(KB[TPOT],KB[RELASI],C18,KB[TYPE],"A",KB[TANGGAL],"&gt;="&amp;DATE($J$7,1,1),KB[TANGGAL],"&lt;"&amp;DATE($J$7+1,1,0))/12</f>
        <v>0</v>
      </c>
      <c r="P18" s="1322"/>
      <c r="Q18" s="1321">
        <f>SUMIFS(KB[NETTO2],KB[RELASI],C18,KB[TYPE],"A",KB[TANGGAL],"&gt;="&amp;DATE($J$7,1,1),KB[TANGGAL],"&lt;"&amp;DATE($J$7+1,1,0))/12</f>
        <v>0</v>
      </c>
      <c r="R18" s="1323"/>
      <c r="S18" s="1322"/>
      <c r="T18" s="1321">
        <f>SUMIFS(KB[NETTO],KB[RELASI],C18,KB[TYPE],"A",KB[TANGGAL],"&gt;="&amp;$T$8,KB[TANGGAL],"&lt;"&amp;DATE($FA$4,$FA$5+1,0))</f>
        <v>0</v>
      </c>
      <c r="U18" s="1323"/>
      <c r="V18" s="1322"/>
      <c r="W18" s="1319">
        <f t="shared" si="20"/>
        <v>0</v>
      </c>
      <c r="X18" s="1320"/>
      <c r="Y18" s="1339">
        <f>SUMIFS(KB[TPOT],KB[RELASI],C18,KB[TYPE],"A",KB[TANGGAL],"&gt;="&amp;$T$8,KB[TANGGAL],"&lt;"&amp;DATE($FA$4,$FA$5+1,0))</f>
        <v>0</v>
      </c>
      <c r="Z18" s="1340"/>
      <c r="AA18" s="1339">
        <f>SUMIFS(KB[NETTO2],KB[RELASI],C18,KB[TYPE],"A",KB[TANGGAL],"&gt;="&amp;$T$8,KB[TANGGAL],"&lt;"&amp;DATE($FA$4,$FA$5+1,0))</f>
        <v>0</v>
      </c>
      <c r="AB18" s="1341"/>
      <c r="AC18" s="1340"/>
      <c r="AD18" s="1321">
        <f>SUMIFS(KB[NETTO],KB[RELASI],C18,KB[TYPE],"A",KB[TANGGAL],"&gt;="&amp;$AD$8,KB[TANGGAL],"&lt;"&amp;DATE($FA$4,MONTH($AD$8)+1,0))</f>
        <v>0</v>
      </c>
      <c r="AE18" s="1323"/>
      <c r="AF18" s="1322"/>
      <c r="AG18" s="1321">
        <f t="shared" si="7"/>
        <v>0</v>
      </c>
      <c r="AH18" s="1322"/>
      <c r="AI18" s="1321">
        <f>SUMIFS(KB[TPOT],KB[RELASI],C18,KB[TYPE],"A",KB[TANGGAL],"&gt;="&amp;$AD$8,KB[TANGGAL],"&lt;"&amp;DATE($FA$4,MONTH($AD$8)+1,0))</f>
        <v>0</v>
      </c>
      <c r="AJ18" s="1322"/>
      <c r="AK18" s="1321">
        <f>SUMIFS(KB[NETTO2],KB[RELASI],C18,KB[TYPE],"A",KB[TANGGAL],"&gt;="&amp;$AD$8,KB[TANGGAL],"&lt;"&amp;DATE($FA$4,MONTH($AD$8)+1,0))</f>
        <v>0</v>
      </c>
      <c r="AL18" s="1323"/>
      <c r="AM18" s="1322"/>
      <c r="AN18" s="1321">
        <f>SUMIFS(KB[NETTO],KB[RELASI],C18,KB[TYPE],"A",KB[TANGGAL],"&gt;="&amp;$AN$8,KB[TANGGAL],"&lt;"&amp;DATE(YEAR($AN$8),MONTH($AN$8)+1,0))</f>
        <v>0</v>
      </c>
      <c r="AO18" s="1323"/>
      <c r="AP18" s="1322"/>
      <c r="AQ18" s="1321">
        <f t="shared" si="8"/>
        <v>0</v>
      </c>
      <c r="AR18" s="1322"/>
      <c r="AS18" s="1321">
        <f>SUMIFS(KB[TPOT],KB[RELASI],C18,KB[TYPE],"A",KB[TANGGAL],"&gt;="&amp;$AN$8,KB[TANGGAL],"&lt;"&amp;DATE(YEAR($AN$8),MONTH($AN$8)+1,0))</f>
        <v>0</v>
      </c>
      <c r="AT18" s="1322"/>
      <c r="AU18" s="1321">
        <f>SUMIFS(KB[NETTO2],KB[RELASI],C18,KB[TYPE],"A",KB[TANGGAL],"&gt;="&amp;$AN$8,KB[TANGGAL],"&lt;"&amp;DATE(YEAR($AN$8),MONTH($AN$8)+1,0))</f>
        <v>0</v>
      </c>
      <c r="AV18" s="1323"/>
      <c r="AW18" s="1322"/>
      <c r="AX18" s="1321">
        <f>SUMIFS(KB[NETTO],KB[RELASI],C18,KB[TYPE],"A",KB[TANGGAL],"&gt;="&amp;$AX$8,KB[TANGGAL],"&lt;"&amp;DATE(YEAR($AX$8),MONTH($AX$8)+1,0))</f>
        <v>0</v>
      </c>
      <c r="AY18" s="1323"/>
      <c r="AZ18" s="1322"/>
      <c r="BA18" s="1321">
        <f t="shared" si="9"/>
        <v>0</v>
      </c>
      <c r="BB18" s="1322"/>
      <c r="BC18" s="1321">
        <f>SUMIFS(KB[TPOT],KB[RELASI],C18,KB[TYPE],"A",KB[TANGGAL],"&gt;="&amp;$AX$8,KB[TANGGAL],"&lt;"&amp;DATE(YEAR($AX$8),MONTH($AX$8)+1,0))</f>
        <v>0</v>
      </c>
      <c r="BD18" s="1322"/>
      <c r="BE18" s="1321">
        <f>SUMIFS(KB[NETTO2],KB[RELASI],C18,KB[TYPE],"A",KB[TANGGAL],"&gt;="&amp;$AX$8,KB[TANGGAL],"&lt;"&amp;DATE(YEAR($AX$8),MONTH($AX$8)+1,0))</f>
        <v>0</v>
      </c>
      <c r="BF18" s="1323"/>
      <c r="BG18" s="1322"/>
      <c r="BH18" s="1321">
        <f>SUMIFS(KB[NETTO],KB[RELASI],C18,KB[TYPE],"A",KB[TANGGAL],"&gt;="&amp;$BH$8,KB[TANGGAL],"&lt;"&amp;DATE(YEAR($BH$8),MONTH($BH$8)+1,0))</f>
        <v>0</v>
      </c>
      <c r="BI18" s="1323"/>
      <c r="BJ18" s="1322"/>
      <c r="BK18" s="1321">
        <f t="shared" si="10"/>
        <v>0</v>
      </c>
      <c r="BL18" s="1322"/>
      <c r="BM18" s="1321">
        <f>SUMIFS(KB[TPOT],KB[RELASI],C18,KB[TYPE],"A",KB[TANGGAL],"&gt;="&amp;$BH$8,KB[TANGGAL],"&lt;"&amp;DATE(YEAR($BH$8),MONTH($BH$8)+1,0))</f>
        <v>0</v>
      </c>
      <c r="BN18" s="1322"/>
      <c r="BO18" s="1321">
        <f>SUMIFS(KB[NETTO2],KB[RELASI],C18,KB[TYPE],"A",KB[TANGGAL],"&gt;="&amp;$BH$8,KB[TANGGAL],"&lt;"&amp;DATE(YEAR($BH$8),MONTH($BH$8)+1,0))</f>
        <v>0</v>
      </c>
      <c r="BP18" s="1323"/>
      <c r="BQ18" s="1322"/>
      <c r="BR18" s="1321">
        <f>SUMIFS(KB[NETTO],KB[RELASI],C18,KB[TYPE],"A",KB[TANGGAL],"&gt;="&amp;$BR$8,KB[TANGGAL],"&lt;"&amp;DATE(YEAR($BR$8),MONTH($BR$8)+1,0))</f>
        <v>0</v>
      </c>
      <c r="BS18" s="1323"/>
      <c r="BT18" s="1322"/>
      <c r="BU18" s="1321">
        <f t="shared" si="11"/>
        <v>0</v>
      </c>
      <c r="BV18" s="1322"/>
      <c r="BW18" s="1321">
        <f>SUMIFS(KB[TPOT],KB[RELASI],C18,KB[TYPE],"A",KB[TANGGAL],"&gt;="&amp;$BR$8,KB[TANGGAL],"&lt;"&amp;DATE(YEAR($BR$8),MONTH($BR$8)+1,0))</f>
        <v>0</v>
      </c>
      <c r="BX18" s="1322"/>
      <c r="BY18" s="1321">
        <f>SUMIFS(KB[NETTO2],KB[RELASI],C18,KB[TYPE],"A",KB[TANGGAL],"&gt;="&amp;$BR$8,KB[TANGGAL],"&lt;"&amp;DATE(YEAR($BR$8),MONTH($BR$8)+1,0))</f>
        <v>0</v>
      </c>
      <c r="BZ18" s="1323"/>
      <c r="CA18" s="1322"/>
      <c r="CB18" s="1321">
        <f>SUMIFS(KB[NETTO],KB[RELASI],C18,KB[TYPE],"A",KB[TANGGAL],"&gt;="&amp;$CB$8,KB[TANGGAL],"&lt;"&amp;DATE(YEAR($CB$8),MONTH($CB$8)+1,0))</f>
        <v>0</v>
      </c>
      <c r="CC18" s="1323"/>
      <c r="CD18" s="1322"/>
      <c r="CE18" s="1321">
        <f t="shared" si="12"/>
        <v>0</v>
      </c>
      <c r="CF18" s="1322"/>
      <c r="CG18" s="1321">
        <f>SUMIFS(KB[TPOT],KB[RELASI],C18,KB[TYPE],"A",KB[TANGGAL],"&gt;="&amp;$CB$8,KB[TANGGAL],"&lt;"&amp;DATE(YEAR($CB$8),MONTH($CB$8)+1,0))</f>
        <v>0</v>
      </c>
      <c r="CH18" s="1322"/>
      <c r="CI18" s="1321">
        <f>SUMIFS(KB[NETTO2],KB[RELASI],C18,KB[TYPE],"A",KB[TANGGAL],"&gt;="&amp;$CB$8,KB[TANGGAL],"&lt;"&amp;DATE(YEAR($CB$8),MONTH($CB$8)+1,0))</f>
        <v>0</v>
      </c>
      <c r="CJ18" s="1323"/>
      <c r="CK18" s="1322"/>
      <c r="CL18" s="1321">
        <f>SUMIFS(KB[NETTO],KB[RELASI],C18,KB[TYPE],"A",KB[TANGGAL],"&gt;="&amp;$CL$8,KB[TANGGAL],"&lt;"&amp;DATE(YEAR($CL$8),MONTH($CL$8)+1,0))</f>
        <v>0</v>
      </c>
      <c r="CM18" s="1323"/>
      <c r="CN18" s="1322"/>
      <c r="CO18" s="1321">
        <f t="shared" si="13"/>
        <v>0</v>
      </c>
      <c r="CP18" s="1322"/>
      <c r="CQ18" s="1321">
        <f>SUMIFS(KB[TPOT],KB[RELASI],C18,KB[TYPE],"A",KB[TANGGAL],"&gt;="&amp;$CL$8,KB[TANGGAL],"&lt;"&amp;DATE(YEAR($CL$8),MONTH($CL$8)+1,0))</f>
        <v>0</v>
      </c>
      <c r="CR18" s="1322"/>
      <c r="CS18" s="1321">
        <f>SUMIFS(KB[NETTO2],KB[RELASI],C18,KB[TYPE],"A",KB[TANGGAL],"&gt;="&amp;$CL$8,KB[TANGGAL],"&lt;"&amp;DATE(YEAR($CL$8),MONTH($CL$8)+1,0))</f>
        <v>0</v>
      </c>
      <c r="CT18" s="1323"/>
      <c r="CU18" s="1322"/>
      <c r="CV18" s="1321">
        <f>SUMIFS(KB[NETTO],KB[RELASI],C18,KB[TYPE],"A",KB[TANGGAL],"&gt;="&amp;$CV$8,KB[TANGGAL],"&lt;"&amp;DATE(YEAR($CV$8),MONTH($CV$8)+1,0))</f>
        <v>0</v>
      </c>
      <c r="CW18" s="1323"/>
      <c r="CX18" s="1322"/>
      <c r="CY18" s="1321">
        <f t="shared" si="14"/>
        <v>0</v>
      </c>
      <c r="CZ18" s="1322"/>
      <c r="DA18" s="1321">
        <f>SUMIFS(KB[TPOT],KB[RELASI],C18,KB[TYPE],"A",KB[TANGGAL],"&gt;="&amp;$CV$8,KB[TANGGAL],"&lt;"&amp;DATE(YEAR($CV$8),MONTH($CV$8)+1,0))</f>
        <v>0</v>
      </c>
      <c r="DB18" s="1322"/>
      <c r="DC18" s="1321">
        <f>SUMIFS(KB[NETTO2],KB[RELASI],C18,KB[TYPE],"A",KB[TANGGAL],"&gt;="&amp;$CV$8,KB[TANGGAL],"&lt;"&amp;DATE(YEAR($CV$8),MONTH($CV$8)+1,0))</f>
        <v>0</v>
      </c>
      <c r="DD18" s="1323"/>
      <c r="DE18" s="1322"/>
      <c r="DF18" s="1321">
        <f>SUMIFS(KB[NETTO],KB[RELASI],C18,KB[TYPE],"A",KB[TANGGAL],"&gt;="&amp;$DF$8,KB[TANGGAL],"&lt;"&amp;DATE(YEAR($DF$8),MONTH($DF$8)+1,0))</f>
        <v>0</v>
      </c>
      <c r="DG18" s="1323"/>
      <c r="DH18" s="1322"/>
      <c r="DI18" s="1321">
        <f t="shared" si="15"/>
        <v>0</v>
      </c>
      <c r="DJ18" s="1322"/>
      <c r="DK18" s="1321">
        <f>SUMIFS(KB[TPOT],KB[RELASI],C18,KB[TYPE],"A",KB[TANGGAL],"&gt;="&amp;$DF$8,KB[TANGGAL],"&lt;"&amp;DATE(YEAR($DF$8),MONTH($DF$8)+1,0))</f>
        <v>0</v>
      </c>
      <c r="DL18" s="1322"/>
      <c r="DM18" s="1321">
        <f>SUMIFS(KB[NETTO2],KB[RELASI],C18,KB[TYPE],"A",KB[TANGGAL],"&gt;="&amp;$DF$8,KB[TANGGAL],"&lt;"&amp;DATE(YEAR($DF$8),MONTH($DF$8)+1,0))</f>
        <v>0</v>
      </c>
      <c r="DN18" s="1323"/>
      <c r="DO18" s="1322"/>
      <c r="DP18" s="1321">
        <f>SUMIFS(KB[NETTO],KB[RELASI],C18,KB[TYPE],"A",KB[TANGGAL],"&gt;="&amp;$DP$8,KB[TANGGAL],"&lt;"&amp;DATE(YEAR($DP$8),MONTH($DP$8)+1,0))</f>
        <v>0</v>
      </c>
      <c r="DQ18" s="1323"/>
      <c r="DR18" s="1322"/>
      <c r="DS18" s="1321">
        <f t="shared" si="16"/>
        <v>0</v>
      </c>
      <c r="DT18" s="1322"/>
      <c r="DU18" s="1321">
        <f>SUMIFS(KB[TPOT],KB[RELASI],C18,KB[TYPE],"A",KB[TANGGAL],"&gt;="&amp;$DP$8,KB[TANGGAL],"&lt;"&amp;DATE(YEAR($DP$8),MONTH($DP$8)+1,0))</f>
        <v>0</v>
      </c>
      <c r="DV18" s="1322"/>
      <c r="DW18" s="1321">
        <f>SUMIFS(KB[NETTO2],KB[RELASI],C18,KB[TYPE],"A",KB[TANGGAL],"&gt;="&amp;$DP$8,KB[TANGGAL],"&lt;"&amp;DATE(YEAR($DP$8),MONTH($DP$8)+1,0))</f>
        <v>0</v>
      </c>
      <c r="DX18" s="1323"/>
      <c r="DY18" s="1322"/>
      <c r="DZ18" s="1321">
        <f>SUMIFS(KB[NETTO],KB[RELASI],C18,KB[TYPE],"A",KB[TANGGAL],"&gt;="&amp;$DZ$8,KB[TANGGAL],"&lt;"&amp;DATE(YEAR($DZ$8),MONTH($DZ$8)+1,0))</f>
        <v>0</v>
      </c>
      <c r="EA18" s="1323"/>
      <c r="EB18" s="1322"/>
      <c r="EC18" s="1321">
        <f t="shared" si="17"/>
        <v>0</v>
      </c>
      <c r="ED18" s="1322"/>
      <c r="EE18" s="1321">
        <f>SUMIFS(KB[TPOT],KB[RELASI],C18,KB[TYPE],"A",KB[TANGGAL],"&gt;="&amp;$DZ$8,KB[TANGGAL],"&lt;"&amp;DATE(YEAR($DZ$8),MONTH($DZ$8)+1,0))</f>
        <v>0</v>
      </c>
      <c r="EF18" s="1322"/>
      <c r="EG18" s="1321">
        <f>SUMIFS(KB[NETTO2],KB[RELASI],C18,KB[TYPE],"A",KB[TANGGAL],"&gt;="&amp;$DZ$8,KB[TANGGAL],"&lt;"&amp;DATE(YEAR($DZ$8),MONTH($DZ$8)+1,0))</f>
        <v>0</v>
      </c>
      <c r="EH18" s="1323"/>
      <c r="EI18" s="1322"/>
      <c r="EJ18" s="844"/>
      <c r="EK18" s="845"/>
      <c r="EL18" s="846"/>
      <c r="EM18" s="844"/>
      <c r="EN18" s="846"/>
      <c r="EO18" s="844"/>
      <c r="EP18" s="846"/>
      <c r="EQ18" s="844"/>
      <c r="ER18" s="845"/>
      <c r="ES18" s="847"/>
    </row>
    <row r="19" spans="2:149" ht="18" customHeight="1">
      <c r="B19" s="1040">
        <f t="shared" si="18"/>
        <v>9</v>
      </c>
      <c r="C19" s="844" t="str">
        <f>RELASI!C11</f>
        <v>DARMI</v>
      </c>
      <c r="D19" s="845"/>
      <c r="E19" s="845"/>
      <c r="F19" s="846"/>
      <c r="G19" s="844" t="str">
        <f>RELASI!D11</f>
        <v>Sei. Sejuk</v>
      </c>
      <c r="H19" s="845"/>
      <c r="I19" s="846"/>
      <c r="J19" s="1319">
        <f>SUMIFS(KB[NETTO],KB[RELASI],C19,KB[TYPE],"A",KB[TANGGAL],"&gt;="&amp;DATE($J$7,1,1),KB[TANGGAL],"&lt;"&amp;DATE($J$7+1,1,0))/12</f>
        <v>0</v>
      </c>
      <c r="K19" s="1324"/>
      <c r="L19" s="1320"/>
      <c r="M19" s="1319">
        <f t="shared" si="19"/>
        <v>0</v>
      </c>
      <c r="N19" s="1320"/>
      <c r="O19" s="1321">
        <f>SUMIFS(KB[TPOT],KB[RELASI],C19,KB[TYPE],"A",KB[TANGGAL],"&gt;="&amp;DATE($J$7,1,1),KB[TANGGAL],"&lt;"&amp;DATE($J$7+1,1,0))/12</f>
        <v>0</v>
      </c>
      <c r="P19" s="1322"/>
      <c r="Q19" s="1321">
        <f>SUMIFS(KB[NETTO2],KB[RELASI],C19,KB[TYPE],"A",KB[TANGGAL],"&gt;="&amp;DATE($J$7,1,1),KB[TANGGAL],"&lt;"&amp;DATE($J$7+1,1,0))/12</f>
        <v>0</v>
      </c>
      <c r="R19" s="1323"/>
      <c r="S19" s="1322"/>
      <c r="T19" s="1321">
        <f>SUMIFS(KB[NETTO],KB[RELASI],C19,KB[TYPE],"A",KB[TANGGAL],"&gt;="&amp;$T$8,KB[TANGGAL],"&lt;"&amp;DATE($FA$4,$FA$5+1,0))</f>
        <v>0</v>
      </c>
      <c r="U19" s="1323"/>
      <c r="V19" s="1322"/>
      <c r="W19" s="1319">
        <f t="shared" si="20"/>
        <v>0</v>
      </c>
      <c r="X19" s="1320"/>
      <c r="Y19" s="1339">
        <f>SUMIFS(KB[TPOT],KB[RELASI],C19,KB[TYPE],"A",KB[TANGGAL],"&gt;="&amp;$T$8,KB[TANGGAL],"&lt;"&amp;DATE($FA$4,$FA$5+1,0))</f>
        <v>0</v>
      </c>
      <c r="Z19" s="1340"/>
      <c r="AA19" s="1339">
        <f>SUMIFS(KB[NETTO2],KB[RELASI],C19,KB[TYPE],"A",KB[TANGGAL],"&gt;="&amp;$T$8,KB[TANGGAL],"&lt;"&amp;DATE($FA$4,$FA$5+1,0))</f>
        <v>0</v>
      </c>
      <c r="AB19" s="1341"/>
      <c r="AC19" s="1340"/>
      <c r="AD19" s="1321">
        <f>SUMIFS(KB[NETTO],KB[RELASI],C19,KB[TYPE],"A",KB[TANGGAL],"&gt;="&amp;$AD$8,KB[TANGGAL],"&lt;"&amp;DATE($FA$4,MONTH($AD$8)+1,0))</f>
        <v>0</v>
      </c>
      <c r="AE19" s="1323"/>
      <c r="AF19" s="1322"/>
      <c r="AG19" s="1321">
        <f t="shared" si="7"/>
        <v>0</v>
      </c>
      <c r="AH19" s="1322"/>
      <c r="AI19" s="1321">
        <f>SUMIFS(KB[TPOT],KB[RELASI],C19,KB[TYPE],"A",KB[TANGGAL],"&gt;="&amp;$AD$8,KB[TANGGAL],"&lt;"&amp;DATE($FA$4,MONTH($AD$8)+1,0))</f>
        <v>0</v>
      </c>
      <c r="AJ19" s="1322"/>
      <c r="AK19" s="1321">
        <f>SUMIFS(KB[NETTO2],KB[RELASI],C19,KB[TYPE],"A",KB[TANGGAL],"&gt;="&amp;$AD$8,KB[TANGGAL],"&lt;"&amp;DATE($FA$4,MONTH($AD$8)+1,0))</f>
        <v>0</v>
      </c>
      <c r="AL19" s="1323"/>
      <c r="AM19" s="1322"/>
      <c r="AN19" s="1321">
        <f>SUMIFS(KB[NETTO],KB[RELASI],C19,KB[TYPE],"A",KB[TANGGAL],"&gt;="&amp;$AN$8,KB[TANGGAL],"&lt;"&amp;DATE(YEAR($AN$8),MONTH($AN$8)+1,0))</f>
        <v>0</v>
      </c>
      <c r="AO19" s="1323"/>
      <c r="AP19" s="1322"/>
      <c r="AQ19" s="1321">
        <f t="shared" si="8"/>
        <v>0</v>
      </c>
      <c r="AR19" s="1322"/>
      <c r="AS19" s="1321">
        <f>SUMIFS(KB[TPOT],KB[RELASI],C19,KB[TYPE],"A",KB[TANGGAL],"&gt;="&amp;$AN$8,KB[TANGGAL],"&lt;"&amp;DATE(YEAR($AN$8),MONTH($AN$8)+1,0))</f>
        <v>0</v>
      </c>
      <c r="AT19" s="1322"/>
      <c r="AU19" s="1321">
        <f>SUMIFS(KB[NETTO2],KB[RELASI],C19,KB[TYPE],"A",KB[TANGGAL],"&gt;="&amp;$AN$8,KB[TANGGAL],"&lt;"&amp;DATE(YEAR($AN$8),MONTH($AN$8)+1,0))</f>
        <v>0</v>
      </c>
      <c r="AV19" s="1323"/>
      <c r="AW19" s="1322"/>
      <c r="AX19" s="1321">
        <f>SUMIFS(KB[NETTO],KB[RELASI],C19,KB[TYPE],"A",KB[TANGGAL],"&gt;="&amp;$AX$8,KB[TANGGAL],"&lt;"&amp;DATE(YEAR($AX$8),MONTH($AX$8)+1,0))</f>
        <v>0</v>
      </c>
      <c r="AY19" s="1323"/>
      <c r="AZ19" s="1322"/>
      <c r="BA19" s="1321">
        <f t="shared" si="9"/>
        <v>0</v>
      </c>
      <c r="BB19" s="1322"/>
      <c r="BC19" s="1321">
        <f>SUMIFS(KB[TPOT],KB[RELASI],C19,KB[TYPE],"A",KB[TANGGAL],"&gt;="&amp;$AX$8,KB[TANGGAL],"&lt;"&amp;DATE(YEAR($AX$8),MONTH($AX$8)+1,0))</f>
        <v>0</v>
      </c>
      <c r="BD19" s="1322"/>
      <c r="BE19" s="1321">
        <f>SUMIFS(KB[NETTO2],KB[RELASI],C19,KB[TYPE],"A",KB[TANGGAL],"&gt;="&amp;$AX$8,KB[TANGGAL],"&lt;"&amp;DATE(YEAR($AX$8),MONTH($AX$8)+1,0))</f>
        <v>0</v>
      </c>
      <c r="BF19" s="1323"/>
      <c r="BG19" s="1322"/>
      <c r="BH19" s="1321">
        <f>SUMIFS(KB[NETTO],KB[RELASI],C19,KB[TYPE],"A",KB[TANGGAL],"&gt;="&amp;$BH$8,KB[TANGGAL],"&lt;"&amp;DATE(YEAR($BH$8),MONTH($BH$8)+1,0))</f>
        <v>0</v>
      </c>
      <c r="BI19" s="1323"/>
      <c r="BJ19" s="1322"/>
      <c r="BK19" s="1321">
        <f t="shared" si="10"/>
        <v>0</v>
      </c>
      <c r="BL19" s="1322"/>
      <c r="BM19" s="1321">
        <f>SUMIFS(KB[TPOT],KB[RELASI],C19,KB[TYPE],"A",KB[TANGGAL],"&gt;="&amp;$BH$8,KB[TANGGAL],"&lt;"&amp;DATE(YEAR($BH$8),MONTH($BH$8)+1,0))</f>
        <v>0</v>
      </c>
      <c r="BN19" s="1322"/>
      <c r="BO19" s="1321">
        <f>SUMIFS(KB[NETTO2],KB[RELASI],C19,KB[TYPE],"A",KB[TANGGAL],"&gt;="&amp;$BH$8,KB[TANGGAL],"&lt;"&amp;DATE(YEAR($BH$8),MONTH($BH$8)+1,0))</f>
        <v>0</v>
      </c>
      <c r="BP19" s="1323"/>
      <c r="BQ19" s="1322"/>
      <c r="BR19" s="1321">
        <f>SUMIFS(KB[NETTO],KB[RELASI],C19,KB[TYPE],"A",KB[TANGGAL],"&gt;="&amp;$BR$8,KB[TANGGAL],"&lt;"&amp;DATE(YEAR($BR$8),MONTH($BR$8)+1,0))</f>
        <v>0</v>
      </c>
      <c r="BS19" s="1323"/>
      <c r="BT19" s="1322"/>
      <c r="BU19" s="1321">
        <f t="shared" si="11"/>
        <v>0</v>
      </c>
      <c r="BV19" s="1322"/>
      <c r="BW19" s="1321">
        <f>SUMIFS(KB[TPOT],KB[RELASI],C19,KB[TYPE],"A",KB[TANGGAL],"&gt;="&amp;$BR$8,KB[TANGGAL],"&lt;"&amp;DATE(YEAR($BR$8),MONTH($BR$8)+1,0))</f>
        <v>0</v>
      </c>
      <c r="BX19" s="1322"/>
      <c r="BY19" s="1321">
        <f>SUMIFS(KB[NETTO2],KB[RELASI],C19,KB[TYPE],"A",KB[TANGGAL],"&gt;="&amp;$BR$8,KB[TANGGAL],"&lt;"&amp;DATE(YEAR($BR$8),MONTH($BR$8)+1,0))</f>
        <v>0</v>
      </c>
      <c r="BZ19" s="1323"/>
      <c r="CA19" s="1322"/>
      <c r="CB19" s="1321">
        <f>SUMIFS(KB[NETTO],KB[RELASI],C19,KB[TYPE],"A",KB[TANGGAL],"&gt;="&amp;$CB$8,KB[TANGGAL],"&lt;"&amp;DATE(YEAR($CB$8),MONTH($CB$8)+1,0))</f>
        <v>0</v>
      </c>
      <c r="CC19" s="1323"/>
      <c r="CD19" s="1322"/>
      <c r="CE19" s="1321">
        <f t="shared" si="12"/>
        <v>0</v>
      </c>
      <c r="CF19" s="1322"/>
      <c r="CG19" s="1321">
        <f>SUMIFS(KB[TPOT],KB[RELASI],C19,KB[TYPE],"A",KB[TANGGAL],"&gt;="&amp;$CB$8,KB[TANGGAL],"&lt;"&amp;DATE(YEAR($CB$8),MONTH($CB$8)+1,0))</f>
        <v>0</v>
      </c>
      <c r="CH19" s="1322"/>
      <c r="CI19" s="1321">
        <f>SUMIFS(KB[NETTO2],KB[RELASI],C19,KB[TYPE],"A",KB[TANGGAL],"&gt;="&amp;$CB$8,KB[TANGGAL],"&lt;"&amp;DATE(YEAR($CB$8),MONTH($CB$8)+1,0))</f>
        <v>0</v>
      </c>
      <c r="CJ19" s="1323"/>
      <c r="CK19" s="1322"/>
      <c r="CL19" s="1321">
        <f>SUMIFS(KB[NETTO],KB[RELASI],C19,KB[TYPE],"A",KB[TANGGAL],"&gt;="&amp;$CL$8,KB[TANGGAL],"&lt;"&amp;DATE(YEAR($CL$8),MONTH($CL$8)+1,0))</f>
        <v>0</v>
      </c>
      <c r="CM19" s="1323"/>
      <c r="CN19" s="1322"/>
      <c r="CO19" s="1321">
        <f t="shared" si="13"/>
        <v>0</v>
      </c>
      <c r="CP19" s="1322"/>
      <c r="CQ19" s="1321">
        <f>SUMIFS(KB[TPOT],KB[RELASI],C19,KB[TYPE],"A",KB[TANGGAL],"&gt;="&amp;$CL$8,KB[TANGGAL],"&lt;"&amp;DATE(YEAR($CL$8),MONTH($CL$8)+1,0))</f>
        <v>0</v>
      </c>
      <c r="CR19" s="1322"/>
      <c r="CS19" s="1321">
        <f>SUMIFS(KB[NETTO2],KB[RELASI],C19,KB[TYPE],"A",KB[TANGGAL],"&gt;="&amp;$CL$8,KB[TANGGAL],"&lt;"&amp;DATE(YEAR($CL$8),MONTH($CL$8)+1,0))</f>
        <v>0</v>
      </c>
      <c r="CT19" s="1323"/>
      <c r="CU19" s="1322"/>
      <c r="CV19" s="1321">
        <f>SUMIFS(KB[NETTO],KB[RELASI],C19,KB[TYPE],"A",KB[TANGGAL],"&gt;="&amp;$CV$8,KB[TANGGAL],"&lt;"&amp;DATE(YEAR($CV$8),MONTH($CV$8)+1,0))</f>
        <v>0</v>
      </c>
      <c r="CW19" s="1323"/>
      <c r="CX19" s="1322"/>
      <c r="CY19" s="1321">
        <f t="shared" si="14"/>
        <v>0</v>
      </c>
      <c r="CZ19" s="1322"/>
      <c r="DA19" s="1321">
        <f>SUMIFS(KB[TPOT],KB[RELASI],C19,KB[TYPE],"A",KB[TANGGAL],"&gt;="&amp;$CV$8,KB[TANGGAL],"&lt;"&amp;DATE(YEAR($CV$8),MONTH($CV$8)+1,0))</f>
        <v>0</v>
      </c>
      <c r="DB19" s="1322"/>
      <c r="DC19" s="1321">
        <f>SUMIFS(KB[NETTO2],KB[RELASI],C19,KB[TYPE],"A",KB[TANGGAL],"&gt;="&amp;$CV$8,KB[TANGGAL],"&lt;"&amp;DATE(YEAR($CV$8),MONTH($CV$8)+1,0))</f>
        <v>0</v>
      </c>
      <c r="DD19" s="1323"/>
      <c r="DE19" s="1322"/>
      <c r="DF19" s="1321">
        <f>SUMIFS(KB[NETTO],KB[RELASI],C19,KB[TYPE],"A",KB[TANGGAL],"&gt;="&amp;$DF$8,KB[TANGGAL],"&lt;"&amp;DATE(YEAR($DF$8),MONTH($DF$8)+1,0))</f>
        <v>0</v>
      </c>
      <c r="DG19" s="1323"/>
      <c r="DH19" s="1322"/>
      <c r="DI19" s="1321">
        <f t="shared" si="15"/>
        <v>0</v>
      </c>
      <c r="DJ19" s="1322"/>
      <c r="DK19" s="1321">
        <f>SUMIFS(KB[TPOT],KB[RELASI],C19,KB[TYPE],"A",KB[TANGGAL],"&gt;="&amp;$DF$8,KB[TANGGAL],"&lt;"&amp;DATE(YEAR($DF$8),MONTH($DF$8)+1,0))</f>
        <v>0</v>
      </c>
      <c r="DL19" s="1322"/>
      <c r="DM19" s="1321">
        <f>SUMIFS(KB[NETTO2],KB[RELASI],C19,KB[TYPE],"A",KB[TANGGAL],"&gt;="&amp;$DF$8,KB[TANGGAL],"&lt;"&amp;DATE(YEAR($DF$8),MONTH($DF$8)+1,0))</f>
        <v>0</v>
      </c>
      <c r="DN19" s="1323"/>
      <c r="DO19" s="1322"/>
      <c r="DP19" s="1321">
        <f>SUMIFS(KB[NETTO],KB[RELASI],C19,KB[TYPE],"A",KB[TANGGAL],"&gt;="&amp;$DP$8,KB[TANGGAL],"&lt;"&amp;DATE(YEAR($DP$8),MONTH($DP$8)+1,0))</f>
        <v>0</v>
      </c>
      <c r="DQ19" s="1323"/>
      <c r="DR19" s="1322"/>
      <c r="DS19" s="1321">
        <f t="shared" si="16"/>
        <v>0</v>
      </c>
      <c r="DT19" s="1322"/>
      <c r="DU19" s="1321">
        <f>SUMIFS(KB[TPOT],KB[RELASI],C19,KB[TYPE],"A",KB[TANGGAL],"&gt;="&amp;$DP$8,KB[TANGGAL],"&lt;"&amp;DATE(YEAR($DP$8),MONTH($DP$8)+1,0))</f>
        <v>0</v>
      </c>
      <c r="DV19" s="1322"/>
      <c r="DW19" s="1321">
        <f>SUMIFS(KB[NETTO2],KB[RELASI],C19,KB[TYPE],"A",KB[TANGGAL],"&gt;="&amp;$DP$8,KB[TANGGAL],"&lt;"&amp;DATE(YEAR($DP$8),MONTH($DP$8)+1,0))</f>
        <v>0</v>
      </c>
      <c r="DX19" s="1323"/>
      <c r="DY19" s="1322"/>
      <c r="DZ19" s="1321">
        <f>SUMIFS(KB[NETTO],KB[RELASI],C19,KB[TYPE],"A",KB[TANGGAL],"&gt;="&amp;$DZ$8,KB[TANGGAL],"&lt;"&amp;DATE(YEAR($DZ$8),MONTH($DZ$8)+1,0))</f>
        <v>0</v>
      </c>
      <c r="EA19" s="1323"/>
      <c r="EB19" s="1322"/>
      <c r="EC19" s="1321">
        <f t="shared" si="17"/>
        <v>0</v>
      </c>
      <c r="ED19" s="1322"/>
      <c r="EE19" s="1321">
        <f>SUMIFS(KB[TPOT],KB[RELASI],C19,KB[TYPE],"A",KB[TANGGAL],"&gt;="&amp;$DZ$8,KB[TANGGAL],"&lt;"&amp;DATE(YEAR($DZ$8),MONTH($DZ$8)+1,0))</f>
        <v>0</v>
      </c>
      <c r="EF19" s="1322"/>
      <c r="EG19" s="1321">
        <f>SUMIFS(KB[NETTO2],KB[RELASI],C19,KB[TYPE],"A",KB[TANGGAL],"&gt;="&amp;$DZ$8,KB[TANGGAL],"&lt;"&amp;DATE(YEAR($DZ$8),MONTH($DZ$8)+1,0))</f>
        <v>0</v>
      </c>
      <c r="EH19" s="1323"/>
      <c r="EI19" s="1322"/>
      <c r="EJ19" s="844"/>
      <c r="EK19" s="845"/>
      <c r="EL19" s="846"/>
      <c r="EM19" s="844"/>
      <c r="EN19" s="846"/>
      <c r="EO19" s="844"/>
      <c r="EP19" s="846"/>
      <c r="EQ19" s="844"/>
      <c r="ER19" s="845"/>
      <c r="ES19" s="847"/>
    </row>
    <row r="20" spans="2:149" ht="18" customHeight="1">
      <c r="B20" s="1040">
        <f t="shared" si="18"/>
        <v>10</v>
      </c>
      <c r="C20" s="844" t="str">
        <f>RELASI!C12</f>
        <v>DINI CHAIRANI</v>
      </c>
      <c r="D20" s="845"/>
      <c r="E20" s="845"/>
      <c r="F20" s="846"/>
      <c r="G20" s="844" t="str">
        <f>RELASI!D12</f>
        <v>P. Palas</v>
      </c>
      <c r="H20" s="845"/>
      <c r="I20" s="846"/>
      <c r="J20" s="1319">
        <f>SUMIFS(KB[NETTO],KB[RELASI],C20,KB[TYPE],"A",KB[TANGGAL],"&gt;="&amp;DATE($J$7,1,1),KB[TANGGAL],"&lt;"&amp;DATE($J$7+1,1,0))/12</f>
        <v>0</v>
      </c>
      <c r="K20" s="1324"/>
      <c r="L20" s="1320"/>
      <c r="M20" s="1319">
        <f t="shared" si="19"/>
        <v>0</v>
      </c>
      <c r="N20" s="1320"/>
      <c r="O20" s="1321">
        <f>SUMIFS(KB[TPOT],KB[RELASI],C20,KB[TYPE],"A",KB[TANGGAL],"&gt;="&amp;DATE($J$7,1,1),KB[TANGGAL],"&lt;"&amp;DATE($J$7+1,1,0))/12</f>
        <v>0</v>
      </c>
      <c r="P20" s="1322"/>
      <c r="Q20" s="1321">
        <f>SUMIFS(KB[NETTO2],KB[RELASI],C20,KB[TYPE],"A",KB[TANGGAL],"&gt;="&amp;DATE($J$7,1,1),KB[TANGGAL],"&lt;"&amp;DATE($J$7+1,1,0))/12</f>
        <v>0</v>
      </c>
      <c r="R20" s="1323"/>
      <c r="S20" s="1322"/>
      <c r="T20" s="1321">
        <f>SUMIFS(KB[NETTO],KB[RELASI],C20,KB[TYPE],"A",KB[TANGGAL],"&gt;="&amp;$T$8,KB[TANGGAL],"&lt;"&amp;DATE($FA$4,$FA$5+1,0))</f>
        <v>174080</v>
      </c>
      <c r="U20" s="1323"/>
      <c r="V20" s="1322"/>
      <c r="W20" s="1319">
        <f t="shared" si="20"/>
        <v>6</v>
      </c>
      <c r="X20" s="1320"/>
      <c r="Y20" s="1339">
        <f>SUMIFS(KB[TPOT],KB[RELASI],C20,KB[TYPE],"A",KB[TANGGAL],"&gt;="&amp;$T$8,KB[TANGGAL],"&lt;"&amp;DATE($FA$4,$FA$5+1,0))</f>
        <v>10444.799999999999</v>
      </c>
      <c r="Z20" s="1340"/>
      <c r="AA20" s="1339">
        <f>SUMIFS(KB[NETTO2],KB[RELASI],C20,KB[TYPE],"A",KB[TANGGAL],"&gt;="&amp;$T$8,KB[TANGGAL],"&lt;"&amp;DATE($FA$4,$FA$5+1,0))</f>
        <v>163635.20000000001</v>
      </c>
      <c r="AB20" s="1341"/>
      <c r="AC20" s="1340"/>
      <c r="AD20" s="1321">
        <f>SUMIFS(KB[NETTO],KB[RELASI],C20,KB[TYPE],"A",KB[TANGGAL],"&gt;="&amp;$AD$8,KB[TANGGAL],"&lt;"&amp;DATE($FA$4,MONTH($AD$8)+1,0))</f>
        <v>262610</v>
      </c>
      <c r="AE20" s="1323"/>
      <c r="AF20" s="1322"/>
      <c r="AG20" s="1321">
        <f t="shared" si="7"/>
        <v>6</v>
      </c>
      <c r="AH20" s="1322"/>
      <c r="AI20" s="1321">
        <f>SUMIFS(KB[TPOT],KB[RELASI],C20,KB[TYPE],"A",KB[TANGGAL],"&gt;="&amp;$AD$8,KB[TANGGAL],"&lt;"&amp;DATE($FA$4,MONTH($AD$8)+1,0))</f>
        <v>15756.600000000002</v>
      </c>
      <c r="AJ20" s="1322"/>
      <c r="AK20" s="1321">
        <f>SUMIFS(KB[NETTO2],KB[RELASI],C20,KB[TYPE],"A",KB[TANGGAL],"&gt;="&amp;$AD$8,KB[TANGGAL],"&lt;"&amp;DATE($FA$4,MONTH($AD$8)+1,0))</f>
        <v>246853.39999999997</v>
      </c>
      <c r="AL20" s="1323"/>
      <c r="AM20" s="1322"/>
      <c r="AN20" s="1321">
        <f>SUMIFS(KB[NETTO],KB[RELASI],C20,KB[TYPE],"A",KB[TANGGAL],"&gt;="&amp;$AN$8,KB[TANGGAL],"&lt;"&amp;DATE(YEAR($AN$8),MONTH($AN$8)+1,0))</f>
        <v>60040</v>
      </c>
      <c r="AO20" s="1323"/>
      <c r="AP20" s="1322"/>
      <c r="AQ20" s="1321">
        <f t="shared" si="8"/>
        <v>5.9999999999999991</v>
      </c>
      <c r="AR20" s="1322"/>
      <c r="AS20" s="1321">
        <f>SUMIFS(KB[TPOT],KB[RELASI],C20,KB[TYPE],"A",KB[TANGGAL],"&gt;="&amp;$AN$8,KB[TANGGAL],"&lt;"&amp;DATE(YEAR($AN$8),MONTH($AN$8)+1,0))</f>
        <v>3602.3999999999992</v>
      </c>
      <c r="AT20" s="1322"/>
      <c r="AU20" s="1321">
        <f>SUMIFS(KB[NETTO2],KB[RELASI],C20,KB[TYPE],"A",KB[TANGGAL],"&gt;="&amp;$AN$8,KB[TANGGAL],"&lt;"&amp;DATE(YEAR($AN$8),MONTH($AN$8)+1,0))</f>
        <v>56437.600000000013</v>
      </c>
      <c r="AV20" s="1323"/>
      <c r="AW20" s="1322"/>
      <c r="AX20" s="1321">
        <f>SUMIFS(KB[NETTO],KB[RELASI],C20,KB[TYPE],"A",KB[TANGGAL],"&gt;="&amp;$AX$8,KB[TANGGAL],"&lt;"&amp;DATE(YEAR($AX$8),MONTH($AX$8)+1,0))</f>
        <v>0</v>
      </c>
      <c r="AY20" s="1323"/>
      <c r="AZ20" s="1322"/>
      <c r="BA20" s="1321">
        <f t="shared" si="9"/>
        <v>0</v>
      </c>
      <c r="BB20" s="1322"/>
      <c r="BC20" s="1321">
        <f>SUMIFS(KB[TPOT],KB[RELASI],C20,KB[TYPE],"A",KB[TANGGAL],"&gt;="&amp;$AX$8,KB[TANGGAL],"&lt;"&amp;DATE(YEAR($AX$8),MONTH($AX$8)+1,0))</f>
        <v>0</v>
      </c>
      <c r="BD20" s="1322"/>
      <c r="BE20" s="1321">
        <f>SUMIFS(KB[NETTO2],KB[RELASI],C20,KB[TYPE],"A",KB[TANGGAL],"&gt;="&amp;$AX$8,KB[TANGGAL],"&lt;"&amp;DATE(YEAR($AX$8),MONTH($AX$8)+1,0))</f>
        <v>0</v>
      </c>
      <c r="BF20" s="1323"/>
      <c r="BG20" s="1322"/>
      <c r="BH20" s="1321">
        <f>SUMIFS(KB[NETTO],KB[RELASI],C20,KB[TYPE],"A",KB[TANGGAL],"&gt;="&amp;$BH$8,KB[TANGGAL],"&lt;"&amp;DATE(YEAR($BH$8),MONTH($BH$8)+1,0))</f>
        <v>0</v>
      </c>
      <c r="BI20" s="1323"/>
      <c r="BJ20" s="1322"/>
      <c r="BK20" s="1321">
        <f t="shared" si="10"/>
        <v>0</v>
      </c>
      <c r="BL20" s="1322"/>
      <c r="BM20" s="1321">
        <f>SUMIFS(KB[TPOT],KB[RELASI],C20,KB[TYPE],"A",KB[TANGGAL],"&gt;="&amp;$BH$8,KB[TANGGAL],"&lt;"&amp;DATE(YEAR($BH$8),MONTH($BH$8)+1,0))</f>
        <v>0</v>
      </c>
      <c r="BN20" s="1322"/>
      <c r="BO20" s="1321">
        <f>SUMIFS(KB[NETTO2],KB[RELASI],C20,KB[TYPE],"A",KB[TANGGAL],"&gt;="&amp;$BH$8,KB[TANGGAL],"&lt;"&amp;DATE(YEAR($BH$8),MONTH($BH$8)+1,0))</f>
        <v>0</v>
      </c>
      <c r="BP20" s="1323"/>
      <c r="BQ20" s="1322"/>
      <c r="BR20" s="1321">
        <f>SUMIFS(KB[NETTO],KB[RELASI],C20,KB[TYPE],"A",KB[TANGGAL],"&gt;="&amp;$BR$8,KB[TANGGAL],"&lt;"&amp;DATE(YEAR($BR$8),MONTH($BR$8)+1,0))</f>
        <v>0</v>
      </c>
      <c r="BS20" s="1323"/>
      <c r="BT20" s="1322"/>
      <c r="BU20" s="1321">
        <f t="shared" si="11"/>
        <v>0</v>
      </c>
      <c r="BV20" s="1322"/>
      <c r="BW20" s="1321">
        <f>SUMIFS(KB[TPOT],KB[RELASI],C20,KB[TYPE],"A",KB[TANGGAL],"&gt;="&amp;$BR$8,KB[TANGGAL],"&lt;"&amp;DATE(YEAR($BR$8),MONTH($BR$8)+1,0))</f>
        <v>0</v>
      </c>
      <c r="BX20" s="1322"/>
      <c r="BY20" s="1321">
        <f>SUMIFS(KB[NETTO2],KB[RELASI],C20,KB[TYPE],"A",KB[TANGGAL],"&gt;="&amp;$BR$8,KB[TANGGAL],"&lt;"&amp;DATE(YEAR($BR$8),MONTH($BR$8)+1,0))</f>
        <v>0</v>
      </c>
      <c r="BZ20" s="1323"/>
      <c r="CA20" s="1322"/>
      <c r="CB20" s="1321">
        <f>SUMIFS(KB[NETTO],KB[RELASI],C20,KB[TYPE],"A",KB[TANGGAL],"&gt;="&amp;$CB$8,KB[TANGGAL],"&lt;"&amp;DATE(YEAR($CB$8),MONTH($CB$8)+1,0))</f>
        <v>0</v>
      </c>
      <c r="CC20" s="1323"/>
      <c r="CD20" s="1322"/>
      <c r="CE20" s="1321">
        <f t="shared" si="12"/>
        <v>0</v>
      </c>
      <c r="CF20" s="1322"/>
      <c r="CG20" s="1321">
        <f>SUMIFS(KB[TPOT],KB[RELASI],C20,KB[TYPE],"A",KB[TANGGAL],"&gt;="&amp;$CB$8,KB[TANGGAL],"&lt;"&amp;DATE(YEAR($CB$8),MONTH($CB$8)+1,0))</f>
        <v>0</v>
      </c>
      <c r="CH20" s="1322"/>
      <c r="CI20" s="1321">
        <f>SUMIFS(KB[NETTO2],KB[RELASI],C20,KB[TYPE],"A",KB[TANGGAL],"&gt;="&amp;$CB$8,KB[TANGGAL],"&lt;"&amp;DATE(YEAR($CB$8),MONTH($CB$8)+1,0))</f>
        <v>0</v>
      </c>
      <c r="CJ20" s="1323"/>
      <c r="CK20" s="1322"/>
      <c r="CL20" s="1321">
        <f>SUMIFS(KB[NETTO],KB[RELASI],C20,KB[TYPE],"A",KB[TANGGAL],"&gt;="&amp;$CL$8,KB[TANGGAL],"&lt;"&amp;DATE(YEAR($CL$8),MONTH($CL$8)+1,0))</f>
        <v>0</v>
      </c>
      <c r="CM20" s="1323"/>
      <c r="CN20" s="1322"/>
      <c r="CO20" s="1321">
        <f t="shared" si="13"/>
        <v>0</v>
      </c>
      <c r="CP20" s="1322"/>
      <c r="CQ20" s="1321">
        <f>SUMIFS(KB[TPOT],KB[RELASI],C20,KB[TYPE],"A",KB[TANGGAL],"&gt;="&amp;$CL$8,KB[TANGGAL],"&lt;"&amp;DATE(YEAR($CL$8),MONTH($CL$8)+1,0))</f>
        <v>0</v>
      </c>
      <c r="CR20" s="1322"/>
      <c r="CS20" s="1321">
        <f>SUMIFS(KB[NETTO2],KB[RELASI],C20,KB[TYPE],"A",KB[TANGGAL],"&gt;="&amp;$CL$8,KB[TANGGAL],"&lt;"&amp;DATE(YEAR($CL$8),MONTH($CL$8)+1,0))</f>
        <v>0</v>
      </c>
      <c r="CT20" s="1323"/>
      <c r="CU20" s="1322"/>
      <c r="CV20" s="1321">
        <f>SUMIFS(KB[NETTO],KB[RELASI],C20,KB[TYPE],"A",KB[TANGGAL],"&gt;="&amp;$CV$8,KB[TANGGAL],"&lt;"&amp;DATE(YEAR($CV$8),MONTH($CV$8)+1,0))</f>
        <v>0</v>
      </c>
      <c r="CW20" s="1323"/>
      <c r="CX20" s="1322"/>
      <c r="CY20" s="1321">
        <f t="shared" si="14"/>
        <v>0</v>
      </c>
      <c r="CZ20" s="1322"/>
      <c r="DA20" s="1321">
        <f>SUMIFS(KB[TPOT],KB[RELASI],C20,KB[TYPE],"A",KB[TANGGAL],"&gt;="&amp;$CV$8,KB[TANGGAL],"&lt;"&amp;DATE(YEAR($CV$8),MONTH($CV$8)+1,0))</f>
        <v>0</v>
      </c>
      <c r="DB20" s="1322"/>
      <c r="DC20" s="1321">
        <f>SUMIFS(KB[NETTO2],KB[RELASI],C20,KB[TYPE],"A",KB[TANGGAL],"&gt;="&amp;$CV$8,KB[TANGGAL],"&lt;"&amp;DATE(YEAR($CV$8),MONTH($CV$8)+1,0))</f>
        <v>0</v>
      </c>
      <c r="DD20" s="1323"/>
      <c r="DE20" s="1322"/>
      <c r="DF20" s="1321">
        <f>SUMIFS(KB[NETTO],KB[RELASI],C20,KB[TYPE],"A",KB[TANGGAL],"&gt;="&amp;$DF$8,KB[TANGGAL],"&lt;"&amp;DATE(YEAR($DF$8),MONTH($DF$8)+1,0))</f>
        <v>0</v>
      </c>
      <c r="DG20" s="1323"/>
      <c r="DH20" s="1322"/>
      <c r="DI20" s="1321">
        <f t="shared" si="15"/>
        <v>0</v>
      </c>
      <c r="DJ20" s="1322"/>
      <c r="DK20" s="1321">
        <f>SUMIFS(KB[TPOT],KB[RELASI],C20,KB[TYPE],"A",KB[TANGGAL],"&gt;="&amp;$DF$8,KB[TANGGAL],"&lt;"&amp;DATE(YEAR($DF$8),MONTH($DF$8)+1,0))</f>
        <v>0</v>
      </c>
      <c r="DL20" s="1322"/>
      <c r="DM20" s="1321">
        <f>SUMIFS(KB[NETTO2],KB[RELASI],C20,KB[TYPE],"A",KB[TANGGAL],"&gt;="&amp;$DF$8,KB[TANGGAL],"&lt;"&amp;DATE(YEAR($DF$8),MONTH($DF$8)+1,0))</f>
        <v>0</v>
      </c>
      <c r="DN20" s="1323"/>
      <c r="DO20" s="1322"/>
      <c r="DP20" s="1321">
        <f>SUMIFS(KB[NETTO],KB[RELASI],C20,KB[TYPE],"A",KB[TANGGAL],"&gt;="&amp;$DP$8,KB[TANGGAL],"&lt;"&amp;DATE(YEAR($DP$8),MONTH($DP$8)+1,0))</f>
        <v>0</v>
      </c>
      <c r="DQ20" s="1323"/>
      <c r="DR20" s="1322"/>
      <c r="DS20" s="1321">
        <f t="shared" si="16"/>
        <v>0</v>
      </c>
      <c r="DT20" s="1322"/>
      <c r="DU20" s="1321">
        <f>SUMIFS(KB[TPOT],KB[RELASI],C20,KB[TYPE],"A",KB[TANGGAL],"&gt;="&amp;$DP$8,KB[TANGGAL],"&lt;"&amp;DATE(YEAR($DP$8),MONTH($DP$8)+1,0))</f>
        <v>0</v>
      </c>
      <c r="DV20" s="1322"/>
      <c r="DW20" s="1321">
        <f>SUMIFS(KB[NETTO2],KB[RELASI],C20,KB[TYPE],"A",KB[TANGGAL],"&gt;="&amp;$DP$8,KB[TANGGAL],"&lt;"&amp;DATE(YEAR($DP$8),MONTH($DP$8)+1,0))</f>
        <v>0</v>
      </c>
      <c r="DX20" s="1323"/>
      <c r="DY20" s="1322"/>
      <c r="DZ20" s="1321">
        <f>SUMIFS(KB[NETTO],KB[RELASI],C20,KB[TYPE],"A",KB[TANGGAL],"&gt;="&amp;$DZ$8,KB[TANGGAL],"&lt;"&amp;DATE(YEAR($DZ$8),MONTH($DZ$8)+1,0))</f>
        <v>0</v>
      </c>
      <c r="EA20" s="1323"/>
      <c r="EB20" s="1322"/>
      <c r="EC20" s="1321">
        <f t="shared" si="17"/>
        <v>0</v>
      </c>
      <c r="ED20" s="1322"/>
      <c r="EE20" s="1321">
        <f>SUMIFS(KB[TPOT],KB[RELASI],C20,KB[TYPE],"A",KB[TANGGAL],"&gt;="&amp;$DZ$8,KB[TANGGAL],"&lt;"&amp;DATE(YEAR($DZ$8),MONTH($DZ$8)+1,0))</f>
        <v>0</v>
      </c>
      <c r="EF20" s="1322"/>
      <c r="EG20" s="1321">
        <f>SUMIFS(KB[NETTO2],KB[RELASI],C20,KB[TYPE],"A",KB[TANGGAL],"&gt;="&amp;$DZ$8,KB[TANGGAL],"&lt;"&amp;DATE(YEAR($DZ$8),MONTH($DZ$8)+1,0))</f>
        <v>0</v>
      </c>
      <c r="EH20" s="1323"/>
      <c r="EI20" s="1322"/>
      <c r="EJ20" s="844"/>
      <c r="EK20" s="845"/>
      <c r="EL20" s="846"/>
      <c r="EM20" s="844"/>
      <c r="EN20" s="846"/>
      <c r="EO20" s="844"/>
      <c r="EP20" s="846"/>
      <c r="EQ20" s="844"/>
      <c r="ER20" s="845"/>
      <c r="ES20" s="847"/>
    </row>
    <row r="21" spans="2:149" ht="18" customHeight="1">
      <c r="B21" s="1040">
        <f t="shared" si="18"/>
        <v>11</v>
      </c>
      <c r="C21" s="844" t="str">
        <f>RELASI!C13</f>
        <v>EDBERT</v>
      </c>
      <c r="D21" s="845"/>
      <c r="E21" s="845"/>
      <c r="F21" s="846"/>
      <c r="G21" s="844" t="str">
        <f>RELASI!D13</f>
        <v>Tembilahan</v>
      </c>
      <c r="H21" s="845"/>
      <c r="I21" s="846"/>
      <c r="J21" s="1319">
        <f>SUMIFS(KB[NETTO],KB[RELASI],C21,KB[TYPE],"A",KB[TANGGAL],"&gt;="&amp;DATE($J$7,1,1),KB[TANGGAL],"&lt;"&amp;DATE($J$7+1,1,0))/12</f>
        <v>0</v>
      </c>
      <c r="K21" s="1324"/>
      <c r="L21" s="1320"/>
      <c r="M21" s="1319">
        <f t="shared" si="19"/>
        <v>0</v>
      </c>
      <c r="N21" s="1320"/>
      <c r="O21" s="1321">
        <f>SUMIFS(KB[TPOT],KB[RELASI],C21,KB[TYPE],"A",KB[TANGGAL],"&gt;="&amp;DATE($J$7,1,1),KB[TANGGAL],"&lt;"&amp;DATE($J$7+1,1,0))/12</f>
        <v>0</v>
      </c>
      <c r="P21" s="1322"/>
      <c r="Q21" s="1321">
        <f>SUMIFS(KB[NETTO2],KB[RELASI],C21,KB[TYPE],"A",KB[TANGGAL],"&gt;="&amp;DATE($J$7,1,1),KB[TANGGAL],"&lt;"&amp;DATE($J$7+1,1,0))/12</f>
        <v>0</v>
      </c>
      <c r="R21" s="1323"/>
      <c r="S21" s="1322"/>
      <c r="T21" s="1321">
        <f>SUMIFS(KB[NETTO],KB[RELASI],C21,KB[TYPE],"A",KB[TANGGAL],"&gt;="&amp;$T$8,KB[TANGGAL],"&lt;"&amp;DATE($FA$4,$FA$5+1,0))</f>
        <v>0</v>
      </c>
      <c r="U21" s="1323"/>
      <c r="V21" s="1322"/>
      <c r="W21" s="1319">
        <f t="shared" si="20"/>
        <v>0</v>
      </c>
      <c r="X21" s="1320"/>
      <c r="Y21" s="1339">
        <f>SUMIFS(KB[TPOT],KB[RELASI],C21,KB[TYPE],"A",KB[TANGGAL],"&gt;="&amp;$T$8,KB[TANGGAL],"&lt;"&amp;DATE($FA$4,$FA$5+1,0))</f>
        <v>0</v>
      </c>
      <c r="Z21" s="1340"/>
      <c r="AA21" s="1339">
        <f>SUMIFS(KB[NETTO2],KB[RELASI],C21,KB[TYPE],"A",KB[TANGGAL],"&gt;="&amp;$T$8,KB[TANGGAL],"&lt;"&amp;DATE($FA$4,$FA$5+1,0))</f>
        <v>0</v>
      </c>
      <c r="AB21" s="1341"/>
      <c r="AC21" s="1340"/>
      <c r="AD21" s="1321">
        <f>SUMIFS(KB[NETTO],KB[RELASI],C21,KB[TYPE],"A",KB[TANGGAL],"&gt;="&amp;$AD$8,KB[TANGGAL],"&lt;"&amp;DATE($FA$4,MONTH($AD$8)+1,0))</f>
        <v>0</v>
      </c>
      <c r="AE21" s="1323"/>
      <c r="AF21" s="1322"/>
      <c r="AG21" s="1321">
        <f t="shared" si="7"/>
        <v>0</v>
      </c>
      <c r="AH21" s="1322"/>
      <c r="AI21" s="1321">
        <f>SUMIFS(KB[TPOT],KB[RELASI],C21,KB[TYPE],"A",KB[TANGGAL],"&gt;="&amp;$AD$8,KB[TANGGAL],"&lt;"&amp;DATE($FA$4,MONTH($AD$8)+1,0))</f>
        <v>0</v>
      </c>
      <c r="AJ21" s="1322"/>
      <c r="AK21" s="1321">
        <f>SUMIFS(KB[NETTO2],KB[RELASI],C21,KB[TYPE],"A",KB[TANGGAL],"&gt;="&amp;$AD$8,KB[TANGGAL],"&lt;"&amp;DATE($FA$4,MONTH($AD$8)+1,0))</f>
        <v>0</v>
      </c>
      <c r="AL21" s="1323"/>
      <c r="AM21" s="1322"/>
      <c r="AN21" s="1321">
        <f>SUMIFS(KB[NETTO],KB[RELASI],C21,KB[TYPE],"A",KB[TANGGAL],"&gt;="&amp;$AN$8,KB[TANGGAL],"&lt;"&amp;DATE(YEAR($AN$8),MONTH($AN$8)+1,0))</f>
        <v>0</v>
      </c>
      <c r="AO21" s="1323"/>
      <c r="AP21" s="1322"/>
      <c r="AQ21" s="1321">
        <f t="shared" si="8"/>
        <v>0</v>
      </c>
      <c r="AR21" s="1322"/>
      <c r="AS21" s="1321">
        <f>SUMIFS(KB[TPOT],KB[RELASI],C21,KB[TYPE],"A",KB[TANGGAL],"&gt;="&amp;$AN$8,KB[TANGGAL],"&lt;"&amp;DATE(YEAR($AN$8),MONTH($AN$8)+1,0))</f>
        <v>0</v>
      </c>
      <c r="AT21" s="1322"/>
      <c r="AU21" s="1321">
        <f>SUMIFS(KB[NETTO2],KB[RELASI],C21,KB[TYPE],"A",KB[TANGGAL],"&gt;="&amp;$AN$8,KB[TANGGAL],"&lt;"&amp;DATE(YEAR($AN$8),MONTH($AN$8)+1,0))</f>
        <v>0</v>
      </c>
      <c r="AV21" s="1323"/>
      <c r="AW21" s="1322"/>
      <c r="AX21" s="1321">
        <f>SUMIFS(KB[NETTO],KB[RELASI],C21,KB[TYPE],"A",KB[TANGGAL],"&gt;="&amp;$AX$8,KB[TANGGAL],"&lt;"&amp;DATE(YEAR($AX$8),MONTH($AX$8)+1,0))</f>
        <v>0</v>
      </c>
      <c r="AY21" s="1323"/>
      <c r="AZ21" s="1322"/>
      <c r="BA21" s="1321">
        <f t="shared" si="9"/>
        <v>0</v>
      </c>
      <c r="BB21" s="1322"/>
      <c r="BC21" s="1321">
        <f>SUMIFS(KB[TPOT],KB[RELASI],C21,KB[TYPE],"A",KB[TANGGAL],"&gt;="&amp;$AX$8,KB[TANGGAL],"&lt;"&amp;DATE(YEAR($AX$8),MONTH($AX$8)+1,0))</f>
        <v>0</v>
      </c>
      <c r="BD21" s="1322"/>
      <c r="BE21" s="1321">
        <f>SUMIFS(KB[NETTO2],KB[RELASI],C21,KB[TYPE],"A",KB[TANGGAL],"&gt;="&amp;$AX$8,KB[TANGGAL],"&lt;"&amp;DATE(YEAR($AX$8),MONTH($AX$8)+1,0))</f>
        <v>0</v>
      </c>
      <c r="BF21" s="1323"/>
      <c r="BG21" s="1322"/>
      <c r="BH21" s="1321">
        <f>SUMIFS(KB[NETTO],KB[RELASI],C21,KB[TYPE],"A",KB[TANGGAL],"&gt;="&amp;$BH$8,KB[TANGGAL],"&lt;"&amp;DATE(YEAR($BH$8),MONTH($BH$8)+1,0))</f>
        <v>0</v>
      </c>
      <c r="BI21" s="1323"/>
      <c r="BJ21" s="1322"/>
      <c r="BK21" s="1321">
        <f t="shared" si="10"/>
        <v>0</v>
      </c>
      <c r="BL21" s="1322"/>
      <c r="BM21" s="1321">
        <f>SUMIFS(KB[TPOT],KB[RELASI],C21,KB[TYPE],"A",KB[TANGGAL],"&gt;="&amp;$BH$8,KB[TANGGAL],"&lt;"&amp;DATE(YEAR($BH$8),MONTH($BH$8)+1,0))</f>
        <v>0</v>
      </c>
      <c r="BN21" s="1322"/>
      <c r="BO21" s="1321">
        <f>SUMIFS(KB[NETTO2],KB[RELASI],C21,KB[TYPE],"A",KB[TANGGAL],"&gt;="&amp;$BH$8,KB[TANGGAL],"&lt;"&amp;DATE(YEAR($BH$8),MONTH($BH$8)+1,0))</f>
        <v>0</v>
      </c>
      <c r="BP21" s="1323"/>
      <c r="BQ21" s="1322"/>
      <c r="BR21" s="1321">
        <f>SUMIFS(KB[NETTO],KB[RELASI],C21,KB[TYPE],"A",KB[TANGGAL],"&gt;="&amp;$BR$8,KB[TANGGAL],"&lt;"&amp;DATE(YEAR($BR$8),MONTH($BR$8)+1,0))</f>
        <v>0</v>
      </c>
      <c r="BS21" s="1323"/>
      <c r="BT21" s="1322"/>
      <c r="BU21" s="1321">
        <f t="shared" si="11"/>
        <v>0</v>
      </c>
      <c r="BV21" s="1322"/>
      <c r="BW21" s="1321">
        <f>SUMIFS(KB[TPOT],KB[RELASI],C21,KB[TYPE],"A",KB[TANGGAL],"&gt;="&amp;$BR$8,KB[TANGGAL],"&lt;"&amp;DATE(YEAR($BR$8),MONTH($BR$8)+1,0))</f>
        <v>0</v>
      </c>
      <c r="BX21" s="1322"/>
      <c r="BY21" s="1321">
        <f>SUMIFS(KB[NETTO2],KB[RELASI],C21,KB[TYPE],"A",KB[TANGGAL],"&gt;="&amp;$BR$8,KB[TANGGAL],"&lt;"&amp;DATE(YEAR($BR$8),MONTH($BR$8)+1,0))</f>
        <v>0</v>
      </c>
      <c r="BZ21" s="1323"/>
      <c r="CA21" s="1322"/>
      <c r="CB21" s="1321">
        <f>SUMIFS(KB[NETTO],KB[RELASI],C21,KB[TYPE],"A",KB[TANGGAL],"&gt;="&amp;$CB$8,KB[TANGGAL],"&lt;"&amp;DATE(YEAR($CB$8),MONTH($CB$8)+1,0))</f>
        <v>0</v>
      </c>
      <c r="CC21" s="1323"/>
      <c r="CD21" s="1322"/>
      <c r="CE21" s="1321">
        <f t="shared" si="12"/>
        <v>0</v>
      </c>
      <c r="CF21" s="1322"/>
      <c r="CG21" s="1321">
        <f>SUMIFS(KB[TPOT],KB[RELASI],C21,KB[TYPE],"A",KB[TANGGAL],"&gt;="&amp;$CB$8,KB[TANGGAL],"&lt;"&amp;DATE(YEAR($CB$8),MONTH($CB$8)+1,0))</f>
        <v>0</v>
      </c>
      <c r="CH21" s="1322"/>
      <c r="CI21" s="1321">
        <f>SUMIFS(KB[NETTO2],KB[RELASI],C21,KB[TYPE],"A",KB[TANGGAL],"&gt;="&amp;$CB$8,KB[TANGGAL],"&lt;"&amp;DATE(YEAR($CB$8),MONTH($CB$8)+1,0))</f>
        <v>0</v>
      </c>
      <c r="CJ21" s="1323"/>
      <c r="CK21" s="1322"/>
      <c r="CL21" s="1321">
        <f>SUMIFS(KB[NETTO],KB[RELASI],C21,KB[TYPE],"A",KB[TANGGAL],"&gt;="&amp;$CL$8,KB[TANGGAL],"&lt;"&amp;DATE(YEAR($CL$8),MONTH($CL$8)+1,0))</f>
        <v>0</v>
      </c>
      <c r="CM21" s="1323"/>
      <c r="CN21" s="1322"/>
      <c r="CO21" s="1321">
        <f t="shared" si="13"/>
        <v>0</v>
      </c>
      <c r="CP21" s="1322"/>
      <c r="CQ21" s="1321">
        <f>SUMIFS(KB[TPOT],KB[RELASI],C21,KB[TYPE],"A",KB[TANGGAL],"&gt;="&amp;$CL$8,KB[TANGGAL],"&lt;"&amp;DATE(YEAR($CL$8),MONTH($CL$8)+1,0))</f>
        <v>0</v>
      </c>
      <c r="CR21" s="1322"/>
      <c r="CS21" s="1321">
        <f>SUMIFS(KB[NETTO2],KB[RELASI],C21,KB[TYPE],"A",KB[TANGGAL],"&gt;="&amp;$CL$8,KB[TANGGAL],"&lt;"&amp;DATE(YEAR($CL$8),MONTH($CL$8)+1,0))</f>
        <v>0</v>
      </c>
      <c r="CT21" s="1323"/>
      <c r="CU21" s="1322"/>
      <c r="CV21" s="1321">
        <f>SUMIFS(KB[NETTO],KB[RELASI],C21,KB[TYPE],"A",KB[TANGGAL],"&gt;="&amp;$CV$8,KB[TANGGAL],"&lt;"&amp;DATE(YEAR($CV$8),MONTH($CV$8)+1,0))</f>
        <v>0</v>
      </c>
      <c r="CW21" s="1323"/>
      <c r="CX21" s="1322"/>
      <c r="CY21" s="1321">
        <f t="shared" si="14"/>
        <v>0</v>
      </c>
      <c r="CZ21" s="1322"/>
      <c r="DA21" s="1321">
        <f>SUMIFS(KB[TPOT],KB[RELASI],C21,KB[TYPE],"A",KB[TANGGAL],"&gt;="&amp;$CV$8,KB[TANGGAL],"&lt;"&amp;DATE(YEAR($CV$8),MONTH($CV$8)+1,0))</f>
        <v>0</v>
      </c>
      <c r="DB21" s="1322"/>
      <c r="DC21" s="1321">
        <f>SUMIFS(KB[NETTO2],KB[RELASI],C21,KB[TYPE],"A",KB[TANGGAL],"&gt;="&amp;$CV$8,KB[TANGGAL],"&lt;"&amp;DATE(YEAR($CV$8),MONTH($CV$8)+1,0))</f>
        <v>0</v>
      </c>
      <c r="DD21" s="1323"/>
      <c r="DE21" s="1322"/>
      <c r="DF21" s="1321">
        <f>SUMIFS(KB[NETTO],KB[RELASI],C21,KB[TYPE],"A",KB[TANGGAL],"&gt;="&amp;$DF$8,KB[TANGGAL],"&lt;"&amp;DATE(YEAR($DF$8),MONTH($DF$8)+1,0))</f>
        <v>0</v>
      </c>
      <c r="DG21" s="1323"/>
      <c r="DH21" s="1322"/>
      <c r="DI21" s="1321">
        <f t="shared" si="15"/>
        <v>0</v>
      </c>
      <c r="DJ21" s="1322"/>
      <c r="DK21" s="1321">
        <f>SUMIFS(KB[TPOT],KB[RELASI],C21,KB[TYPE],"A",KB[TANGGAL],"&gt;="&amp;$DF$8,KB[TANGGAL],"&lt;"&amp;DATE(YEAR($DF$8),MONTH($DF$8)+1,0))</f>
        <v>0</v>
      </c>
      <c r="DL21" s="1322"/>
      <c r="DM21" s="1321">
        <f>SUMIFS(KB[NETTO2],KB[RELASI],C21,KB[TYPE],"A",KB[TANGGAL],"&gt;="&amp;$DF$8,KB[TANGGAL],"&lt;"&amp;DATE(YEAR($DF$8),MONTH($DF$8)+1,0))</f>
        <v>0</v>
      </c>
      <c r="DN21" s="1323"/>
      <c r="DO21" s="1322"/>
      <c r="DP21" s="1321">
        <f>SUMIFS(KB[NETTO],KB[RELASI],C21,KB[TYPE],"A",KB[TANGGAL],"&gt;="&amp;$DP$8,KB[TANGGAL],"&lt;"&amp;DATE(YEAR($DP$8),MONTH($DP$8)+1,0))</f>
        <v>0</v>
      </c>
      <c r="DQ21" s="1323"/>
      <c r="DR21" s="1322"/>
      <c r="DS21" s="1321">
        <f t="shared" si="16"/>
        <v>0</v>
      </c>
      <c r="DT21" s="1322"/>
      <c r="DU21" s="1321">
        <f>SUMIFS(KB[TPOT],KB[RELASI],C21,KB[TYPE],"A",KB[TANGGAL],"&gt;="&amp;$DP$8,KB[TANGGAL],"&lt;"&amp;DATE(YEAR($DP$8),MONTH($DP$8)+1,0))</f>
        <v>0</v>
      </c>
      <c r="DV21" s="1322"/>
      <c r="DW21" s="1321">
        <f>SUMIFS(KB[NETTO2],KB[RELASI],C21,KB[TYPE],"A",KB[TANGGAL],"&gt;="&amp;$DP$8,KB[TANGGAL],"&lt;"&amp;DATE(YEAR($DP$8),MONTH($DP$8)+1,0))</f>
        <v>0</v>
      </c>
      <c r="DX21" s="1323"/>
      <c r="DY21" s="1322"/>
      <c r="DZ21" s="1321">
        <f>SUMIFS(KB[NETTO],KB[RELASI],C21,KB[TYPE],"A",KB[TANGGAL],"&gt;="&amp;$DZ$8,KB[TANGGAL],"&lt;"&amp;DATE(YEAR($DZ$8),MONTH($DZ$8)+1,0))</f>
        <v>0</v>
      </c>
      <c r="EA21" s="1323"/>
      <c r="EB21" s="1322"/>
      <c r="EC21" s="1321">
        <f t="shared" si="17"/>
        <v>0</v>
      </c>
      <c r="ED21" s="1322"/>
      <c r="EE21" s="1321">
        <f>SUMIFS(KB[TPOT],KB[RELASI],C21,KB[TYPE],"A",KB[TANGGAL],"&gt;="&amp;$DZ$8,KB[TANGGAL],"&lt;"&amp;DATE(YEAR($DZ$8),MONTH($DZ$8)+1,0))</f>
        <v>0</v>
      </c>
      <c r="EF21" s="1322"/>
      <c r="EG21" s="1321">
        <f>SUMIFS(KB[NETTO2],KB[RELASI],C21,KB[TYPE],"A",KB[TANGGAL],"&gt;="&amp;$DZ$8,KB[TANGGAL],"&lt;"&amp;DATE(YEAR($DZ$8),MONTH($DZ$8)+1,0))</f>
        <v>0</v>
      </c>
      <c r="EH21" s="1323"/>
      <c r="EI21" s="1322"/>
      <c r="EJ21" s="844"/>
      <c r="EK21" s="845"/>
      <c r="EL21" s="846"/>
      <c r="EM21" s="844"/>
      <c r="EN21" s="846"/>
      <c r="EO21" s="844"/>
      <c r="EP21" s="846"/>
      <c r="EQ21" s="844"/>
      <c r="ER21" s="845"/>
      <c r="ES21" s="847"/>
    </row>
    <row r="22" spans="2:149" ht="18" customHeight="1">
      <c r="B22" s="1040">
        <f t="shared" si="18"/>
        <v>12</v>
      </c>
      <c r="C22" s="844" t="str">
        <f>RELASI!C14</f>
        <v>ERAWATI</v>
      </c>
      <c r="D22" s="845"/>
      <c r="E22" s="845"/>
      <c r="F22" s="846"/>
      <c r="G22" s="844" t="str">
        <f>RELASI!D14</f>
        <v>Sei. Sejuk</v>
      </c>
      <c r="H22" s="845"/>
      <c r="I22" s="846"/>
      <c r="J22" s="1319">
        <f>SUMIFS(KB[NETTO],KB[RELASI],C22,KB[TYPE],"A",KB[TANGGAL],"&gt;="&amp;DATE($J$7,1,1),KB[TANGGAL],"&lt;"&amp;DATE($J$7+1,1,0))/12</f>
        <v>0</v>
      </c>
      <c r="K22" s="1324"/>
      <c r="L22" s="1320"/>
      <c r="M22" s="1319">
        <f t="shared" si="19"/>
        <v>0</v>
      </c>
      <c r="N22" s="1320"/>
      <c r="O22" s="1321">
        <f>SUMIFS(KB[TPOT],KB[RELASI],C22,KB[TYPE],"A",KB[TANGGAL],"&gt;="&amp;DATE($J$7,1,1),KB[TANGGAL],"&lt;"&amp;DATE($J$7+1,1,0))/12</f>
        <v>0</v>
      </c>
      <c r="P22" s="1322"/>
      <c r="Q22" s="1321">
        <f>SUMIFS(KB[NETTO2],KB[RELASI],C22,KB[TYPE],"A",KB[TANGGAL],"&gt;="&amp;DATE($J$7,1,1),KB[TANGGAL],"&lt;"&amp;DATE($J$7+1,1,0))/12</f>
        <v>0</v>
      </c>
      <c r="R22" s="1323"/>
      <c r="S22" s="1322"/>
      <c r="T22" s="1321">
        <f>SUMIFS(KB[NETTO],KB[RELASI],C22,KB[TYPE],"A",KB[TANGGAL],"&gt;="&amp;$T$8,KB[TANGGAL],"&lt;"&amp;DATE($FA$4,$FA$5+1,0))</f>
        <v>339890</v>
      </c>
      <c r="U22" s="1323"/>
      <c r="V22" s="1322"/>
      <c r="W22" s="1319">
        <f t="shared" si="20"/>
        <v>5.2651446056076958</v>
      </c>
      <c r="X22" s="1320"/>
      <c r="Y22" s="1339">
        <f>SUMIFS(KB[TPOT],KB[RELASI],C22,KB[TYPE],"A",KB[TANGGAL],"&gt;="&amp;$T$8,KB[TANGGAL],"&lt;"&amp;DATE($FA$4,$FA$5+1,0))</f>
        <v>17895.699999999997</v>
      </c>
      <c r="Z22" s="1340"/>
      <c r="AA22" s="1339">
        <f>SUMIFS(KB[NETTO2],KB[RELASI],C22,KB[TYPE],"A",KB[TANGGAL],"&gt;="&amp;$T$8,KB[TANGGAL],"&lt;"&amp;DATE($FA$4,$FA$5+1,0))</f>
        <v>321994.3</v>
      </c>
      <c r="AB22" s="1341"/>
      <c r="AC22" s="1340"/>
      <c r="AD22" s="1321">
        <f>SUMIFS(KB[NETTO],KB[RELASI],C22,KB[TYPE],"A",KB[TANGGAL],"&gt;="&amp;$AD$8,KB[TANGGAL],"&lt;"&amp;DATE($FA$4,MONTH($AD$8)+1,0))</f>
        <v>469440</v>
      </c>
      <c r="AE22" s="1323"/>
      <c r="AF22" s="1322"/>
      <c r="AG22" s="1321">
        <f t="shared" si="7"/>
        <v>5.2651446056076958</v>
      </c>
      <c r="AH22" s="1322"/>
      <c r="AI22" s="1321">
        <f>SUMIFS(KB[TPOT],KB[RELASI],C22,KB[TYPE],"A",KB[TANGGAL],"&gt;="&amp;$AD$8,KB[TANGGAL],"&lt;"&amp;DATE($FA$4,MONTH($AD$8)+1,0))</f>
        <v>23699.399999999998</v>
      </c>
      <c r="AJ22" s="1322"/>
      <c r="AK22" s="1321">
        <f>SUMIFS(KB[NETTO2],KB[RELASI],C22,KB[TYPE],"A",KB[TANGGAL],"&gt;="&amp;$AD$8,KB[TANGGAL],"&lt;"&amp;DATE($FA$4,MONTH($AD$8)+1,0))</f>
        <v>445740.60000000003</v>
      </c>
      <c r="AL22" s="1323"/>
      <c r="AM22" s="1322"/>
      <c r="AN22" s="1321">
        <f>SUMIFS(KB[NETTO],KB[RELASI],C22,KB[TYPE],"A",KB[TANGGAL],"&gt;="&amp;$AN$8,KB[TANGGAL],"&lt;"&amp;DATE(YEAR($AN$8),MONTH($AN$8)+1,0))</f>
        <v>314150</v>
      </c>
      <c r="AO22" s="1323"/>
      <c r="AP22" s="1322"/>
      <c r="AQ22" s="1321">
        <f t="shared" si="8"/>
        <v>5.1943339169186684</v>
      </c>
      <c r="AR22" s="1322"/>
      <c r="AS22" s="1321">
        <f>SUMIFS(KB[TPOT],KB[RELASI],C22,KB[TYPE],"A",KB[TANGGAL],"&gt;="&amp;$AN$8,KB[TANGGAL],"&lt;"&amp;DATE(YEAR($AN$8),MONTH($AN$8)+1,0))</f>
        <v>16317.999999999998</v>
      </c>
      <c r="AT22" s="1322"/>
      <c r="AU22" s="1321">
        <f>SUMIFS(KB[NETTO2],KB[RELASI],C22,KB[TYPE],"A",KB[TANGGAL],"&gt;="&amp;$AN$8,KB[TANGGAL],"&lt;"&amp;DATE(YEAR($AN$8),MONTH($AN$8)+1,0))</f>
        <v>297832</v>
      </c>
      <c r="AV22" s="1323"/>
      <c r="AW22" s="1322"/>
      <c r="AX22" s="1321">
        <f>SUMIFS(KB[NETTO],KB[RELASI],C22,KB[TYPE],"A",KB[TANGGAL],"&gt;="&amp;$AX$8,KB[TANGGAL],"&lt;"&amp;DATE(YEAR($AX$8),MONTH($AX$8)+1,0))</f>
        <v>0</v>
      </c>
      <c r="AY22" s="1323"/>
      <c r="AZ22" s="1322"/>
      <c r="BA22" s="1321">
        <f t="shared" si="9"/>
        <v>0</v>
      </c>
      <c r="BB22" s="1322"/>
      <c r="BC22" s="1321">
        <f>SUMIFS(KB[TPOT],KB[RELASI],C22,KB[TYPE],"A",KB[TANGGAL],"&gt;="&amp;$AX$8,KB[TANGGAL],"&lt;"&amp;DATE(YEAR($AX$8),MONTH($AX$8)+1,0))</f>
        <v>0</v>
      </c>
      <c r="BD22" s="1322"/>
      <c r="BE22" s="1321">
        <f>SUMIFS(KB[NETTO2],KB[RELASI],C22,KB[TYPE],"A",KB[TANGGAL],"&gt;="&amp;$AX$8,KB[TANGGAL],"&lt;"&amp;DATE(YEAR($AX$8),MONTH($AX$8)+1,0))</f>
        <v>0</v>
      </c>
      <c r="BF22" s="1323"/>
      <c r="BG22" s="1322"/>
      <c r="BH22" s="1321">
        <f>SUMIFS(KB[NETTO],KB[RELASI],C22,KB[TYPE],"A",KB[TANGGAL],"&gt;="&amp;$BH$8,KB[TANGGAL],"&lt;"&amp;DATE(YEAR($BH$8),MONTH($BH$8)+1,0))</f>
        <v>0</v>
      </c>
      <c r="BI22" s="1323"/>
      <c r="BJ22" s="1322"/>
      <c r="BK22" s="1321">
        <f t="shared" si="10"/>
        <v>0</v>
      </c>
      <c r="BL22" s="1322"/>
      <c r="BM22" s="1321">
        <f>SUMIFS(KB[TPOT],KB[RELASI],C22,KB[TYPE],"A",KB[TANGGAL],"&gt;="&amp;$BH$8,KB[TANGGAL],"&lt;"&amp;DATE(YEAR($BH$8),MONTH($BH$8)+1,0))</f>
        <v>0</v>
      </c>
      <c r="BN22" s="1322"/>
      <c r="BO22" s="1321">
        <f>SUMIFS(KB[NETTO2],KB[RELASI],C22,KB[TYPE],"A",KB[TANGGAL],"&gt;="&amp;$BH$8,KB[TANGGAL],"&lt;"&amp;DATE(YEAR($BH$8),MONTH($BH$8)+1,0))</f>
        <v>0</v>
      </c>
      <c r="BP22" s="1323"/>
      <c r="BQ22" s="1322"/>
      <c r="BR22" s="1321">
        <f>SUMIFS(KB[NETTO],KB[RELASI],C22,KB[TYPE],"A",KB[TANGGAL],"&gt;="&amp;$BR$8,KB[TANGGAL],"&lt;"&amp;DATE(YEAR($BR$8),MONTH($BR$8)+1,0))</f>
        <v>0</v>
      </c>
      <c r="BS22" s="1323"/>
      <c r="BT22" s="1322"/>
      <c r="BU22" s="1321">
        <f t="shared" si="11"/>
        <v>0</v>
      </c>
      <c r="BV22" s="1322"/>
      <c r="BW22" s="1321">
        <f>SUMIFS(KB[TPOT],KB[RELASI],C22,KB[TYPE],"A",KB[TANGGAL],"&gt;="&amp;$BR$8,KB[TANGGAL],"&lt;"&amp;DATE(YEAR($BR$8),MONTH($BR$8)+1,0))</f>
        <v>0</v>
      </c>
      <c r="BX22" s="1322"/>
      <c r="BY22" s="1321">
        <f>SUMIFS(KB[NETTO2],KB[RELASI],C22,KB[TYPE],"A",KB[TANGGAL],"&gt;="&amp;$BR$8,KB[TANGGAL],"&lt;"&amp;DATE(YEAR($BR$8),MONTH($BR$8)+1,0))</f>
        <v>0</v>
      </c>
      <c r="BZ22" s="1323"/>
      <c r="CA22" s="1322"/>
      <c r="CB22" s="1321">
        <f>SUMIFS(KB[NETTO],KB[RELASI],C22,KB[TYPE],"A",KB[TANGGAL],"&gt;="&amp;$CB$8,KB[TANGGAL],"&lt;"&amp;DATE(YEAR($CB$8),MONTH($CB$8)+1,0))</f>
        <v>0</v>
      </c>
      <c r="CC22" s="1323"/>
      <c r="CD22" s="1322"/>
      <c r="CE22" s="1321">
        <f t="shared" si="12"/>
        <v>0</v>
      </c>
      <c r="CF22" s="1322"/>
      <c r="CG22" s="1321">
        <f>SUMIFS(KB[TPOT],KB[RELASI],C22,KB[TYPE],"A",KB[TANGGAL],"&gt;="&amp;$CB$8,KB[TANGGAL],"&lt;"&amp;DATE(YEAR($CB$8),MONTH($CB$8)+1,0))</f>
        <v>0</v>
      </c>
      <c r="CH22" s="1322"/>
      <c r="CI22" s="1321">
        <f>SUMIFS(KB[NETTO2],KB[RELASI],C22,KB[TYPE],"A",KB[TANGGAL],"&gt;="&amp;$CB$8,KB[TANGGAL],"&lt;"&amp;DATE(YEAR($CB$8),MONTH($CB$8)+1,0))</f>
        <v>0</v>
      </c>
      <c r="CJ22" s="1323"/>
      <c r="CK22" s="1322"/>
      <c r="CL22" s="1321">
        <f>SUMIFS(KB[NETTO],KB[RELASI],C22,KB[TYPE],"A",KB[TANGGAL],"&gt;="&amp;$CL$8,KB[TANGGAL],"&lt;"&amp;DATE(YEAR($CL$8),MONTH($CL$8)+1,0))</f>
        <v>0</v>
      </c>
      <c r="CM22" s="1323"/>
      <c r="CN22" s="1322"/>
      <c r="CO22" s="1321">
        <f t="shared" si="13"/>
        <v>0</v>
      </c>
      <c r="CP22" s="1322"/>
      <c r="CQ22" s="1321">
        <f>SUMIFS(KB[TPOT],KB[RELASI],C22,KB[TYPE],"A",KB[TANGGAL],"&gt;="&amp;$CL$8,KB[TANGGAL],"&lt;"&amp;DATE(YEAR($CL$8),MONTH($CL$8)+1,0))</f>
        <v>0</v>
      </c>
      <c r="CR22" s="1322"/>
      <c r="CS22" s="1321">
        <f>SUMIFS(KB[NETTO2],KB[RELASI],C22,KB[TYPE],"A",KB[TANGGAL],"&gt;="&amp;$CL$8,KB[TANGGAL],"&lt;"&amp;DATE(YEAR($CL$8),MONTH($CL$8)+1,0))</f>
        <v>0</v>
      </c>
      <c r="CT22" s="1323"/>
      <c r="CU22" s="1322"/>
      <c r="CV22" s="1321">
        <f>SUMIFS(KB[NETTO],KB[RELASI],C22,KB[TYPE],"A",KB[TANGGAL],"&gt;="&amp;$CV$8,KB[TANGGAL],"&lt;"&amp;DATE(YEAR($CV$8),MONTH($CV$8)+1,0))</f>
        <v>0</v>
      </c>
      <c r="CW22" s="1323"/>
      <c r="CX22" s="1322"/>
      <c r="CY22" s="1321">
        <f t="shared" si="14"/>
        <v>0</v>
      </c>
      <c r="CZ22" s="1322"/>
      <c r="DA22" s="1321">
        <f>SUMIFS(KB[TPOT],KB[RELASI],C22,KB[TYPE],"A",KB[TANGGAL],"&gt;="&amp;$CV$8,KB[TANGGAL],"&lt;"&amp;DATE(YEAR($CV$8),MONTH($CV$8)+1,0))</f>
        <v>0</v>
      </c>
      <c r="DB22" s="1322"/>
      <c r="DC22" s="1321">
        <f>SUMIFS(KB[NETTO2],KB[RELASI],C22,KB[TYPE],"A",KB[TANGGAL],"&gt;="&amp;$CV$8,KB[TANGGAL],"&lt;"&amp;DATE(YEAR($CV$8),MONTH($CV$8)+1,0))</f>
        <v>0</v>
      </c>
      <c r="DD22" s="1323"/>
      <c r="DE22" s="1322"/>
      <c r="DF22" s="1321">
        <f>SUMIFS(KB[NETTO],KB[RELASI],C22,KB[TYPE],"A",KB[TANGGAL],"&gt;="&amp;$DF$8,KB[TANGGAL],"&lt;"&amp;DATE(YEAR($DF$8),MONTH($DF$8)+1,0))</f>
        <v>0</v>
      </c>
      <c r="DG22" s="1323"/>
      <c r="DH22" s="1322"/>
      <c r="DI22" s="1321">
        <f t="shared" si="15"/>
        <v>0</v>
      </c>
      <c r="DJ22" s="1322"/>
      <c r="DK22" s="1321">
        <f>SUMIFS(KB[TPOT],KB[RELASI],C22,KB[TYPE],"A",KB[TANGGAL],"&gt;="&amp;$DF$8,KB[TANGGAL],"&lt;"&amp;DATE(YEAR($DF$8),MONTH($DF$8)+1,0))</f>
        <v>0</v>
      </c>
      <c r="DL22" s="1322"/>
      <c r="DM22" s="1321">
        <f>SUMIFS(KB[NETTO2],KB[RELASI],C22,KB[TYPE],"A",KB[TANGGAL],"&gt;="&amp;$DF$8,KB[TANGGAL],"&lt;"&amp;DATE(YEAR($DF$8),MONTH($DF$8)+1,0))</f>
        <v>0</v>
      </c>
      <c r="DN22" s="1323"/>
      <c r="DO22" s="1322"/>
      <c r="DP22" s="1321">
        <f>SUMIFS(KB[NETTO],KB[RELASI],C22,KB[TYPE],"A",KB[TANGGAL],"&gt;="&amp;$DP$8,KB[TANGGAL],"&lt;"&amp;DATE(YEAR($DP$8),MONTH($DP$8)+1,0))</f>
        <v>0</v>
      </c>
      <c r="DQ22" s="1323"/>
      <c r="DR22" s="1322"/>
      <c r="DS22" s="1321">
        <f t="shared" si="16"/>
        <v>0</v>
      </c>
      <c r="DT22" s="1322"/>
      <c r="DU22" s="1321">
        <f>SUMIFS(KB[TPOT],KB[RELASI],C22,KB[TYPE],"A",KB[TANGGAL],"&gt;="&amp;$DP$8,KB[TANGGAL],"&lt;"&amp;DATE(YEAR($DP$8),MONTH($DP$8)+1,0))</f>
        <v>0</v>
      </c>
      <c r="DV22" s="1322"/>
      <c r="DW22" s="1321">
        <f>SUMIFS(KB[NETTO2],KB[RELASI],C22,KB[TYPE],"A",KB[TANGGAL],"&gt;="&amp;$DP$8,KB[TANGGAL],"&lt;"&amp;DATE(YEAR($DP$8),MONTH($DP$8)+1,0))</f>
        <v>0</v>
      </c>
      <c r="DX22" s="1323"/>
      <c r="DY22" s="1322"/>
      <c r="DZ22" s="1321">
        <f>SUMIFS(KB[NETTO],KB[RELASI],C22,KB[TYPE],"A",KB[TANGGAL],"&gt;="&amp;$DZ$8,KB[TANGGAL],"&lt;"&amp;DATE(YEAR($DZ$8),MONTH($DZ$8)+1,0))</f>
        <v>0</v>
      </c>
      <c r="EA22" s="1323"/>
      <c r="EB22" s="1322"/>
      <c r="EC22" s="1321">
        <f t="shared" si="17"/>
        <v>0</v>
      </c>
      <c r="ED22" s="1322"/>
      <c r="EE22" s="1321">
        <f>SUMIFS(KB[TPOT],KB[RELASI],C22,KB[TYPE],"A",KB[TANGGAL],"&gt;="&amp;$DZ$8,KB[TANGGAL],"&lt;"&amp;DATE(YEAR($DZ$8),MONTH($DZ$8)+1,0))</f>
        <v>0</v>
      </c>
      <c r="EF22" s="1322"/>
      <c r="EG22" s="1321">
        <f>SUMIFS(KB[NETTO2],KB[RELASI],C22,KB[TYPE],"A",KB[TANGGAL],"&gt;="&amp;$DZ$8,KB[TANGGAL],"&lt;"&amp;DATE(YEAR($DZ$8),MONTH($DZ$8)+1,0))</f>
        <v>0</v>
      </c>
      <c r="EH22" s="1323"/>
      <c r="EI22" s="1322"/>
      <c r="EJ22" s="844"/>
      <c r="EK22" s="845"/>
      <c r="EL22" s="846"/>
      <c r="EM22" s="844"/>
      <c r="EN22" s="846"/>
      <c r="EO22" s="844"/>
      <c r="EP22" s="846"/>
      <c r="EQ22" s="844"/>
      <c r="ER22" s="845"/>
      <c r="ES22" s="847"/>
    </row>
    <row r="23" spans="2:149" ht="18" customHeight="1">
      <c r="B23" s="1040">
        <f t="shared" si="18"/>
        <v>13</v>
      </c>
      <c r="C23" s="844" t="str">
        <f>RELASI!C15</f>
        <v>H.ARSAD</v>
      </c>
      <c r="D23" s="845"/>
      <c r="E23" s="845"/>
      <c r="F23" s="846"/>
      <c r="G23" s="844" t="str">
        <f>RELASI!D15</f>
        <v>Tokolan</v>
      </c>
      <c r="H23" s="845"/>
      <c r="I23" s="846"/>
      <c r="J23" s="1319">
        <f>SUMIFS(KB[NETTO],KB[RELASI],C23,KB[TYPE],"A",KB[TANGGAL],"&gt;="&amp;DATE($J$7,1,1),KB[TANGGAL],"&lt;"&amp;DATE($J$7+1,1,0))/12</f>
        <v>0</v>
      </c>
      <c r="K23" s="1324"/>
      <c r="L23" s="1320"/>
      <c r="M23" s="1319">
        <f t="shared" si="19"/>
        <v>0</v>
      </c>
      <c r="N23" s="1320"/>
      <c r="O23" s="1321">
        <f>SUMIFS(KB[TPOT],KB[RELASI],C23,KB[TYPE],"A",KB[TANGGAL],"&gt;="&amp;DATE($J$7,1,1),KB[TANGGAL],"&lt;"&amp;DATE($J$7+1,1,0))/12</f>
        <v>0</v>
      </c>
      <c r="P23" s="1322"/>
      <c r="Q23" s="1321">
        <f>SUMIFS(KB[NETTO2],KB[RELASI],C23,KB[TYPE],"A",KB[TANGGAL],"&gt;="&amp;DATE($J$7,1,1),KB[TANGGAL],"&lt;"&amp;DATE($J$7+1,1,0))/12</f>
        <v>0</v>
      </c>
      <c r="R23" s="1323"/>
      <c r="S23" s="1322"/>
      <c r="T23" s="1321">
        <f>SUMIFS(KB[NETTO],KB[RELASI],C23,KB[TYPE],"A",KB[TANGGAL],"&gt;="&amp;$T$8,KB[TANGGAL],"&lt;"&amp;DATE($FA$4,$FA$5+1,0))</f>
        <v>0</v>
      </c>
      <c r="U23" s="1323"/>
      <c r="V23" s="1322"/>
      <c r="W23" s="1319">
        <f t="shared" si="20"/>
        <v>0</v>
      </c>
      <c r="X23" s="1320"/>
      <c r="Y23" s="1339">
        <f>SUMIFS(KB[TPOT],KB[RELASI],C23,KB[TYPE],"A",KB[TANGGAL],"&gt;="&amp;$T$8,KB[TANGGAL],"&lt;"&amp;DATE($FA$4,$FA$5+1,0))</f>
        <v>0</v>
      </c>
      <c r="Z23" s="1340"/>
      <c r="AA23" s="1339">
        <f>SUMIFS(KB[NETTO2],KB[RELASI],C23,KB[TYPE],"A",KB[TANGGAL],"&gt;="&amp;$T$8,KB[TANGGAL],"&lt;"&amp;DATE($FA$4,$FA$5+1,0))</f>
        <v>0</v>
      </c>
      <c r="AB23" s="1341"/>
      <c r="AC23" s="1340"/>
      <c r="AD23" s="1321">
        <f>SUMIFS(KB[NETTO],KB[RELASI],C23,KB[TYPE],"A",KB[TANGGAL],"&gt;="&amp;$AD$8,KB[TANGGAL],"&lt;"&amp;DATE($FA$4,MONTH($AD$8)+1,0))</f>
        <v>0</v>
      </c>
      <c r="AE23" s="1323"/>
      <c r="AF23" s="1322"/>
      <c r="AG23" s="1321">
        <f t="shared" si="7"/>
        <v>0</v>
      </c>
      <c r="AH23" s="1322"/>
      <c r="AI23" s="1321">
        <f>SUMIFS(KB[TPOT],KB[RELASI],C23,KB[TYPE],"A",KB[TANGGAL],"&gt;="&amp;$AD$8,KB[TANGGAL],"&lt;"&amp;DATE($FA$4,MONTH($AD$8)+1,0))</f>
        <v>0</v>
      </c>
      <c r="AJ23" s="1322"/>
      <c r="AK23" s="1321">
        <f>SUMIFS(KB[NETTO2],KB[RELASI],C23,KB[TYPE],"A",KB[TANGGAL],"&gt;="&amp;$AD$8,KB[TANGGAL],"&lt;"&amp;DATE($FA$4,MONTH($AD$8)+1,0))</f>
        <v>0</v>
      </c>
      <c r="AL23" s="1323"/>
      <c r="AM23" s="1322"/>
      <c r="AN23" s="1321">
        <f>SUMIFS(KB[NETTO],KB[RELASI],C23,KB[TYPE],"A",KB[TANGGAL],"&gt;="&amp;$AN$8,KB[TANGGAL],"&lt;"&amp;DATE(YEAR($AN$8),MONTH($AN$8)+1,0))</f>
        <v>0</v>
      </c>
      <c r="AO23" s="1323"/>
      <c r="AP23" s="1322"/>
      <c r="AQ23" s="1321">
        <f t="shared" si="8"/>
        <v>0</v>
      </c>
      <c r="AR23" s="1322"/>
      <c r="AS23" s="1321">
        <f>SUMIFS(KB[TPOT],KB[RELASI],C23,KB[TYPE],"A",KB[TANGGAL],"&gt;="&amp;$AN$8,KB[TANGGAL],"&lt;"&amp;DATE(YEAR($AN$8),MONTH($AN$8)+1,0))</f>
        <v>0</v>
      </c>
      <c r="AT23" s="1322"/>
      <c r="AU23" s="1321">
        <f>SUMIFS(KB[NETTO2],KB[RELASI],C23,KB[TYPE],"A",KB[TANGGAL],"&gt;="&amp;$AN$8,KB[TANGGAL],"&lt;"&amp;DATE(YEAR($AN$8),MONTH($AN$8)+1,0))</f>
        <v>0</v>
      </c>
      <c r="AV23" s="1323"/>
      <c r="AW23" s="1322"/>
      <c r="AX23" s="1321">
        <f>SUMIFS(KB[NETTO],KB[RELASI],C23,KB[TYPE],"A",KB[TANGGAL],"&gt;="&amp;$AX$8,KB[TANGGAL],"&lt;"&amp;DATE(YEAR($AX$8),MONTH($AX$8)+1,0))</f>
        <v>0</v>
      </c>
      <c r="AY23" s="1323"/>
      <c r="AZ23" s="1322"/>
      <c r="BA23" s="1321">
        <f t="shared" si="9"/>
        <v>0</v>
      </c>
      <c r="BB23" s="1322"/>
      <c r="BC23" s="1321">
        <f>SUMIFS(KB[TPOT],KB[RELASI],C23,KB[TYPE],"A",KB[TANGGAL],"&gt;="&amp;$AX$8,KB[TANGGAL],"&lt;"&amp;DATE(YEAR($AX$8),MONTH($AX$8)+1,0))</f>
        <v>0</v>
      </c>
      <c r="BD23" s="1322"/>
      <c r="BE23" s="1321">
        <f>SUMIFS(KB[NETTO2],KB[RELASI],C23,KB[TYPE],"A",KB[TANGGAL],"&gt;="&amp;$AX$8,KB[TANGGAL],"&lt;"&amp;DATE(YEAR($AX$8),MONTH($AX$8)+1,0))</f>
        <v>0</v>
      </c>
      <c r="BF23" s="1323"/>
      <c r="BG23" s="1322"/>
      <c r="BH23" s="1321">
        <f>SUMIFS(KB[NETTO],KB[RELASI],C23,KB[TYPE],"A",KB[TANGGAL],"&gt;="&amp;$BH$8,KB[TANGGAL],"&lt;"&amp;DATE(YEAR($BH$8),MONTH($BH$8)+1,0))</f>
        <v>0</v>
      </c>
      <c r="BI23" s="1323"/>
      <c r="BJ23" s="1322"/>
      <c r="BK23" s="1321">
        <f t="shared" si="10"/>
        <v>0</v>
      </c>
      <c r="BL23" s="1322"/>
      <c r="BM23" s="1321">
        <f>SUMIFS(KB[TPOT],KB[RELASI],C23,KB[TYPE],"A",KB[TANGGAL],"&gt;="&amp;$BH$8,KB[TANGGAL],"&lt;"&amp;DATE(YEAR($BH$8),MONTH($BH$8)+1,0))</f>
        <v>0</v>
      </c>
      <c r="BN23" s="1322"/>
      <c r="BO23" s="1321">
        <f>SUMIFS(KB[NETTO2],KB[RELASI],C23,KB[TYPE],"A",KB[TANGGAL],"&gt;="&amp;$BH$8,KB[TANGGAL],"&lt;"&amp;DATE(YEAR($BH$8),MONTH($BH$8)+1,0))</f>
        <v>0</v>
      </c>
      <c r="BP23" s="1323"/>
      <c r="BQ23" s="1322"/>
      <c r="BR23" s="1321">
        <f>SUMIFS(KB[NETTO],KB[RELASI],C23,KB[TYPE],"A",KB[TANGGAL],"&gt;="&amp;$BR$8,KB[TANGGAL],"&lt;"&amp;DATE(YEAR($BR$8),MONTH($BR$8)+1,0))</f>
        <v>0</v>
      </c>
      <c r="BS23" s="1323"/>
      <c r="BT23" s="1322"/>
      <c r="BU23" s="1321">
        <f t="shared" si="11"/>
        <v>0</v>
      </c>
      <c r="BV23" s="1322"/>
      <c r="BW23" s="1321">
        <f>SUMIFS(KB[TPOT],KB[RELASI],C23,KB[TYPE],"A",KB[TANGGAL],"&gt;="&amp;$BR$8,KB[TANGGAL],"&lt;"&amp;DATE(YEAR($BR$8),MONTH($BR$8)+1,0))</f>
        <v>0</v>
      </c>
      <c r="BX23" s="1322"/>
      <c r="BY23" s="1321">
        <f>SUMIFS(KB[NETTO2],KB[RELASI],C23,KB[TYPE],"A",KB[TANGGAL],"&gt;="&amp;$BR$8,KB[TANGGAL],"&lt;"&amp;DATE(YEAR($BR$8),MONTH($BR$8)+1,0))</f>
        <v>0</v>
      </c>
      <c r="BZ23" s="1323"/>
      <c r="CA23" s="1322"/>
      <c r="CB23" s="1321">
        <f>SUMIFS(KB[NETTO],KB[RELASI],C23,KB[TYPE],"A",KB[TANGGAL],"&gt;="&amp;$CB$8,KB[TANGGAL],"&lt;"&amp;DATE(YEAR($CB$8),MONTH($CB$8)+1,0))</f>
        <v>0</v>
      </c>
      <c r="CC23" s="1323"/>
      <c r="CD23" s="1322"/>
      <c r="CE23" s="1321">
        <f t="shared" si="12"/>
        <v>0</v>
      </c>
      <c r="CF23" s="1322"/>
      <c r="CG23" s="1321">
        <f>SUMIFS(KB[TPOT],KB[RELASI],C23,KB[TYPE],"A",KB[TANGGAL],"&gt;="&amp;$CB$8,KB[TANGGAL],"&lt;"&amp;DATE(YEAR($CB$8),MONTH($CB$8)+1,0))</f>
        <v>0</v>
      </c>
      <c r="CH23" s="1322"/>
      <c r="CI23" s="1321">
        <f>SUMIFS(KB[NETTO2],KB[RELASI],C23,KB[TYPE],"A",KB[TANGGAL],"&gt;="&amp;$CB$8,KB[TANGGAL],"&lt;"&amp;DATE(YEAR($CB$8),MONTH($CB$8)+1,0))</f>
        <v>0</v>
      </c>
      <c r="CJ23" s="1323"/>
      <c r="CK23" s="1322"/>
      <c r="CL23" s="1321">
        <f>SUMIFS(KB[NETTO],KB[RELASI],C23,KB[TYPE],"A",KB[TANGGAL],"&gt;="&amp;$CL$8,KB[TANGGAL],"&lt;"&amp;DATE(YEAR($CL$8),MONTH($CL$8)+1,0))</f>
        <v>0</v>
      </c>
      <c r="CM23" s="1323"/>
      <c r="CN23" s="1322"/>
      <c r="CO23" s="1321">
        <f t="shared" si="13"/>
        <v>0</v>
      </c>
      <c r="CP23" s="1322"/>
      <c r="CQ23" s="1321">
        <f>SUMIFS(KB[TPOT],KB[RELASI],C23,KB[TYPE],"A",KB[TANGGAL],"&gt;="&amp;$CL$8,KB[TANGGAL],"&lt;"&amp;DATE(YEAR($CL$8),MONTH($CL$8)+1,0))</f>
        <v>0</v>
      </c>
      <c r="CR23" s="1322"/>
      <c r="CS23" s="1321">
        <f>SUMIFS(KB[NETTO2],KB[RELASI],C23,KB[TYPE],"A",KB[TANGGAL],"&gt;="&amp;$CL$8,KB[TANGGAL],"&lt;"&amp;DATE(YEAR($CL$8),MONTH($CL$8)+1,0))</f>
        <v>0</v>
      </c>
      <c r="CT23" s="1323"/>
      <c r="CU23" s="1322"/>
      <c r="CV23" s="1321">
        <f>SUMIFS(KB[NETTO],KB[RELASI],C23,KB[TYPE],"A",KB[TANGGAL],"&gt;="&amp;$CV$8,KB[TANGGAL],"&lt;"&amp;DATE(YEAR($CV$8),MONTH($CV$8)+1,0))</f>
        <v>0</v>
      </c>
      <c r="CW23" s="1323"/>
      <c r="CX23" s="1322"/>
      <c r="CY23" s="1321">
        <f t="shared" si="14"/>
        <v>0</v>
      </c>
      <c r="CZ23" s="1322"/>
      <c r="DA23" s="1321">
        <f>SUMIFS(KB[TPOT],KB[RELASI],C23,KB[TYPE],"A",KB[TANGGAL],"&gt;="&amp;$CV$8,KB[TANGGAL],"&lt;"&amp;DATE(YEAR($CV$8),MONTH($CV$8)+1,0))</f>
        <v>0</v>
      </c>
      <c r="DB23" s="1322"/>
      <c r="DC23" s="1321">
        <f>SUMIFS(KB[NETTO2],KB[RELASI],C23,KB[TYPE],"A",KB[TANGGAL],"&gt;="&amp;$CV$8,KB[TANGGAL],"&lt;"&amp;DATE(YEAR($CV$8),MONTH($CV$8)+1,0))</f>
        <v>0</v>
      </c>
      <c r="DD23" s="1323"/>
      <c r="DE23" s="1322"/>
      <c r="DF23" s="1321">
        <f>SUMIFS(KB[NETTO],KB[RELASI],C23,KB[TYPE],"A",KB[TANGGAL],"&gt;="&amp;$DF$8,KB[TANGGAL],"&lt;"&amp;DATE(YEAR($DF$8),MONTH($DF$8)+1,0))</f>
        <v>0</v>
      </c>
      <c r="DG23" s="1323"/>
      <c r="DH23" s="1322"/>
      <c r="DI23" s="1321">
        <f t="shared" si="15"/>
        <v>0</v>
      </c>
      <c r="DJ23" s="1322"/>
      <c r="DK23" s="1321">
        <f>SUMIFS(KB[TPOT],KB[RELASI],C23,KB[TYPE],"A",KB[TANGGAL],"&gt;="&amp;$DF$8,KB[TANGGAL],"&lt;"&amp;DATE(YEAR($DF$8),MONTH($DF$8)+1,0))</f>
        <v>0</v>
      </c>
      <c r="DL23" s="1322"/>
      <c r="DM23" s="1321">
        <f>SUMIFS(KB[NETTO2],KB[RELASI],C23,KB[TYPE],"A",KB[TANGGAL],"&gt;="&amp;$DF$8,KB[TANGGAL],"&lt;"&amp;DATE(YEAR($DF$8),MONTH($DF$8)+1,0))</f>
        <v>0</v>
      </c>
      <c r="DN23" s="1323"/>
      <c r="DO23" s="1322"/>
      <c r="DP23" s="1321">
        <f>SUMIFS(KB[NETTO],KB[RELASI],C23,KB[TYPE],"A",KB[TANGGAL],"&gt;="&amp;$DP$8,KB[TANGGAL],"&lt;"&amp;DATE(YEAR($DP$8),MONTH($DP$8)+1,0))</f>
        <v>0</v>
      </c>
      <c r="DQ23" s="1323"/>
      <c r="DR23" s="1322"/>
      <c r="DS23" s="1321">
        <f t="shared" si="16"/>
        <v>0</v>
      </c>
      <c r="DT23" s="1322"/>
      <c r="DU23" s="1321">
        <f>SUMIFS(KB[TPOT],KB[RELASI],C23,KB[TYPE],"A",KB[TANGGAL],"&gt;="&amp;$DP$8,KB[TANGGAL],"&lt;"&amp;DATE(YEAR($DP$8),MONTH($DP$8)+1,0))</f>
        <v>0</v>
      </c>
      <c r="DV23" s="1322"/>
      <c r="DW23" s="1321">
        <f>SUMIFS(KB[NETTO2],KB[RELASI],C23,KB[TYPE],"A",KB[TANGGAL],"&gt;="&amp;$DP$8,KB[TANGGAL],"&lt;"&amp;DATE(YEAR($DP$8),MONTH($DP$8)+1,0))</f>
        <v>0</v>
      </c>
      <c r="DX23" s="1323"/>
      <c r="DY23" s="1322"/>
      <c r="DZ23" s="1321">
        <f>SUMIFS(KB[NETTO],KB[RELASI],C23,KB[TYPE],"A",KB[TANGGAL],"&gt;="&amp;$DZ$8,KB[TANGGAL],"&lt;"&amp;DATE(YEAR($DZ$8),MONTH($DZ$8)+1,0))</f>
        <v>0</v>
      </c>
      <c r="EA23" s="1323"/>
      <c r="EB23" s="1322"/>
      <c r="EC23" s="1321">
        <f t="shared" si="17"/>
        <v>0</v>
      </c>
      <c r="ED23" s="1322"/>
      <c r="EE23" s="1321">
        <f>SUMIFS(KB[TPOT],KB[RELASI],C23,KB[TYPE],"A",KB[TANGGAL],"&gt;="&amp;$DZ$8,KB[TANGGAL],"&lt;"&amp;DATE(YEAR($DZ$8),MONTH($DZ$8)+1,0))</f>
        <v>0</v>
      </c>
      <c r="EF23" s="1322"/>
      <c r="EG23" s="1321">
        <f>SUMIFS(KB[NETTO2],KB[RELASI],C23,KB[TYPE],"A",KB[TANGGAL],"&gt;="&amp;$DZ$8,KB[TANGGAL],"&lt;"&amp;DATE(YEAR($DZ$8),MONTH($DZ$8)+1,0))</f>
        <v>0</v>
      </c>
      <c r="EH23" s="1323"/>
      <c r="EI23" s="1322"/>
      <c r="EJ23" s="844"/>
      <c r="EK23" s="845"/>
      <c r="EL23" s="846"/>
      <c r="EM23" s="844"/>
      <c r="EN23" s="846"/>
      <c r="EO23" s="844"/>
      <c r="EP23" s="846"/>
      <c r="EQ23" s="844"/>
      <c r="ER23" s="845"/>
      <c r="ES23" s="847"/>
    </row>
    <row r="24" spans="2:149" ht="18" customHeight="1">
      <c r="B24" s="1040">
        <f t="shared" si="18"/>
        <v>14</v>
      </c>
      <c r="C24" s="844" t="str">
        <f>RELASI!C16</f>
        <v>H.HAMID</v>
      </c>
      <c r="D24" s="845"/>
      <c r="E24" s="845"/>
      <c r="F24" s="846"/>
      <c r="G24" s="844" t="str">
        <f>RELASI!D16</f>
        <v>Kilo 8</v>
      </c>
      <c r="H24" s="845"/>
      <c r="I24" s="846"/>
      <c r="J24" s="1319">
        <f>SUMIFS(KB[NETTO],KB[RELASI],C24,KB[TYPE],"A",KB[TANGGAL],"&gt;="&amp;DATE($J$7,1,1),KB[TANGGAL],"&lt;"&amp;DATE($J$7+1,1,0))/12</f>
        <v>0</v>
      </c>
      <c r="K24" s="1324"/>
      <c r="L24" s="1320"/>
      <c r="M24" s="1319">
        <f t="shared" si="19"/>
        <v>0</v>
      </c>
      <c r="N24" s="1320"/>
      <c r="O24" s="1321">
        <f>SUMIFS(KB[TPOT],KB[RELASI],C24,KB[TYPE],"A",KB[TANGGAL],"&gt;="&amp;DATE($J$7,1,1),KB[TANGGAL],"&lt;"&amp;DATE($J$7+1,1,0))/12</f>
        <v>0</v>
      </c>
      <c r="P24" s="1322"/>
      <c r="Q24" s="1321">
        <f>SUMIFS(KB[NETTO2],KB[RELASI],C24,KB[TYPE],"A",KB[TANGGAL],"&gt;="&amp;DATE($J$7,1,1),KB[TANGGAL],"&lt;"&amp;DATE($J$7+1,1,0))/12</f>
        <v>0</v>
      </c>
      <c r="R24" s="1323"/>
      <c r="S24" s="1322"/>
      <c r="T24" s="1321">
        <f>SUMIFS(KB[NETTO],KB[RELASI],C24,KB[TYPE],"A",KB[TANGGAL],"&gt;="&amp;$T$8,KB[TANGGAL],"&lt;"&amp;DATE($FA$4,$FA$5+1,0))</f>
        <v>0</v>
      </c>
      <c r="U24" s="1323"/>
      <c r="V24" s="1322"/>
      <c r="W24" s="1319">
        <f t="shared" si="20"/>
        <v>0</v>
      </c>
      <c r="X24" s="1320"/>
      <c r="Y24" s="1339">
        <f>SUMIFS(KB[TPOT],KB[RELASI],C24,KB[TYPE],"A",KB[TANGGAL],"&gt;="&amp;$T$8,KB[TANGGAL],"&lt;"&amp;DATE($FA$4,$FA$5+1,0))</f>
        <v>0</v>
      </c>
      <c r="Z24" s="1340"/>
      <c r="AA24" s="1339">
        <f>SUMIFS(KB[NETTO2],KB[RELASI],C24,KB[TYPE],"A",KB[TANGGAL],"&gt;="&amp;$T$8,KB[TANGGAL],"&lt;"&amp;DATE($FA$4,$FA$5+1,0))</f>
        <v>0</v>
      </c>
      <c r="AB24" s="1341"/>
      <c r="AC24" s="1340"/>
      <c r="AD24" s="1321">
        <f>SUMIFS(KB[NETTO],KB[RELASI],C24,KB[TYPE],"A",KB[TANGGAL],"&gt;="&amp;$AD$8,KB[TANGGAL],"&lt;"&amp;DATE($FA$4,MONTH($AD$8)+1,0))</f>
        <v>0</v>
      </c>
      <c r="AE24" s="1323"/>
      <c r="AF24" s="1322"/>
      <c r="AG24" s="1321">
        <f t="shared" si="7"/>
        <v>0</v>
      </c>
      <c r="AH24" s="1322"/>
      <c r="AI24" s="1321">
        <f>SUMIFS(KB[TPOT],KB[RELASI],C24,KB[TYPE],"A",KB[TANGGAL],"&gt;="&amp;$AD$8,KB[TANGGAL],"&lt;"&amp;DATE($FA$4,MONTH($AD$8)+1,0))</f>
        <v>0</v>
      </c>
      <c r="AJ24" s="1322"/>
      <c r="AK24" s="1321">
        <f>SUMIFS(KB[NETTO2],KB[RELASI],C24,KB[TYPE],"A",KB[TANGGAL],"&gt;="&amp;$AD$8,KB[TANGGAL],"&lt;"&amp;DATE($FA$4,MONTH($AD$8)+1,0))</f>
        <v>0</v>
      </c>
      <c r="AL24" s="1323"/>
      <c r="AM24" s="1322"/>
      <c r="AN24" s="1321">
        <f>SUMIFS(KB[NETTO],KB[RELASI],C24,KB[TYPE],"A",KB[TANGGAL],"&gt;="&amp;$AN$8,KB[TANGGAL],"&lt;"&amp;DATE(YEAR($AN$8),MONTH($AN$8)+1,0))</f>
        <v>0</v>
      </c>
      <c r="AO24" s="1323"/>
      <c r="AP24" s="1322"/>
      <c r="AQ24" s="1321">
        <f t="shared" si="8"/>
        <v>0</v>
      </c>
      <c r="AR24" s="1322"/>
      <c r="AS24" s="1321">
        <f>SUMIFS(KB[TPOT],KB[RELASI],C24,KB[TYPE],"A",KB[TANGGAL],"&gt;="&amp;$AN$8,KB[TANGGAL],"&lt;"&amp;DATE(YEAR($AN$8),MONTH($AN$8)+1,0))</f>
        <v>0</v>
      </c>
      <c r="AT24" s="1322"/>
      <c r="AU24" s="1321">
        <f>SUMIFS(KB[NETTO2],KB[RELASI],C24,KB[TYPE],"A",KB[TANGGAL],"&gt;="&amp;$AN$8,KB[TANGGAL],"&lt;"&amp;DATE(YEAR($AN$8),MONTH($AN$8)+1,0))</f>
        <v>0</v>
      </c>
      <c r="AV24" s="1323"/>
      <c r="AW24" s="1322"/>
      <c r="AX24" s="1321">
        <f>SUMIFS(KB[NETTO],KB[RELASI],C24,KB[TYPE],"A",KB[TANGGAL],"&gt;="&amp;$AX$8,KB[TANGGAL],"&lt;"&amp;DATE(YEAR($AX$8),MONTH($AX$8)+1,0))</f>
        <v>0</v>
      </c>
      <c r="AY24" s="1323"/>
      <c r="AZ24" s="1322"/>
      <c r="BA24" s="1321">
        <f t="shared" si="9"/>
        <v>0</v>
      </c>
      <c r="BB24" s="1322"/>
      <c r="BC24" s="1321">
        <f>SUMIFS(KB[TPOT],KB[RELASI],C24,KB[TYPE],"A",KB[TANGGAL],"&gt;="&amp;$AX$8,KB[TANGGAL],"&lt;"&amp;DATE(YEAR($AX$8),MONTH($AX$8)+1,0))</f>
        <v>0</v>
      </c>
      <c r="BD24" s="1322"/>
      <c r="BE24" s="1321">
        <f>SUMIFS(KB[NETTO2],KB[RELASI],C24,KB[TYPE],"A",KB[TANGGAL],"&gt;="&amp;$AX$8,KB[TANGGAL],"&lt;"&amp;DATE(YEAR($AX$8),MONTH($AX$8)+1,0))</f>
        <v>0</v>
      </c>
      <c r="BF24" s="1323"/>
      <c r="BG24" s="1322"/>
      <c r="BH24" s="1321">
        <f>SUMIFS(KB[NETTO],KB[RELASI],C24,KB[TYPE],"A",KB[TANGGAL],"&gt;="&amp;$BH$8,KB[TANGGAL],"&lt;"&amp;DATE(YEAR($BH$8),MONTH($BH$8)+1,0))</f>
        <v>0</v>
      </c>
      <c r="BI24" s="1323"/>
      <c r="BJ24" s="1322"/>
      <c r="BK24" s="1321">
        <f t="shared" si="10"/>
        <v>0</v>
      </c>
      <c r="BL24" s="1322"/>
      <c r="BM24" s="1321">
        <f>SUMIFS(KB[TPOT],KB[RELASI],C24,KB[TYPE],"A",KB[TANGGAL],"&gt;="&amp;$BH$8,KB[TANGGAL],"&lt;"&amp;DATE(YEAR($BH$8),MONTH($BH$8)+1,0))</f>
        <v>0</v>
      </c>
      <c r="BN24" s="1322"/>
      <c r="BO24" s="1321">
        <f>SUMIFS(KB[NETTO2],KB[RELASI],C24,KB[TYPE],"A",KB[TANGGAL],"&gt;="&amp;$BH$8,KB[TANGGAL],"&lt;"&amp;DATE(YEAR($BH$8),MONTH($BH$8)+1,0))</f>
        <v>0</v>
      </c>
      <c r="BP24" s="1323"/>
      <c r="BQ24" s="1322"/>
      <c r="BR24" s="1321">
        <f>SUMIFS(KB[NETTO],KB[RELASI],C24,KB[TYPE],"A",KB[TANGGAL],"&gt;="&amp;$BR$8,KB[TANGGAL],"&lt;"&amp;DATE(YEAR($BR$8),MONTH($BR$8)+1,0))</f>
        <v>0</v>
      </c>
      <c r="BS24" s="1323"/>
      <c r="BT24" s="1322"/>
      <c r="BU24" s="1321">
        <f t="shared" si="11"/>
        <v>0</v>
      </c>
      <c r="BV24" s="1322"/>
      <c r="BW24" s="1321">
        <f>SUMIFS(KB[TPOT],KB[RELASI],C24,KB[TYPE],"A",KB[TANGGAL],"&gt;="&amp;$BR$8,KB[TANGGAL],"&lt;"&amp;DATE(YEAR($BR$8),MONTH($BR$8)+1,0))</f>
        <v>0</v>
      </c>
      <c r="BX24" s="1322"/>
      <c r="BY24" s="1321">
        <f>SUMIFS(KB[NETTO2],KB[RELASI],C24,KB[TYPE],"A",KB[TANGGAL],"&gt;="&amp;$BR$8,KB[TANGGAL],"&lt;"&amp;DATE(YEAR($BR$8),MONTH($BR$8)+1,0))</f>
        <v>0</v>
      </c>
      <c r="BZ24" s="1323"/>
      <c r="CA24" s="1322"/>
      <c r="CB24" s="1321">
        <f>SUMIFS(KB[NETTO],KB[RELASI],C24,KB[TYPE],"A",KB[TANGGAL],"&gt;="&amp;$CB$8,KB[TANGGAL],"&lt;"&amp;DATE(YEAR($CB$8),MONTH($CB$8)+1,0))</f>
        <v>0</v>
      </c>
      <c r="CC24" s="1323"/>
      <c r="CD24" s="1322"/>
      <c r="CE24" s="1321">
        <f t="shared" si="12"/>
        <v>0</v>
      </c>
      <c r="CF24" s="1322"/>
      <c r="CG24" s="1321">
        <f>SUMIFS(KB[TPOT],KB[RELASI],C24,KB[TYPE],"A",KB[TANGGAL],"&gt;="&amp;$CB$8,KB[TANGGAL],"&lt;"&amp;DATE(YEAR($CB$8),MONTH($CB$8)+1,0))</f>
        <v>0</v>
      </c>
      <c r="CH24" s="1322"/>
      <c r="CI24" s="1321">
        <f>SUMIFS(KB[NETTO2],KB[RELASI],C24,KB[TYPE],"A",KB[TANGGAL],"&gt;="&amp;$CB$8,KB[TANGGAL],"&lt;"&amp;DATE(YEAR($CB$8),MONTH($CB$8)+1,0))</f>
        <v>0</v>
      </c>
      <c r="CJ24" s="1323"/>
      <c r="CK24" s="1322"/>
      <c r="CL24" s="1321">
        <f>SUMIFS(KB[NETTO],KB[RELASI],C24,KB[TYPE],"A",KB[TANGGAL],"&gt;="&amp;$CL$8,KB[TANGGAL],"&lt;"&amp;DATE(YEAR($CL$8),MONTH($CL$8)+1,0))</f>
        <v>0</v>
      </c>
      <c r="CM24" s="1323"/>
      <c r="CN24" s="1322"/>
      <c r="CO24" s="1321">
        <f t="shared" si="13"/>
        <v>0</v>
      </c>
      <c r="CP24" s="1322"/>
      <c r="CQ24" s="1321">
        <f>SUMIFS(KB[TPOT],KB[RELASI],C24,KB[TYPE],"A",KB[TANGGAL],"&gt;="&amp;$CL$8,KB[TANGGAL],"&lt;"&amp;DATE(YEAR($CL$8),MONTH($CL$8)+1,0))</f>
        <v>0</v>
      </c>
      <c r="CR24" s="1322"/>
      <c r="CS24" s="1321">
        <f>SUMIFS(KB[NETTO2],KB[RELASI],C24,KB[TYPE],"A",KB[TANGGAL],"&gt;="&amp;$CL$8,KB[TANGGAL],"&lt;"&amp;DATE(YEAR($CL$8),MONTH($CL$8)+1,0))</f>
        <v>0</v>
      </c>
      <c r="CT24" s="1323"/>
      <c r="CU24" s="1322"/>
      <c r="CV24" s="1321">
        <f>SUMIFS(KB[NETTO],KB[RELASI],C24,KB[TYPE],"A",KB[TANGGAL],"&gt;="&amp;$CV$8,KB[TANGGAL],"&lt;"&amp;DATE(YEAR($CV$8),MONTH($CV$8)+1,0))</f>
        <v>0</v>
      </c>
      <c r="CW24" s="1323"/>
      <c r="CX24" s="1322"/>
      <c r="CY24" s="1321">
        <f t="shared" si="14"/>
        <v>0</v>
      </c>
      <c r="CZ24" s="1322"/>
      <c r="DA24" s="1321">
        <f>SUMIFS(KB[TPOT],KB[RELASI],C24,KB[TYPE],"A",KB[TANGGAL],"&gt;="&amp;$CV$8,KB[TANGGAL],"&lt;"&amp;DATE(YEAR($CV$8),MONTH($CV$8)+1,0))</f>
        <v>0</v>
      </c>
      <c r="DB24" s="1322"/>
      <c r="DC24" s="1321">
        <f>SUMIFS(KB[NETTO2],KB[RELASI],C24,KB[TYPE],"A",KB[TANGGAL],"&gt;="&amp;$CV$8,KB[TANGGAL],"&lt;"&amp;DATE(YEAR($CV$8),MONTH($CV$8)+1,0))</f>
        <v>0</v>
      </c>
      <c r="DD24" s="1323"/>
      <c r="DE24" s="1322"/>
      <c r="DF24" s="1321">
        <f>SUMIFS(KB[NETTO],KB[RELASI],C24,KB[TYPE],"A",KB[TANGGAL],"&gt;="&amp;$DF$8,KB[TANGGAL],"&lt;"&amp;DATE(YEAR($DF$8),MONTH($DF$8)+1,0))</f>
        <v>0</v>
      </c>
      <c r="DG24" s="1323"/>
      <c r="DH24" s="1322"/>
      <c r="DI24" s="1321">
        <f t="shared" si="15"/>
        <v>0</v>
      </c>
      <c r="DJ24" s="1322"/>
      <c r="DK24" s="1321">
        <f>SUMIFS(KB[TPOT],KB[RELASI],C24,KB[TYPE],"A",KB[TANGGAL],"&gt;="&amp;$DF$8,KB[TANGGAL],"&lt;"&amp;DATE(YEAR($DF$8),MONTH($DF$8)+1,0))</f>
        <v>0</v>
      </c>
      <c r="DL24" s="1322"/>
      <c r="DM24" s="1321">
        <f>SUMIFS(KB[NETTO2],KB[RELASI],C24,KB[TYPE],"A",KB[TANGGAL],"&gt;="&amp;$DF$8,KB[TANGGAL],"&lt;"&amp;DATE(YEAR($DF$8),MONTH($DF$8)+1,0))</f>
        <v>0</v>
      </c>
      <c r="DN24" s="1323"/>
      <c r="DO24" s="1322"/>
      <c r="DP24" s="1321">
        <f>SUMIFS(KB[NETTO],KB[RELASI],C24,KB[TYPE],"A",KB[TANGGAL],"&gt;="&amp;$DP$8,KB[TANGGAL],"&lt;"&amp;DATE(YEAR($DP$8),MONTH($DP$8)+1,0))</f>
        <v>0</v>
      </c>
      <c r="DQ24" s="1323"/>
      <c r="DR24" s="1322"/>
      <c r="DS24" s="1321">
        <f t="shared" si="16"/>
        <v>0</v>
      </c>
      <c r="DT24" s="1322"/>
      <c r="DU24" s="1321">
        <f>SUMIFS(KB[TPOT],KB[RELASI],C24,KB[TYPE],"A",KB[TANGGAL],"&gt;="&amp;$DP$8,KB[TANGGAL],"&lt;"&amp;DATE(YEAR($DP$8),MONTH($DP$8)+1,0))</f>
        <v>0</v>
      </c>
      <c r="DV24" s="1322"/>
      <c r="DW24" s="1321">
        <f>SUMIFS(KB[NETTO2],KB[RELASI],C24,KB[TYPE],"A",KB[TANGGAL],"&gt;="&amp;$DP$8,KB[TANGGAL],"&lt;"&amp;DATE(YEAR($DP$8),MONTH($DP$8)+1,0))</f>
        <v>0</v>
      </c>
      <c r="DX24" s="1323"/>
      <c r="DY24" s="1322"/>
      <c r="DZ24" s="1321">
        <f>SUMIFS(KB[NETTO],KB[RELASI],C24,KB[TYPE],"A",KB[TANGGAL],"&gt;="&amp;$DZ$8,KB[TANGGAL],"&lt;"&amp;DATE(YEAR($DZ$8),MONTH($DZ$8)+1,0))</f>
        <v>0</v>
      </c>
      <c r="EA24" s="1323"/>
      <c r="EB24" s="1322"/>
      <c r="EC24" s="1321">
        <f t="shared" si="17"/>
        <v>0</v>
      </c>
      <c r="ED24" s="1322"/>
      <c r="EE24" s="1321">
        <f>SUMIFS(KB[TPOT],KB[RELASI],C24,KB[TYPE],"A",KB[TANGGAL],"&gt;="&amp;$DZ$8,KB[TANGGAL],"&lt;"&amp;DATE(YEAR($DZ$8),MONTH($DZ$8)+1,0))</f>
        <v>0</v>
      </c>
      <c r="EF24" s="1322"/>
      <c r="EG24" s="1321">
        <f>SUMIFS(KB[NETTO2],KB[RELASI],C24,KB[TYPE],"A",KB[TANGGAL],"&gt;="&amp;$DZ$8,KB[TANGGAL],"&lt;"&amp;DATE(YEAR($DZ$8),MONTH($DZ$8)+1,0))</f>
        <v>0</v>
      </c>
      <c r="EH24" s="1323"/>
      <c r="EI24" s="1322"/>
      <c r="EJ24" s="844"/>
      <c r="EK24" s="845"/>
      <c r="EL24" s="846"/>
      <c r="EM24" s="844"/>
      <c r="EN24" s="846"/>
      <c r="EO24" s="844"/>
      <c r="EP24" s="846"/>
      <c r="EQ24" s="844"/>
      <c r="ER24" s="845"/>
      <c r="ES24" s="847"/>
    </row>
    <row r="25" spans="2:149" ht="18" customHeight="1">
      <c r="B25" s="1040">
        <f t="shared" si="18"/>
        <v>15</v>
      </c>
      <c r="C25" s="844" t="str">
        <f>RELASI!C17</f>
        <v>H.HARIS</v>
      </c>
      <c r="D25" s="845"/>
      <c r="E25" s="845"/>
      <c r="F25" s="846"/>
      <c r="G25" s="844" t="str">
        <f>RELASI!D17</f>
        <v>T. Pinang</v>
      </c>
      <c r="H25" s="845"/>
      <c r="I25" s="846"/>
      <c r="J25" s="1319">
        <f>SUMIFS(KB[NETTO],KB[RELASI],C25,KB[TYPE],"A",KB[TANGGAL],"&gt;="&amp;DATE($J$7,1,1),KB[TANGGAL],"&lt;"&amp;DATE($J$7+1,1,0))/12</f>
        <v>0</v>
      </c>
      <c r="K25" s="1324"/>
      <c r="L25" s="1320"/>
      <c r="M25" s="1319">
        <f t="shared" si="19"/>
        <v>0</v>
      </c>
      <c r="N25" s="1320"/>
      <c r="O25" s="1321">
        <f>SUMIFS(KB[TPOT],KB[RELASI],C25,KB[TYPE],"A",KB[TANGGAL],"&gt;="&amp;DATE($J$7,1,1),KB[TANGGAL],"&lt;"&amp;DATE($J$7+1,1,0))/12</f>
        <v>0</v>
      </c>
      <c r="P25" s="1322"/>
      <c r="Q25" s="1321">
        <f>SUMIFS(KB[NETTO2],KB[RELASI],C25,KB[TYPE],"A",KB[TANGGAL],"&gt;="&amp;DATE($J$7,1,1),KB[TANGGAL],"&lt;"&amp;DATE($J$7+1,1,0))/12</f>
        <v>0</v>
      </c>
      <c r="R25" s="1323"/>
      <c r="S25" s="1322"/>
      <c r="T25" s="1321">
        <f>SUMIFS(KB[NETTO],KB[RELASI],C25,KB[TYPE],"A",KB[TANGGAL],"&gt;="&amp;$T$8,KB[TANGGAL],"&lt;"&amp;DATE($FA$4,$FA$5+1,0))</f>
        <v>0</v>
      </c>
      <c r="U25" s="1323"/>
      <c r="V25" s="1322"/>
      <c r="W25" s="1319">
        <f t="shared" si="20"/>
        <v>0</v>
      </c>
      <c r="X25" s="1320"/>
      <c r="Y25" s="1339">
        <f>SUMIFS(KB[TPOT],KB[RELASI],C25,KB[TYPE],"A",KB[TANGGAL],"&gt;="&amp;$T$8,KB[TANGGAL],"&lt;"&amp;DATE($FA$4,$FA$5+1,0))</f>
        <v>0</v>
      </c>
      <c r="Z25" s="1340"/>
      <c r="AA25" s="1339">
        <f>SUMIFS(KB[NETTO2],KB[RELASI],C25,KB[TYPE],"A",KB[TANGGAL],"&gt;="&amp;$T$8,KB[TANGGAL],"&lt;"&amp;DATE($FA$4,$FA$5+1,0))</f>
        <v>0</v>
      </c>
      <c r="AB25" s="1341"/>
      <c r="AC25" s="1340"/>
      <c r="AD25" s="1321">
        <f>SUMIFS(KB[NETTO],KB[RELASI],C25,KB[TYPE],"A",KB[TANGGAL],"&gt;="&amp;$AD$8,KB[TANGGAL],"&lt;"&amp;DATE($FA$4,MONTH($AD$8)+1,0))</f>
        <v>0</v>
      </c>
      <c r="AE25" s="1323"/>
      <c r="AF25" s="1322"/>
      <c r="AG25" s="1321">
        <f t="shared" si="7"/>
        <v>0</v>
      </c>
      <c r="AH25" s="1322"/>
      <c r="AI25" s="1321">
        <f>SUMIFS(KB[TPOT],KB[RELASI],C25,KB[TYPE],"A",KB[TANGGAL],"&gt;="&amp;$AD$8,KB[TANGGAL],"&lt;"&amp;DATE($FA$4,MONTH($AD$8)+1,0))</f>
        <v>0</v>
      </c>
      <c r="AJ25" s="1322"/>
      <c r="AK25" s="1321">
        <f>SUMIFS(KB[NETTO2],KB[RELASI],C25,KB[TYPE],"A",KB[TANGGAL],"&gt;="&amp;$AD$8,KB[TANGGAL],"&lt;"&amp;DATE($FA$4,MONTH($AD$8)+1,0))</f>
        <v>0</v>
      </c>
      <c r="AL25" s="1323"/>
      <c r="AM25" s="1322"/>
      <c r="AN25" s="1321">
        <f>SUMIFS(KB[NETTO],KB[RELASI],C25,KB[TYPE],"A",KB[TANGGAL],"&gt;="&amp;$AN$8,KB[TANGGAL],"&lt;"&amp;DATE(YEAR($AN$8),MONTH($AN$8)+1,0))</f>
        <v>0</v>
      </c>
      <c r="AO25" s="1323"/>
      <c r="AP25" s="1322"/>
      <c r="AQ25" s="1321">
        <f t="shared" si="8"/>
        <v>0</v>
      </c>
      <c r="AR25" s="1322"/>
      <c r="AS25" s="1321">
        <f>SUMIFS(KB[TPOT],KB[RELASI],C25,KB[TYPE],"A",KB[TANGGAL],"&gt;="&amp;$AN$8,KB[TANGGAL],"&lt;"&amp;DATE(YEAR($AN$8),MONTH($AN$8)+1,0))</f>
        <v>0</v>
      </c>
      <c r="AT25" s="1322"/>
      <c r="AU25" s="1321">
        <f>SUMIFS(KB[NETTO2],KB[RELASI],C25,KB[TYPE],"A",KB[TANGGAL],"&gt;="&amp;$AN$8,KB[TANGGAL],"&lt;"&amp;DATE(YEAR($AN$8),MONTH($AN$8)+1,0))</f>
        <v>0</v>
      </c>
      <c r="AV25" s="1323"/>
      <c r="AW25" s="1322"/>
      <c r="AX25" s="1321">
        <f>SUMIFS(KB[NETTO],KB[RELASI],C25,KB[TYPE],"A",KB[TANGGAL],"&gt;="&amp;$AX$8,KB[TANGGAL],"&lt;"&amp;DATE(YEAR($AX$8),MONTH($AX$8)+1,0))</f>
        <v>0</v>
      </c>
      <c r="AY25" s="1323"/>
      <c r="AZ25" s="1322"/>
      <c r="BA25" s="1321">
        <f t="shared" si="9"/>
        <v>0</v>
      </c>
      <c r="BB25" s="1322"/>
      <c r="BC25" s="1321">
        <f>SUMIFS(KB[TPOT],KB[RELASI],C25,KB[TYPE],"A",KB[TANGGAL],"&gt;="&amp;$AX$8,KB[TANGGAL],"&lt;"&amp;DATE(YEAR($AX$8),MONTH($AX$8)+1,0))</f>
        <v>0</v>
      </c>
      <c r="BD25" s="1322"/>
      <c r="BE25" s="1321">
        <f>SUMIFS(KB[NETTO2],KB[RELASI],C25,KB[TYPE],"A",KB[TANGGAL],"&gt;="&amp;$AX$8,KB[TANGGAL],"&lt;"&amp;DATE(YEAR($AX$8),MONTH($AX$8)+1,0))</f>
        <v>0</v>
      </c>
      <c r="BF25" s="1323"/>
      <c r="BG25" s="1322"/>
      <c r="BH25" s="1321">
        <f>SUMIFS(KB[NETTO],KB[RELASI],C25,KB[TYPE],"A",KB[TANGGAL],"&gt;="&amp;$BH$8,KB[TANGGAL],"&lt;"&amp;DATE(YEAR($BH$8),MONTH($BH$8)+1,0))</f>
        <v>0</v>
      </c>
      <c r="BI25" s="1323"/>
      <c r="BJ25" s="1322"/>
      <c r="BK25" s="1321">
        <f t="shared" si="10"/>
        <v>0</v>
      </c>
      <c r="BL25" s="1322"/>
      <c r="BM25" s="1321">
        <f>SUMIFS(KB[TPOT],KB[RELASI],C25,KB[TYPE],"A",KB[TANGGAL],"&gt;="&amp;$BH$8,KB[TANGGAL],"&lt;"&amp;DATE(YEAR($BH$8),MONTH($BH$8)+1,0))</f>
        <v>0</v>
      </c>
      <c r="BN25" s="1322"/>
      <c r="BO25" s="1321">
        <f>SUMIFS(KB[NETTO2],KB[RELASI],C25,KB[TYPE],"A",KB[TANGGAL],"&gt;="&amp;$BH$8,KB[TANGGAL],"&lt;"&amp;DATE(YEAR($BH$8),MONTH($BH$8)+1,0))</f>
        <v>0</v>
      </c>
      <c r="BP25" s="1323"/>
      <c r="BQ25" s="1322"/>
      <c r="BR25" s="1321">
        <f>SUMIFS(KB[NETTO],KB[RELASI],C25,KB[TYPE],"A",KB[TANGGAL],"&gt;="&amp;$BR$8,KB[TANGGAL],"&lt;"&amp;DATE(YEAR($BR$8),MONTH($BR$8)+1,0))</f>
        <v>0</v>
      </c>
      <c r="BS25" s="1323"/>
      <c r="BT25" s="1322"/>
      <c r="BU25" s="1321">
        <f t="shared" si="11"/>
        <v>0</v>
      </c>
      <c r="BV25" s="1322"/>
      <c r="BW25" s="1321">
        <f>SUMIFS(KB[TPOT],KB[RELASI],C25,KB[TYPE],"A",KB[TANGGAL],"&gt;="&amp;$BR$8,KB[TANGGAL],"&lt;"&amp;DATE(YEAR($BR$8),MONTH($BR$8)+1,0))</f>
        <v>0</v>
      </c>
      <c r="BX25" s="1322"/>
      <c r="BY25" s="1321">
        <f>SUMIFS(KB[NETTO2],KB[RELASI],C25,KB[TYPE],"A",KB[TANGGAL],"&gt;="&amp;$BR$8,KB[TANGGAL],"&lt;"&amp;DATE(YEAR($BR$8),MONTH($BR$8)+1,0))</f>
        <v>0</v>
      </c>
      <c r="BZ25" s="1323"/>
      <c r="CA25" s="1322"/>
      <c r="CB25" s="1321">
        <f>SUMIFS(KB[NETTO],KB[RELASI],C25,KB[TYPE],"A",KB[TANGGAL],"&gt;="&amp;$CB$8,KB[TANGGAL],"&lt;"&amp;DATE(YEAR($CB$8),MONTH($CB$8)+1,0))</f>
        <v>0</v>
      </c>
      <c r="CC25" s="1323"/>
      <c r="CD25" s="1322"/>
      <c r="CE25" s="1321">
        <f t="shared" si="12"/>
        <v>0</v>
      </c>
      <c r="CF25" s="1322"/>
      <c r="CG25" s="1321">
        <f>SUMIFS(KB[TPOT],KB[RELASI],C25,KB[TYPE],"A",KB[TANGGAL],"&gt;="&amp;$CB$8,KB[TANGGAL],"&lt;"&amp;DATE(YEAR($CB$8),MONTH($CB$8)+1,0))</f>
        <v>0</v>
      </c>
      <c r="CH25" s="1322"/>
      <c r="CI25" s="1321">
        <f>SUMIFS(KB[NETTO2],KB[RELASI],C25,KB[TYPE],"A",KB[TANGGAL],"&gt;="&amp;$CB$8,KB[TANGGAL],"&lt;"&amp;DATE(YEAR($CB$8),MONTH($CB$8)+1,0))</f>
        <v>0</v>
      </c>
      <c r="CJ25" s="1323"/>
      <c r="CK25" s="1322"/>
      <c r="CL25" s="1321">
        <f>SUMIFS(KB[NETTO],KB[RELASI],C25,KB[TYPE],"A",KB[TANGGAL],"&gt;="&amp;$CL$8,KB[TANGGAL],"&lt;"&amp;DATE(YEAR($CL$8),MONTH($CL$8)+1,0))</f>
        <v>0</v>
      </c>
      <c r="CM25" s="1323"/>
      <c r="CN25" s="1322"/>
      <c r="CO25" s="1321">
        <f t="shared" si="13"/>
        <v>0</v>
      </c>
      <c r="CP25" s="1322"/>
      <c r="CQ25" s="1321">
        <f>SUMIFS(KB[TPOT],KB[RELASI],C25,KB[TYPE],"A",KB[TANGGAL],"&gt;="&amp;$CL$8,KB[TANGGAL],"&lt;"&amp;DATE(YEAR($CL$8),MONTH($CL$8)+1,0))</f>
        <v>0</v>
      </c>
      <c r="CR25" s="1322"/>
      <c r="CS25" s="1321">
        <f>SUMIFS(KB[NETTO2],KB[RELASI],C25,KB[TYPE],"A",KB[TANGGAL],"&gt;="&amp;$CL$8,KB[TANGGAL],"&lt;"&amp;DATE(YEAR($CL$8),MONTH($CL$8)+1,0))</f>
        <v>0</v>
      </c>
      <c r="CT25" s="1323"/>
      <c r="CU25" s="1322"/>
      <c r="CV25" s="1321">
        <f>SUMIFS(KB[NETTO],KB[RELASI],C25,KB[TYPE],"A",KB[TANGGAL],"&gt;="&amp;$CV$8,KB[TANGGAL],"&lt;"&amp;DATE(YEAR($CV$8),MONTH($CV$8)+1,0))</f>
        <v>0</v>
      </c>
      <c r="CW25" s="1323"/>
      <c r="CX25" s="1322"/>
      <c r="CY25" s="1321">
        <f t="shared" si="14"/>
        <v>0</v>
      </c>
      <c r="CZ25" s="1322"/>
      <c r="DA25" s="1321">
        <f>SUMIFS(KB[TPOT],KB[RELASI],C25,KB[TYPE],"A",KB[TANGGAL],"&gt;="&amp;$CV$8,KB[TANGGAL],"&lt;"&amp;DATE(YEAR($CV$8),MONTH($CV$8)+1,0))</f>
        <v>0</v>
      </c>
      <c r="DB25" s="1322"/>
      <c r="DC25" s="1321">
        <f>SUMIFS(KB[NETTO2],KB[RELASI],C25,KB[TYPE],"A",KB[TANGGAL],"&gt;="&amp;$CV$8,KB[TANGGAL],"&lt;"&amp;DATE(YEAR($CV$8),MONTH($CV$8)+1,0))</f>
        <v>0</v>
      </c>
      <c r="DD25" s="1323"/>
      <c r="DE25" s="1322"/>
      <c r="DF25" s="1321">
        <f>SUMIFS(KB[NETTO],KB[RELASI],C25,KB[TYPE],"A",KB[TANGGAL],"&gt;="&amp;$DF$8,KB[TANGGAL],"&lt;"&amp;DATE(YEAR($DF$8),MONTH($DF$8)+1,0))</f>
        <v>0</v>
      </c>
      <c r="DG25" s="1323"/>
      <c r="DH25" s="1322"/>
      <c r="DI25" s="1321">
        <f t="shared" si="15"/>
        <v>0</v>
      </c>
      <c r="DJ25" s="1322"/>
      <c r="DK25" s="1321">
        <f>SUMIFS(KB[TPOT],KB[RELASI],C25,KB[TYPE],"A",KB[TANGGAL],"&gt;="&amp;$DF$8,KB[TANGGAL],"&lt;"&amp;DATE(YEAR($DF$8),MONTH($DF$8)+1,0))</f>
        <v>0</v>
      </c>
      <c r="DL25" s="1322"/>
      <c r="DM25" s="1321">
        <f>SUMIFS(KB[NETTO2],KB[RELASI],C25,KB[TYPE],"A",KB[TANGGAL],"&gt;="&amp;$DF$8,KB[TANGGAL],"&lt;"&amp;DATE(YEAR($DF$8),MONTH($DF$8)+1,0))</f>
        <v>0</v>
      </c>
      <c r="DN25" s="1323"/>
      <c r="DO25" s="1322"/>
      <c r="DP25" s="1321">
        <f>SUMIFS(KB[NETTO],KB[RELASI],C25,KB[TYPE],"A",KB[TANGGAL],"&gt;="&amp;$DP$8,KB[TANGGAL],"&lt;"&amp;DATE(YEAR($DP$8),MONTH($DP$8)+1,0))</f>
        <v>0</v>
      </c>
      <c r="DQ25" s="1323"/>
      <c r="DR25" s="1322"/>
      <c r="DS25" s="1321">
        <f t="shared" si="16"/>
        <v>0</v>
      </c>
      <c r="DT25" s="1322"/>
      <c r="DU25" s="1321">
        <f>SUMIFS(KB[TPOT],KB[RELASI],C25,KB[TYPE],"A",KB[TANGGAL],"&gt;="&amp;$DP$8,KB[TANGGAL],"&lt;"&amp;DATE(YEAR($DP$8),MONTH($DP$8)+1,0))</f>
        <v>0</v>
      </c>
      <c r="DV25" s="1322"/>
      <c r="DW25" s="1321">
        <f>SUMIFS(KB[NETTO2],KB[RELASI],C25,KB[TYPE],"A",KB[TANGGAL],"&gt;="&amp;$DP$8,KB[TANGGAL],"&lt;"&amp;DATE(YEAR($DP$8),MONTH($DP$8)+1,0))</f>
        <v>0</v>
      </c>
      <c r="DX25" s="1323"/>
      <c r="DY25" s="1322"/>
      <c r="DZ25" s="1321">
        <f>SUMIFS(KB[NETTO],KB[RELASI],C25,KB[TYPE],"A",KB[TANGGAL],"&gt;="&amp;$DZ$8,KB[TANGGAL],"&lt;"&amp;DATE(YEAR($DZ$8),MONTH($DZ$8)+1,0))</f>
        <v>0</v>
      </c>
      <c r="EA25" s="1323"/>
      <c r="EB25" s="1322"/>
      <c r="EC25" s="1321">
        <f t="shared" si="17"/>
        <v>0</v>
      </c>
      <c r="ED25" s="1322"/>
      <c r="EE25" s="1321">
        <f>SUMIFS(KB[TPOT],KB[RELASI],C25,KB[TYPE],"A",KB[TANGGAL],"&gt;="&amp;$DZ$8,KB[TANGGAL],"&lt;"&amp;DATE(YEAR($DZ$8),MONTH($DZ$8)+1,0))</f>
        <v>0</v>
      </c>
      <c r="EF25" s="1322"/>
      <c r="EG25" s="1321">
        <f>SUMIFS(KB[NETTO2],KB[RELASI],C25,KB[TYPE],"A",KB[TANGGAL],"&gt;="&amp;$DZ$8,KB[TANGGAL],"&lt;"&amp;DATE(YEAR($DZ$8),MONTH($DZ$8)+1,0))</f>
        <v>0</v>
      </c>
      <c r="EH25" s="1323"/>
      <c r="EI25" s="1322"/>
      <c r="EJ25" s="844"/>
      <c r="EK25" s="845"/>
      <c r="EL25" s="846"/>
      <c r="EM25" s="844"/>
      <c r="EN25" s="846"/>
      <c r="EO25" s="844"/>
      <c r="EP25" s="846"/>
      <c r="EQ25" s="844"/>
      <c r="ER25" s="845"/>
      <c r="ES25" s="847"/>
    </row>
    <row r="26" spans="2:149" ht="18" customHeight="1">
      <c r="B26" s="1040">
        <f t="shared" si="18"/>
        <v>16</v>
      </c>
      <c r="C26" s="844" t="str">
        <f>RELASI!C18</f>
        <v>H.SALINDRI</v>
      </c>
      <c r="D26" s="845"/>
      <c r="E26" s="845"/>
      <c r="F26" s="846"/>
      <c r="G26" s="844" t="str">
        <f>RELASI!D18</f>
        <v>Simbar</v>
      </c>
      <c r="H26" s="845"/>
      <c r="I26" s="846"/>
      <c r="J26" s="1319">
        <f>SUMIFS(KB[NETTO],KB[RELASI],C26,KB[TYPE],"A",KB[TANGGAL],"&gt;="&amp;DATE($J$7,1,1),KB[TANGGAL],"&lt;"&amp;DATE($J$7+1,1,0))/12</f>
        <v>0</v>
      </c>
      <c r="K26" s="1324"/>
      <c r="L26" s="1320"/>
      <c r="M26" s="1319">
        <f t="shared" si="19"/>
        <v>0</v>
      </c>
      <c r="N26" s="1320"/>
      <c r="O26" s="1321">
        <f>SUMIFS(KB[TPOT],KB[RELASI],C26,KB[TYPE],"A",KB[TANGGAL],"&gt;="&amp;DATE($J$7,1,1),KB[TANGGAL],"&lt;"&amp;DATE($J$7+1,1,0))/12</f>
        <v>0</v>
      </c>
      <c r="P26" s="1322"/>
      <c r="Q26" s="1321">
        <f>SUMIFS(KB[NETTO2],KB[RELASI],C26,KB[TYPE],"A",KB[TANGGAL],"&gt;="&amp;DATE($J$7,1,1),KB[TANGGAL],"&lt;"&amp;DATE($J$7+1,1,0))/12</f>
        <v>0</v>
      </c>
      <c r="R26" s="1323"/>
      <c r="S26" s="1322"/>
      <c r="T26" s="1321">
        <f>SUMIFS(KB[NETTO],KB[RELASI],C26,KB[TYPE],"A",KB[TANGGAL],"&gt;="&amp;$T$8,KB[TANGGAL],"&lt;"&amp;DATE($FA$4,$FA$5+1,0))</f>
        <v>0</v>
      </c>
      <c r="U26" s="1323"/>
      <c r="V26" s="1322"/>
      <c r="W26" s="1319">
        <f t="shared" si="20"/>
        <v>0</v>
      </c>
      <c r="X26" s="1320"/>
      <c r="Y26" s="1339">
        <f>SUMIFS(KB[TPOT],KB[RELASI],C26,KB[TYPE],"A",KB[TANGGAL],"&gt;="&amp;$T$8,KB[TANGGAL],"&lt;"&amp;DATE($FA$4,$FA$5+1,0))</f>
        <v>0</v>
      </c>
      <c r="Z26" s="1340"/>
      <c r="AA26" s="1339">
        <f>SUMIFS(KB[NETTO2],KB[RELASI],C26,KB[TYPE],"A",KB[TANGGAL],"&gt;="&amp;$T$8,KB[TANGGAL],"&lt;"&amp;DATE($FA$4,$FA$5+1,0))</f>
        <v>0</v>
      </c>
      <c r="AB26" s="1341"/>
      <c r="AC26" s="1340"/>
      <c r="AD26" s="1321">
        <f>SUMIFS(KB[NETTO],KB[RELASI],C26,KB[TYPE],"A",KB[TANGGAL],"&gt;="&amp;$AD$8,KB[TANGGAL],"&lt;"&amp;DATE($FA$4,MONTH($AD$8)+1,0))</f>
        <v>0</v>
      </c>
      <c r="AE26" s="1323"/>
      <c r="AF26" s="1322"/>
      <c r="AG26" s="1321">
        <f t="shared" si="7"/>
        <v>0</v>
      </c>
      <c r="AH26" s="1322"/>
      <c r="AI26" s="1321">
        <f>SUMIFS(KB[TPOT],KB[RELASI],C26,KB[TYPE],"A",KB[TANGGAL],"&gt;="&amp;$AD$8,KB[TANGGAL],"&lt;"&amp;DATE($FA$4,MONTH($AD$8)+1,0))</f>
        <v>0</v>
      </c>
      <c r="AJ26" s="1322"/>
      <c r="AK26" s="1321">
        <f>SUMIFS(KB[NETTO2],KB[RELASI],C26,KB[TYPE],"A",KB[TANGGAL],"&gt;="&amp;$AD$8,KB[TANGGAL],"&lt;"&amp;DATE($FA$4,MONTH($AD$8)+1,0))</f>
        <v>0</v>
      </c>
      <c r="AL26" s="1323"/>
      <c r="AM26" s="1322"/>
      <c r="AN26" s="1321">
        <f>SUMIFS(KB[NETTO],KB[RELASI],C26,KB[TYPE],"A",KB[TANGGAL],"&gt;="&amp;$AN$8,KB[TANGGAL],"&lt;"&amp;DATE(YEAR($AN$8),MONTH($AN$8)+1,0))</f>
        <v>0</v>
      </c>
      <c r="AO26" s="1323"/>
      <c r="AP26" s="1322"/>
      <c r="AQ26" s="1321">
        <f t="shared" si="8"/>
        <v>0</v>
      </c>
      <c r="AR26" s="1322"/>
      <c r="AS26" s="1321">
        <f>SUMIFS(KB[TPOT],KB[RELASI],C26,KB[TYPE],"A",KB[TANGGAL],"&gt;="&amp;$AN$8,KB[TANGGAL],"&lt;"&amp;DATE(YEAR($AN$8),MONTH($AN$8)+1,0))</f>
        <v>0</v>
      </c>
      <c r="AT26" s="1322"/>
      <c r="AU26" s="1321">
        <f>SUMIFS(KB[NETTO2],KB[RELASI],C26,KB[TYPE],"A",KB[TANGGAL],"&gt;="&amp;$AN$8,KB[TANGGAL],"&lt;"&amp;DATE(YEAR($AN$8),MONTH($AN$8)+1,0))</f>
        <v>0</v>
      </c>
      <c r="AV26" s="1323"/>
      <c r="AW26" s="1322"/>
      <c r="AX26" s="1321">
        <f>SUMIFS(KB[NETTO],KB[RELASI],C26,KB[TYPE],"A",KB[TANGGAL],"&gt;="&amp;$AX$8,KB[TANGGAL],"&lt;"&amp;DATE(YEAR($AX$8),MONTH($AX$8)+1,0))</f>
        <v>0</v>
      </c>
      <c r="AY26" s="1323"/>
      <c r="AZ26" s="1322"/>
      <c r="BA26" s="1321">
        <f t="shared" si="9"/>
        <v>0</v>
      </c>
      <c r="BB26" s="1322"/>
      <c r="BC26" s="1321">
        <f>SUMIFS(KB[TPOT],KB[RELASI],C26,KB[TYPE],"A",KB[TANGGAL],"&gt;="&amp;$AX$8,KB[TANGGAL],"&lt;"&amp;DATE(YEAR($AX$8),MONTH($AX$8)+1,0))</f>
        <v>0</v>
      </c>
      <c r="BD26" s="1322"/>
      <c r="BE26" s="1321">
        <f>SUMIFS(KB[NETTO2],KB[RELASI],C26,KB[TYPE],"A",KB[TANGGAL],"&gt;="&amp;$AX$8,KB[TANGGAL],"&lt;"&amp;DATE(YEAR($AX$8),MONTH($AX$8)+1,0))</f>
        <v>0</v>
      </c>
      <c r="BF26" s="1323"/>
      <c r="BG26" s="1322"/>
      <c r="BH26" s="1321">
        <f>SUMIFS(KB[NETTO],KB[RELASI],C26,KB[TYPE],"A",KB[TANGGAL],"&gt;="&amp;$BH$8,KB[TANGGAL],"&lt;"&amp;DATE(YEAR($BH$8),MONTH($BH$8)+1,0))</f>
        <v>0</v>
      </c>
      <c r="BI26" s="1323"/>
      <c r="BJ26" s="1322"/>
      <c r="BK26" s="1321">
        <f t="shared" si="10"/>
        <v>0</v>
      </c>
      <c r="BL26" s="1322"/>
      <c r="BM26" s="1321">
        <f>SUMIFS(KB[TPOT],KB[RELASI],C26,KB[TYPE],"A",KB[TANGGAL],"&gt;="&amp;$BH$8,KB[TANGGAL],"&lt;"&amp;DATE(YEAR($BH$8),MONTH($BH$8)+1,0))</f>
        <v>0</v>
      </c>
      <c r="BN26" s="1322"/>
      <c r="BO26" s="1321">
        <f>SUMIFS(KB[NETTO2],KB[RELASI],C26,KB[TYPE],"A",KB[TANGGAL],"&gt;="&amp;$BH$8,KB[TANGGAL],"&lt;"&amp;DATE(YEAR($BH$8),MONTH($BH$8)+1,0))</f>
        <v>0</v>
      </c>
      <c r="BP26" s="1323"/>
      <c r="BQ26" s="1322"/>
      <c r="BR26" s="1321">
        <f>SUMIFS(KB[NETTO],KB[RELASI],C26,KB[TYPE],"A",KB[TANGGAL],"&gt;="&amp;$BR$8,KB[TANGGAL],"&lt;"&amp;DATE(YEAR($BR$8),MONTH($BR$8)+1,0))</f>
        <v>0</v>
      </c>
      <c r="BS26" s="1323"/>
      <c r="BT26" s="1322"/>
      <c r="BU26" s="1321">
        <f t="shared" si="11"/>
        <v>0</v>
      </c>
      <c r="BV26" s="1322"/>
      <c r="BW26" s="1321">
        <f>SUMIFS(KB[TPOT],KB[RELASI],C26,KB[TYPE],"A",KB[TANGGAL],"&gt;="&amp;$BR$8,KB[TANGGAL],"&lt;"&amp;DATE(YEAR($BR$8),MONTH($BR$8)+1,0))</f>
        <v>0</v>
      </c>
      <c r="BX26" s="1322"/>
      <c r="BY26" s="1321">
        <f>SUMIFS(KB[NETTO2],KB[RELASI],C26,KB[TYPE],"A",KB[TANGGAL],"&gt;="&amp;$BR$8,KB[TANGGAL],"&lt;"&amp;DATE(YEAR($BR$8),MONTH($BR$8)+1,0))</f>
        <v>0</v>
      </c>
      <c r="BZ26" s="1323"/>
      <c r="CA26" s="1322"/>
      <c r="CB26" s="1321">
        <f>SUMIFS(KB[NETTO],KB[RELASI],C26,KB[TYPE],"A",KB[TANGGAL],"&gt;="&amp;$CB$8,KB[TANGGAL],"&lt;"&amp;DATE(YEAR($CB$8),MONTH($CB$8)+1,0))</f>
        <v>0</v>
      </c>
      <c r="CC26" s="1323"/>
      <c r="CD26" s="1322"/>
      <c r="CE26" s="1321">
        <f t="shared" si="12"/>
        <v>0</v>
      </c>
      <c r="CF26" s="1322"/>
      <c r="CG26" s="1321">
        <f>SUMIFS(KB[TPOT],KB[RELASI],C26,KB[TYPE],"A",KB[TANGGAL],"&gt;="&amp;$CB$8,KB[TANGGAL],"&lt;"&amp;DATE(YEAR($CB$8),MONTH($CB$8)+1,0))</f>
        <v>0</v>
      </c>
      <c r="CH26" s="1322"/>
      <c r="CI26" s="1321">
        <f>SUMIFS(KB[NETTO2],KB[RELASI],C26,KB[TYPE],"A",KB[TANGGAL],"&gt;="&amp;$CB$8,KB[TANGGAL],"&lt;"&amp;DATE(YEAR($CB$8),MONTH($CB$8)+1,0))</f>
        <v>0</v>
      </c>
      <c r="CJ26" s="1323"/>
      <c r="CK26" s="1322"/>
      <c r="CL26" s="1321">
        <f>SUMIFS(KB[NETTO],KB[RELASI],C26,KB[TYPE],"A",KB[TANGGAL],"&gt;="&amp;$CL$8,KB[TANGGAL],"&lt;"&amp;DATE(YEAR($CL$8),MONTH($CL$8)+1,0))</f>
        <v>0</v>
      </c>
      <c r="CM26" s="1323"/>
      <c r="CN26" s="1322"/>
      <c r="CO26" s="1321">
        <f t="shared" si="13"/>
        <v>0</v>
      </c>
      <c r="CP26" s="1322"/>
      <c r="CQ26" s="1321">
        <f>SUMIFS(KB[TPOT],KB[RELASI],C26,KB[TYPE],"A",KB[TANGGAL],"&gt;="&amp;$CL$8,KB[TANGGAL],"&lt;"&amp;DATE(YEAR($CL$8),MONTH($CL$8)+1,0))</f>
        <v>0</v>
      </c>
      <c r="CR26" s="1322"/>
      <c r="CS26" s="1321">
        <f>SUMIFS(KB[NETTO2],KB[RELASI],C26,KB[TYPE],"A",KB[TANGGAL],"&gt;="&amp;$CL$8,KB[TANGGAL],"&lt;"&amp;DATE(YEAR($CL$8),MONTH($CL$8)+1,0))</f>
        <v>0</v>
      </c>
      <c r="CT26" s="1323"/>
      <c r="CU26" s="1322"/>
      <c r="CV26" s="1321">
        <f>SUMIFS(KB[NETTO],KB[RELASI],C26,KB[TYPE],"A",KB[TANGGAL],"&gt;="&amp;$CV$8,KB[TANGGAL],"&lt;"&amp;DATE(YEAR($CV$8),MONTH($CV$8)+1,0))</f>
        <v>0</v>
      </c>
      <c r="CW26" s="1323"/>
      <c r="CX26" s="1322"/>
      <c r="CY26" s="1321">
        <f t="shared" si="14"/>
        <v>0</v>
      </c>
      <c r="CZ26" s="1322"/>
      <c r="DA26" s="1321">
        <f>SUMIFS(KB[TPOT],KB[RELASI],C26,KB[TYPE],"A",KB[TANGGAL],"&gt;="&amp;$CV$8,KB[TANGGAL],"&lt;"&amp;DATE(YEAR($CV$8),MONTH($CV$8)+1,0))</f>
        <v>0</v>
      </c>
      <c r="DB26" s="1322"/>
      <c r="DC26" s="1321">
        <f>SUMIFS(KB[NETTO2],KB[RELASI],C26,KB[TYPE],"A",KB[TANGGAL],"&gt;="&amp;$CV$8,KB[TANGGAL],"&lt;"&amp;DATE(YEAR($CV$8),MONTH($CV$8)+1,0))</f>
        <v>0</v>
      </c>
      <c r="DD26" s="1323"/>
      <c r="DE26" s="1322"/>
      <c r="DF26" s="1321">
        <f>SUMIFS(KB[NETTO],KB[RELASI],C26,KB[TYPE],"A",KB[TANGGAL],"&gt;="&amp;$DF$8,KB[TANGGAL],"&lt;"&amp;DATE(YEAR($DF$8),MONTH($DF$8)+1,0))</f>
        <v>0</v>
      </c>
      <c r="DG26" s="1323"/>
      <c r="DH26" s="1322"/>
      <c r="DI26" s="1321">
        <f t="shared" si="15"/>
        <v>0</v>
      </c>
      <c r="DJ26" s="1322"/>
      <c r="DK26" s="1321">
        <f>SUMIFS(KB[TPOT],KB[RELASI],C26,KB[TYPE],"A",KB[TANGGAL],"&gt;="&amp;$DF$8,KB[TANGGAL],"&lt;"&amp;DATE(YEAR($DF$8),MONTH($DF$8)+1,0))</f>
        <v>0</v>
      </c>
      <c r="DL26" s="1322"/>
      <c r="DM26" s="1321">
        <f>SUMIFS(KB[NETTO2],KB[RELASI],C26,KB[TYPE],"A",KB[TANGGAL],"&gt;="&amp;$DF$8,KB[TANGGAL],"&lt;"&amp;DATE(YEAR($DF$8),MONTH($DF$8)+1,0))</f>
        <v>0</v>
      </c>
      <c r="DN26" s="1323"/>
      <c r="DO26" s="1322"/>
      <c r="DP26" s="1321">
        <f>SUMIFS(KB[NETTO],KB[RELASI],C26,KB[TYPE],"A",KB[TANGGAL],"&gt;="&amp;$DP$8,KB[TANGGAL],"&lt;"&amp;DATE(YEAR($DP$8),MONTH($DP$8)+1,0))</f>
        <v>0</v>
      </c>
      <c r="DQ26" s="1323"/>
      <c r="DR26" s="1322"/>
      <c r="DS26" s="1321">
        <f t="shared" si="16"/>
        <v>0</v>
      </c>
      <c r="DT26" s="1322"/>
      <c r="DU26" s="1321">
        <f>SUMIFS(KB[TPOT],KB[RELASI],C26,KB[TYPE],"A",KB[TANGGAL],"&gt;="&amp;$DP$8,KB[TANGGAL],"&lt;"&amp;DATE(YEAR($DP$8),MONTH($DP$8)+1,0))</f>
        <v>0</v>
      </c>
      <c r="DV26" s="1322"/>
      <c r="DW26" s="1321">
        <f>SUMIFS(KB[NETTO2],KB[RELASI],C26,KB[TYPE],"A",KB[TANGGAL],"&gt;="&amp;$DP$8,KB[TANGGAL],"&lt;"&amp;DATE(YEAR($DP$8),MONTH($DP$8)+1,0))</f>
        <v>0</v>
      </c>
      <c r="DX26" s="1323"/>
      <c r="DY26" s="1322"/>
      <c r="DZ26" s="1321">
        <f>SUMIFS(KB[NETTO],KB[RELASI],C26,KB[TYPE],"A",KB[TANGGAL],"&gt;="&amp;$DZ$8,KB[TANGGAL],"&lt;"&amp;DATE(YEAR($DZ$8),MONTH($DZ$8)+1,0))</f>
        <v>0</v>
      </c>
      <c r="EA26" s="1323"/>
      <c r="EB26" s="1322"/>
      <c r="EC26" s="1321">
        <f t="shared" si="17"/>
        <v>0</v>
      </c>
      <c r="ED26" s="1322"/>
      <c r="EE26" s="1321">
        <f>SUMIFS(KB[TPOT],KB[RELASI],C26,KB[TYPE],"A",KB[TANGGAL],"&gt;="&amp;$DZ$8,KB[TANGGAL],"&lt;"&amp;DATE(YEAR($DZ$8),MONTH($DZ$8)+1,0))</f>
        <v>0</v>
      </c>
      <c r="EF26" s="1322"/>
      <c r="EG26" s="1321">
        <f>SUMIFS(KB[NETTO2],KB[RELASI],C26,KB[TYPE],"A",KB[TANGGAL],"&gt;="&amp;$DZ$8,KB[TANGGAL],"&lt;"&amp;DATE(YEAR($DZ$8),MONTH($DZ$8)+1,0))</f>
        <v>0</v>
      </c>
      <c r="EH26" s="1323"/>
      <c r="EI26" s="1322"/>
      <c r="EJ26" s="844"/>
      <c r="EK26" s="845"/>
      <c r="EL26" s="846"/>
      <c r="EM26" s="844"/>
      <c r="EN26" s="846"/>
      <c r="EO26" s="844"/>
      <c r="EP26" s="846"/>
      <c r="EQ26" s="844"/>
      <c r="ER26" s="845"/>
      <c r="ES26" s="847"/>
    </row>
    <row r="27" spans="2:149" ht="18" customHeight="1">
      <c r="B27" s="1040">
        <f t="shared" si="18"/>
        <v>17</v>
      </c>
      <c r="C27" s="844" t="str">
        <f>RELASI!C19</f>
        <v>H.SYAMSUDDIN</v>
      </c>
      <c r="D27" s="845"/>
      <c r="E27" s="845"/>
      <c r="F27" s="846"/>
      <c r="G27" s="844" t="str">
        <f>RELASI!D19</f>
        <v>Mumpa</v>
      </c>
      <c r="H27" s="845"/>
      <c r="I27" s="846"/>
      <c r="J27" s="1319">
        <f>SUMIFS(KB[NETTO],KB[RELASI],C27,KB[TYPE],"A",KB[TANGGAL],"&gt;="&amp;DATE($J$7,1,1),KB[TANGGAL],"&lt;"&amp;DATE($J$7+1,1,0))/12</f>
        <v>0</v>
      </c>
      <c r="K27" s="1324"/>
      <c r="L27" s="1320"/>
      <c r="M27" s="1319">
        <f t="shared" si="19"/>
        <v>0</v>
      </c>
      <c r="N27" s="1320"/>
      <c r="O27" s="1321">
        <f>SUMIFS(KB[TPOT],KB[RELASI],C27,KB[TYPE],"A",KB[TANGGAL],"&gt;="&amp;DATE($J$7,1,1),KB[TANGGAL],"&lt;"&amp;DATE($J$7+1,1,0))/12</f>
        <v>0</v>
      </c>
      <c r="P27" s="1322"/>
      <c r="Q27" s="1321">
        <f>SUMIFS(KB[NETTO2],KB[RELASI],C27,KB[TYPE],"A",KB[TANGGAL],"&gt;="&amp;DATE($J$7,1,1),KB[TANGGAL],"&lt;"&amp;DATE($J$7+1,1,0))/12</f>
        <v>0</v>
      </c>
      <c r="R27" s="1323"/>
      <c r="S27" s="1322"/>
      <c r="T27" s="1321">
        <f>SUMIFS(KB[NETTO],KB[RELASI],C27,KB[TYPE],"A",KB[TANGGAL],"&gt;="&amp;$T$8,KB[TANGGAL],"&lt;"&amp;DATE($FA$4,$FA$5+1,0))</f>
        <v>0</v>
      </c>
      <c r="U27" s="1323"/>
      <c r="V27" s="1322"/>
      <c r="W27" s="1319">
        <f t="shared" si="20"/>
        <v>0</v>
      </c>
      <c r="X27" s="1320"/>
      <c r="Y27" s="1339">
        <f>SUMIFS(KB[TPOT],KB[RELASI],C27,KB[TYPE],"A",KB[TANGGAL],"&gt;="&amp;$T$8,KB[TANGGAL],"&lt;"&amp;DATE($FA$4,$FA$5+1,0))</f>
        <v>0</v>
      </c>
      <c r="Z27" s="1340"/>
      <c r="AA27" s="1339">
        <f>SUMIFS(KB[NETTO2],KB[RELASI],C27,KB[TYPE],"A",KB[TANGGAL],"&gt;="&amp;$T$8,KB[TANGGAL],"&lt;"&amp;DATE($FA$4,$FA$5+1,0))</f>
        <v>0</v>
      </c>
      <c r="AB27" s="1341"/>
      <c r="AC27" s="1340"/>
      <c r="AD27" s="1321">
        <f>SUMIFS(KB[NETTO],KB[RELASI],C27,KB[TYPE],"A",KB[TANGGAL],"&gt;="&amp;$AD$8,KB[TANGGAL],"&lt;"&amp;DATE($FA$4,MONTH($AD$8)+1,0))</f>
        <v>0</v>
      </c>
      <c r="AE27" s="1323"/>
      <c r="AF27" s="1322"/>
      <c r="AG27" s="1321">
        <f t="shared" si="7"/>
        <v>0</v>
      </c>
      <c r="AH27" s="1322"/>
      <c r="AI27" s="1321">
        <f>SUMIFS(KB[TPOT],KB[RELASI],C27,KB[TYPE],"A",KB[TANGGAL],"&gt;="&amp;$AD$8,KB[TANGGAL],"&lt;"&amp;DATE($FA$4,MONTH($AD$8)+1,0))</f>
        <v>0</v>
      </c>
      <c r="AJ27" s="1322"/>
      <c r="AK27" s="1321">
        <f>SUMIFS(KB[NETTO2],KB[RELASI],C27,KB[TYPE],"A",KB[TANGGAL],"&gt;="&amp;$AD$8,KB[TANGGAL],"&lt;"&amp;DATE($FA$4,MONTH($AD$8)+1,0))</f>
        <v>0</v>
      </c>
      <c r="AL27" s="1323"/>
      <c r="AM27" s="1322"/>
      <c r="AN27" s="1321">
        <f>SUMIFS(KB[NETTO],KB[RELASI],C27,KB[TYPE],"A",KB[TANGGAL],"&gt;="&amp;$AN$8,KB[TANGGAL],"&lt;"&amp;DATE(YEAR($AN$8),MONTH($AN$8)+1,0))</f>
        <v>0</v>
      </c>
      <c r="AO27" s="1323"/>
      <c r="AP27" s="1322"/>
      <c r="AQ27" s="1321">
        <f t="shared" si="8"/>
        <v>0</v>
      </c>
      <c r="AR27" s="1322"/>
      <c r="AS27" s="1321">
        <f>SUMIFS(KB[TPOT],KB[RELASI],C27,KB[TYPE],"A",KB[TANGGAL],"&gt;="&amp;$AN$8,KB[TANGGAL],"&lt;"&amp;DATE(YEAR($AN$8),MONTH($AN$8)+1,0))</f>
        <v>0</v>
      </c>
      <c r="AT27" s="1322"/>
      <c r="AU27" s="1321">
        <f>SUMIFS(KB[NETTO2],KB[RELASI],C27,KB[TYPE],"A",KB[TANGGAL],"&gt;="&amp;$AN$8,KB[TANGGAL],"&lt;"&amp;DATE(YEAR($AN$8),MONTH($AN$8)+1,0))</f>
        <v>0</v>
      </c>
      <c r="AV27" s="1323"/>
      <c r="AW27" s="1322"/>
      <c r="AX27" s="1321">
        <f>SUMIFS(KB[NETTO],KB[RELASI],C27,KB[TYPE],"A",KB[TANGGAL],"&gt;="&amp;$AX$8,KB[TANGGAL],"&lt;"&amp;DATE(YEAR($AX$8),MONTH($AX$8)+1,0))</f>
        <v>0</v>
      </c>
      <c r="AY27" s="1323"/>
      <c r="AZ27" s="1322"/>
      <c r="BA27" s="1321">
        <f t="shared" si="9"/>
        <v>0</v>
      </c>
      <c r="BB27" s="1322"/>
      <c r="BC27" s="1321">
        <f>SUMIFS(KB[TPOT],KB[RELASI],C27,KB[TYPE],"A",KB[TANGGAL],"&gt;="&amp;$AX$8,KB[TANGGAL],"&lt;"&amp;DATE(YEAR($AX$8),MONTH($AX$8)+1,0))</f>
        <v>0</v>
      </c>
      <c r="BD27" s="1322"/>
      <c r="BE27" s="1321">
        <f>SUMIFS(KB[NETTO2],KB[RELASI],C27,KB[TYPE],"A",KB[TANGGAL],"&gt;="&amp;$AX$8,KB[TANGGAL],"&lt;"&amp;DATE(YEAR($AX$8),MONTH($AX$8)+1,0))</f>
        <v>0</v>
      </c>
      <c r="BF27" s="1323"/>
      <c r="BG27" s="1322"/>
      <c r="BH27" s="1321">
        <f>SUMIFS(KB[NETTO],KB[RELASI],C27,KB[TYPE],"A",KB[TANGGAL],"&gt;="&amp;$BH$8,KB[TANGGAL],"&lt;"&amp;DATE(YEAR($BH$8),MONTH($BH$8)+1,0))</f>
        <v>0</v>
      </c>
      <c r="BI27" s="1323"/>
      <c r="BJ27" s="1322"/>
      <c r="BK27" s="1321">
        <f t="shared" si="10"/>
        <v>0</v>
      </c>
      <c r="BL27" s="1322"/>
      <c r="BM27" s="1321">
        <f>SUMIFS(KB[TPOT],KB[RELASI],C27,KB[TYPE],"A",KB[TANGGAL],"&gt;="&amp;$BH$8,KB[TANGGAL],"&lt;"&amp;DATE(YEAR($BH$8),MONTH($BH$8)+1,0))</f>
        <v>0</v>
      </c>
      <c r="BN27" s="1322"/>
      <c r="BO27" s="1321">
        <f>SUMIFS(KB[NETTO2],KB[RELASI],C27,KB[TYPE],"A",KB[TANGGAL],"&gt;="&amp;$BH$8,KB[TANGGAL],"&lt;"&amp;DATE(YEAR($BH$8),MONTH($BH$8)+1,0))</f>
        <v>0</v>
      </c>
      <c r="BP27" s="1323"/>
      <c r="BQ27" s="1322"/>
      <c r="BR27" s="1321">
        <f>SUMIFS(KB[NETTO],KB[RELASI],C27,KB[TYPE],"A",KB[TANGGAL],"&gt;="&amp;$BR$8,KB[TANGGAL],"&lt;"&amp;DATE(YEAR($BR$8),MONTH($BR$8)+1,0))</f>
        <v>0</v>
      </c>
      <c r="BS27" s="1323"/>
      <c r="BT27" s="1322"/>
      <c r="BU27" s="1321">
        <f t="shared" si="11"/>
        <v>0</v>
      </c>
      <c r="BV27" s="1322"/>
      <c r="BW27" s="1321">
        <f>SUMIFS(KB[TPOT],KB[RELASI],C27,KB[TYPE],"A",KB[TANGGAL],"&gt;="&amp;$BR$8,KB[TANGGAL],"&lt;"&amp;DATE(YEAR($BR$8),MONTH($BR$8)+1,0))</f>
        <v>0</v>
      </c>
      <c r="BX27" s="1322"/>
      <c r="BY27" s="1321">
        <f>SUMIFS(KB[NETTO2],KB[RELASI],C27,KB[TYPE],"A",KB[TANGGAL],"&gt;="&amp;$BR$8,KB[TANGGAL],"&lt;"&amp;DATE(YEAR($BR$8),MONTH($BR$8)+1,0))</f>
        <v>0</v>
      </c>
      <c r="BZ27" s="1323"/>
      <c r="CA27" s="1322"/>
      <c r="CB27" s="1321">
        <f>SUMIFS(KB[NETTO],KB[RELASI],C27,KB[TYPE],"A",KB[TANGGAL],"&gt;="&amp;$CB$8,KB[TANGGAL],"&lt;"&amp;DATE(YEAR($CB$8),MONTH($CB$8)+1,0))</f>
        <v>0</v>
      </c>
      <c r="CC27" s="1323"/>
      <c r="CD27" s="1322"/>
      <c r="CE27" s="1321">
        <f t="shared" si="12"/>
        <v>0</v>
      </c>
      <c r="CF27" s="1322"/>
      <c r="CG27" s="1321">
        <f>SUMIFS(KB[TPOT],KB[RELASI],C27,KB[TYPE],"A",KB[TANGGAL],"&gt;="&amp;$CB$8,KB[TANGGAL],"&lt;"&amp;DATE(YEAR($CB$8),MONTH($CB$8)+1,0))</f>
        <v>0</v>
      </c>
      <c r="CH27" s="1322"/>
      <c r="CI27" s="1321">
        <f>SUMIFS(KB[NETTO2],KB[RELASI],C27,KB[TYPE],"A",KB[TANGGAL],"&gt;="&amp;$CB$8,KB[TANGGAL],"&lt;"&amp;DATE(YEAR($CB$8),MONTH($CB$8)+1,0))</f>
        <v>0</v>
      </c>
      <c r="CJ27" s="1323"/>
      <c r="CK27" s="1322"/>
      <c r="CL27" s="1321">
        <f>SUMIFS(KB[NETTO],KB[RELASI],C27,KB[TYPE],"A",KB[TANGGAL],"&gt;="&amp;$CL$8,KB[TANGGAL],"&lt;"&amp;DATE(YEAR($CL$8),MONTH($CL$8)+1,0))</f>
        <v>0</v>
      </c>
      <c r="CM27" s="1323"/>
      <c r="CN27" s="1322"/>
      <c r="CO27" s="1321">
        <f t="shared" si="13"/>
        <v>0</v>
      </c>
      <c r="CP27" s="1322"/>
      <c r="CQ27" s="1321">
        <f>SUMIFS(KB[TPOT],KB[RELASI],C27,KB[TYPE],"A",KB[TANGGAL],"&gt;="&amp;$CL$8,KB[TANGGAL],"&lt;"&amp;DATE(YEAR($CL$8),MONTH($CL$8)+1,0))</f>
        <v>0</v>
      </c>
      <c r="CR27" s="1322"/>
      <c r="CS27" s="1321">
        <f>SUMIFS(KB[NETTO2],KB[RELASI],C27,KB[TYPE],"A",KB[TANGGAL],"&gt;="&amp;$CL$8,KB[TANGGAL],"&lt;"&amp;DATE(YEAR($CL$8),MONTH($CL$8)+1,0))</f>
        <v>0</v>
      </c>
      <c r="CT27" s="1323"/>
      <c r="CU27" s="1322"/>
      <c r="CV27" s="1321">
        <f>SUMIFS(KB[NETTO],KB[RELASI],C27,KB[TYPE],"A",KB[TANGGAL],"&gt;="&amp;$CV$8,KB[TANGGAL],"&lt;"&amp;DATE(YEAR($CV$8),MONTH($CV$8)+1,0))</f>
        <v>0</v>
      </c>
      <c r="CW27" s="1323"/>
      <c r="CX27" s="1322"/>
      <c r="CY27" s="1321">
        <f t="shared" si="14"/>
        <v>0</v>
      </c>
      <c r="CZ27" s="1322"/>
      <c r="DA27" s="1321">
        <f>SUMIFS(KB[TPOT],KB[RELASI],C27,KB[TYPE],"A",KB[TANGGAL],"&gt;="&amp;$CV$8,KB[TANGGAL],"&lt;"&amp;DATE(YEAR($CV$8),MONTH($CV$8)+1,0))</f>
        <v>0</v>
      </c>
      <c r="DB27" s="1322"/>
      <c r="DC27" s="1321">
        <f>SUMIFS(KB[NETTO2],KB[RELASI],C27,KB[TYPE],"A",KB[TANGGAL],"&gt;="&amp;$CV$8,KB[TANGGAL],"&lt;"&amp;DATE(YEAR($CV$8),MONTH($CV$8)+1,0))</f>
        <v>0</v>
      </c>
      <c r="DD27" s="1323"/>
      <c r="DE27" s="1322"/>
      <c r="DF27" s="1321">
        <f>SUMIFS(KB[NETTO],KB[RELASI],C27,KB[TYPE],"A",KB[TANGGAL],"&gt;="&amp;$DF$8,KB[TANGGAL],"&lt;"&amp;DATE(YEAR($DF$8),MONTH($DF$8)+1,0))</f>
        <v>0</v>
      </c>
      <c r="DG27" s="1323"/>
      <c r="DH27" s="1322"/>
      <c r="DI27" s="1321">
        <f t="shared" si="15"/>
        <v>0</v>
      </c>
      <c r="DJ27" s="1322"/>
      <c r="DK27" s="1321">
        <f>SUMIFS(KB[TPOT],KB[RELASI],C27,KB[TYPE],"A",KB[TANGGAL],"&gt;="&amp;$DF$8,KB[TANGGAL],"&lt;"&amp;DATE(YEAR($DF$8),MONTH($DF$8)+1,0))</f>
        <v>0</v>
      </c>
      <c r="DL27" s="1322"/>
      <c r="DM27" s="1321">
        <f>SUMIFS(KB[NETTO2],KB[RELASI],C27,KB[TYPE],"A",KB[TANGGAL],"&gt;="&amp;$DF$8,KB[TANGGAL],"&lt;"&amp;DATE(YEAR($DF$8),MONTH($DF$8)+1,0))</f>
        <v>0</v>
      </c>
      <c r="DN27" s="1323"/>
      <c r="DO27" s="1322"/>
      <c r="DP27" s="1321">
        <f>SUMIFS(KB[NETTO],KB[RELASI],C27,KB[TYPE],"A",KB[TANGGAL],"&gt;="&amp;$DP$8,KB[TANGGAL],"&lt;"&amp;DATE(YEAR($DP$8),MONTH($DP$8)+1,0))</f>
        <v>0</v>
      </c>
      <c r="DQ27" s="1323"/>
      <c r="DR27" s="1322"/>
      <c r="DS27" s="1321">
        <f t="shared" si="16"/>
        <v>0</v>
      </c>
      <c r="DT27" s="1322"/>
      <c r="DU27" s="1321">
        <f>SUMIFS(KB[TPOT],KB[RELASI],C27,KB[TYPE],"A",KB[TANGGAL],"&gt;="&amp;$DP$8,KB[TANGGAL],"&lt;"&amp;DATE(YEAR($DP$8),MONTH($DP$8)+1,0))</f>
        <v>0</v>
      </c>
      <c r="DV27" s="1322"/>
      <c r="DW27" s="1321">
        <f>SUMIFS(KB[NETTO2],KB[RELASI],C27,KB[TYPE],"A",KB[TANGGAL],"&gt;="&amp;$DP$8,KB[TANGGAL],"&lt;"&amp;DATE(YEAR($DP$8),MONTH($DP$8)+1,0))</f>
        <v>0</v>
      </c>
      <c r="DX27" s="1323"/>
      <c r="DY27" s="1322"/>
      <c r="DZ27" s="1321">
        <f>SUMIFS(KB[NETTO],KB[RELASI],C27,KB[TYPE],"A",KB[TANGGAL],"&gt;="&amp;$DZ$8,KB[TANGGAL],"&lt;"&amp;DATE(YEAR($DZ$8),MONTH($DZ$8)+1,0))</f>
        <v>0</v>
      </c>
      <c r="EA27" s="1323"/>
      <c r="EB27" s="1322"/>
      <c r="EC27" s="1321">
        <f t="shared" si="17"/>
        <v>0</v>
      </c>
      <c r="ED27" s="1322"/>
      <c r="EE27" s="1321">
        <f>SUMIFS(KB[TPOT],KB[RELASI],C27,KB[TYPE],"A",KB[TANGGAL],"&gt;="&amp;$DZ$8,KB[TANGGAL],"&lt;"&amp;DATE(YEAR($DZ$8),MONTH($DZ$8)+1,0))</f>
        <v>0</v>
      </c>
      <c r="EF27" s="1322"/>
      <c r="EG27" s="1321">
        <f>SUMIFS(KB[NETTO2],KB[RELASI],C27,KB[TYPE],"A",KB[TANGGAL],"&gt;="&amp;$DZ$8,KB[TANGGAL],"&lt;"&amp;DATE(YEAR($DZ$8),MONTH($DZ$8)+1,0))</f>
        <v>0</v>
      </c>
      <c r="EH27" s="1323"/>
      <c r="EI27" s="1322"/>
      <c r="EJ27" s="844"/>
      <c r="EK27" s="845"/>
      <c r="EL27" s="846"/>
      <c r="EM27" s="844"/>
      <c r="EN27" s="846"/>
      <c r="EO27" s="844"/>
      <c r="EP27" s="846"/>
      <c r="EQ27" s="844"/>
      <c r="ER27" s="845"/>
      <c r="ES27" s="847"/>
    </row>
    <row r="28" spans="2:149" ht="18" customHeight="1">
      <c r="B28" s="1040">
        <f t="shared" si="18"/>
        <v>18</v>
      </c>
      <c r="C28" s="844" t="str">
        <f>RELASI!C20</f>
        <v>HAMLAN</v>
      </c>
      <c r="D28" s="845"/>
      <c r="E28" s="845"/>
      <c r="F28" s="846"/>
      <c r="G28" s="844" t="str">
        <f>RELASI!D20</f>
        <v>Mumpa</v>
      </c>
      <c r="H28" s="845"/>
      <c r="I28" s="846"/>
      <c r="J28" s="1319">
        <f>SUMIFS(KB[NETTO],KB[RELASI],C28,KB[TYPE],"A",KB[TANGGAL],"&gt;="&amp;DATE($J$7,1,1),KB[TANGGAL],"&lt;"&amp;DATE($J$7+1,1,0))/12</f>
        <v>0</v>
      </c>
      <c r="K28" s="1324"/>
      <c r="L28" s="1320"/>
      <c r="M28" s="1319">
        <f t="shared" si="19"/>
        <v>0</v>
      </c>
      <c r="N28" s="1320"/>
      <c r="O28" s="1321">
        <f>SUMIFS(KB[TPOT],KB[RELASI],C28,KB[TYPE],"A",KB[TANGGAL],"&gt;="&amp;DATE($J$7,1,1),KB[TANGGAL],"&lt;"&amp;DATE($J$7+1,1,0))/12</f>
        <v>0</v>
      </c>
      <c r="P28" s="1322"/>
      <c r="Q28" s="1321">
        <f>SUMIFS(KB[NETTO2],KB[RELASI],C28,KB[TYPE],"A",KB[TANGGAL],"&gt;="&amp;DATE($J$7,1,1),KB[TANGGAL],"&lt;"&amp;DATE($J$7+1,1,0))/12</f>
        <v>0</v>
      </c>
      <c r="R28" s="1323"/>
      <c r="S28" s="1322"/>
      <c r="T28" s="1321">
        <f>SUMIFS(KB[NETTO],KB[RELASI],C28,KB[TYPE],"A",KB[TANGGAL],"&gt;="&amp;$T$8,KB[TANGGAL],"&lt;"&amp;DATE($FA$4,$FA$5+1,0))</f>
        <v>0</v>
      </c>
      <c r="U28" s="1323"/>
      <c r="V28" s="1322"/>
      <c r="W28" s="1319">
        <f t="shared" si="20"/>
        <v>0</v>
      </c>
      <c r="X28" s="1320"/>
      <c r="Y28" s="1339">
        <f>SUMIFS(KB[TPOT],KB[RELASI],C28,KB[TYPE],"A",KB[TANGGAL],"&gt;="&amp;$T$8,KB[TANGGAL],"&lt;"&amp;DATE($FA$4,$FA$5+1,0))</f>
        <v>0</v>
      </c>
      <c r="Z28" s="1340"/>
      <c r="AA28" s="1339">
        <f>SUMIFS(KB[NETTO2],KB[RELASI],C28,KB[TYPE],"A",KB[TANGGAL],"&gt;="&amp;$T$8,KB[TANGGAL],"&lt;"&amp;DATE($FA$4,$FA$5+1,0))</f>
        <v>0</v>
      </c>
      <c r="AB28" s="1341"/>
      <c r="AC28" s="1340"/>
      <c r="AD28" s="1321">
        <f>SUMIFS(KB[NETTO],KB[RELASI],C28,KB[TYPE],"A",KB[TANGGAL],"&gt;="&amp;$AD$8,KB[TANGGAL],"&lt;"&amp;DATE($FA$4,MONTH($AD$8)+1,0))</f>
        <v>0</v>
      </c>
      <c r="AE28" s="1323"/>
      <c r="AF28" s="1322"/>
      <c r="AG28" s="1321">
        <f t="shared" si="7"/>
        <v>0</v>
      </c>
      <c r="AH28" s="1322"/>
      <c r="AI28" s="1321">
        <f>SUMIFS(KB[TPOT],KB[RELASI],C28,KB[TYPE],"A",KB[TANGGAL],"&gt;="&amp;$AD$8,KB[TANGGAL],"&lt;"&amp;DATE($FA$4,MONTH($AD$8)+1,0))</f>
        <v>0</v>
      </c>
      <c r="AJ28" s="1322"/>
      <c r="AK28" s="1321">
        <f>SUMIFS(KB[NETTO2],KB[RELASI],C28,KB[TYPE],"A",KB[TANGGAL],"&gt;="&amp;$AD$8,KB[TANGGAL],"&lt;"&amp;DATE($FA$4,MONTH($AD$8)+1,0))</f>
        <v>0</v>
      </c>
      <c r="AL28" s="1323"/>
      <c r="AM28" s="1322"/>
      <c r="AN28" s="1321">
        <f>SUMIFS(KB[NETTO],KB[RELASI],C28,KB[TYPE],"A",KB[TANGGAL],"&gt;="&amp;$AN$8,KB[TANGGAL],"&lt;"&amp;DATE(YEAR($AN$8),MONTH($AN$8)+1,0))</f>
        <v>0</v>
      </c>
      <c r="AO28" s="1323"/>
      <c r="AP28" s="1322"/>
      <c r="AQ28" s="1321">
        <f t="shared" si="8"/>
        <v>0</v>
      </c>
      <c r="AR28" s="1322"/>
      <c r="AS28" s="1321">
        <f>SUMIFS(KB[TPOT],KB[RELASI],C28,KB[TYPE],"A",KB[TANGGAL],"&gt;="&amp;$AN$8,KB[TANGGAL],"&lt;"&amp;DATE(YEAR($AN$8),MONTH($AN$8)+1,0))</f>
        <v>0</v>
      </c>
      <c r="AT28" s="1322"/>
      <c r="AU28" s="1321">
        <f>SUMIFS(KB[NETTO2],KB[RELASI],C28,KB[TYPE],"A",KB[TANGGAL],"&gt;="&amp;$AN$8,KB[TANGGAL],"&lt;"&amp;DATE(YEAR($AN$8),MONTH($AN$8)+1,0))</f>
        <v>0</v>
      </c>
      <c r="AV28" s="1323"/>
      <c r="AW28" s="1322"/>
      <c r="AX28" s="1321">
        <f>SUMIFS(KB[NETTO],KB[RELASI],C28,KB[TYPE],"A",KB[TANGGAL],"&gt;="&amp;$AX$8,KB[TANGGAL],"&lt;"&amp;DATE(YEAR($AX$8),MONTH($AX$8)+1,0))</f>
        <v>0</v>
      </c>
      <c r="AY28" s="1323"/>
      <c r="AZ28" s="1322"/>
      <c r="BA28" s="1321">
        <f t="shared" si="9"/>
        <v>0</v>
      </c>
      <c r="BB28" s="1322"/>
      <c r="BC28" s="1321">
        <f>SUMIFS(KB[TPOT],KB[RELASI],C28,KB[TYPE],"A",KB[TANGGAL],"&gt;="&amp;$AX$8,KB[TANGGAL],"&lt;"&amp;DATE(YEAR($AX$8),MONTH($AX$8)+1,0))</f>
        <v>0</v>
      </c>
      <c r="BD28" s="1322"/>
      <c r="BE28" s="1321">
        <f>SUMIFS(KB[NETTO2],KB[RELASI],C28,KB[TYPE],"A",KB[TANGGAL],"&gt;="&amp;$AX$8,KB[TANGGAL],"&lt;"&amp;DATE(YEAR($AX$8),MONTH($AX$8)+1,0))</f>
        <v>0</v>
      </c>
      <c r="BF28" s="1323"/>
      <c r="BG28" s="1322"/>
      <c r="BH28" s="1321">
        <f>SUMIFS(KB[NETTO],KB[RELASI],C28,KB[TYPE],"A",KB[TANGGAL],"&gt;="&amp;$BH$8,KB[TANGGAL],"&lt;"&amp;DATE(YEAR($BH$8),MONTH($BH$8)+1,0))</f>
        <v>0</v>
      </c>
      <c r="BI28" s="1323"/>
      <c r="BJ28" s="1322"/>
      <c r="BK28" s="1321">
        <f t="shared" si="10"/>
        <v>0</v>
      </c>
      <c r="BL28" s="1322"/>
      <c r="BM28" s="1321">
        <f>SUMIFS(KB[TPOT],KB[RELASI],C28,KB[TYPE],"A",KB[TANGGAL],"&gt;="&amp;$BH$8,KB[TANGGAL],"&lt;"&amp;DATE(YEAR($BH$8),MONTH($BH$8)+1,0))</f>
        <v>0</v>
      </c>
      <c r="BN28" s="1322"/>
      <c r="BO28" s="1321">
        <f>SUMIFS(KB[NETTO2],KB[RELASI],C28,KB[TYPE],"A",KB[TANGGAL],"&gt;="&amp;$BH$8,KB[TANGGAL],"&lt;"&amp;DATE(YEAR($BH$8),MONTH($BH$8)+1,0))</f>
        <v>0</v>
      </c>
      <c r="BP28" s="1323"/>
      <c r="BQ28" s="1322"/>
      <c r="BR28" s="1321">
        <f>SUMIFS(KB[NETTO],KB[RELASI],C28,KB[TYPE],"A",KB[TANGGAL],"&gt;="&amp;$BR$8,KB[TANGGAL],"&lt;"&amp;DATE(YEAR($BR$8),MONTH($BR$8)+1,0))</f>
        <v>0</v>
      </c>
      <c r="BS28" s="1323"/>
      <c r="BT28" s="1322"/>
      <c r="BU28" s="1321">
        <f t="shared" si="11"/>
        <v>0</v>
      </c>
      <c r="BV28" s="1322"/>
      <c r="BW28" s="1321">
        <f>SUMIFS(KB[TPOT],KB[RELASI],C28,KB[TYPE],"A",KB[TANGGAL],"&gt;="&amp;$BR$8,KB[TANGGAL],"&lt;"&amp;DATE(YEAR($BR$8),MONTH($BR$8)+1,0))</f>
        <v>0</v>
      </c>
      <c r="BX28" s="1322"/>
      <c r="BY28" s="1321">
        <f>SUMIFS(KB[NETTO2],KB[RELASI],C28,KB[TYPE],"A",KB[TANGGAL],"&gt;="&amp;$BR$8,KB[TANGGAL],"&lt;"&amp;DATE(YEAR($BR$8),MONTH($BR$8)+1,0))</f>
        <v>0</v>
      </c>
      <c r="BZ28" s="1323"/>
      <c r="CA28" s="1322"/>
      <c r="CB28" s="1321">
        <f>SUMIFS(KB[NETTO],KB[RELASI],C28,KB[TYPE],"A",KB[TANGGAL],"&gt;="&amp;$CB$8,KB[TANGGAL],"&lt;"&amp;DATE(YEAR($CB$8),MONTH($CB$8)+1,0))</f>
        <v>0</v>
      </c>
      <c r="CC28" s="1323"/>
      <c r="CD28" s="1322"/>
      <c r="CE28" s="1321">
        <f t="shared" si="12"/>
        <v>0</v>
      </c>
      <c r="CF28" s="1322"/>
      <c r="CG28" s="1321">
        <f>SUMIFS(KB[TPOT],KB[RELASI],C28,KB[TYPE],"A",KB[TANGGAL],"&gt;="&amp;$CB$8,KB[TANGGAL],"&lt;"&amp;DATE(YEAR($CB$8),MONTH($CB$8)+1,0))</f>
        <v>0</v>
      </c>
      <c r="CH28" s="1322"/>
      <c r="CI28" s="1321">
        <f>SUMIFS(KB[NETTO2],KB[RELASI],C28,KB[TYPE],"A",KB[TANGGAL],"&gt;="&amp;$CB$8,KB[TANGGAL],"&lt;"&amp;DATE(YEAR($CB$8),MONTH($CB$8)+1,0))</f>
        <v>0</v>
      </c>
      <c r="CJ28" s="1323"/>
      <c r="CK28" s="1322"/>
      <c r="CL28" s="1321">
        <f>SUMIFS(KB[NETTO],KB[RELASI],C28,KB[TYPE],"A",KB[TANGGAL],"&gt;="&amp;$CL$8,KB[TANGGAL],"&lt;"&amp;DATE(YEAR($CL$8),MONTH($CL$8)+1,0))</f>
        <v>0</v>
      </c>
      <c r="CM28" s="1323"/>
      <c r="CN28" s="1322"/>
      <c r="CO28" s="1321">
        <f t="shared" si="13"/>
        <v>0</v>
      </c>
      <c r="CP28" s="1322"/>
      <c r="CQ28" s="1321">
        <f>SUMIFS(KB[TPOT],KB[RELASI],C28,KB[TYPE],"A",KB[TANGGAL],"&gt;="&amp;$CL$8,KB[TANGGAL],"&lt;"&amp;DATE(YEAR($CL$8),MONTH($CL$8)+1,0))</f>
        <v>0</v>
      </c>
      <c r="CR28" s="1322"/>
      <c r="CS28" s="1321">
        <f>SUMIFS(KB[NETTO2],KB[RELASI],C28,KB[TYPE],"A",KB[TANGGAL],"&gt;="&amp;$CL$8,KB[TANGGAL],"&lt;"&amp;DATE(YEAR($CL$8),MONTH($CL$8)+1,0))</f>
        <v>0</v>
      </c>
      <c r="CT28" s="1323"/>
      <c r="CU28" s="1322"/>
      <c r="CV28" s="1321">
        <f>SUMIFS(KB[NETTO],KB[RELASI],C28,KB[TYPE],"A",KB[TANGGAL],"&gt;="&amp;$CV$8,KB[TANGGAL],"&lt;"&amp;DATE(YEAR($CV$8),MONTH($CV$8)+1,0))</f>
        <v>0</v>
      </c>
      <c r="CW28" s="1323"/>
      <c r="CX28" s="1322"/>
      <c r="CY28" s="1321">
        <f t="shared" si="14"/>
        <v>0</v>
      </c>
      <c r="CZ28" s="1322"/>
      <c r="DA28" s="1321">
        <f>SUMIFS(KB[TPOT],KB[RELASI],C28,KB[TYPE],"A",KB[TANGGAL],"&gt;="&amp;$CV$8,KB[TANGGAL],"&lt;"&amp;DATE(YEAR($CV$8),MONTH($CV$8)+1,0))</f>
        <v>0</v>
      </c>
      <c r="DB28" s="1322"/>
      <c r="DC28" s="1321">
        <f>SUMIFS(KB[NETTO2],KB[RELASI],C28,KB[TYPE],"A",KB[TANGGAL],"&gt;="&amp;$CV$8,KB[TANGGAL],"&lt;"&amp;DATE(YEAR($CV$8),MONTH($CV$8)+1,0))</f>
        <v>0</v>
      </c>
      <c r="DD28" s="1323"/>
      <c r="DE28" s="1322"/>
      <c r="DF28" s="1321">
        <f>SUMIFS(KB[NETTO],KB[RELASI],C28,KB[TYPE],"A",KB[TANGGAL],"&gt;="&amp;$DF$8,KB[TANGGAL],"&lt;"&amp;DATE(YEAR($DF$8),MONTH($DF$8)+1,0))</f>
        <v>0</v>
      </c>
      <c r="DG28" s="1323"/>
      <c r="DH28" s="1322"/>
      <c r="DI28" s="1321">
        <f t="shared" si="15"/>
        <v>0</v>
      </c>
      <c r="DJ28" s="1322"/>
      <c r="DK28" s="1321">
        <f>SUMIFS(KB[TPOT],KB[RELASI],C28,KB[TYPE],"A",KB[TANGGAL],"&gt;="&amp;$DF$8,KB[TANGGAL],"&lt;"&amp;DATE(YEAR($DF$8),MONTH($DF$8)+1,0))</f>
        <v>0</v>
      </c>
      <c r="DL28" s="1322"/>
      <c r="DM28" s="1321">
        <f>SUMIFS(KB[NETTO2],KB[RELASI],C28,KB[TYPE],"A",KB[TANGGAL],"&gt;="&amp;$DF$8,KB[TANGGAL],"&lt;"&amp;DATE(YEAR($DF$8),MONTH($DF$8)+1,0))</f>
        <v>0</v>
      </c>
      <c r="DN28" s="1323"/>
      <c r="DO28" s="1322"/>
      <c r="DP28" s="1321">
        <f>SUMIFS(KB[NETTO],KB[RELASI],C28,KB[TYPE],"A",KB[TANGGAL],"&gt;="&amp;$DP$8,KB[TANGGAL],"&lt;"&amp;DATE(YEAR($DP$8),MONTH($DP$8)+1,0))</f>
        <v>0</v>
      </c>
      <c r="DQ28" s="1323"/>
      <c r="DR28" s="1322"/>
      <c r="DS28" s="1321">
        <f t="shared" si="16"/>
        <v>0</v>
      </c>
      <c r="DT28" s="1322"/>
      <c r="DU28" s="1321">
        <f>SUMIFS(KB[TPOT],KB[RELASI],C28,KB[TYPE],"A",KB[TANGGAL],"&gt;="&amp;$DP$8,KB[TANGGAL],"&lt;"&amp;DATE(YEAR($DP$8),MONTH($DP$8)+1,0))</f>
        <v>0</v>
      </c>
      <c r="DV28" s="1322"/>
      <c r="DW28" s="1321">
        <f>SUMIFS(KB[NETTO2],KB[RELASI],C28,KB[TYPE],"A",KB[TANGGAL],"&gt;="&amp;$DP$8,KB[TANGGAL],"&lt;"&amp;DATE(YEAR($DP$8),MONTH($DP$8)+1,0))</f>
        <v>0</v>
      </c>
      <c r="DX28" s="1323"/>
      <c r="DY28" s="1322"/>
      <c r="DZ28" s="1321">
        <f>SUMIFS(KB[NETTO],KB[RELASI],C28,KB[TYPE],"A",KB[TANGGAL],"&gt;="&amp;$DZ$8,KB[TANGGAL],"&lt;"&amp;DATE(YEAR($DZ$8),MONTH($DZ$8)+1,0))</f>
        <v>0</v>
      </c>
      <c r="EA28" s="1323"/>
      <c r="EB28" s="1322"/>
      <c r="EC28" s="1321">
        <f t="shared" si="17"/>
        <v>0</v>
      </c>
      <c r="ED28" s="1322"/>
      <c r="EE28" s="1321">
        <f>SUMIFS(KB[TPOT],KB[RELASI],C28,KB[TYPE],"A",KB[TANGGAL],"&gt;="&amp;$DZ$8,KB[TANGGAL],"&lt;"&amp;DATE(YEAR($DZ$8),MONTH($DZ$8)+1,0))</f>
        <v>0</v>
      </c>
      <c r="EF28" s="1322"/>
      <c r="EG28" s="1321">
        <f>SUMIFS(KB[NETTO2],KB[RELASI],C28,KB[TYPE],"A",KB[TANGGAL],"&gt;="&amp;$DZ$8,KB[TANGGAL],"&lt;"&amp;DATE(YEAR($DZ$8),MONTH($DZ$8)+1,0))</f>
        <v>0</v>
      </c>
      <c r="EH28" s="1323"/>
      <c r="EI28" s="1322"/>
      <c r="EJ28" s="844"/>
      <c r="EK28" s="845"/>
      <c r="EL28" s="846"/>
      <c r="EM28" s="844"/>
      <c r="EN28" s="846"/>
      <c r="EO28" s="844"/>
      <c r="EP28" s="846"/>
      <c r="EQ28" s="844"/>
      <c r="ER28" s="845"/>
      <c r="ES28" s="847"/>
    </row>
    <row r="29" spans="2:149" ht="18" customHeight="1">
      <c r="B29" s="1040">
        <f t="shared" si="18"/>
        <v>19</v>
      </c>
      <c r="C29" s="844" t="str">
        <f>RELASI!C21</f>
        <v>HELMANSYAH</v>
      </c>
      <c r="D29" s="845"/>
      <c r="E29" s="845"/>
      <c r="F29" s="846"/>
      <c r="G29" s="844" t="str">
        <f>RELASI!D21</f>
        <v>Tempuling</v>
      </c>
      <c r="H29" s="845"/>
      <c r="I29" s="846"/>
      <c r="J29" s="1319">
        <f>SUMIFS(KB[NETTO],KB[RELASI],C29,KB[TYPE],"A",KB[TANGGAL],"&gt;="&amp;DATE($J$7,1,1),KB[TANGGAL],"&lt;"&amp;DATE($J$7+1,1,0))/12</f>
        <v>0</v>
      </c>
      <c r="K29" s="1324"/>
      <c r="L29" s="1320"/>
      <c r="M29" s="1319">
        <f t="shared" si="19"/>
        <v>0</v>
      </c>
      <c r="N29" s="1320"/>
      <c r="O29" s="1321">
        <f>SUMIFS(KB[TPOT],KB[RELASI],C29,KB[TYPE],"A",KB[TANGGAL],"&gt;="&amp;DATE($J$7,1,1),KB[TANGGAL],"&lt;"&amp;DATE($J$7+1,1,0))/12</f>
        <v>0</v>
      </c>
      <c r="P29" s="1322"/>
      <c r="Q29" s="1321">
        <f>SUMIFS(KB[NETTO2],KB[RELASI],C29,KB[TYPE],"A",KB[TANGGAL],"&gt;="&amp;DATE($J$7,1,1),KB[TANGGAL],"&lt;"&amp;DATE($J$7+1,1,0))/12</f>
        <v>0</v>
      </c>
      <c r="R29" s="1323"/>
      <c r="S29" s="1322"/>
      <c r="T29" s="1321">
        <f>SUMIFS(KB[NETTO],KB[RELASI],C29,KB[TYPE],"A",KB[TANGGAL],"&gt;="&amp;$T$8,KB[TANGGAL],"&lt;"&amp;DATE($FA$4,$FA$5+1,0))</f>
        <v>0</v>
      </c>
      <c r="U29" s="1323"/>
      <c r="V29" s="1322"/>
      <c r="W29" s="1319">
        <f t="shared" si="20"/>
        <v>0</v>
      </c>
      <c r="X29" s="1320"/>
      <c r="Y29" s="1339">
        <f>SUMIFS(KB[TPOT],KB[RELASI],C29,KB[TYPE],"A",KB[TANGGAL],"&gt;="&amp;$T$8,KB[TANGGAL],"&lt;"&amp;DATE($FA$4,$FA$5+1,0))</f>
        <v>0</v>
      </c>
      <c r="Z29" s="1340"/>
      <c r="AA29" s="1339">
        <f>SUMIFS(KB[NETTO2],KB[RELASI],C29,KB[TYPE],"A",KB[TANGGAL],"&gt;="&amp;$T$8,KB[TANGGAL],"&lt;"&amp;DATE($FA$4,$FA$5+1,0))</f>
        <v>0</v>
      </c>
      <c r="AB29" s="1341"/>
      <c r="AC29" s="1340"/>
      <c r="AD29" s="1321">
        <f>SUMIFS(KB[NETTO],KB[RELASI],C29,KB[TYPE],"A",KB[TANGGAL],"&gt;="&amp;$AD$8,KB[TANGGAL],"&lt;"&amp;DATE($FA$4,MONTH($AD$8)+1,0))</f>
        <v>187770</v>
      </c>
      <c r="AE29" s="1323"/>
      <c r="AF29" s="1322"/>
      <c r="AG29" s="1321">
        <f t="shared" si="7"/>
        <v>0</v>
      </c>
      <c r="AH29" s="1322"/>
      <c r="AI29" s="1321">
        <f>SUMIFS(KB[TPOT],KB[RELASI],C29,KB[TYPE],"A",KB[TANGGAL],"&gt;="&amp;$AD$8,KB[TANGGAL],"&lt;"&amp;DATE($FA$4,MONTH($AD$8)+1,0))</f>
        <v>11266.199999999997</v>
      </c>
      <c r="AJ29" s="1322"/>
      <c r="AK29" s="1321">
        <f>SUMIFS(KB[NETTO2],KB[RELASI],C29,KB[TYPE],"A",KB[TANGGAL],"&gt;="&amp;$AD$8,KB[TANGGAL],"&lt;"&amp;DATE($FA$4,MONTH($AD$8)+1,0))</f>
        <v>176503.80000000002</v>
      </c>
      <c r="AL29" s="1323"/>
      <c r="AM29" s="1322"/>
      <c r="AN29" s="1321">
        <f>SUMIFS(KB[NETTO],KB[RELASI],C29,KB[TYPE],"A",KB[TANGGAL],"&gt;="&amp;$AN$8,KB[TANGGAL],"&lt;"&amp;DATE(YEAR($AN$8),MONTH($AN$8)+1,0))</f>
        <v>0</v>
      </c>
      <c r="AO29" s="1323"/>
      <c r="AP29" s="1322"/>
      <c r="AQ29" s="1321">
        <f t="shared" si="8"/>
        <v>0</v>
      </c>
      <c r="AR29" s="1322"/>
      <c r="AS29" s="1321">
        <f>SUMIFS(KB[TPOT],KB[RELASI],C29,KB[TYPE],"A",KB[TANGGAL],"&gt;="&amp;$AN$8,KB[TANGGAL],"&lt;"&amp;DATE(YEAR($AN$8),MONTH($AN$8)+1,0))</f>
        <v>0</v>
      </c>
      <c r="AT29" s="1322"/>
      <c r="AU29" s="1321">
        <f>SUMIFS(KB[NETTO2],KB[RELASI],C29,KB[TYPE],"A",KB[TANGGAL],"&gt;="&amp;$AN$8,KB[TANGGAL],"&lt;"&amp;DATE(YEAR($AN$8),MONTH($AN$8)+1,0))</f>
        <v>0</v>
      </c>
      <c r="AV29" s="1323"/>
      <c r="AW29" s="1322"/>
      <c r="AX29" s="1321">
        <f>SUMIFS(KB[NETTO],KB[RELASI],C29,KB[TYPE],"A",KB[TANGGAL],"&gt;="&amp;$AX$8,KB[TANGGAL],"&lt;"&amp;DATE(YEAR($AX$8),MONTH($AX$8)+1,0))</f>
        <v>0</v>
      </c>
      <c r="AY29" s="1323"/>
      <c r="AZ29" s="1322"/>
      <c r="BA29" s="1321">
        <f t="shared" si="9"/>
        <v>0</v>
      </c>
      <c r="BB29" s="1322"/>
      <c r="BC29" s="1321">
        <f>SUMIFS(KB[TPOT],KB[RELASI],C29,KB[TYPE],"A",KB[TANGGAL],"&gt;="&amp;$AX$8,KB[TANGGAL],"&lt;"&amp;DATE(YEAR($AX$8),MONTH($AX$8)+1,0))</f>
        <v>0</v>
      </c>
      <c r="BD29" s="1322"/>
      <c r="BE29" s="1321">
        <f>SUMIFS(KB[NETTO2],KB[RELASI],C29,KB[TYPE],"A",KB[TANGGAL],"&gt;="&amp;$AX$8,KB[TANGGAL],"&lt;"&amp;DATE(YEAR($AX$8),MONTH($AX$8)+1,0))</f>
        <v>0</v>
      </c>
      <c r="BF29" s="1323"/>
      <c r="BG29" s="1322"/>
      <c r="BH29" s="1321">
        <f>SUMIFS(KB[NETTO],KB[RELASI],C29,KB[TYPE],"A",KB[TANGGAL],"&gt;="&amp;$BH$8,KB[TANGGAL],"&lt;"&amp;DATE(YEAR($BH$8),MONTH($BH$8)+1,0))</f>
        <v>0</v>
      </c>
      <c r="BI29" s="1323"/>
      <c r="BJ29" s="1322"/>
      <c r="BK29" s="1321">
        <f t="shared" si="10"/>
        <v>0</v>
      </c>
      <c r="BL29" s="1322"/>
      <c r="BM29" s="1321">
        <f>SUMIFS(KB[TPOT],KB[RELASI],C29,KB[TYPE],"A",KB[TANGGAL],"&gt;="&amp;$BH$8,KB[TANGGAL],"&lt;"&amp;DATE(YEAR($BH$8),MONTH($BH$8)+1,0))</f>
        <v>0</v>
      </c>
      <c r="BN29" s="1322"/>
      <c r="BO29" s="1321">
        <f>SUMIFS(KB[NETTO2],KB[RELASI],C29,KB[TYPE],"A",KB[TANGGAL],"&gt;="&amp;$BH$8,KB[TANGGAL],"&lt;"&amp;DATE(YEAR($BH$8),MONTH($BH$8)+1,0))</f>
        <v>0</v>
      </c>
      <c r="BP29" s="1323"/>
      <c r="BQ29" s="1322"/>
      <c r="BR29" s="1321">
        <f>SUMIFS(KB[NETTO],KB[RELASI],C29,KB[TYPE],"A",KB[TANGGAL],"&gt;="&amp;$BR$8,KB[TANGGAL],"&lt;"&amp;DATE(YEAR($BR$8),MONTH($BR$8)+1,0))</f>
        <v>0</v>
      </c>
      <c r="BS29" s="1323"/>
      <c r="BT29" s="1322"/>
      <c r="BU29" s="1321">
        <f t="shared" si="11"/>
        <v>0</v>
      </c>
      <c r="BV29" s="1322"/>
      <c r="BW29" s="1321">
        <f>SUMIFS(KB[TPOT],KB[RELASI],C29,KB[TYPE],"A",KB[TANGGAL],"&gt;="&amp;$BR$8,KB[TANGGAL],"&lt;"&amp;DATE(YEAR($BR$8),MONTH($BR$8)+1,0))</f>
        <v>0</v>
      </c>
      <c r="BX29" s="1322"/>
      <c r="BY29" s="1321">
        <f>SUMIFS(KB[NETTO2],KB[RELASI],C29,KB[TYPE],"A",KB[TANGGAL],"&gt;="&amp;$BR$8,KB[TANGGAL],"&lt;"&amp;DATE(YEAR($BR$8),MONTH($BR$8)+1,0))</f>
        <v>0</v>
      </c>
      <c r="BZ29" s="1323"/>
      <c r="CA29" s="1322"/>
      <c r="CB29" s="1321">
        <f>SUMIFS(KB[NETTO],KB[RELASI],C29,KB[TYPE],"A",KB[TANGGAL],"&gt;="&amp;$CB$8,KB[TANGGAL],"&lt;"&amp;DATE(YEAR($CB$8),MONTH($CB$8)+1,0))</f>
        <v>0</v>
      </c>
      <c r="CC29" s="1323"/>
      <c r="CD29" s="1322"/>
      <c r="CE29" s="1321">
        <f t="shared" si="12"/>
        <v>0</v>
      </c>
      <c r="CF29" s="1322"/>
      <c r="CG29" s="1321">
        <f>SUMIFS(KB[TPOT],KB[RELASI],C29,KB[TYPE],"A",KB[TANGGAL],"&gt;="&amp;$CB$8,KB[TANGGAL],"&lt;"&amp;DATE(YEAR($CB$8),MONTH($CB$8)+1,0))</f>
        <v>0</v>
      </c>
      <c r="CH29" s="1322"/>
      <c r="CI29" s="1321">
        <f>SUMIFS(KB[NETTO2],KB[RELASI],C29,KB[TYPE],"A",KB[TANGGAL],"&gt;="&amp;$CB$8,KB[TANGGAL],"&lt;"&amp;DATE(YEAR($CB$8),MONTH($CB$8)+1,0))</f>
        <v>0</v>
      </c>
      <c r="CJ29" s="1323"/>
      <c r="CK29" s="1322"/>
      <c r="CL29" s="1321">
        <f>SUMIFS(KB[NETTO],KB[RELASI],C29,KB[TYPE],"A",KB[TANGGAL],"&gt;="&amp;$CL$8,KB[TANGGAL],"&lt;"&amp;DATE(YEAR($CL$8),MONTH($CL$8)+1,0))</f>
        <v>0</v>
      </c>
      <c r="CM29" s="1323"/>
      <c r="CN29" s="1322"/>
      <c r="CO29" s="1321">
        <f t="shared" si="13"/>
        <v>0</v>
      </c>
      <c r="CP29" s="1322"/>
      <c r="CQ29" s="1321">
        <f>SUMIFS(KB[TPOT],KB[RELASI],C29,KB[TYPE],"A",KB[TANGGAL],"&gt;="&amp;$CL$8,KB[TANGGAL],"&lt;"&amp;DATE(YEAR($CL$8),MONTH($CL$8)+1,0))</f>
        <v>0</v>
      </c>
      <c r="CR29" s="1322"/>
      <c r="CS29" s="1321">
        <f>SUMIFS(KB[NETTO2],KB[RELASI],C29,KB[TYPE],"A",KB[TANGGAL],"&gt;="&amp;$CL$8,KB[TANGGAL],"&lt;"&amp;DATE(YEAR($CL$8),MONTH($CL$8)+1,0))</f>
        <v>0</v>
      </c>
      <c r="CT29" s="1323"/>
      <c r="CU29" s="1322"/>
      <c r="CV29" s="1321">
        <f>SUMIFS(KB[NETTO],KB[RELASI],C29,KB[TYPE],"A",KB[TANGGAL],"&gt;="&amp;$CV$8,KB[TANGGAL],"&lt;"&amp;DATE(YEAR($CV$8),MONTH($CV$8)+1,0))</f>
        <v>0</v>
      </c>
      <c r="CW29" s="1323"/>
      <c r="CX29" s="1322"/>
      <c r="CY29" s="1321">
        <f t="shared" si="14"/>
        <v>0</v>
      </c>
      <c r="CZ29" s="1322"/>
      <c r="DA29" s="1321">
        <f>SUMIFS(KB[TPOT],KB[RELASI],C29,KB[TYPE],"A",KB[TANGGAL],"&gt;="&amp;$CV$8,KB[TANGGAL],"&lt;"&amp;DATE(YEAR($CV$8),MONTH($CV$8)+1,0))</f>
        <v>0</v>
      </c>
      <c r="DB29" s="1322"/>
      <c r="DC29" s="1321">
        <f>SUMIFS(KB[NETTO2],KB[RELASI],C29,KB[TYPE],"A",KB[TANGGAL],"&gt;="&amp;$CV$8,KB[TANGGAL],"&lt;"&amp;DATE(YEAR($CV$8),MONTH($CV$8)+1,0))</f>
        <v>0</v>
      </c>
      <c r="DD29" s="1323"/>
      <c r="DE29" s="1322"/>
      <c r="DF29" s="1321">
        <f>SUMIFS(KB[NETTO],KB[RELASI],C29,KB[TYPE],"A",KB[TANGGAL],"&gt;="&amp;$DF$8,KB[TANGGAL],"&lt;"&amp;DATE(YEAR($DF$8),MONTH($DF$8)+1,0))</f>
        <v>0</v>
      </c>
      <c r="DG29" s="1323"/>
      <c r="DH29" s="1322"/>
      <c r="DI29" s="1321">
        <f t="shared" si="15"/>
        <v>0</v>
      </c>
      <c r="DJ29" s="1322"/>
      <c r="DK29" s="1321">
        <f>SUMIFS(KB[TPOT],KB[RELASI],C29,KB[TYPE],"A",KB[TANGGAL],"&gt;="&amp;$DF$8,KB[TANGGAL],"&lt;"&amp;DATE(YEAR($DF$8),MONTH($DF$8)+1,0))</f>
        <v>0</v>
      </c>
      <c r="DL29" s="1322"/>
      <c r="DM29" s="1321">
        <f>SUMIFS(KB[NETTO2],KB[RELASI],C29,KB[TYPE],"A",KB[TANGGAL],"&gt;="&amp;$DF$8,KB[TANGGAL],"&lt;"&amp;DATE(YEAR($DF$8),MONTH($DF$8)+1,0))</f>
        <v>0</v>
      </c>
      <c r="DN29" s="1323"/>
      <c r="DO29" s="1322"/>
      <c r="DP29" s="1321">
        <f>SUMIFS(KB[NETTO],KB[RELASI],C29,KB[TYPE],"A",KB[TANGGAL],"&gt;="&amp;$DP$8,KB[TANGGAL],"&lt;"&amp;DATE(YEAR($DP$8),MONTH($DP$8)+1,0))</f>
        <v>0</v>
      </c>
      <c r="DQ29" s="1323"/>
      <c r="DR29" s="1322"/>
      <c r="DS29" s="1321">
        <f t="shared" si="16"/>
        <v>0</v>
      </c>
      <c r="DT29" s="1322"/>
      <c r="DU29" s="1321">
        <f>SUMIFS(KB[TPOT],KB[RELASI],C29,KB[TYPE],"A",KB[TANGGAL],"&gt;="&amp;$DP$8,KB[TANGGAL],"&lt;"&amp;DATE(YEAR($DP$8),MONTH($DP$8)+1,0))</f>
        <v>0</v>
      </c>
      <c r="DV29" s="1322"/>
      <c r="DW29" s="1321">
        <f>SUMIFS(KB[NETTO2],KB[RELASI],C29,KB[TYPE],"A",KB[TANGGAL],"&gt;="&amp;$DP$8,KB[TANGGAL],"&lt;"&amp;DATE(YEAR($DP$8),MONTH($DP$8)+1,0))</f>
        <v>0</v>
      </c>
      <c r="DX29" s="1323"/>
      <c r="DY29" s="1322"/>
      <c r="DZ29" s="1321">
        <f>SUMIFS(KB[NETTO],KB[RELASI],C29,KB[TYPE],"A",KB[TANGGAL],"&gt;="&amp;$DZ$8,KB[TANGGAL],"&lt;"&amp;DATE(YEAR($DZ$8),MONTH($DZ$8)+1,0))</f>
        <v>0</v>
      </c>
      <c r="EA29" s="1323"/>
      <c r="EB29" s="1322"/>
      <c r="EC29" s="1321">
        <f t="shared" si="17"/>
        <v>0</v>
      </c>
      <c r="ED29" s="1322"/>
      <c r="EE29" s="1321">
        <f>SUMIFS(KB[TPOT],KB[RELASI],C29,KB[TYPE],"A",KB[TANGGAL],"&gt;="&amp;$DZ$8,KB[TANGGAL],"&lt;"&amp;DATE(YEAR($DZ$8),MONTH($DZ$8)+1,0))</f>
        <v>0</v>
      </c>
      <c r="EF29" s="1322"/>
      <c r="EG29" s="1321">
        <f>SUMIFS(KB[NETTO2],KB[RELASI],C29,KB[TYPE],"A",KB[TANGGAL],"&gt;="&amp;$DZ$8,KB[TANGGAL],"&lt;"&amp;DATE(YEAR($DZ$8),MONTH($DZ$8)+1,0))</f>
        <v>0</v>
      </c>
      <c r="EH29" s="1323"/>
      <c r="EI29" s="1322"/>
      <c r="EJ29" s="844"/>
      <c r="EK29" s="845"/>
      <c r="EL29" s="846"/>
      <c r="EM29" s="844"/>
      <c r="EN29" s="846"/>
      <c r="EO29" s="844"/>
      <c r="EP29" s="846"/>
      <c r="EQ29" s="844"/>
      <c r="ER29" s="845"/>
      <c r="ES29" s="847"/>
    </row>
    <row r="30" spans="2:149" ht="18" customHeight="1">
      <c r="B30" s="1040">
        <f t="shared" si="18"/>
        <v>20</v>
      </c>
      <c r="C30" s="844" t="str">
        <f>RELASI!C22</f>
        <v>HENDRI</v>
      </c>
      <c r="D30" s="845"/>
      <c r="E30" s="845"/>
      <c r="F30" s="846"/>
      <c r="G30" s="844" t="str">
        <f>RELASI!D22</f>
        <v>Tembilahan</v>
      </c>
      <c r="H30" s="845"/>
      <c r="I30" s="846"/>
      <c r="J30" s="1319">
        <f>SUMIFS(KB[NETTO],KB[RELASI],C30,KB[TYPE],"A",KB[TANGGAL],"&gt;="&amp;DATE($J$7,1,1),KB[TANGGAL],"&lt;"&amp;DATE($J$7+1,1,0))/12</f>
        <v>0</v>
      </c>
      <c r="K30" s="1324"/>
      <c r="L30" s="1320"/>
      <c r="M30" s="1319">
        <f t="shared" si="19"/>
        <v>0</v>
      </c>
      <c r="N30" s="1320"/>
      <c r="O30" s="1321">
        <f>SUMIFS(KB[TPOT],KB[RELASI],C30,KB[TYPE],"A",KB[TANGGAL],"&gt;="&amp;DATE($J$7,1,1),KB[TANGGAL],"&lt;"&amp;DATE($J$7+1,1,0))/12</f>
        <v>0</v>
      </c>
      <c r="P30" s="1322"/>
      <c r="Q30" s="1321">
        <f>SUMIFS(KB[NETTO2],KB[RELASI],C30,KB[TYPE],"A",KB[TANGGAL],"&gt;="&amp;DATE($J$7,1,1),KB[TANGGAL],"&lt;"&amp;DATE($J$7+1,1,0))/12</f>
        <v>0</v>
      </c>
      <c r="R30" s="1323"/>
      <c r="S30" s="1322"/>
      <c r="T30" s="1321">
        <f>SUMIFS(KB[NETTO],KB[RELASI],C30,KB[TYPE],"A",KB[TANGGAL],"&gt;="&amp;$T$8,KB[TANGGAL],"&lt;"&amp;DATE($FA$4,$FA$5+1,0))</f>
        <v>261790</v>
      </c>
      <c r="U30" s="1323"/>
      <c r="V30" s="1322"/>
      <c r="W30" s="1319">
        <f t="shared" si="20"/>
        <v>6</v>
      </c>
      <c r="X30" s="1320"/>
      <c r="Y30" s="1339">
        <f>SUMIFS(KB[TPOT],KB[RELASI],C30,KB[TYPE],"A",KB[TANGGAL],"&gt;="&amp;$T$8,KB[TANGGAL],"&lt;"&amp;DATE($FA$4,$FA$5+1,0))</f>
        <v>15707.4</v>
      </c>
      <c r="Z30" s="1340"/>
      <c r="AA30" s="1339">
        <f>SUMIFS(KB[NETTO2],KB[RELASI],C30,KB[TYPE],"A",KB[TANGGAL],"&gt;="&amp;$T$8,KB[TANGGAL],"&lt;"&amp;DATE($FA$4,$FA$5+1,0))</f>
        <v>246082.6</v>
      </c>
      <c r="AB30" s="1341"/>
      <c r="AC30" s="1340"/>
      <c r="AD30" s="1321">
        <f>SUMIFS(KB[NETTO],KB[RELASI],C30,KB[TYPE],"A",KB[TANGGAL],"&gt;="&amp;$AD$8,KB[TANGGAL],"&lt;"&amp;DATE($FA$4,MONTH($AD$8)+1,0))</f>
        <v>184290</v>
      </c>
      <c r="AE30" s="1323"/>
      <c r="AF30" s="1322"/>
      <c r="AG30" s="1321">
        <f t="shared" si="7"/>
        <v>6</v>
      </c>
      <c r="AH30" s="1322"/>
      <c r="AI30" s="1321">
        <f>SUMIFS(KB[TPOT],KB[RELASI],C30,KB[TYPE],"A",KB[TANGGAL],"&gt;="&amp;$AD$8,KB[TANGGAL],"&lt;"&amp;DATE($FA$4,MONTH($AD$8)+1,0))</f>
        <v>11057.4</v>
      </c>
      <c r="AJ30" s="1322"/>
      <c r="AK30" s="1321">
        <f>SUMIFS(KB[NETTO2],KB[RELASI],C30,KB[TYPE],"A",KB[TANGGAL],"&gt;="&amp;$AD$8,KB[TANGGAL],"&lt;"&amp;DATE($FA$4,MONTH($AD$8)+1,0))</f>
        <v>173232.6</v>
      </c>
      <c r="AL30" s="1323"/>
      <c r="AM30" s="1322"/>
      <c r="AN30" s="1321">
        <f>SUMIFS(KB[NETTO],KB[RELASI],C30,KB[TYPE],"A",KB[TANGGAL],"&gt;="&amp;$AN$8,KB[TANGGAL],"&lt;"&amp;DATE(YEAR($AN$8),MONTH($AN$8)+1,0))</f>
        <v>93860</v>
      </c>
      <c r="AO30" s="1323"/>
      <c r="AP30" s="1322"/>
      <c r="AQ30" s="1321">
        <f t="shared" si="8"/>
        <v>5.9999999999999991</v>
      </c>
      <c r="AR30" s="1322"/>
      <c r="AS30" s="1321">
        <f>SUMIFS(KB[TPOT],KB[RELASI],C30,KB[TYPE],"A",KB[TANGGAL],"&gt;="&amp;$AN$8,KB[TANGGAL],"&lt;"&amp;DATE(YEAR($AN$8),MONTH($AN$8)+1,0))</f>
        <v>5631.5999999999995</v>
      </c>
      <c r="AT30" s="1322"/>
      <c r="AU30" s="1321">
        <f>SUMIFS(KB[NETTO2],KB[RELASI],C30,KB[TYPE],"A",KB[TANGGAL],"&gt;="&amp;$AN$8,KB[TANGGAL],"&lt;"&amp;DATE(YEAR($AN$8),MONTH($AN$8)+1,0))</f>
        <v>88228.4</v>
      </c>
      <c r="AV30" s="1323"/>
      <c r="AW30" s="1322"/>
      <c r="AX30" s="1321">
        <f>SUMIFS(KB[NETTO],KB[RELASI],C30,KB[TYPE],"A",KB[TANGGAL],"&gt;="&amp;$AX$8,KB[TANGGAL],"&lt;"&amp;DATE(YEAR($AX$8),MONTH($AX$8)+1,0))</f>
        <v>9280</v>
      </c>
      <c r="AY30" s="1323"/>
      <c r="AZ30" s="1322"/>
      <c r="BA30" s="1321">
        <f t="shared" si="9"/>
        <v>6</v>
      </c>
      <c r="BB30" s="1322"/>
      <c r="BC30" s="1321">
        <f>SUMIFS(KB[TPOT],KB[RELASI],C30,KB[TYPE],"A",KB[TANGGAL],"&gt;="&amp;$AX$8,KB[TANGGAL],"&lt;"&amp;DATE(YEAR($AX$8),MONTH($AX$8)+1,0))</f>
        <v>556.79999999999995</v>
      </c>
      <c r="BD30" s="1322"/>
      <c r="BE30" s="1321">
        <f>SUMIFS(KB[NETTO2],KB[RELASI],C30,KB[TYPE],"A",KB[TANGGAL],"&gt;="&amp;$AX$8,KB[TANGGAL],"&lt;"&amp;DATE(YEAR($AX$8),MONTH($AX$8)+1,0))</f>
        <v>8723.2000000000007</v>
      </c>
      <c r="BF30" s="1323"/>
      <c r="BG30" s="1322"/>
      <c r="BH30" s="1321">
        <f>SUMIFS(KB[NETTO],KB[RELASI],C30,KB[TYPE],"A",KB[TANGGAL],"&gt;="&amp;$BH$8,KB[TANGGAL],"&lt;"&amp;DATE(YEAR($BH$8),MONTH($BH$8)+1,0))</f>
        <v>0</v>
      </c>
      <c r="BI30" s="1323"/>
      <c r="BJ30" s="1322"/>
      <c r="BK30" s="1321">
        <f t="shared" si="10"/>
        <v>0</v>
      </c>
      <c r="BL30" s="1322"/>
      <c r="BM30" s="1321">
        <f>SUMIFS(KB[TPOT],KB[RELASI],C30,KB[TYPE],"A",KB[TANGGAL],"&gt;="&amp;$BH$8,KB[TANGGAL],"&lt;"&amp;DATE(YEAR($BH$8),MONTH($BH$8)+1,0))</f>
        <v>0</v>
      </c>
      <c r="BN30" s="1322"/>
      <c r="BO30" s="1321">
        <f>SUMIFS(KB[NETTO2],KB[RELASI],C30,KB[TYPE],"A",KB[TANGGAL],"&gt;="&amp;$BH$8,KB[TANGGAL],"&lt;"&amp;DATE(YEAR($BH$8),MONTH($BH$8)+1,0))</f>
        <v>0</v>
      </c>
      <c r="BP30" s="1323"/>
      <c r="BQ30" s="1322"/>
      <c r="BR30" s="1321">
        <f>SUMIFS(KB[NETTO],KB[RELASI],C30,KB[TYPE],"A",KB[TANGGAL],"&gt;="&amp;$BR$8,KB[TANGGAL],"&lt;"&amp;DATE(YEAR($BR$8),MONTH($BR$8)+1,0))</f>
        <v>0</v>
      </c>
      <c r="BS30" s="1323"/>
      <c r="BT30" s="1322"/>
      <c r="BU30" s="1321">
        <f t="shared" si="11"/>
        <v>0</v>
      </c>
      <c r="BV30" s="1322"/>
      <c r="BW30" s="1321">
        <f>SUMIFS(KB[TPOT],KB[RELASI],C30,KB[TYPE],"A",KB[TANGGAL],"&gt;="&amp;$BR$8,KB[TANGGAL],"&lt;"&amp;DATE(YEAR($BR$8),MONTH($BR$8)+1,0))</f>
        <v>0</v>
      </c>
      <c r="BX30" s="1322"/>
      <c r="BY30" s="1321">
        <f>SUMIFS(KB[NETTO2],KB[RELASI],C30,KB[TYPE],"A",KB[TANGGAL],"&gt;="&amp;$BR$8,KB[TANGGAL],"&lt;"&amp;DATE(YEAR($BR$8),MONTH($BR$8)+1,0))</f>
        <v>0</v>
      </c>
      <c r="BZ30" s="1323"/>
      <c r="CA30" s="1322"/>
      <c r="CB30" s="1321">
        <f>SUMIFS(KB[NETTO],KB[RELASI],C30,KB[TYPE],"A",KB[TANGGAL],"&gt;="&amp;$CB$8,KB[TANGGAL],"&lt;"&amp;DATE(YEAR($CB$8),MONTH($CB$8)+1,0))</f>
        <v>0</v>
      </c>
      <c r="CC30" s="1323"/>
      <c r="CD30" s="1322"/>
      <c r="CE30" s="1321">
        <f t="shared" si="12"/>
        <v>0</v>
      </c>
      <c r="CF30" s="1322"/>
      <c r="CG30" s="1321">
        <f>SUMIFS(KB[TPOT],KB[RELASI],C30,KB[TYPE],"A",KB[TANGGAL],"&gt;="&amp;$CB$8,KB[TANGGAL],"&lt;"&amp;DATE(YEAR($CB$8),MONTH($CB$8)+1,0))</f>
        <v>0</v>
      </c>
      <c r="CH30" s="1322"/>
      <c r="CI30" s="1321">
        <f>SUMIFS(KB[NETTO2],KB[RELASI],C30,KB[TYPE],"A",KB[TANGGAL],"&gt;="&amp;$CB$8,KB[TANGGAL],"&lt;"&amp;DATE(YEAR($CB$8),MONTH($CB$8)+1,0))</f>
        <v>0</v>
      </c>
      <c r="CJ30" s="1323"/>
      <c r="CK30" s="1322"/>
      <c r="CL30" s="1321">
        <f>SUMIFS(KB[NETTO],KB[RELASI],C30,KB[TYPE],"A",KB[TANGGAL],"&gt;="&amp;$CL$8,KB[TANGGAL],"&lt;"&amp;DATE(YEAR($CL$8),MONTH($CL$8)+1,0))</f>
        <v>0</v>
      </c>
      <c r="CM30" s="1323"/>
      <c r="CN30" s="1322"/>
      <c r="CO30" s="1321">
        <f t="shared" si="13"/>
        <v>0</v>
      </c>
      <c r="CP30" s="1322"/>
      <c r="CQ30" s="1321">
        <f>SUMIFS(KB[TPOT],KB[RELASI],C30,KB[TYPE],"A",KB[TANGGAL],"&gt;="&amp;$CL$8,KB[TANGGAL],"&lt;"&amp;DATE(YEAR($CL$8),MONTH($CL$8)+1,0))</f>
        <v>0</v>
      </c>
      <c r="CR30" s="1322"/>
      <c r="CS30" s="1321">
        <f>SUMIFS(KB[NETTO2],KB[RELASI],C30,KB[TYPE],"A",KB[TANGGAL],"&gt;="&amp;$CL$8,KB[TANGGAL],"&lt;"&amp;DATE(YEAR($CL$8),MONTH($CL$8)+1,0))</f>
        <v>0</v>
      </c>
      <c r="CT30" s="1323"/>
      <c r="CU30" s="1322"/>
      <c r="CV30" s="1321">
        <f>SUMIFS(KB[NETTO],KB[RELASI],C30,KB[TYPE],"A",KB[TANGGAL],"&gt;="&amp;$CV$8,KB[TANGGAL],"&lt;"&amp;DATE(YEAR($CV$8),MONTH($CV$8)+1,0))</f>
        <v>0</v>
      </c>
      <c r="CW30" s="1323"/>
      <c r="CX30" s="1322"/>
      <c r="CY30" s="1321">
        <f t="shared" si="14"/>
        <v>0</v>
      </c>
      <c r="CZ30" s="1322"/>
      <c r="DA30" s="1321">
        <f>SUMIFS(KB[TPOT],KB[RELASI],C30,KB[TYPE],"A",KB[TANGGAL],"&gt;="&amp;$CV$8,KB[TANGGAL],"&lt;"&amp;DATE(YEAR($CV$8),MONTH($CV$8)+1,0))</f>
        <v>0</v>
      </c>
      <c r="DB30" s="1322"/>
      <c r="DC30" s="1321">
        <f>SUMIFS(KB[NETTO2],KB[RELASI],C30,KB[TYPE],"A",KB[TANGGAL],"&gt;="&amp;$CV$8,KB[TANGGAL],"&lt;"&amp;DATE(YEAR($CV$8),MONTH($CV$8)+1,0))</f>
        <v>0</v>
      </c>
      <c r="DD30" s="1323"/>
      <c r="DE30" s="1322"/>
      <c r="DF30" s="1321">
        <f>SUMIFS(KB[NETTO],KB[RELASI],C30,KB[TYPE],"A",KB[TANGGAL],"&gt;="&amp;$DF$8,KB[TANGGAL],"&lt;"&amp;DATE(YEAR($DF$8),MONTH($DF$8)+1,0))</f>
        <v>0</v>
      </c>
      <c r="DG30" s="1323"/>
      <c r="DH30" s="1322"/>
      <c r="DI30" s="1321">
        <f t="shared" si="15"/>
        <v>0</v>
      </c>
      <c r="DJ30" s="1322"/>
      <c r="DK30" s="1321">
        <f>SUMIFS(KB[TPOT],KB[RELASI],C30,KB[TYPE],"A",KB[TANGGAL],"&gt;="&amp;$DF$8,KB[TANGGAL],"&lt;"&amp;DATE(YEAR($DF$8),MONTH($DF$8)+1,0))</f>
        <v>0</v>
      </c>
      <c r="DL30" s="1322"/>
      <c r="DM30" s="1321">
        <f>SUMIFS(KB[NETTO2],KB[RELASI],C30,KB[TYPE],"A",KB[TANGGAL],"&gt;="&amp;$DF$8,KB[TANGGAL],"&lt;"&amp;DATE(YEAR($DF$8),MONTH($DF$8)+1,0))</f>
        <v>0</v>
      </c>
      <c r="DN30" s="1323"/>
      <c r="DO30" s="1322"/>
      <c r="DP30" s="1321">
        <f>SUMIFS(KB[NETTO],KB[RELASI],C30,KB[TYPE],"A",KB[TANGGAL],"&gt;="&amp;$DP$8,KB[TANGGAL],"&lt;"&amp;DATE(YEAR($DP$8),MONTH($DP$8)+1,0))</f>
        <v>0</v>
      </c>
      <c r="DQ30" s="1323"/>
      <c r="DR30" s="1322"/>
      <c r="DS30" s="1321">
        <f t="shared" si="16"/>
        <v>0</v>
      </c>
      <c r="DT30" s="1322"/>
      <c r="DU30" s="1321">
        <f>SUMIFS(KB[TPOT],KB[RELASI],C30,KB[TYPE],"A",KB[TANGGAL],"&gt;="&amp;$DP$8,KB[TANGGAL],"&lt;"&amp;DATE(YEAR($DP$8),MONTH($DP$8)+1,0))</f>
        <v>0</v>
      </c>
      <c r="DV30" s="1322"/>
      <c r="DW30" s="1321">
        <f>SUMIFS(KB[NETTO2],KB[RELASI],C30,KB[TYPE],"A",KB[TANGGAL],"&gt;="&amp;$DP$8,KB[TANGGAL],"&lt;"&amp;DATE(YEAR($DP$8),MONTH($DP$8)+1,0))</f>
        <v>0</v>
      </c>
      <c r="DX30" s="1323"/>
      <c r="DY30" s="1322"/>
      <c r="DZ30" s="1321">
        <f>SUMIFS(KB[NETTO],KB[RELASI],C30,KB[TYPE],"A",KB[TANGGAL],"&gt;="&amp;$DZ$8,KB[TANGGAL],"&lt;"&amp;DATE(YEAR($DZ$8),MONTH($DZ$8)+1,0))</f>
        <v>0</v>
      </c>
      <c r="EA30" s="1323"/>
      <c r="EB30" s="1322"/>
      <c r="EC30" s="1321">
        <f t="shared" si="17"/>
        <v>0</v>
      </c>
      <c r="ED30" s="1322"/>
      <c r="EE30" s="1321">
        <f>SUMIFS(KB[TPOT],KB[RELASI],C30,KB[TYPE],"A",KB[TANGGAL],"&gt;="&amp;$DZ$8,KB[TANGGAL],"&lt;"&amp;DATE(YEAR($DZ$8),MONTH($DZ$8)+1,0))</f>
        <v>0</v>
      </c>
      <c r="EF30" s="1322"/>
      <c r="EG30" s="1321">
        <f>SUMIFS(KB[NETTO2],KB[RELASI],C30,KB[TYPE],"A",KB[TANGGAL],"&gt;="&amp;$DZ$8,KB[TANGGAL],"&lt;"&amp;DATE(YEAR($DZ$8),MONTH($DZ$8)+1,0))</f>
        <v>0</v>
      </c>
      <c r="EH30" s="1323"/>
      <c r="EI30" s="1322"/>
      <c r="EJ30" s="844"/>
      <c r="EK30" s="845"/>
      <c r="EL30" s="846"/>
      <c r="EM30" s="844"/>
      <c r="EN30" s="846"/>
      <c r="EO30" s="844"/>
      <c r="EP30" s="846"/>
      <c r="EQ30" s="844"/>
      <c r="ER30" s="845"/>
      <c r="ES30" s="847"/>
    </row>
    <row r="31" spans="2:149" ht="18" customHeight="1">
      <c r="B31" s="1040">
        <f t="shared" si="18"/>
        <v>21</v>
      </c>
      <c r="C31" s="844" t="str">
        <f>RELASI!C23</f>
        <v>HENDRY JOHANES</v>
      </c>
      <c r="D31" s="845"/>
      <c r="E31" s="845"/>
      <c r="F31" s="846"/>
      <c r="G31" s="844" t="str">
        <f>RELASI!D23</f>
        <v>Kuala Enok</v>
      </c>
      <c r="H31" s="845"/>
      <c r="I31" s="846"/>
      <c r="J31" s="1319">
        <f>SUMIFS(KB[NETTO],KB[RELASI],C31,KB[TYPE],"A",KB[TANGGAL],"&gt;="&amp;DATE($J$7,1,1),KB[TANGGAL],"&lt;"&amp;DATE($J$7+1,1,0))/12</f>
        <v>0</v>
      </c>
      <c r="K31" s="1324"/>
      <c r="L31" s="1320"/>
      <c r="M31" s="1319">
        <f t="shared" si="19"/>
        <v>0</v>
      </c>
      <c r="N31" s="1320"/>
      <c r="O31" s="1321">
        <f>SUMIFS(KB[TPOT],KB[RELASI],C31,KB[TYPE],"A",KB[TANGGAL],"&gt;="&amp;DATE($J$7,1,1),KB[TANGGAL],"&lt;"&amp;DATE($J$7+1,1,0))/12</f>
        <v>0</v>
      </c>
      <c r="P31" s="1322"/>
      <c r="Q31" s="1321">
        <f>SUMIFS(KB[NETTO2],KB[RELASI],C31,KB[TYPE],"A",KB[TANGGAL],"&gt;="&amp;DATE($J$7,1,1),KB[TANGGAL],"&lt;"&amp;DATE($J$7+1,1,0))/12</f>
        <v>0</v>
      </c>
      <c r="R31" s="1323"/>
      <c r="S31" s="1322"/>
      <c r="T31" s="1321">
        <f>SUMIFS(KB[NETTO],KB[RELASI],C31,KB[TYPE],"A",KB[TANGGAL],"&gt;="&amp;$T$8,KB[TANGGAL],"&lt;"&amp;DATE($FA$4,$FA$5+1,0))</f>
        <v>0</v>
      </c>
      <c r="U31" s="1323"/>
      <c r="V31" s="1322"/>
      <c r="W31" s="1319">
        <f t="shared" si="20"/>
        <v>0</v>
      </c>
      <c r="X31" s="1320"/>
      <c r="Y31" s="1339">
        <f>SUMIFS(KB[TPOT],KB[RELASI],C31,KB[TYPE],"A",KB[TANGGAL],"&gt;="&amp;$T$8,KB[TANGGAL],"&lt;"&amp;DATE($FA$4,$FA$5+1,0))</f>
        <v>0</v>
      </c>
      <c r="Z31" s="1340"/>
      <c r="AA31" s="1339">
        <f>SUMIFS(KB[NETTO2],KB[RELASI],C31,KB[TYPE],"A",KB[TANGGAL],"&gt;="&amp;$T$8,KB[TANGGAL],"&lt;"&amp;DATE($FA$4,$FA$5+1,0))</f>
        <v>0</v>
      </c>
      <c r="AB31" s="1341"/>
      <c r="AC31" s="1340"/>
      <c r="AD31" s="1321">
        <f>SUMIFS(KB[NETTO],KB[RELASI],C31,KB[TYPE],"A",KB[TANGGAL],"&gt;="&amp;$AD$8,KB[TANGGAL],"&lt;"&amp;DATE($FA$4,MONTH($AD$8)+1,0))</f>
        <v>77110</v>
      </c>
      <c r="AE31" s="1323"/>
      <c r="AF31" s="1322"/>
      <c r="AG31" s="1321">
        <f t="shared" si="7"/>
        <v>0</v>
      </c>
      <c r="AH31" s="1322"/>
      <c r="AI31" s="1321">
        <f>SUMIFS(KB[TPOT],KB[RELASI],C31,KB[TYPE],"A",KB[TANGGAL],"&gt;="&amp;$AD$8,KB[TANGGAL],"&lt;"&amp;DATE($FA$4,MONTH($AD$8)+1,0))</f>
        <v>4626.5999999999995</v>
      </c>
      <c r="AJ31" s="1322"/>
      <c r="AK31" s="1321">
        <f>SUMIFS(KB[NETTO2],KB[RELASI],C31,KB[TYPE],"A",KB[TANGGAL],"&gt;="&amp;$AD$8,KB[TANGGAL],"&lt;"&amp;DATE($FA$4,MONTH($AD$8)+1,0))</f>
        <v>72483.399999999994</v>
      </c>
      <c r="AL31" s="1323"/>
      <c r="AM31" s="1322"/>
      <c r="AN31" s="1321">
        <f>SUMIFS(KB[NETTO],KB[RELASI],C31,KB[TYPE],"A",KB[TANGGAL],"&gt;="&amp;$AN$8,KB[TANGGAL],"&lt;"&amp;DATE(YEAR($AN$8),MONTH($AN$8)+1,0))</f>
        <v>0</v>
      </c>
      <c r="AO31" s="1323"/>
      <c r="AP31" s="1322"/>
      <c r="AQ31" s="1321">
        <f t="shared" si="8"/>
        <v>0</v>
      </c>
      <c r="AR31" s="1322"/>
      <c r="AS31" s="1321">
        <f>SUMIFS(KB[TPOT],KB[RELASI],C31,KB[TYPE],"A",KB[TANGGAL],"&gt;="&amp;$AN$8,KB[TANGGAL],"&lt;"&amp;DATE(YEAR($AN$8),MONTH($AN$8)+1,0))</f>
        <v>0</v>
      </c>
      <c r="AT31" s="1322"/>
      <c r="AU31" s="1321">
        <f>SUMIFS(KB[NETTO2],KB[RELASI],C31,KB[TYPE],"A",KB[TANGGAL],"&gt;="&amp;$AN$8,KB[TANGGAL],"&lt;"&amp;DATE(YEAR($AN$8),MONTH($AN$8)+1,0))</f>
        <v>0</v>
      </c>
      <c r="AV31" s="1323"/>
      <c r="AW31" s="1322"/>
      <c r="AX31" s="1321">
        <f>SUMIFS(KB[NETTO],KB[RELASI],C31,KB[TYPE],"A",KB[TANGGAL],"&gt;="&amp;$AX$8,KB[TANGGAL],"&lt;"&amp;DATE(YEAR($AX$8),MONTH($AX$8)+1,0))</f>
        <v>0</v>
      </c>
      <c r="AY31" s="1323"/>
      <c r="AZ31" s="1322"/>
      <c r="BA31" s="1321">
        <f t="shared" si="9"/>
        <v>0</v>
      </c>
      <c r="BB31" s="1322"/>
      <c r="BC31" s="1321">
        <f>SUMIFS(KB[TPOT],KB[RELASI],C31,KB[TYPE],"A",KB[TANGGAL],"&gt;="&amp;$AX$8,KB[TANGGAL],"&lt;"&amp;DATE(YEAR($AX$8),MONTH($AX$8)+1,0))</f>
        <v>0</v>
      </c>
      <c r="BD31" s="1322"/>
      <c r="BE31" s="1321">
        <f>SUMIFS(KB[NETTO2],KB[RELASI],C31,KB[TYPE],"A",KB[TANGGAL],"&gt;="&amp;$AX$8,KB[TANGGAL],"&lt;"&amp;DATE(YEAR($AX$8),MONTH($AX$8)+1,0))</f>
        <v>0</v>
      </c>
      <c r="BF31" s="1323"/>
      <c r="BG31" s="1322"/>
      <c r="BH31" s="1321">
        <f>SUMIFS(KB[NETTO],KB[RELASI],C31,KB[TYPE],"A",KB[TANGGAL],"&gt;="&amp;$BH$8,KB[TANGGAL],"&lt;"&amp;DATE(YEAR($BH$8),MONTH($BH$8)+1,0))</f>
        <v>0</v>
      </c>
      <c r="BI31" s="1323"/>
      <c r="BJ31" s="1322"/>
      <c r="BK31" s="1321">
        <f t="shared" si="10"/>
        <v>0</v>
      </c>
      <c r="BL31" s="1322"/>
      <c r="BM31" s="1321">
        <f>SUMIFS(KB[TPOT],KB[RELASI],C31,KB[TYPE],"A",KB[TANGGAL],"&gt;="&amp;$BH$8,KB[TANGGAL],"&lt;"&amp;DATE(YEAR($BH$8),MONTH($BH$8)+1,0))</f>
        <v>0</v>
      </c>
      <c r="BN31" s="1322"/>
      <c r="BO31" s="1321">
        <f>SUMIFS(KB[NETTO2],KB[RELASI],C31,KB[TYPE],"A",KB[TANGGAL],"&gt;="&amp;$BH$8,KB[TANGGAL],"&lt;"&amp;DATE(YEAR($BH$8),MONTH($BH$8)+1,0))</f>
        <v>0</v>
      </c>
      <c r="BP31" s="1323"/>
      <c r="BQ31" s="1322"/>
      <c r="BR31" s="1321">
        <f>SUMIFS(KB[NETTO],KB[RELASI],C31,KB[TYPE],"A",KB[TANGGAL],"&gt;="&amp;$BR$8,KB[TANGGAL],"&lt;"&amp;DATE(YEAR($BR$8),MONTH($BR$8)+1,0))</f>
        <v>0</v>
      </c>
      <c r="BS31" s="1323"/>
      <c r="BT31" s="1322"/>
      <c r="BU31" s="1321">
        <f t="shared" si="11"/>
        <v>0</v>
      </c>
      <c r="BV31" s="1322"/>
      <c r="BW31" s="1321">
        <f>SUMIFS(KB[TPOT],KB[RELASI],C31,KB[TYPE],"A",KB[TANGGAL],"&gt;="&amp;$BR$8,KB[TANGGAL],"&lt;"&amp;DATE(YEAR($BR$8),MONTH($BR$8)+1,0))</f>
        <v>0</v>
      </c>
      <c r="BX31" s="1322"/>
      <c r="BY31" s="1321">
        <f>SUMIFS(KB[NETTO2],KB[RELASI],C31,KB[TYPE],"A",KB[TANGGAL],"&gt;="&amp;$BR$8,KB[TANGGAL],"&lt;"&amp;DATE(YEAR($BR$8),MONTH($BR$8)+1,0))</f>
        <v>0</v>
      </c>
      <c r="BZ31" s="1323"/>
      <c r="CA31" s="1322"/>
      <c r="CB31" s="1321">
        <f>SUMIFS(KB[NETTO],KB[RELASI],C31,KB[TYPE],"A",KB[TANGGAL],"&gt;="&amp;$CB$8,KB[TANGGAL],"&lt;"&amp;DATE(YEAR($CB$8),MONTH($CB$8)+1,0))</f>
        <v>0</v>
      </c>
      <c r="CC31" s="1323"/>
      <c r="CD31" s="1322"/>
      <c r="CE31" s="1321">
        <f t="shared" si="12"/>
        <v>0</v>
      </c>
      <c r="CF31" s="1322"/>
      <c r="CG31" s="1321">
        <f>SUMIFS(KB[TPOT],KB[RELASI],C31,KB[TYPE],"A",KB[TANGGAL],"&gt;="&amp;$CB$8,KB[TANGGAL],"&lt;"&amp;DATE(YEAR($CB$8),MONTH($CB$8)+1,0))</f>
        <v>0</v>
      </c>
      <c r="CH31" s="1322"/>
      <c r="CI31" s="1321">
        <f>SUMIFS(KB[NETTO2],KB[RELASI],C31,KB[TYPE],"A",KB[TANGGAL],"&gt;="&amp;$CB$8,KB[TANGGAL],"&lt;"&amp;DATE(YEAR($CB$8),MONTH($CB$8)+1,0))</f>
        <v>0</v>
      </c>
      <c r="CJ31" s="1323"/>
      <c r="CK31" s="1322"/>
      <c r="CL31" s="1321">
        <f>SUMIFS(KB[NETTO],KB[RELASI],C31,KB[TYPE],"A",KB[TANGGAL],"&gt;="&amp;$CL$8,KB[TANGGAL],"&lt;"&amp;DATE(YEAR($CL$8),MONTH($CL$8)+1,0))</f>
        <v>0</v>
      </c>
      <c r="CM31" s="1323"/>
      <c r="CN31" s="1322"/>
      <c r="CO31" s="1321">
        <f t="shared" si="13"/>
        <v>0</v>
      </c>
      <c r="CP31" s="1322"/>
      <c r="CQ31" s="1321">
        <f>SUMIFS(KB[TPOT],KB[RELASI],C31,KB[TYPE],"A",KB[TANGGAL],"&gt;="&amp;$CL$8,KB[TANGGAL],"&lt;"&amp;DATE(YEAR($CL$8),MONTH($CL$8)+1,0))</f>
        <v>0</v>
      </c>
      <c r="CR31" s="1322"/>
      <c r="CS31" s="1321">
        <f>SUMIFS(KB[NETTO2],KB[RELASI],C31,KB[TYPE],"A",KB[TANGGAL],"&gt;="&amp;$CL$8,KB[TANGGAL],"&lt;"&amp;DATE(YEAR($CL$8),MONTH($CL$8)+1,0))</f>
        <v>0</v>
      </c>
      <c r="CT31" s="1323"/>
      <c r="CU31" s="1322"/>
      <c r="CV31" s="1321">
        <f>SUMIFS(KB[NETTO],KB[RELASI],C31,KB[TYPE],"A",KB[TANGGAL],"&gt;="&amp;$CV$8,KB[TANGGAL],"&lt;"&amp;DATE(YEAR($CV$8),MONTH($CV$8)+1,0))</f>
        <v>0</v>
      </c>
      <c r="CW31" s="1323"/>
      <c r="CX31" s="1322"/>
      <c r="CY31" s="1321">
        <f t="shared" si="14"/>
        <v>0</v>
      </c>
      <c r="CZ31" s="1322"/>
      <c r="DA31" s="1321">
        <f>SUMIFS(KB[TPOT],KB[RELASI],C31,KB[TYPE],"A",KB[TANGGAL],"&gt;="&amp;$CV$8,KB[TANGGAL],"&lt;"&amp;DATE(YEAR($CV$8),MONTH($CV$8)+1,0))</f>
        <v>0</v>
      </c>
      <c r="DB31" s="1322"/>
      <c r="DC31" s="1321">
        <f>SUMIFS(KB[NETTO2],KB[RELASI],C31,KB[TYPE],"A",KB[TANGGAL],"&gt;="&amp;$CV$8,KB[TANGGAL],"&lt;"&amp;DATE(YEAR($CV$8),MONTH($CV$8)+1,0))</f>
        <v>0</v>
      </c>
      <c r="DD31" s="1323"/>
      <c r="DE31" s="1322"/>
      <c r="DF31" s="1321">
        <f>SUMIFS(KB[NETTO],KB[RELASI],C31,KB[TYPE],"A",KB[TANGGAL],"&gt;="&amp;$DF$8,KB[TANGGAL],"&lt;"&amp;DATE(YEAR($DF$8),MONTH($DF$8)+1,0))</f>
        <v>0</v>
      </c>
      <c r="DG31" s="1323"/>
      <c r="DH31" s="1322"/>
      <c r="DI31" s="1321">
        <f t="shared" si="15"/>
        <v>0</v>
      </c>
      <c r="DJ31" s="1322"/>
      <c r="DK31" s="1321">
        <f>SUMIFS(KB[TPOT],KB[RELASI],C31,KB[TYPE],"A",KB[TANGGAL],"&gt;="&amp;$DF$8,KB[TANGGAL],"&lt;"&amp;DATE(YEAR($DF$8),MONTH($DF$8)+1,0))</f>
        <v>0</v>
      </c>
      <c r="DL31" s="1322"/>
      <c r="DM31" s="1321">
        <f>SUMIFS(KB[NETTO2],KB[RELASI],C31,KB[TYPE],"A",KB[TANGGAL],"&gt;="&amp;$DF$8,KB[TANGGAL],"&lt;"&amp;DATE(YEAR($DF$8),MONTH($DF$8)+1,0))</f>
        <v>0</v>
      </c>
      <c r="DN31" s="1323"/>
      <c r="DO31" s="1322"/>
      <c r="DP31" s="1321">
        <f>SUMIFS(KB[NETTO],KB[RELASI],C31,KB[TYPE],"A",KB[TANGGAL],"&gt;="&amp;$DP$8,KB[TANGGAL],"&lt;"&amp;DATE(YEAR($DP$8),MONTH($DP$8)+1,0))</f>
        <v>0</v>
      </c>
      <c r="DQ31" s="1323"/>
      <c r="DR31" s="1322"/>
      <c r="DS31" s="1321">
        <f t="shared" si="16"/>
        <v>0</v>
      </c>
      <c r="DT31" s="1322"/>
      <c r="DU31" s="1321">
        <f>SUMIFS(KB[TPOT],KB[RELASI],C31,KB[TYPE],"A",KB[TANGGAL],"&gt;="&amp;$DP$8,KB[TANGGAL],"&lt;"&amp;DATE(YEAR($DP$8),MONTH($DP$8)+1,0))</f>
        <v>0</v>
      </c>
      <c r="DV31" s="1322"/>
      <c r="DW31" s="1321">
        <f>SUMIFS(KB[NETTO2],KB[RELASI],C31,KB[TYPE],"A",KB[TANGGAL],"&gt;="&amp;$DP$8,KB[TANGGAL],"&lt;"&amp;DATE(YEAR($DP$8),MONTH($DP$8)+1,0))</f>
        <v>0</v>
      </c>
      <c r="DX31" s="1323"/>
      <c r="DY31" s="1322"/>
      <c r="DZ31" s="1321">
        <f>SUMIFS(KB[NETTO],KB[RELASI],C31,KB[TYPE],"A",KB[TANGGAL],"&gt;="&amp;$DZ$8,KB[TANGGAL],"&lt;"&amp;DATE(YEAR($DZ$8),MONTH($DZ$8)+1,0))</f>
        <v>0</v>
      </c>
      <c r="EA31" s="1323"/>
      <c r="EB31" s="1322"/>
      <c r="EC31" s="1321">
        <f t="shared" si="17"/>
        <v>0</v>
      </c>
      <c r="ED31" s="1322"/>
      <c r="EE31" s="1321">
        <f>SUMIFS(KB[TPOT],KB[RELASI],C31,KB[TYPE],"A",KB[TANGGAL],"&gt;="&amp;$DZ$8,KB[TANGGAL],"&lt;"&amp;DATE(YEAR($DZ$8),MONTH($DZ$8)+1,0))</f>
        <v>0</v>
      </c>
      <c r="EF31" s="1322"/>
      <c r="EG31" s="1321">
        <f>SUMIFS(KB[NETTO2],KB[RELASI],C31,KB[TYPE],"A",KB[TANGGAL],"&gt;="&amp;$DZ$8,KB[TANGGAL],"&lt;"&amp;DATE(YEAR($DZ$8),MONTH($DZ$8)+1,0))</f>
        <v>0</v>
      </c>
      <c r="EH31" s="1323"/>
      <c r="EI31" s="1322"/>
      <c r="EJ31" s="844"/>
      <c r="EK31" s="845"/>
      <c r="EL31" s="846"/>
      <c r="EM31" s="844"/>
      <c r="EN31" s="846"/>
      <c r="EO31" s="844"/>
      <c r="EP31" s="846"/>
      <c r="EQ31" s="844"/>
      <c r="ER31" s="845"/>
      <c r="ES31" s="847"/>
    </row>
    <row r="32" spans="2:149" ht="18" customHeight="1">
      <c r="B32" s="1040">
        <f t="shared" si="18"/>
        <v>22</v>
      </c>
      <c r="C32" s="844" t="str">
        <f>RELASI!C24</f>
        <v>INDRAYANI</v>
      </c>
      <c r="D32" s="845"/>
      <c r="E32" s="845"/>
      <c r="F32" s="846"/>
      <c r="G32" s="844" t="str">
        <f>RELASI!D24</f>
        <v>Sei. Sejuk</v>
      </c>
      <c r="H32" s="845"/>
      <c r="I32" s="846"/>
      <c r="J32" s="1319">
        <f>SUMIFS(KB[NETTO],KB[RELASI],C32,KB[TYPE],"A",KB[TANGGAL],"&gt;="&amp;DATE($J$7,1,1),KB[TANGGAL],"&lt;"&amp;DATE($J$7+1,1,0))/12</f>
        <v>0</v>
      </c>
      <c r="K32" s="1324"/>
      <c r="L32" s="1320"/>
      <c r="M32" s="1319">
        <f t="shared" si="19"/>
        <v>0</v>
      </c>
      <c r="N32" s="1320"/>
      <c r="O32" s="1321">
        <f>SUMIFS(KB[TPOT],KB[RELASI],C32,KB[TYPE],"A",KB[TANGGAL],"&gt;="&amp;DATE($J$7,1,1),KB[TANGGAL],"&lt;"&amp;DATE($J$7+1,1,0))/12</f>
        <v>0</v>
      </c>
      <c r="P32" s="1322"/>
      <c r="Q32" s="1321">
        <f>SUMIFS(KB[NETTO2],KB[RELASI],C32,KB[TYPE],"A",KB[TANGGAL],"&gt;="&amp;DATE($J$7,1,1),KB[TANGGAL],"&lt;"&amp;DATE($J$7+1,1,0))/12</f>
        <v>0</v>
      </c>
      <c r="R32" s="1323"/>
      <c r="S32" s="1322"/>
      <c r="T32" s="1321">
        <f>SUMIFS(KB[NETTO],KB[RELASI],C32,KB[TYPE],"A",KB[TANGGAL],"&gt;="&amp;$T$8,KB[TANGGAL],"&lt;"&amp;DATE($FA$4,$FA$5+1,0))</f>
        <v>255760</v>
      </c>
      <c r="U32" s="1323"/>
      <c r="V32" s="1322"/>
      <c r="W32" s="1319">
        <f t="shared" si="20"/>
        <v>5.0269393181107285</v>
      </c>
      <c r="X32" s="1320"/>
      <c r="Y32" s="1339">
        <f>SUMIFS(KB[TPOT],KB[RELASI],C32,KB[TYPE],"A",KB[TANGGAL],"&gt;="&amp;$T$8,KB[TANGGAL],"&lt;"&amp;DATE($FA$4,$FA$5+1,0))</f>
        <v>12856.9</v>
      </c>
      <c r="Z32" s="1340"/>
      <c r="AA32" s="1339">
        <f>SUMIFS(KB[NETTO2],KB[RELASI],C32,KB[TYPE],"A",KB[TANGGAL],"&gt;="&amp;$T$8,KB[TANGGAL],"&lt;"&amp;DATE($FA$4,$FA$5+1,0))</f>
        <v>242903.1</v>
      </c>
      <c r="AB32" s="1341"/>
      <c r="AC32" s="1340"/>
      <c r="AD32" s="1321">
        <f>SUMIFS(KB[NETTO],KB[RELASI],C32,KB[TYPE],"A",KB[TANGGAL],"&gt;="&amp;$AD$8,KB[TANGGAL],"&lt;"&amp;DATE($FA$4,MONTH($AD$8)+1,0))</f>
        <v>376850</v>
      </c>
      <c r="AE32" s="1323"/>
      <c r="AF32" s="1322"/>
      <c r="AG32" s="1321">
        <f t="shared" si="7"/>
        <v>5.0269393181107285</v>
      </c>
      <c r="AH32" s="1322"/>
      <c r="AI32" s="1321">
        <f>SUMIFS(KB[TPOT],KB[RELASI],C32,KB[TYPE],"A",KB[TANGGAL],"&gt;="&amp;$AD$8,KB[TANGGAL],"&lt;"&amp;DATE($FA$4,MONTH($AD$8)+1,0))</f>
        <v>19083.099999999999</v>
      </c>
      <c r="AJ32" s="1322"/>
      <c r="AK32" s="1321">
        <f>SUMIFS(KB[NETTO2],KB[RELASI],C32,KB[TYPE],"A",KB[TANGGAL],"&gt;="&amp;$AD$8,KB[TANGGAL],"&lt;"&amp;DATE($FA$4,MONTH($AD$8)+1,0))</f>
        <v>357766.9</v>
      </c>
      <c r="AL32" s="1323"/>
      <c r="AM32" s="1322"/>
      <c r="AN32" s="1321">
        <f>SUMIFS(KB[NETTO],KB[RELASI],C32,KB[TYPE],"A",KB[TANGGAL],"&gt;="&amp;$AN$8,KB[TANGGAL],"&lt;"&amp;DATE(YEAR($AN$8),MONTH($AN$8)+1,0))</f>
        <v>88410</v>
      </c>
      <c r="AO32" s="1323"/>
      <c r="AP32" s="1322"/>
      <c r="AQ32" s="1321">
        <f t="shared" si="8"/>
        <v>5</v>
      </c>
      <c r="AR32" s="1322"/>
      <c r="AS32" s="1321">
        <f>SUMIFS(KB[TPOT],KB[RELASI],C32,KB[TYPE],"A",KB[TANGGAL],"&gt;="&amp;$AN$8,KB[TANGGAL],"&lt;"&amp;DATE(YEAR($AN$8),MONTH($AN$8)+1,0))</f>
        <v>4420.5</v>
      </c>
      <c r="AT32" s="1322"/>
      <c r="AU32" s="1321">
        <f>SUMIFS(KB[NETTO2],KB[RELASI],C32,KB[TYPE],"A",KB[TANGGAL],"&gt;="&amp;$AN$8,KB[TANGGAL],"&lt;"&amp;DATE(YEAR($AN$8),MONTH($AN$8)+1,0))</f>
        <v>83989.5</v>
      </c>
      <c r="AV32" s="1323"/>
      <c r="AW32" s="1322"/>
      <c r="AX32" s="1321">
        <f>SUMIFS(KB[NETTO],KB[RELASI],C32,KB[TYPE],"A",KB[TANGGAL],"&gt;="&amp;$AX$8,KB[TANGGAL],"&lt;"&amp;DATE(YEAR($AX$8),MONTH($AX$8)+1,0))</f>
        <v>0</v>
      </c>
      <c r="AY32" s="1323"/>
      <c r="AZ32" s="1322"/>
      <c r="BA32" s="1321">
        <f t="shared" si="9"/>
        <v>0</v>
      </c>
      <c r="BB32" s="1322"/>
      <c r="BC32" s="1321">
        <f>SUMIFS(KB[TPOT],KB[RELASI],C32,KB[TYPE],"A",KB[TANGGAL],"&gt;="&amp;$AX$8,KB[TANGGAL],"&lt;"&amp;DATE(YEAR($AX$8),MONTH($AX$8)+1,0))</f>
        <v>0</v>
      </c>
      <c r="BD32" s="1322"/>
      <c r="BE32" s="1321">
        <f>SUMIFS(KB[NETTO2],KB[RELASI],C32,KB[TYPE],"A",KB[TANGGAL],"&gt;="&amp;$AX$8,KB[TANGGAL],"&lt;"&amp;DATE(YEAR($AX$8),MONTH($AX$8)+1,0))</f>
        <v>0</v>
      </c>
      <c r="BF32" s="1323"/>
      <c r="BG32" s="1322"/>
      <c r="BH32" s="1321">
        <f>SUMIFS(KB[NETTO],KB[RELASI],C32,KB[TYPE],"A",KB[TANGGAL],"&gt;="&amp;$BH$8,KB[TANGGAL],"&lt;"&amp;DATE(YEAR($BH$8),MONTH($BH$8)+1,0))</f>
        <v>0</v>
      </c>
      <c r="BI32" s="1323"/>
      <c r="BJ32" s="1322"/>
      <c r="BK32" s="1321">
        <f t="shared" si="10"/>
        <v>0</v>
      </c>
      <c r="BL32" s="1322"/>
      <c r="BM32" s="1321">
        <f>SUMIFS(KB[TPOT],KB[RELASI],C32,KB[TYPE],"A",KB[TANGGAL],"&gt;="&amp;$BH$8,KB[TANGGAL],"&lt;"&amp;DATE(YEAR($BH$8),MONTH($BH$8)+1,0))</f>
        <v>0</v>
      </c>
      <c r="BN32" s="1322"/>
      <c r="BO32" s="1321">
        <f>SUMIFS(KB[NETTO2],KB[RELASI],C32,KB[TYPE],"A",KB[TANGGAL],"&gt;="&amp;$BH$8,KB[TANGGAL],"&lt;"&amp;DATE(YEAR($BH$8),MONTH($BH$8)+1,0))</f>
        <v>0</v>
      </c>
      <c r="BP32" s="1323"/>
      <c r="BQ32" s="1322"/>
      <c r="BR32" s="1321">
        <f>SUMIFS(KB[NETTO],KB[RELASI],C32,KB[TYPE],"A",KB[TANGGAL],"&gt;="&amp;$BR$8,KB[TANGGAL],"&lt;"&amp;DATE(YEAR($BR$8),MONTH($BR$8)+1,0))</f>
        <v>0</v>
      </c>
      <c r="BS32" s="1323"/>
      <c r="BT32" s="1322"/>
      <c r="BU32" s="1321">
        <f t="shared" si="11"/>
        <v>0</v>
      </c>
      <c r="BV32" s="1322"/>
      <c r="BW32" s="1321">
        <f>SUMIFS(KB[TPOT],KB[RELASI],C32,KB[TYPE],"A",KB[TANGGAL],"&gt;="&amp;$BR$8,KB[TANGGAL],"&lt;"&amp;DATE(YEAR($BR$8),MONTH($BR$8)+1,0))</f>
        <v>0</v>
      </c>
      <c r="BX32" s="1322"/>
      <c r="BY32" s="1321">
        <f>SUMIFS(KB[NETTO2],KB[RELASI],C32,KB[TYPE],"A",KB[TANGGAL],"&gt;="&amp;$BR$8,KB[TANGGAL],"&lt;"&amp;DATE(YEAR($BR$8),MONTH($BR$8)+1,0))</f>
        <v>0</v>
      </c>
      <c r="BZ32" s="1323"/>
      <c r="CA32" s="1322"/>
      <c r="CB32" s="1321">
        <f>SUMIFS(KB[NETTO],KB[RELASI],C32,KB[TYPE],"A",KB[TANGGAL],"&gt;="&amp;$CB$8,KB[TANGGAL],"&lt;"&amp;DATE(YEAR($CB$8),MONTH($CB$8)+1,0))</f>
        <v>0</v>
      </c>
      <c r="CC32" s="1323"/>
      <c r="CD32" s="1322"/>
      <c r="CE32" s="1321">
        <f t="shared" si="12"/>
        <v>0</v>
      </c>
      <c r="CF32" s="1322"/>
      <c r="CG32" s="1321">
        <f>SUMIFS(KB[TPOT],KB[RELASI],C32,KB[TYPE],"A",KB[TANGGAL],"&gt;="&amp;$CB$8,KB[TANGGAL],"&lt;"&amp;DATE(YEAR($CB$8),MONTH($CB$8)+1,0))</f>
        <v>0</v>
      </c>
      <c r="CH32" s="1322"/>
      <c r="CI32" s="1321">
        <f>SUMIFS(KB[NETTO2],KB[RELASI],C32,KB[TYPE],"A",KB[TANGGAL],"&gt;="&amp;$CB$8,KB[TANGGAL],"&lt;"&amp;DATE(YEAR($CB$8),MONTH($CB$8)+1,0))</f>
        <v>0</v>
      </c>
      <c r="CJ32" s="1323"/>
      <c r="CK32" s="1322"/>
      <c r="CL32" s="1321">
        <f>SUMIFS(KB[NETTO],KB[RELASI],C32,KB[TYPE],"A",KB[TANGGAL],"&gt;="&amp;$CL$8,KB[TANGGAL],"&lt;"&amp;DATE(YEAR($CL$8),MONTH($CL$8)+1,0))</f>
        <v>0</v>
      </c>
      <c r="CM32" s="1323"/>
      <c r="CN32" s="1322"/>
      <c r="CO32" s="1321">
        <f t="shared" si="13"/>
        <v>0</v>
      </c>
      <c r="CP32" s="1322"/>
      <c r="CQ32" s="1321">
        <f>SUMIFS(KB[TPOT],KB[RELASI],C32,KB[TYPE],"A",KB[TANGGAL],"&gt;="&amp;$CL$8,KB[TANGGAL],"&lt;"&amp;DATE(YEAR($CL$8),MONTH($CL$8)+1,0))</f>
        <v>0</v>
      </c>
      <c r="CR32" s="1322"/>
      <c r="CS32" s="1321">
        <f>SUMIFS(KB[NETTO2],KB[RELASI],C32,KB[TYPE],"A",KB[TANGGAL],"&gt;="&amp;$CL$8,KB[TANGGAL],"&lt;"&amp;DATE(YEAR($CL$8),MONTH($CL$8)+1,0))</f>
        <v>0</v>
      </c>
      <c r="CT32" s="1323"/>
      <c r="CU32" s="1322"/>
      <c r="CV32" s="1321">
        <f>SUMIFS(KB[NETTO],KB[RELASI],C32,KB[TYPE],"A",KB[TANGGAL],"&gt;="&amp;$CV$8,KB[TANGGAL],"&lt;"&amp;DATE(YEAR($CV$8),MONTH($CV$8)+1,0))</f>
        <v>0</v>
      </c>
      <c r="CW32" s="1323"/>
      <c r="CX32" s="1322"/>
      <c r="CY32" s="1321">
        <f t="shared" si="14"/>
        <v>0</v>
      </c>
      <c r="CZ32" s="1322"/>
      <c r="DA32" s="1321">
        <f>SUMIFS(KB[TPOT],KB[RELASI],C32,KB[TYPE],"A",KB[TANGGAL],"&gt;="&amp;$CV$8,KB[TANGGAL],"&lt;"&amp;DATE(YEAR($CV$8),MONTH($CV$8)+1,0))</f>
        <v>0</v>
      </c>
      <c r="DB32" s="1322"/>
      <c r="DC32" s="1321">
        <f>SUMIFS(KB[NETTO2],KB[RELASI],C32,KB[TYPE],"A",KB[TANGGAL],"&gt;="&amp;$CV$8,KB[TANGGAL],"&lt;"&amp;DATE(YEAR($CV$8),MONTH($CV$8)+1,0))</f>
        <v>0</v>
      </c>
      <c r="DD32" s="1323"/>
      <c r="DE32" s="1322"/>
      <c r="DF32" s="1321">
        <f>SUMIFS(KB[NETTO],KB[RELASI],C32,KB[TYPE],"A",KB[TANGGAL],"&gt;="&amp;$DF$8,KB[TANGGAL],"&lt;"&amp;DATE(YEAR($DF$8),MONTH($DF$8)+1,0))</f>
        <v>0</v>
      </c>
      <c r="DG32" s="1323"/>
      <c r="DH32" s="1322"/>
      <c r="DI32" s="1321">
        <f t="shared" si="15"/>
        <v>0</v>
      </c>
      <c r="DJ32" s="1322"/>
      <c r="DK32" s="1321">
        <f>SUMIFS(KB[TPOT],KB[RELASI],C32,KB[TYPE],"A",KB[TANGGAL],"&gt;="&amp;$DF$8,KB[TANGGAL],"&lt;"&amp;DATE(YEAR($DF$8),MONTH($DF$8)+1,0))</f>
        <v>0</v>
      </c>
      <c r="DL32" s="1322"/>
      <c r="DM32" s="1321">
        <f>SUMIFS(KB[NETTO2],KB[RELASI],C32,KB[TYPE],"A",KB[TANGGAL],"&gt;="&amp;$DF$8,KB[TANGGAL],"&lt;"&amp;DATE(YEAR($DF$8),MONTH($DF$8)+1,0))</f>
        <v>0</v>
      </c>
      <c r="DN32" s="1323"/>
      <c r="DO32" s="1322"/>
      <c r="DP32" s="1321">
        <f>SUMIFS(KB[NETTO],KB[RELASI],C32,KB[TYPE],"A",KB[TANGGAL],"&gt;="&amp;$DP$8,KB[TANGGAL],"&lt;"&amp;DATE(YEAR($DP$8),MONTH($DP$8)+1,0))</f>
        <v>0</v>
      </c>
      <c r="DQ32" s="1323"/>
      <c r="DR32" s="1322"/>
      <c r="DS32" s="1321">
        <f t="shared" si="16"/>
        <v>0</v>
      </c>
      <c r="DT32" s="1322"/>
      <c r="DU32" s="1321">
        <f>SUMIFS(KB[TPOT],KB[RELASI],C32,KB[TYPE],"A",KB[TANGGAL],"&gt;="&amp;$DP$8,KB[TANGGAL],"&lt;"&amp;DATE(YEAR($DP$8),MONTH($DP$8)+1,0))</f>
        <v>0</v>
      </c>
      <c r="DV32" s="1322"/>
      <c r="DW32" s="1321">
        <f>SUMIFS(KB[NETTO2],KB[RELASI],C32,KB[TYPE],"A",KB[TANGGAL],"&gt;="&amp;$DP$8,KB[TANGGAL],"&lt;"&amp;DATE(YEAR($DP$8),MONTH($DP$8)+1,0))</f>
        <v>0</v>
      </c>
      <c r="DX32" s="1323"/>
      <c r="DY32" s="1322"/>
      <c r="DZ32" s="1321">
        <f>SUMIFS(KB[NETTO],KB[RELASI],C32,KB[TYPE],"A",KB[TANGGAL],"&gt;="&amp;$DZ$8,KB[TANGGAL],"&lt;"&amp;DATE(YEAR($DZ$8),MONTH($DZ$8)+1,0))</f>
        <v>0</v>
      </c>
      <c r="EA32" s="1323"/>
      <c r="EB32" s="1322"/>
      <c r="EC32" s="1321">
        <f t="shared" si="17"/>
        <v>0</v>
      </c>
      <c r="ED32" s="1322"/>
      <c r="EE32" s="1321">
        <f>SUMIFS(KB[TPOT],KB[RELASI],C32,KB[TYPE],"A",KB[TANGGAL],"&gt;="&amp;$DZ$8,KB[TANGGAL],"&lt;"&amp;DATE(YEAR($DZ$8),MONTH($DZ$8)+1,0))</f>
        <v>0</v>
      </c>
      <c r="EF32" s="1322"/>
      <c r="EG32" s="1321">
        <f>SUMIFS(KB[NETTO2],KB[RELASI],C32,KB[TYPE],"A",KB[TANGGAL],"&gt;="&amp;$DZ$8,KB[TANGGAL],"&lt;"&amp;DATE(YEAR($DZ$8),MONTH($DZ$8)+1,0))</f>
        <v>0</v>
      </c>
      <c r="EH32" s="1323"/>
      <c r="EI32" s="1322"/>
      <c r="EJ32" s="844"/>
      <c r="EK32" s="845"/>
      <c r="EL32" s="846"/>
      <c r="EM32" s="844"/>
      <c r="EN32" s="846"/>
      <c r="EO32" s="844"/>
      <c r="EP32" s="846"/>
      <c r="EQ32" s="844"/>
      <c r="ER32" s="845"/>
      <c r="ES32" s="847"/>
    </row>
    <row r="33" spans="2:149" ht="18" customHeight="1">
      <c r="B33" s="1040">
        <f t="shared" si="18"/>
        <v>23</v>
      </c>
      <c r="C33" s="844" t="str">
        <f>RELASI!C25</f>
        <v>ISANG</v>
      </c>
      <c r="D33" s="845"/>
      <c r="E33" s="845"/>
      <c r="F33" s="846"/>
      <c r="G33" s="844" t="str">
        <f>RELASI!D25</f>
        <v>Guntung</v>
      </c>
      <c r="H33" s="845"/>
      <c r="I33" s="846"/>
      <c r="J33" s="1319">
        <f>SUMIFS(KB[NETTO],KB[RELASI],C33,KB[TYPE],"A",KB[TANGGAL],"&gt;="&amp;DATE($J$7,1,1),KB[TANGGAL],"&lt;"&amp;DATE($J$7+1,1,0))/12</f>
        <v>0</v>
      </c>
      <c r="K33" s="1324"/>
      <c r="L33" s="1320"/>
      <c r="M33" s="1319">
        <f t="shared" si="19"/>
        <v>0</v>
      </c>
      <c r="N33" s="1320"/>
      <c r="O33" s="1321">
        <f>SUMIFS(KB[TPOT],KB[RELASI],C33,KB[TYPE],"A",KB[TANGGAL],"&gt;="&amp;DATE($J$7,1,1),KB[TANGGAL],"&lt;"&amp;DATE($J$7+1,1,0))/12</f>
        <v>0</v>
      </c>
      <c r="P33" s="1322"/>
      <c r="Q33" s="1321">
        <f>SUMIFS(KB[NETTO2],KB[RELASI],C33,KB[TYPE],"A",KB[TANGGAL],"&gt;="&amp;DATE($J$7,1,1),KB[TANGGAL],"&lt;"&amp;DATE($J$7+1,1,0))/12</f>
        <v>0</v>
      </c>
      <c r="R33" s="1323"/>
      <c r="S33" s="1322"/>
      <c r="T33" s="1321">
        <f>SUMIFS(KB[NETTO],KB[RELASI],C33,KB[TYPE],"A",KB[TANGGAL],"&gt;="&amp;$T$8,KB[TANGGAL],"&lt;"&amp;DATE($FA$4,$FA$5+1,0))</f>
        <v>0</v>
      </c>
      <c r="U33" s="1323"/>
      <c r="V33" s="1322"/>
      <c r="W33" s="1319">
        <f t="shared" si="20"/>
        <v>0</v>
      </c>
      <c r="X33" s="1320"/>
      <c r="Y33" s="1339">
        <f>SUMIFS(KB[TPOT],KB[RELASI],C33,KB[TYPE],"A",KB[TANGGAL],"&gt;="&amp;$T$8,KB[TANGGAL],"&lt;"&amp;DATE($FA$4,$FA$5+1,0))</f>
        <v>0</v>
      </c>
      <c r="Z33" s="1340"/>
      <c r="AA33" s="1339">
        <f>SUMIFS(KB[NETTO2],KB[RELASI],C33,KB[TYPE],"A",KB[TANGGAL],"&gt;="&amp;$T$8,KB[TANGGAL],"&lt;"&amp;DATE($FA$4,$FA$5+1,0))</f>
        <v>0</v>
      </c>
      <c r="AB33" s="1341"/>
      <c r="AC33" s="1340"/>
      <c r="AD33" s="1321">
        <f>SUMIFS(KB[NETTO],KB[RELASI],C33,KB[TYPE],"A",KB[TANGGAL],"&gt;="&amp;$AD$8,KB[TANGGAL],"&lt;"&amp;DATE($FA$4,MONTH($AD$8)+1,0))</f>
        <v>0</v>
      </c>
      <c r="AE33" s="1323"/>
      <c r="AF33" s="1322"/>
      <c r="AG33" s="1321">
        <f t="shared" si="7"/>
        <v>0</v>
      </c>
      <c r="AH33" s="1322"/>
      <c r="AI33" s="1321">
        <f>SUMIFS(KB[TPOT],KB[RELASI],C33,KB[TYPE],"A",KB[TANGGAL],"&gt;="&amp;$AD$8,KB[TANGGAL],"&lt;"&amp;DATE($FA$4,MONTH($AD$8)+1,0))</f>
        <v>0</v>
      </c>
      <c r="AJ33" s="1322"/>
      <c r="AK33" s="1321">
        <f>SUMIFS(KB[NETTO2],KB[RELASI],C33,KB[TYPE],"A",KB[TANGGAL],"&gt;="&amp;$AD$8,KB[TANGGAL],"&lt;"&amp;DATE($FA$4,MONTH($AD$8)+1,0))</f>
        <v>0</v>
      </c>
      <c r="AL33" s="1323"/>
      <c r="AM33" s="1322"/>
      <c r="AN33" s="1321">
        <f>SUMIFS(KB[NETTO],KB[RELASI],C33,KB[TYPE],"A",KB[TANGGAL],"&gt;="&amp;$AN$8,KB[TANGGAL],"&lt;"&amp;DATE(YEAR($AN$8),MONTH($AN$8)+1,0))</f>
        <v>0</v>
      </c>
      <c r="AO33" s="1323"/>
      <c r="AP33" s="1322"/>
      <c r="AQ33" s="1321">
        <f t="shared" si="8"/>
        <v>0</v>
      </c>
      <c r="AR33" s="1322"/>
      <c r="AS33" s="1321">
        <f>SUMIFS(KB[TPOT],KB[RELASI],C33,KB[TYPE],"A",KB[TANGGAL],"&gt;="&amp;$AN$8,KB[TANGGAL],"&lt;"&amp;DATE(YEAR($AN$8),MONTH($AN$8)+1,0))</f>
        <v>0</v>
      </c>
      <c r="AT33" s="1322"/>
      <c r="AU33" s="1321">
        <f>SUMIFS(KB[NETTO2],KB[RELASI],C33,KB[TYPE],"A",KB[TANGGAL],"&gt;="&amp;$AN$8,KB[TANGGAL],"&lt;"&amp;DATE(YEAR($AN$8),MONTH($AN$8)+1,0))</f>
        <v>0</v>
      </c>
      <c r="AV33" s="1323"/>
      <c r="AW33" s="1322"/>
      <c r="AX33" s="1321">
        <f>SUMIFS(KB[NETTO],KB[RELASI],C33,KB[TYPE],"A",KB[TANGGAL],"&gt;="&amp;$AX$8,KB[TANGGAL],"&lt;"&amp;DATE(YEAR($AX$8),MONTH($AX$8)+1,0))</f>
        <v>0</v>
      </c>
      <c r="AY33" s="1323"/>
      <c r="AZ33" s="1322"/>
      <c r="BA33" s="1321">
        <f t="shared" si="9"/>
        <v>0</v>
      </c>
      <c r="BB33" s="1322"/>
      <c r="BC33" s="1321">
        <f>SUMIFS(KB[TPOT],KB[RELASI],C33,KB[TYPE],"A",KB[TANGGAL],"&gt;="&amp;$AX$8,KB[TANGGAL],"&lt;"&amp;DATE(YEAR($AX$8),MONTH($AX$8)+1,0))</f>
        <v>0</v>
      </c>
      <c r="BD33" s="1322"/>
      <c r="BE33" s="1321">
        <f>SUMIFS(KB[NETTO2],KB[RELASI],C33,KB[TYPE],"A",KB[TANGGAL],"&gt;="&amp;$AX$8,KB[TANGGAL],"&lt;"&amp;DATE(YEAR($AX$8),MONTH($AX$8)+1,0))</f>
        <v>0</v>
      </c>
      <c r="BF33" s="1323"/>
      <c r="BG33" s="1322"/>
      <c r="BH33" s="1321">
        <f>SUMIFS(KB[NETTO],KB[RELASI],C33,KB[TYPE],"A",KB[TANGGAL],"&gt;="&amp;$BH$8,KB[TANGGAL],"&lt;"&amp;DATE(YEAR($BH$8),MONTH($BH$8)+1,0))</f>
        <v>0</v>
      </c>
      <c r="BI33" s="1323"/>
      <c r="BJ33" s="1322"/>
      <c r="BK33" s="1321">
        <f t="shared" si="10"/>
        <v>0</v>
      </c>
      <c r="BL33" s="1322"/>
      <c r="BM33" s="1321">
        <f>SUMIFS(KB[TPOT],KB[RELASI],C33,KB[TYPE],"A",KB[TANGGAL],"&gt;="&amp;$BH$8,KB[TANGGAL],"&lt;"&amp;DATE(YEAR($BH$8),MONTH($BH$8)+1,0))</f>
        <v>0</v>
      </c>
      <c r="BN33" s="1322"/>
      <c r="BO33" s="1321">
        <f>SUMIFS(KB[NETTO2],KB[RELASI],C33,KB[TYPE],"A",KB[TANGGAL],"&gt;="&amp;$BH$8,KB[TANGGAL],"&lt;"&amp;DATE(YEAR($BH$8),MONTH($BH$8)+1,0))</f>
        <v>0</v>
      </c>
      <c r="BP33" s="1323"/>
      <c r="BQ33" s="1322"/>
      <c r="BR33" s="1321">
        <f>SUMIFS(KB[NETTO],KB[RELASI],C33,KB[TYPE],"A",KB[TANGGAL],"&gt;="&amp;$BR$8,KB[TANGGAL],"&lt;"&amp;DATE(YEAR($BR$8),MONTH($BR$8)+1,0))</f>
        <v>0</v>
      </c>
      <c r="BS33" s="1323"/>
      <c r="BT33" s="1322"/>
      <c r="BU33" s="1321">
        <f t="shared" si="11"/>
        <v>0</v>
      </c>
      <c r="BV33" s="1322"/>
      <c r="BW33" s="1321">
        <f>SUMIFS(KB[TPOT],KB[RELASI],C33,KB[TYPE],"A",KB[TANGGAL],"&gt;="&amp;$BR$8,KB[TANGGAL],"&lt;"&amp;DATE(YEAR($BR$8),MONTH($BR$8)+1,0))</f>
        <v>0</v>
      </c>
      <c r="BX33" s="1322"/>
      <c r="BY33" s="1321">
        <f>SUMIFS(KB[NETTO2],KB[RELASI],C33,KB[TYPE],"A",KB[TANGGAL],"&gt;="&amp;$BR$8,KB[TANGGAL],"&lt;"&amp;DATE(YEAR($BR$8),MONTH($BR$8)+1,0))</f>
        <v>0</v>
      </c>
      <c r="BZ33" s="1323"/>
      <c r="CA33" s="1322"/>
      <c r="CB33" s="1321">
        <f>SUMIFS(KB[NETTO],KB[RELASI],C33,KB[TYPE],"A",KB[TANGGAL],"&gt;="&amp;$CB$8,KB[TANGGAL],"&lt;"&amp;DATE(YEAR($CB$8),MONTH($CB$8)+1,0))</f>
        <v>0</v>
      </c>
      <c r="CC33" s="1323"/>
      <c r="CD33" s="1322"/>
      <c r="CE33" s="1321">
        <f t="shared" si="12"/>
        <v>0</v>
      </c>
      <c r="CF33" s="1322"/>
      <c r="CG33" s="1321">
        <f>SUMIFS(KB[TPOT],KB[RELASI],C33,KB[TYPE],"A",KB[TANGGAL],"&gt;="&amp;$CB$8,KB[TANGGAL],"&lt;"&amp;DATE(YEAR($CB$8),MONTH($CB$8)+1,0))</f>
        <v>0</v>
      </c>
      <c r="CH33" s="1322"/>
      <c r="CI33" s="1321">
        <f>SUMIFS(KB[NETTO2],KB[RELASI],C33,KB[TYPE],"A",KB[TANGGAL],"&gt;="&amp;$CB$8,KB[TANGGAL],"&lt;"&amp;DATE(YEAR($CB$8),MONTH($CB$8)+1,0))</f>
        <v>0</v>
      </c>
      <c r="CJ33" s="1323"/>
      <c r="CK33" s="1322"/>
      <c r="CL33" s="1321">
        <f>SUMIFS(KB[NETTO],KB[RELASI],C33,KB[TYPE],"A",KB[TANGGAL],"&gt;="&amp;$CL$8,KB[TANGGAL],"&lt;"&amp;DATE(YEAR($CL$8),MONTH($CL$8)+1,0))</f>
        <v>0</v>
      </c>
      <c r="CM33" s="1323"/>
      <c r="CN33" s="1322"/>
      <c r="CO33" s="1321">
        <f t="shared" si="13"/>
        <v>0</v>
      </c>
      <c r="CP33" s="1322"/>
      <c r="CQ33" s="1321">
        <f>SUMIFS(KB[TPOT],KB[RELASI],C33,KB[TYPE],"A",KB[TANGGAL],"&gt;="&amp;$CL$8,KB[TANGGAL],"&lt;"&amp;DATE(YEAR($CL$8),MONTH($CL$8)+1,0))</f>
        <v>0</v>
      </c>
      <c r="CR33" s="1322"/>
      <c r="CS33" s="1321">
        <f>SUMIFS(KB[NETTO2],KB[RELASI],C33,KB[TYPE],"A",KB[TANGGAL],"&gt;="&amp;$CL$8,KB[TANGGAL],"&lt;"&amp;DATE(YEAR($CL$8),MONTH($CL$8)+1,0))</f>
        <v>0</v>
      </c>
      <c r="CT33" s="1323"/>
      <c r="CU33" s="1322"/>
      <c r="CV33" s="1321">
        <f>SUMIFS(KB[NETTO],KB[RELASI],C33,KB[TYPE],"A",KB[TANGGAL],"&gt;="&amp;$CV$8,KB[TANGGAL],"&lt;"&amp;DATE(YEAR($CV$8),MONTH($CV$8)+1,0))</f>
        <v>0</v>
      </c>
      <c r="CW33" s="1323"/>
      <c r="CX33" s="1322"/>
      <c r="CY33" s="1321">
        <f t="shared" si="14"/>
        <v>0</v>
      </c>
      <c r="CZ33" s="1322"/>
      <c r="DA33" s="1321">
        <f>SUMIFS(KB[TPOT],KB[RELASI],C33,KB[TYPE],"A",KB[TANGGAL],"&gt;="&amp;$CV$8,KB[TANGGAL],"&lt;"&amp;DATE(YEAR($CV$8),MONTH($CV$8)+1,0))</f>
        <v>0</v>
      </c>
      <c r="DB33" s="1322"/>
      <c r="DC33" s="1321">
        <f>SUMIFS(KB[NETTO2],KB[RELASI],C33,KB[TYPE],"A",KB[TANGGAL],"&gt;="&amp;$CV$8,KB[TANGGAL],"&lt;"&amp;DATE(YEAR($CV$8),MONTH($CV$8)+1,0))</f>
        <v>0</v>
      </c>
      <c r="DD33" s="1323"/>
      <c r="DE33" s="1322"/>
      <c r="DF33" s="1321">
        <f>SUMIFS(KB[NETTO],KB[RELASI],C33,KB[TYPE],"A",KB[TANGGAL],"&gt;="&amp;$DF$8,KB[TANGGAL],"&lt;"&amp;DATE(YEAR($DF$8),MONTH($DF$8)+1,0))</f>
        <v>0</v>
      </c>
      <c r="DG33" s="1323"/>
      <c r="DH33" s="1322"/>
      <c r="DI33" s="1321">
        <f t="shared" si="15"/>
        <v>0</v>
      </c>
      <c r="DJ33" s="1322"/>
      <c r="DK33" s="1321">
        <f>SUMIFS(KB[TPOT],KB[RELASI],C33,KB[TYPE],"A",KB[TANGGAL],"&gt;="&amp;$DF$8,KB[TANGGAL],"&lt;"&amp;DATE(YEAR($DF$8),MONTH($DF$8)+1,0))</f>
        <v>0</v>
      </c>
      <c r="DL33" s="1322"/>
      <c r="DM33" s="1321">
        <f>SUMIFS(KB[NETTO2],KB[RELASI],C33,KB[TYPE],"A",KB[TANGGAL],"&gt;="&amp;$DF$8,KB[TANGGAL],"&lt;"&amp;DATE(YEAR($DF$8),MONTH($DF$8)+1,0))</f>
        <v>0</v>
      </c>
      <c r="DN33" s="1323"/>
      <c r="DO33" s="1322"/>
      <c r="DP33" s="1321">
        <f>SUMIFS(KB[NETTO],KB[RELASI],C33,KB[TYPE],"A",KB[TANGGAL],"&gt;="&amp;$DP$8,KB[TANGGAL],"&lt;"&amp;DATE(YEAR($DP$8),MONTH($DP$8)+1,0))</f>
        <v>0</v>
      </c>
      <c r="DQ33" s="1323"/>
      <c r="DR33" s="1322"/>
      <c r="DS33" s="1321">
        <f t="shared" si="16"/>
        <v>0</v>
      </c>
      <c r="DT33" s="1322"/>
      <c r="DU33" s="1321">
        <f>SUMIFS(KB[TPOT],KB[RELASI],C33,KB[TYPE],"A",KB[TANGGAL],"&gt;="&amp;$DP$8,KB[TANGGAL],"&lt;"&amp;DATE(YEAR($DP$8),MONTH($DP$8)+1,0))</f>
        <v>0</v>
      </c>
      <c r="DV33" s="1322"/>
      <c r="DW33" s="1321">
        <f>SUMIFS(KB[NETTO2],KB[RELASI],C33,KB[TYPE],"A",KB[TANGGAL],"&gt;="&amp;$DP$8,KB[TANGGAL],"&lt;"&amp;DATE(YEAR($DP$8),MONTH($DP$8)+1,0))</f>
        <v>0</v>
      </c>
      <c r="DX33" s="1323"/>
      <c r="DY33" s="1322"/>
      <c r="DZ33" s="1321">
        <f>SUMIFS(KB[NETTO],KB[RELASI],C33,KB[TYPE],"A",KB[TANGGAL],"&gt;="&amp;$DZ$8,KB[TANGGAL],"&lt;"&amp;DATE(YEAR($DZ$8),MONTH($DZ$8)+1,0))</f>
        <v>0</v>
      </c>
      <c r="EA33" s="1323"/>
      <c r="EB33" s="1322"/>
      <c r="EC33" s="1321">
        <f t="shared" si="17"/>
        <v>0</v>
      </c>
      <c r="ED33" s="1322"/>
      <c r="EE33" s="1321">
        <f>SUMIFS(KB[TPOT],KB[RELASI],C33,KB[TYPE],"A",KB[TANGGAL],"&gt;="&amp;$DZ$8,KB[TANGGAL],"&lt;"&amp;DATE(YEAR($DZ$8),MONTH($DZ$8)+1,0))</f>
        <v>0</v>
      </c>
      <c r="EF33" s="1322"/>
      <c r="EG33" s="1321">
        <f>SUMIFS(KB[NETTO2],KB[RELASI],C33,KB[TYPE],"A",KB[TANGGAL],"&gt;="&amp;$DZ$8,KB[TANGGAL],"&lt;"&amp;DATE(YEAR($DZ$8),MONTH($DZ$8)+1,0))</f>
        <v>0</v>
      </c>
      <c r="EH33" s="1323"/>
      <c r="EI33" s="1322"/>
      <c r="EJ33" s="844"/>
      <c r="EK33" s="845"/>
      <c r="EL33" s="846"/>
      <c r="EM33" s="844"/>
      <c r="EN33" s="846"/>
      <c r="EO33" s="844"/>
      <c r="EP33" s="846"/>
      <c r="EQ33" s="844"/>
      <c r="ER33" s="845"/>
      <c r="ES33" s="847"/>
    </row>
    <row r="34" spans="2:149" ht="18" customHeight="1">
      <c r="B34" s="1040">
        <f t="shared" si="18"/>
        <v>24</v>
      </c>
      <c r="C34" s="844" t="str">
        <f>RELASI!C26</f>
        <v>IWAN</v>
      </c>
      <c r="D34" s="845"/>
      <c r="E34" s="845"/>
      <c r="F34" s="846"/>
      <c r="G34" s="844" t="str">
        <f>RELASI!D26</f>
        <v>Batang Tuaka</v>
      </c>
      <c r="H34" s="845"/>
      <c r="I34" s="846"/>
      <c r="J34" s="1319">
        <f>SUMIFS(KB[NETTO],KB[RELASI],C34,KB[TYPE],"A",KB[TANGGAL],"&gt;="&amp;DATE($J$7,1,1),KB[TANGGAL],"&lt;"&amp;DATE($J$7+1,1,0))/12</f>
        <v>0</v>
      </c>
      <c r="K34" s="1324"/>
      <c r="L34" s="1320"/>
      <c r="M34" s="1319">
        <f t="shared" si="19"/>
        <v>0</v>
      </c>
      <c r="N34" s="1320"/>
      <c r="O34" s="1321">
        <f>SUMIFS(KB[TPOT],KB[RELASI],C34,KB[TYPE],"A",KB[TANGGAL],"&gt;="&amp;DATE($J$7,1,1),KB[TANGGAL],"&lt;"&amp;DATE($J$7+1,1,0))/12</f>
        <v>0</v>
      </c>
      <c r="P34" s="1322"/>
      <c r="Q34" s="1321">
        <f>SUMIFS(KB[NETTO2],KB[RELASI],C34,KB[TYPE],"A",KB[TANGGAL],"&gt;="&amp;DATE($J$7,1,1),KB[TANGGAL],"&lt;"&amp;DATE($J$7+1,1,0))/12</f>
        <v>0</v>
      </c>
      <c r="R34" s="1323"/>
      <c r="S34" s="1322"/>
      <c r="T34" s="1321">
        <f>SUMIFS(KB[NETTO],KB[RELASI],C34,KB[TYPE],"A",KB[TANGGAL],"&gt;="&amp;$T$8,KB[TANGGAL],"&lt;"&amp;DATE($FA$4,$FA$5+1,0))</f>
        <v>0</v>
      </c>
      <c r="U34" s="1323"/>
      <c r="V34" s="1322"/>
      <c r="W34" s="1319">
        <f t="shared" si="20"/>
        <v>0</v>
      </c>
      <c r="X34" s="1320"/>
      <c r="Y34" s="1339">
        <f>SUMIFS(KB[TPOT],KB[RELASI],C34,KB[TYPE],"A",KB[TANGGAL],"&gt;="&amp;$T$8,KB[TANGGAL],"&lt;"&amp;DATE($FA$4,$FA$5+1,0))</f>
        <v>0</v>
      </c>
      <c r="Z34" s="1340"/>
      <c r="AA34" s="1339">
        <f>SUMIFS(KB[NETTO2],KB[RELASI],C34,KB[TYPE],"A",KB[TANGGAL],"&gt;="&amp;$T$8,KB[TANGGAL],"&lt;"&amp;DATE($FA$4,$FA$5+1,0))</f>
        <v>0</v>
      </c>
      <c r="AB34" s="1341"/>
      <c r="AC34" s="1340"/>
      <c r="AD34" s="1321">
        <f>SUMIFS(KB[NETTO],KB[RELASI],C34,KB[TYPE],"A",KB[TANGGAL],"&gt;="&amp;$AD$8,KB[TANGGAL],"&lt;"&amp;DATE($FA$4,MONTH($AD$8)+1,0))</f>
        <v>0</v>
      </c>
      <c r="AE34" s="1323"/>
      <c r="AF34" s="1322"/>
      <c r="AG34" s="1321">
        <f t="shared" si="7"/>
        <v>0</v>
      </c>
      <c r="AH34" s="1322"/>
      <c r="AI34" s="1321">
        <f>SUMIFS(KB[TPOT],KB[RELASI],C34,KB[TYPE],"A",KB[TANGGAL],"&gt;="&amp;$AD$8,KB[TANGGAL],"&lt;"&amp;DATE($FA$4,MONTH($AD$8)+1,0))</f>
        <v>0</v>
      </c>
      <c r="AJ34" s="1322"/>
      <c r="AK34" s="1321">
        <f>SUMIFS(KB[NETTO2],KB[RELASI],C34,KB[TYPE],"A",KB[TANGGAL],"&gt;="&amp;$AD$8,KB[TANGGAL],"&lt;"&amp;DATE($FA$4,MONTH($AD$8)+1,0))</f>
        <v>0</v>
      </c>
      <c r="AL34" s="1323"/>
      <c r="AM34" s="1322"/>
      <c r="AN34" s="1321">
        <f>SUMIFS(KB[NETTO],KB[RELASI],C34,KB[TYPE],"A",KB[TANGGAL],"&gt;="&amp;$AN$8,KB[TANGGAL],"&lt;"&amp;DATE(YEAR($AN$8),MONTH($AN$8)+1,0))</f>
        <v>0</v>
      </c>
      <c r="AO34" s="1323"/>
      <c r="AP34" s="1322"/>
      <c r="AQ34" s="1321">
        <f t="shared" si="8"/>
        <v>0</v>
      </c>
      <c r="AR34" s="1322"/>
      <c r="AS34" s="1321">
        <f>SUMIFS(KB[TPOT],KB[RELASI],C34,KB[TYPE],"A",KB[TANGGAL],"&gt;="&amp;$AN$8,KB[TANGGAL],"&lt;"&amp;DATE(YEAR($AN$8),MONTH($AN$8)+1,0))</f>
        <v>0</v>
      </c>
      <c r="AT34" s="1322"/>
      <c r="AU34" s="1321">
        <f>SUMIFS(KB[NETTO2],KB[RELASI],C34,KB[TYPE],"A",KB[TANGGAL],"&gt;="&amp;$AN$8,KB[TANGGAL],"&lt;"&amp;DATE(YEAR($AN$8),MONTH($AN$8)+1,0))</f>
        <v>0</v>
      </c>
      <c r="AV34" s="1323"/>
      <c r="AW34" s="1322"/>
      <c r="AX34" s="1321">
        <f>SUMIFS(KB[NETTO],KB[RELASI],C34,KB[TYPE],"A",KB[TANGGAL],"&gt;="&amp;$AX$8,KB[TANGGAL],"&lt;"&amp;DATE(YEAR($AX$8),MONTH($AX$8)+1,0))</f>
        <v>0</v>
      </c>
      <c r="AY34" s="1323"/>
      <c r="AZ34" s="1322"/>
      <c r="BA34" s="1321">
        <f t="shared" si="9"/>
        <v>0</v>
      </c>
      <c r="BB34" s="1322"/>
      <c r="BC34" s="1321">
        <f>SUMIFS(KB[TPOT],KB[RELASI],C34,KB[TYPE],"A",KB[TANGGAL],"&gt;="&amp;$AX$8,KB[TANGGAL],"&lt;"&amp;DATE(YEAR($AX$8),MONTH($AX$8)+1,0))</f>
        <v>0</v>
      </c>
      <c r="BD34" s="1322"/>
      <c r="BE34" s="1321">
        <f>SUMIFS(KB[NETTO2],KB[RELASI],C34,KB[TYPE],"A",KB[TANGGAL],"&gt;="&amp;$AX$8,KB[TANGGAL],"&lt;"&amp;DATE(YEAR($AX$8),MONTH($AX$8)+1,0))</f>
        <v>0</v>
      </c>
      <c r="BF34" s="1323"/>
      <c r="BG34" s="1322"/>
      <c r="BH34" s="1321">
        <f>SUMIFS(KB[NETTO],KB[RELASI],C34,KB[TYPE],"A",KB[TANGGAL],"&gt;="&amp;$BH$8,KB[TANGGAL],"&lt;"&amp;DATE(YEAR($BH$8),MONTH($BH$8)+1,0))</f>
        <v>0</v>
      </c>
      <c r="BI34" s="1323"/>
      <c r="BJ34" s="1322"/>
      <c r="BK34" s="1321">
        <f t="shared" si="10"/>
        <v>0</v>
      </c>
      <c r="BL34" s="1322"/>
      <c r="BM34" s="1321">
        <f>SUMIFS(KB[TPOT],KB[RELASI],C34,KB[TYPE],"A",KB[TANGGAL],"&gt;="&amp;$BH$8,KB[TANGGAL],"&lt;"&amp;DATE(YEAR($BH$8),MONTH($BH$8)+1,0))</f>
        <v>0</v>
      </c>
      <c r="BN34" s="1322"/>
      <c r="BO34" s="1321">
        <f>SUMIFS(KB[NETTO2],KB[RELASI],C34,KB[TYPE],"A",KB[TANGGAL],"&gt;="&amp;$BH$8,KB[TANGGAL],"&lt;"&amp;DATE(YEAR($BH$8),MONTH($BH$8)+1,0))</f>
        <v>0</v>
      </c>
      <c r="BP34" s="1323"/>
      <c r="BQ34" s="1322"/>
      <c r="BR34" s="1321">
        <f>SUMIFS(KB[NETTO],KB[RELASI],C34,KB[TYPE],"A",KB[TANGGAL],"&gt;="&amp;$BR$8,KB[TANGGAL],"&lt;"&amp;DATE(YEAR($BR$8),MONTH($BR$8)+1,0))</f>
        <v>0</v>
      </c>
      <c r="BS34" s="1323"/>
      <c r="BT34" s="1322"/>
      <c r="BU34" s="1321">
        <f t="shared" si="11"/>
        <v>0</v>
      </c>
      <c r="BV34" s="1322"/>
      <c r="BW34" s="1321">
        <f>SUMIFS(KB[TPOT],KB[RELASI],C34,KB[TYPE],"A",KB[TANGGAL],"&gt;="&amp;$BR$8,KB[TANGGAL],"&lt;"&amp;DATE(YEAR($BR$8),MONTH($BR$8)+1,0))</f>
        <v>0</v>
      </c>
      <c r="BX34" s="1322"/>
      <c r="BY34" s="1321">
        <f>SUMIFS(KB[NETTO2],KB[RELASI],C34,KB[TYPE],"A",KB[TANGGAL],"&gt;="&amp;$BR$8,KB[TANGGAL],"&lt;"&amp;DATE(YEAR($BR$8),MONTH($BR$8)+1,0))</f>
        <v>0</v>
      </c>
      <c r="BZ34" s="1323"/>
      <c r="CA34" s="1322"/>
      <c r="CB34" s="1321">
        <f>SUMIFS(KB[NETTO],KB[RELASI],C34,KB[TYPE],"A",KB[TANGGAL],"&gt;="&amp;$CB$8,KB[TANGGAL],"&lt;"&amp;DATE(YEAR($CB$8),MONTH($CB$8)+1,0))</f>
        <v>0</v>
      </c>
      <c r="CC34" s="1323"/>
      <c r="CD34" s="1322"/>
      <c r="CE34" s="1321">
        <f t="shared" si="12"/>
        <v>0</v>
      </c>
      <c r="CF34" s="1322"/>
      <c r="CG34" s="1321">
        <f>SUMIFS(KB[TPOT],KB[RELASI],C34,KB[TYPE],"A",KB[TANGGAL],"&gt;="&amp;$CB$8,KB[TANGGAL],"&lt;"&amp;DATE(YEAR($CB$8),MONTH($CB$8)+1,0))</f>
        <v>0</v>
      </c>
      <c r="CH34" s="1322"/>
      <c r="CI34" s="1321">
        <f>SUMIFS(KB[NETTO2],KB[RELASI],C34,KB[TYPE],"A",KB[TANGGAL],"&gt;="&amp;$CB$8,KB[TANGGAL],"&lt;"&amp;DATE(YEAR($CB$8),MONTH($CB$8)+1,0))</f>
        <v>0</v>
      </c>
      <c r="CJ34" s="1323"/>
      <c r="CK34" s="1322"/>
      <c r="CL34" s="1321">
        <f>SUMIFS(KB[NETTO],KB[RELASI],C34,KB[TYPE],"A",KB[TANGGAL],"&gt;="&amp;$CL$8,KB[TANGGAL],"&lt;"&amp;DATE(YEAR($CL$8),MONTH($CL$8)+1,0))</f>
        <v>0</v>
      </c>
      <c r="CM34" s="1323"/>
      <c r="CN34" s="1322"/>
      <c r="CO34" s="1321">
        <f t="shared" si="13"/>
        <v>0</v>
      </c>
      <c r="CP34" s="1322"/>
      <c r="CQ34" s="1321">
        <f>SUMIFS(KB[TPOT],KB[RELASI],C34,KB[TYPE],"A",KB[TANGGAL],"&gt;="&amp;$CL$8,KB[TANGGAL],"&lt;"&amp;DATE(YEAR($CL$8),MONTH($CL$8)+1,0))</f>
        <v>0</v>
      </c>
      <c r="CR34" s="1322"/>
      <c r="CS34" s="1321">
        <f>SUMIFS(KB[NETTO2],KB[RELASI],C34,KB[TYPE],"A",KB[TANGGAL],"&gt;="&amp;$CL$8,KB[TANGGAL],"&lt;"&amp;DATE(YEAR($CL$8),MONTH($CL$8)+1,0))</f>
        <v>0</v>
      </c>
      <c r="CT34" s="1323"/>
      <c r="CU34" s="1322"/>
      <c r="CV34" s="1321">
        <f>SUMIFS(KB[NETTO],KB[RELASI],C34,KB[TYPE],"A",KB[TANGGAL],"&gt;="&amp;$CV$8,KB[TANGGAL],"&lt;"&amp;DATE(YEAR($CV$8),MONTH($CV$8)+1,0))</f>
        <v>0</v>
      </c>
      <c r="CW34" s="1323"/>
      <c r="CX34" s="1322"/>
      <c r="CY34" s="1321">
        <f t="shared" si="14"/>
        <v>0</v>
      </c>
      <c r="CZ34" s="1322"/>
      <c r="DA34" s="1321">
        <f>SUMIFS(KB[TPOT],KB[RELASI],C34,KB[TYPE],"A",KB[TANGGAL],"&gt;="&amp;$CV$8,KB[TANGGAL],"&lt;"&amp;DATE(YEAR($CV$8),MONTH($CV$8)+1,0))</f>
        <v>0</v>
      </c>
      <c r="DB34" s="1322"/>
      <c r="DC34" s="1321">
        <f>SUMIFS(KB[NETTO2],KB[RELASI],C34,KB[TYPE],"A",KB[TANGGAL],"&gt;="&amp;$CV$8,KB[TANGGAL],"&lt;"&amp;DATE(YEAR($CV$8),MONTH($CV$8)+1,0))</f>
        <v>0</v>
      </c>
      <c r="DD34" s="1323"/>
      <c r="DE34" s="1322"/>
      <c r="DF34" s="1321">
        <f>SUMIFS(KB[NETTO],KB[RELASI],C34,KB[TYPE],"A",KB[TANGGAL],"&gt;="&amp;$DF$8,KB[TANGGAL],"&lt;"&amp;DATE(YEAR($DF$8),MONTH($DF$8)+1,0))</f>
        <v>0</v>
      </c>
      <c r="DG34" s="1323"/>
      <c r="DH34" s="1322"/>
      <c r="DI34" s="1321">
        <f t="shared" si="15"/>
        <v>0</v>
      </c>
      <c r="DJ34" s="1322"/>
      <c r="DK34" s="1321">
        <f>SUMIFS(KB[TPOT],KB[RELASI],C34,KB[TYPE],"A",KB[TANGGAL],"&gt;="&amp;$DF$8,KB[TANGGAL],"&lt;"&amp;DATE(YEAR($DF$8),MONTH($DF$8)+1,0))</f>
        <v>0</v>
      </c>
      <c r="DL34" s="1322"/>
      <c r="DM34" s="1321">
        <f>SUMIFS(KB[NETTO2],KB[RELASI],C34,KB[TYPE],"A",KB[TANGGAL],"&gt;="&amp;$DF$8,KB[TANGGAL],"&lt;"&amp;DATE(YEAR($DF$8),MONTH($DF$8)+1,0))</f>
        <v>0</v>
      </c>
      <c r="DN34" s="1323"/>
      <c r="DO34" s="1322"/>
      <c r="DP34" s="1321">
        <f>SUMIFS(KB[NETTO],KB[RELASI],C34,KB[TYPE],"A",KB[TANGGAL],"&gt;="&amp;$DP$8,KB[TANGGAL],"&lt;"&amp;DATE(YEAR($DP$8),MONTH($DP$8)+1,0))</f>
        <v>0</v>
      </c>
      <c r="DQ34" s="1323"/>
      <c r="DR34" s="1322"/>
      <c r="DS34" s="1321">
        <f t="shared" si="16"/>
        <v>0</v>
      </c>
      <c r="DT34" s="1322"/>
      <c r="DU34" s="1321">
        <f>SUMIFS(KB[TPOT],KB[RELASI],C34,KB[TYPE],"A",KB[TANGGAL],"&gt;="&amp;$DP$8,KB[TANGGAL],"&lt;"&amp;DATE(YEAR($DP$8),MONTH($DP$8)+1,0))</f>
        <v>0</v>
      </c>
      <c r="DV34" s="1322"/>
      <c r="DW34" s="1321">
        <f>SUMIFS(KB[NETTO2],KB[RELASI],C34,KB[TYPE],"A",KB[TANGGAL],"&gt;="&amp;$DP$8,KB[TANGGAL],"&lt;"&amp;DATE(YEAR($DP$8),MONTH($DP$8)+1,0))</f>
        <v>0</v>
      </c>
      <c r="DX34" s="1323"/>
      <c r="DY34" s="1322"/>
      <c r="DZ34" s="1321">
        <f>SUMIFS(KB[NETTO],KB[RELASI],C34,KB[TYPE],"A",KB[TANGGAL],"&gt;="&amp;$DZ$8,KB[TANGGAL],"&lt;"&amp;DATE(YEAR($DZ$8),MONTH($DZ$8)+1,0))</f>
        <v>0</v>
      </c>
      <c r="EA34" s="1323"/>
      <c r="EB34" s="1322"/>
      <c r="EC34" s="1321">
        <f t="shared" si="17"/>
        <v>0</v>
      </c>
      <c r="ED34" s="1322"/>
      <c r="EE34" s="1321">
        <f>SUMIFS(KB[TPOT],KB[RELASI],C34,KB[TYPE],"A",KB[TANGGAL],"&gt;="&amp;$DZ$8,KB[TANGGAL],"&lt;"&amp;DATE(YEAR($DZ$8),MONTH($DZ$8)+1,0))</f>
        <v>0</v>
      </c>
      <c r="EF34" s="1322"/>
      <c r="EG34" s="1321">
        <f>SUMIFS(KB[NETTO2],KB[RELASI],C34,KB[TYPE],"A",KB[TANGGAL],"&gt;="&amp;$DZ$8,KB[TANGGAL],"&lt;"&amp;DATE(YEAR($DZ$8),MONTH($DZ$8)+1,0))</f>
        <v>0</v>
      </c>
      <c r="EH34" s="1323"/>
      <c r="EI34" s="1322"/>
      <c r="EJ34" s="844"/>
      <c r="EK34" s="845"/>
      <c r="EL34" s="846"/>
      <c r="EM34" s="844"/>
      <c r="EN34" s="846"/>
      <c r="EO34" s="844"/>
      <c r="EP34" s="846"/>
      <c r="EQ34" s="844"/>
      <c r="ER34" s="845"/>
      <c r="ES34" s="847"/>
    </row>
    <row r="35" spans="2:149" ht="18" customHeight="1">
      <c r="B35" s="1040">
        <f t="shared" si="18"/>
        <v>25</v>
      </c>
      <c r="C35" s="844" t="str">
        <f>RELASI!C27</f>
        <v>JOHAN</v>
      </c>
      <c r="D35" s="845"/>
      <c r="E35" s="845"/>
      <c r="F35" s="846"/>
      <c r="G35" s="844" t="str">
        <f>RELASI!D27</f>
        <v>Batam</v>
      </c>
      <c r="H35" s="845"/>
      <c r="I35" s="846"/>
      <c r="J35" s="1319">
        <f>SUMIFS(KB[NETTO],KB[RELASI],C35,KB[TYPE],"A",KB[TANGGAL],"&gt;="&amp;DATE($J$7,1,1),KB[TANGGAL],"&lt;"&amp;DATE($J$7+1,1,0))/12</f>
        <v>0</v>
      </c>
      <c r="K35" s="1324"/>
      <c r="L35" s="1320"/>
      <c r="M35" s="1319">
        <f t="shared" si="19"/>
        <v>0</v>
      </c>
      <c r="N35" s="1320"/>
      <c r="O35" s="1321">
        <f>SUMIFS(KB[TPOT],KB[RELASI],C35,KB[TYPE],"A",KB[TANGGAL],"&gt;="&amp;DATE($J$7,1,1),KB[TANGGAL],"&lt;"&amp;DATE($J$7+1,1,0))/12</f>
        <v>0</v>
      </c>
      <c r="P35" s="1322"/>
      <c r="Q35" s="1321">
        <f>SUMIFS(KB[NETTO2],KB[RELASI],C35,KB[TYPE],"A",KB[TANGGAL],"&gt;="&amp;DATE($J$7,1,1),KB[TANGGAL],"&lt;"&amp;DATE($J$7+1,1,0))/12</f>
        <v>0</v>
      </c>
      <c r="R35" s="1323"/>
      <c r="S35" s="1322"/>
      <c r="T35" s="1321">
        <f>SUMIFS(KB[NETTO],KB[RELASI],C35,KB[TYPE],"A",KB[TANGGAL],"&gt;="&amp;$T$8,KB[TANGGAL],"&lt;"&amp;DATE($FA$4,$FA$5+1,0))</f>
        <v>0</v>
      </c>
      <c r="U35" s="1323"/>
      <c r="V35" s="1322"/>
      <c r="W35" s="1319">
        <f t="shared" si="20"/>
        <v>0</v>
      </c>
      <c r="X35" s="1320"/>
      <c r="Y35" s="1339">
        <f>SUMIFS(KB[TPOT],KB[RELASI],C35,KB[TYPE],"A",KB[TANGGAL],"&gt;="&amp;$T$8,KB[TANGGAL],"&lt;"&amp;DATE($FA$4,$FA$5+1,0))</f>
        <v>0</v>
      </c>
      <c r="Z35" s="1340"/>
      <c r="AA35" s="1339">
        <f>SUMIFS(KB[NETTO2],KB[RELASI],C35,KB[TYPE],"A",KB[TANGGAL],"&gt;="&amp;$T$8,KB[TANGGAL],"&lt;"&amp;DATE($FA$4,$FA$5+1,0))</f>
        <v>0</v>
      </c>
      <c r="AB35" s="1341"/>
      <c r="AC35" s="1340"/>
      <c r="AD35" s="1321">
        <f>SUMIFS(KB[NETTO],KB[RELASI],C35,KB[TYPE],"A",KB[TANGGAL],"&gt;="&amp;$AD$8,KB[TANGGAL],"&lt;"&amp;DATE($FA$4,MONTH($AD$8)+1,0))</f>
        <v>0</v>
      </c>
      <c r="AE35" s="1323"/>
      <c r="AF35" s="1322"/>
      <c r="AG35" s="1321">
        <f t="shared" si="7"/>
        <v>0</v>
      </c>
      <c r="AH35" s="1322"/>
      <c r="AI35" s="1321">
        <f>SUMIFS(KB[TPOT],KB[RELASI],C35,KB[TYPE],"A",KB[TANGGAL],"&gt;="&amp;$AD$8,KB[TANGGAL],"&lt;"&amp;DATE($FA$4,MONTH($AD$8)+1,0))</f>
        <v>0</v>
      </c>
      <c r="AJ35" s="1322"/>
      <c r="AK35" s="1321">
        <f>SUMIFS(KB[NETTO2],KB[RELASI],C35,KB[TYPE],"A",KB[TANGGAL],"&gt;="&amp;$AD$8,KB[TANGGAL],"&lt;"&amp;DATE($FA$4,MONTH($AD$8)+1,0))</f>
        <v>0</v>
      </c>
      <c r="AL35" s="1323"/>
      <c r="AM35" s="1322"/>
      <c r="AN35" s="1321">
        <f>SUMIFS(KB[NETTO],KB[RELASI],C35,KB[TYPE],"A",KB[TANGGAL],"&gt;="&amp;$AN$8,KB[TANGGAL],"&lt;"&amp;DATE(YEAR($AN$8),MONTH($AN$8)+1,0))</f>
        <v>0</v>
      </c>
      <c r="AO35" s="1323"/>
      <c r="AP35" s="1322"/>
      <c r="AQ35" s="1321">
        <f t="shared" si="8"/>
        <v>0</v>
      </c>
      <c r="AR35" s="1322"/>
      <c r="AS35" s="1321">
        <f>SUMIFS(KB[TPOT],KB[RELASI],C35,KB[TYPE],"A",KB[TANGGAL],"&gt;="&amp;$AN$8,KB[TANGGAL],"&lt;"&amp;DATE(YEAR($AN$8),MONTH($AN$8)+1,0))</f>
        <v>0</v>
      </c>
      <c r="AT35" s="1322"/>
      <c r="AU35" s="1321">
        <f>SUMIFS(KB[NETTO2],KB[RELASI],C35,KB[TYPE],"A",KB[TANGGAL],"&gt;="&amp;$AN$8,KB[TANGGAL],"&lt;"&amp;DATE(YEAR($AN$8),MONTH($AN$8)+1,0))</f>
        <v>0</v>
      </c>
      <c r="AV35" s="1323"/>
      <c r="AW35" s="1322"/>
      <c r="AX35" s="1321">
        <f>SUMIFS(KB[NETTO],KB[RELASI],C35,KB[TYPE],"A",KB[TANGGAL],"&gt;="&amp;$AX$8,KB[TANGGAL],"&lt;"&amp;DATE(YEAR($AX$8),MONTH($AX$8)+1,0))</f>
        <v>0</v>
      </c>
      <c r="AY35" s="1323"/>
      <c r="AZ35" s="1322"/>
      <c r="BA35" s="1321">
        <f t="shared" si="9"/>
        <v>0</v>
      </c>
      <c r="BB35" s="1322"/>
      <c r="BC35" s="1321">
        <f>SUMIFS(KB[TPOT],KB[RELASI],C35,KB[TYPE],"A",KB[TANGGAL],"&gt;="&amp;$AX$8,KB[TANGGAL],"&lt;"&amp;DATE(YEAR($AX$8),MONTH($AX$8)+1,0))</f>
        <v>0</v>
      </c>
      <c r="BD35" s="1322"/>
      <c r="BE35" s="1321">
        <f>SUMIFS(KB[NETTO2],KB[RELASI],C35,KB[TYPE],"A",KB[TANGGAL],"&gt;="&amp;$AX$8,KB[TANGGAL],"&lt;"&amp;DATE(YEAR($AX$8),MONTH($AX$8)+1,0))</f>
        <v>0</v>
      </c>
      <c r="BF35" s="1323"/>
      <c r="BG35" s="1322"/>
      <c r="BH35" s="1321">
        <f>SUMIFS(KB[NETTO],KB[RELASI],C35,KB[TYPE],"A",KB[TANGGAL],"&gt;="&amp;$BH$8,KB[TANGGAL],"&lt;"&amp;DATE(YEAR($BH$8),MONTH($BH$8)+1,0))</f>
        <v>0</v>
      </c>
      <c r="BI35" s="1323"/>
      <c r="BJ35" s="1322"/>
      <c r="BK35" s="1321">
        <f t="shared" si="10"/>
        <v>0</v>
      </c>
      <c r="BL35" s="1322"/>
      <c r="BM35" s="1321">
        <f>SUMIFS(KB[TPOT],KB[RELASI],C35,KB[TYPE],"A",KB[TANGGAL],"&gt;="&amp;$BH$8,KB[TANGGAL],"&lt;"&amp;DATE(YEAR($BH$8),MONTH($BH$8)+1,0))</f>
        <v>0</v>
      </c>
      <c r="BN35" s="1322"/>
      <c r="BO35" s="1321">
        <f>SUMIFS(KB[NETTO2],KB[RELASI],C35,KB[TYPE],"A",KB[TANGGAL],"&gt;="&amp;$BH$8,KB[TANGGAL],"&lt;"&amp;DATE(YEAR($BH$8),MONTH($BH$8)+1,0))</f>
        <v>0</v>
      </c>
      <c r="BP35" s="1323"/>
      <c r="BQ35" s="1322"/>
      <c r="BR35" s="1321">
        <f>SUMIFS(KB[NETTO],KB[RELASI],C35,KB[TYPE],"A",KB[TANGGAL],"&gt;="&amp;$BR$8,KB[TANGGAL],"&lt;"&amp;DATE(YEAR($BR$8),MONTH($BR$8)+1,0))</f>
        <v>0</v>
      </c>
      <c r="BS35" s="1323"/>
      <c r="BT35" s="1322"/>
      <c r="BU35" s="1321">
        <f t="shared" si="11"/>
        <v>0</v>
      </c>
      <c r="BV35" s="1322"/>
      <c r="BW35" s="1321">
        <f>SUMIFS(KB[TPOT],KB[RELASI],C35,KB[TYPE],"A",KB[TANGGAL],"&gt;="&amp;$BR$8,KB[TANGGAL],"&lt;"&amp;DATE(YEAR($BR$8),MONTH($BR$8)+1,0))</f>
        <v>0</v>
      </c>
      <c r="BX35" s="1322"/>
      <c r="BY35" s="1321">
        <f>SUMIFS(KB[NETTO2],KB[RELASI],C35,KB[TYPE],"A",KB[TANGGAL],"&gt;="&amp;$BR$8,KB[TANGGAL],"&lt;"&amp;DATE(YEAR($BR$8),MONTH($BR$8)+1,0))</f>
        <v>0</v>
      </c>
      <c r="BZ35" s="1323"/>
      <c r="CA35" s="1322"/>
      <c r="CB35" s="1321">
        <f>SUMIFS(KB[NETTO],KB[RELASI],C35,KB[TYPE],"A",KB[TANGGAL],"&gt;="&amp;$CB$8,KB[TANGGAL],"&lt;"&amp;DATE(YEAR($CB$8),MONTH($CB$8)+1,0))</f>
        <v>0</v>
      </c>
      <c r="CC35" s="1323"/>
      <c r="CD35" s="1322"/>
      <c r="CE35" s="1321">
        <f t="shared" si="12"/>
        <v>0</v>
      </c>
      <c r="CF35" s="1322"/>
      <c r="CG35" s="1321">
        <f>SUMIFS(KB[TPOT],KB[RELASI],C35,KB[TYPE],"A",KB[TANGGAL],"&gt;="&amp;$CB$8,KB[TANGGAL],"&lt;"&amp;DATE(YEAR($CB$8),MONTH($CB$8)+1,0))</f>
        <v>0</v>
      </c>
      <c r="CH35" s="1322"/>
      <c r="CI35" s="1321">
        <f>SUMIFS(KB[NETTO2],KB[RELASI],C35,KB[TYPE],"A",KB[TANGGAL],"&gt;="&amp;$CB$8,KB[TANGGAL],"&lt;"&amp;DATE(YEAR($CB$8),MONTH($CB$8)+1,0))</f>
        <v>0</v>
      </c>
      <c r="CJ35" s="1323"/>
      <c r="CK35" s="1322"/>
      <c r="CL35" s="1321">
        <f>SUMIFS(KB[NETTO],KB[RELASI],C35,KB[TYPE],"A",KB[TANGGAL],"&gt;="&amp;$CL$8,KB[TANGGAL],"&lt;"&amp;DATE(YEAR($CL$8),MONTH($CL$8)+1,0))</f>
        <v>0</v>
      </c>
      <c r="CM35" s="1323"/>
      <c r="CN35" s="1322"/>
      <c r="CO35" s="1321">
        <f t="shared" si="13"/>
        <v>0</v>
      </c>
      <c r="CP35" s="1322"/>
      <c r="CQ35" s="1321">
        <f>SUMIFS(KB[TPOT],KB[RELASI],C35,KB[TYPE],"A",KB[TANGGAL],"&gt;="&amp;$CL$8,KB[TANGGAL],"&lt;"&amp;DATE(YEAR($CL$8),MONTH($CL$8)+1,0))</f>
        <v>0</v>
      </c>
      <c r="CR35" s="1322"/>
      <c r="CS35" s="1321">
        <f>SUMIFS(KB[NETTO2],KB[RELASI],C35,KB[TYPE],"A",KB[TANGGAL],"&gt;="&amp;$CL$8,KB[TANGGAL],"&lt;"&amp;DATE(YEAR($CL$8),MONTH($CL$8)+1,0))</f>
        <v>0</v>
      </c>
      <c r="CT35" s="1323"/>
      <c r="CU35" s="1322"/>
      <c r="CV35" s="1321">
        <f>SUMIFS(KB[NETTO],KB[RELASI],C35,KB[TYPE],"A",KB[TANGGAL],"&gt;="&amp;$CV$8,KB[TANGGAL],"&lt;"&amp;DATE(YEAR($CV$8),MONTH($CV$8)+1,0))</f>
        <v>0</v>
      </c>
      <c r="CW35" s="1323"/>
      <c r="CX35" s="1322"/>
      <c r="CY35" s="1321">
        <f t="shared" si="14"/>
        <v>0</v>
      </c>
      <c r="CZ35" s="1322"/>
      <c r="DA35" s="1321">
        <f>SUMIFS(KB[TPOT],KB[RELASI],C35,KB[TYPE],"A",KB[TANGGAL],"&gt;="&amp;$CV$8,KB[TANGGAL],"&lt;"&amp;DATE(YEAR($CV$8),MONTH($CV$8)+1,0))</f>
        <v>0</v>
      </c>
      <c r="DB35" s="1322"/>
      <c r="DC35" s="1321">
        <f>SUMIFS(KB[NETTO2],KB[RELASI],C35,KB[TYPE],"A",KB[TANGGAL],"&gt;="&amp;$CV$8,KB[TANGGAL],"&lt;"&amp;DATE(YEAR($CV$8),MONTH($CV$8)+1,0))</f>
        <v>0</v>
      </c>
      <c r="DD35" s="1323"/>
      <c r="DE35" s="1322"/>
      <c r="DF35" s="1321">
        <f>SUMIFS(KB[NETTO],KB[RELASI],C35,KB[TYPE],"A",KB[TANGGAL],"&gt;="&amp;$DF$8,KB[TANGGAL],"&lt;"&amp;DATE(YEAR($DF$8),MONTH($DF$8)+1,0))</f>
        <v>0</v>
      </c>
      <c r="DG35" s="1323"/>
      <c r="DH35" s="1322"/>
      <c r="DI35" s="1321">
        <f t="shared" si="15"/>
        <v>0</v>
      </c>
      <c r="DJ35" s="1322"/>
      <c r="DK35" s="1321">
        <f>SUMIFS(KB[TPOT],KB[RELASI],C35,KB[TYPE],"A",KB[TANGGAL],"&gt;="&amp;$DF$8,KB[TANGGAL],"&lt;"&amp;DATE(YEAR($DF$8),MONTH($DF$8)+1,0))</f>
        <v>0</v>
      </c>
      <c r="DL35" s="1322"/>
      <c r="DM35" s="1321">
        <f>SUMIFS(KB[NETTO2],KB[RELASI],C35,KB[TYPE],"A",KB[TANGGAL],"&gt;="&amp;$DF$8,KB[TANGGAL],"&lt;"&amp;DATE(YEAR($DF$8),MONTH($DF$8)+1,0))</f>
        <v>0</v>
      </c>
      <c r="DN35" s="1323"/>
      <c r="DO35" s="1322"/>
      <c r="DP35" s="1321">
        <f>SUMIFS(KB[NETTO],KB[RELASI],C35,KB[TYPE],"A",KB[TANGGAL],"&gt;="&amp;$DP$8,KB[TANGGAL],"&lt;"&amp;DATE(YEAR($DP$8),MONTH($DP$8)+1,0))</f>
        <v>0</v>
      </c>
      <c r="DQ35" s="1323"/>
      <c r="DR35" s="1322"/>
      <c r="DS35" s="1321">
        <f t="shared" si="16"/>
        <v>0</v>
      </c>
      <c r="DT35" s="1322"/>
      <c r="DU35" s="1321">
        <f>SUMIFS(KB[TPOT],KB[RELASI],C35,KB[TYPE],"A",KB[TANGGAL],"&gt;="&amp;$DP$8,KB[TANGGAL],"&lt;"&amp;DATE(YEAR($DP$8),MONTH($DP$8)+1,0))</f>
        <v>0</v>
      </c>
      <c r="DV35" s="1322"/>
      <c r="DW35" s="1321">
        <f>SUMIFS(KB[NETTO2],KB[RELASI],C35,KB[TYPE],"A",KB[TANGGAL],"&gt;="&amp;$DP$8,KB[TANGGAL],"&lt;"&amp;DATE(YEAR($DP$8),MONTH($DP$8)+1,0))</f>
        <v>0</v>
      </c>
      <c r="DX35" s="1323"/>
      <c r="DY35" s="1322"/>
      <c r="DZ35" s="1321">
        <f>SUMIFS(KB[NETTO],KB[RELASI],C35,KB[TYPE],"A",KB[TANGGAL],"&gt;="&amp;$DZ$8,KB[TANGGAL],"&lt;"&amp;DATE(YEAR($DZ$8),MONTH($DZ$8)+1,0))</f>
        <v>0</v>
      </c>
      <c r="EA35" s="1323"/>
      <c r="EB35" s="1322"/>
      <c r="EC35" s="1321">
        <f t="shared" si="17"/>
        <v>0</v>
      </c>
      <c r="ED35" s="1322"/>
      <c r="EE35" s="1321">
        <f>SUMIFS(KB[TPOT],KB[RELASI],C35,KB[TYPE],"A",KB[TANGGAL],"&gt;="&amp;$DZ$8,KB[TANGGAL],"&lt;"&amp;DATE(YEAR($DZ$8),MONTH($DZ$8)+1,0))</f>
        <v>0</v>
      </c>
      <c r="EF35" s="1322"/>
      <c r="EG35" s="1321">
        <f>SUMIFS(KB[NETTO2],KB[RELASI],C35,KB[TYPE],"A",KB[TANGGAL],"&gt;="&amp;$DZ$8,KB[TANGGAL],"&lt;"&amp;DATE(YEAR($DZ$8),MONTH($DZ$8)+1,0))</f>
        <v>0</v>
      </c>
      <c r="EH35" s="1323"/>
      <c r="EI35" s="1322"/>
      <c r="EJ35" s="844"/>
      <c r="EK35" s="845"/>
      <c r="EL35" s="846"/>
      <c r="EM35" s="844"/>
      <c r="EN35" s="846"/>
      <c r="EO35" s="844"/>
      <c r="EP35" s="846"/>
      <c r="EQ35" s="844"/>
      <c r="ER35" s="845"/>
      <c r="ES35" s="847"/>
    </row>
    <row r="36" spans="2:149" ht="18" customHeight="1">
      <c r="B36" s="1040">
        <f t="shared" si="18"/>
        <v>26</v>
      </c>
      <c r="C36" s="844" t="str">
        <f>RELASI!C28</f>
        <v>JULYASNO</v>
      </c>
      <c r="D36" s="845"/>
      <c r="E36" s="845"/>
      <c r="F36" s="846"/>
      <c r="G36" s="844" t="str">
        <f>RELASI!D28</f>
        <v>Teluk Pinang</v>
      </c>
      <c r="H36" s="845"/>
      <c r="I36" s="846"/>
      <c r="J36" s="1319">
        <f>SUMIFS(KB[NETTO],KB[RELASI],C36,KB[TYPE],"A",KB[TANGGAL],"&gt;="&amp;DATE($J$7,1,1),KB[TANGGAL],"&lt;"&amp;DATE($J$7+1,1,0))/12</f>
        <v>0</v>
      </c>
      <c r="K36" s="1324"/>
      <c r="L36" s="1320"/>
      <c r="M36" s="1319">
        <f t="shared" si="19"/>
        <v>0</v>
      </c>
      <c r="N36" s="1320"/>
      <c r="O36" s="1321">
        <f>SUMIFS(KB[TPOT],KB[RELASI],C36,KB[TYPE],"A",KB[TANGGAL],"&gt;="&amp;DATE($J$7,1,1),KB[TANGGAL],"&lt;"&amp;DATE($J$7+1,1,0))/12</f>
        <v>0</v>
      </c>
      <c r="P36" s="1322"/>
      <c r="Q36" s="1321">
        <f>SUMIFS(KB[NETTO2],KB[RELASI],C36,KB[TYPE],"A",KB[TANGGAL],"&gt;="&amp;DATE($J$7,1,1),KB[TANGGAL],"&lt;"&amp;DATE($J$7+1,1,0))/12</f>
        <v>0</v>
      </c>
      <c r="R36" s="1323"/>
      <c r="S36" s="1322"/>
      <c r="T36" s="1321">
        <f>SUMIFS(KB[NETTO],KB[RELASI],C36,KB[TYPE],"A",KB[TANGGAL],"&gt;="&amp;$T$8,KB[TANGGAL],"&lt;"&amp;DATE($FA$4,$FA$5+1,0))</f>
        <v>0</v>
      </c>
      <c r="U36" s="1323"/>
      <c r="V36" s="1322"/>
      <c r="W36" s="1319">
        <f t="shared" si="20"/>
        <v>0</v>
      </c>
      <c r="X36" s="1320"/>
      <c r="Y36" s="1339">
        <f>SUMIFS(KB[TPOT],KB[RELASI],C36,KB[TYPE],"A",KB[TANGGAL],"&gt;="&amp;$T$8,KB[TANGGAL],"&lt;"&amp;DATE($FA$4,$FA$5+1,0))</f>
        <v>0</v>
      </c>
      <c r="Z36" s="1340"/>
      <c r="AA36" s="1339">
        <f>SUMIFS(KB[NETTO2],KB[RELASI],C36,KB[TYPE],"A",KB[TANGGAL],"&gt;="&amp;$T$8,KB[TANGGAL],"&lt;"&amp;DATE($FA$4,$FA$5+1,0))</f>
        <v>0</v>
      </c>
      <c r="AB36" s="1341"/>
      <c r="AC36" s="1340"/>
      <c r="AD36" s="1321">
        <f>SUMIFS(KB[NETTO],KB[RELASI],C36,KB[TYPE],"A",KB[TANGGAL],"&gt;="&amp;$AD$8,KB[TANGGAL],"&lt;"&amp;DATE($FA$4,MONTH($AD$8)+1,0))</f>
        <v>0</v>
      </c>
      <c r="AE36" s="1323"/>
      <c r="AF36" s="1322"/>
      <c r="AG36" s="1321">
        <f t="shared" si="7"/>
        <v>0</v>
      </c>
      <c r="AH36" s="1322"/>
      <c r="AI36" s="1321">
        <f>SUMIFS(KB[TPOT],KB[RELASI],C36,KB[TYPE],"A",KB[TANGGAL],"&gt;="&amp;$AD$8,KB[TANGGAL],"&lt;"&amp;DATE($FA$4,MONTH($AD$8)+1,0))</f>
        <v>0</v>
      </c>
      <c r="AJ36" s="1322"/>
      <c r="AK36" s="1321">
        <f>SUMIFS(KB[NETTO2],KB[RELASI],C36,KB[TYPE],"A",KB[TANGGAL],"&gt;="&amp;$AD$8,KB[TANGGAL],"&lt;"&amp;DATE($FA$4,MONTH($AD$8)+1,0))</f>
        <v>0</v>
      </c>
      <c r="AL36" s="1323"/>
      <c r="AM36" s="1322"/>
      <c r="AN36" s="1321">
        <f>SUMIFS(KB[NETTO],KB[RELASI],C36,KB[TYPE],"A",KB[TANGGAL],"&gt;="&amp;$AN$8,KB[TANGGAL],"&lt;"&amp;DATE(YEAR($AN$8),MONTH($AN$8)+1,0))</f>
        <v>0</v>
      </c>
      <c r="AO36" s="1323"/>
      <c r="AP36" s="1322"/>
      <c r="AQ36" s="1321">
        <f t="shared" si="8"/>
        <v>0</v>
      </c>
      <c r="AR36" s="1322"/>
      <c r="AS36" s="1321">
        <f>SUMIFS(KB[TPOT],KB[RELASI],C36,KB[TYPE],"A",KB[TANGGAL],"&gt;="&amp;$AN$8,KB[TANGGAL],"&lt;"&amp;DATE(YEAR($AN$8),MONTH($AN$8)+1,0))</f>
        <v>0</v>
      </c>
      <c r="AT36" s="1322"/>
      <c r="AU36" s="1321">
        <f>SUMIFS(KB[NETTO2],KB[RELASI],C36,KB[TYPE],"A",KB[TANGGAL],"&gt;="&amp;$AN$8,KB[TANGGAL],"&lt;"&amp;DATE(YEAR($AN$8),MONTH($AN$8)+1,0))</f>
        <v>0</v>
      </c>
      <c r="AV36" s="1323"/>
      <c r="AW36" s="1322"/>
      <c r="AX36" s="1321">
        <f>SUMIFS(KB[NETTO],KB[RELASI],C36,KB[TYPE],"A",KB[TANGGAL],"&gt;="&amp;$AX$8,KB[TANGGAL],"&lt;"&amp;DATE(YEAR($AX$8),MONTH($AX$8)+1,0))</f>
        <v>0</v>
      </c>
      <c r="AY36" s="1323"/>
      <c r="AZ36" s="1322"/>
      <c r="BA36" s="1321">
        <f t="shared" si="9"/>
        <v>0</v>
      </c>
      <c r="BB36" s="1322"/>
      <c r="BC36" s="1321">
        <f>SUMIFS(KB[TPOT],KB[RELASI],C36,KB[TYPE],"A",KB[TANGGAL],"&gt;="&amp;$AX$8,KB[TANGGAL],"&lt;"&amp;DATE(YEAR($AX$8),MONTH($AX$8)+1,0))</f>
        <v>0</v>
      </c>
      <c r="BD36" s="1322"/>
      <c r="BE36" s="1321">
        <f>SUMIFS(KB[NETTO2],KB[RELASI],C36,KB[TYPE],"A",KB[TANGGAL],"&gt;="&amp;$AX$8,KB[TANGGAL],"&lt;"&amp;DATE(YEAR($AX$8),MONTH($AX$8)+1,0))</f>
        <v>0</v>
      </c>
      <c r="BF36" s="1323"/>
      <c r="BG36" s="1322"/>
      <c r="BH36" s="1321">
        <f>SUMIFS(KB[NETTO],KB[RELASI],C36,KB[TYPE],"A",KB[TANGGAL],"&gt;="&amp;$BH$8,KB[TANGGAL],"&lt;"&amp;DATE(YEAR($BH$8),MONTH($BH$8)+1,0))</f>
        <v>0</v>
      </c>
      <c r="BI36" s="1323"/>
      <c r="BJ36" s="1322"/>
      <c r="BK36" s="1321">
        <f t="shared" si="10"/>
        <v>0</v>
      </c>
      <c r="BL36" s="1322"/>
      <c r="BM36" s="1321">
        <f>SUMIFS(KB[TPOT],KB[RELASI],C36,KB[TYPE],"A",KB[TANGGAL],"&gt;="&amp;$BH$8,KB[TANGGAL],"&lt;"&amp;DATE(YEAR($BH$8),MONTH($BH$8)+1,0))</f>
        <v>0</v>
      </c>
      <c r="BN36" s="1322"/>
      <c r="BO36" s="1321">
        <f>SUMIFS(KB[NETTO2],KB[RELASI],C36,KB[TYPE],"A",KB[TANGGAL],"&gt;="&amp;$BH$8,KB[TANGGAL],"&lt;"&amp;DATE(YEAR($BH$8),MONTH($BH$8)+1,0))</f>
        <v>0</v>
      </c>
      <c r="BP36" s="1323"/>
      <c r="BQ36" s="1322"/>
      <c r="BR36" s="1321">
        <f>SUMIFS(KB[NETTO],KB[RELASI],C36,KB[TYPE],"A",KB[TANGGAL],"&gt;="&amp;$BR$8,KB[TANGGAL],"&lt;"&amp;DATE(YEAR($BR$8),MONTH($BR$8)+1,0))</f>
        <v>0</v>
      </c>
      <c r="BS36" s="1323"/>
      <c r="BT36" s="1322"/>
      <c r="BU36" s="1321">
        <f t="shared" si="11"/>
        <v>0</v>
      </c>
      <c r="BV36" s="1322"/>
      <c r="BW36" s="1321">
        <f>SUMIFS(KB[TPOT],KB[RELASI],C36,KB[TYPE],"A",KB[TANGGAL],"&gt;="&amp;$BR$8,KB[TANGGAL],"&lt;"&amp;DATE(YEAR($BR$8),MONTH($BR$8)+1,0))</f>
        <v>0</v>
      </c>
      <c r="BX36" s="1322"/>
      <c r="BY36" s="1321">
        <f>SUMIFS(KB[NETTO2],KB[RELASI],C36,KB[TYPE],"A",KB[TANGGAL],"&gt;="&amp;$BR$8,KB[TANGGAL],"&lt;"&amp;DATE(YEAR($BR$8),MONTH($BR$8)+1,0))</f>
        <v>0</v>
      </c>
      <c r="BZ36" s="1323"/>
      <c r="CA36" s="1322"/>
      <c r="CB36" s="1321">
        <f>SUMIFS(KB[NETTO],KB[RELASI],C36,KB[TYPE],"A",KB[TANGGAL],"&gt;="&amp;$CB$8,KB[TANGGAL],"&lt;"&amp;DATE(YEAR($CB$8),MONTH($CB$8)+1,0))</f>
        <v>0</v>
      </c>
      <c r="CC36" s="1323"/>
      <c r="CD36" s="1322"/>
      <c r="CE36" s="1321">
        <f t="shared" si="12"/>
        <v>0</v>
      </c>
      <c r="CF36" s="1322"/>
      <c r="CG36" s="1321">
        <f>SUMIFS(KB[TPOT],KB[RELASI],C36,KB[TYPE],"A",KB[TANGGAL],"&gt;="&amp;$CB$8,KB[TANGGAL],"&lt;"&amp;DATE(YEAR($CB$8),MONTH($CB$8)+1,0))</f>
        <v>0</v>
      </c>
      <c r="CH36" s="1322"/>
      <c r="CI36" s="1321">
        <f>SUMIFS(KB[NETTO2],KB[RELASI],C36,KB[TYPE],"A",KB[TANGGAL],"&gt;="&amp;$CB$8,KB[TANGGAL],"&lt;"&amp;DATE(YEAR($CB$8),MONTH($CB$8)+1,0))</f>
        <v>0</v>
      </c>
      <c r="CJ36" s="1323"/>
      <c r="CK36" s="1322"/>
      <c r="CL36" s="1321">
        <f>SUMIFS(KB[NETTO],KB[RELASI],C36,KB[TYPE],"A",KB[TANGGAL],"&gt;="&amp;$CL$8,KB[TANGGAL],"&lt;"&amp;DATE(YEAR($CL$8),MONTH($CL$8)+1,0))</f>
        <v>0</v>
      </c>
      <c r="CM36" s="1323"/>
      <c r="CN36" s="1322"/>
      <c r="CO36" s="1321">
        <f t="shared" si="13"/>
        <v>0</v>
      </c>
      <c r="CP36" s="1322"/>
      <c r="CQ36" s="1321">
        <f>SUMIFS(KB[TPOT],KB[RELASI],C36,KB[TYPE],"A",KB[TANGGAL],"&gt;="&amp;$CL$8,KB[TANGGAL],"&lt;"&amp;DATE(YEAR($CL$8),MONTH($CL$8)+1,0))</f>
        <v>0</v>
      </c>
      <c r="CR36" s="1322"/>
      <c r="CS36" s="1321">
        <f>SUMIFS(KB[NETTO2],KB[RELASI],C36,KB[TYPE],"A",KB[TANGGAL],"&gt;="&amp;$CL$8,KB[TANGGAL],"&lt;"&amp;DATE(YEAR($CL$8),MONTH($CL$8)+1,0))</f>
        <v>0</v>
      </c>
      <c r="CT36" s="1323"/>
      <c r="CU36" s="1322"/>
      <c r="CV36" s="1321">
        <f>SUMIFS(KB[NETTO],KB[RELASI],C36,KB[TYPE],"A",KB[TANGGAL],"&gt;="&amp;$CV$8,KB[TANGGAL],"&lt;"&amp;DATE(YEAR($CV$8),MONTH($CV$8)+1,0))</f>
        <v>0</v>
      </c>
      <c r="CW36" s="1323"/>
      <c r="CX36" s="1322"/>
      <c r="CY36" s="1321">
        <f t="shared" si="14"/>
        <v>0</v>
      </c>
      <c r="CZ36" s="1322"/>
      <c r="DA36" s="1321">
        <f>SUMIFS(KB[TPOT],KB[RELASI],C36,KB[TYPE],"A",KB[TANGGAL],"&gt;="&amp;$CV$8,KB[TANGGAL],"&lt;"&amp;DATE(YEAR($CV$8),MONTH($CV$8)+1,0))</f>
        <v>0</v>
      </c>
      <c r="DB36" s="1322"/>
      <c r="DC36" s="1321">
        <f>SUMIFS(KB[NETTO2],KB[RELASI],C36,KB[TYPE],"A",KB[TANGGAL],"&gt;="&amp;$CV$8,KB[TANGGAL],"&lt;"&amp;DATE(YEAR($CV$8),MONTH($CV$8)+1,0))</f>
        <v>0</v>
      </c>
      <c r="DD36" s="1323"/>
      <c r="DE36" s="1322"/>
      <c r="DF36" s="1321">
        <f>SUMIFS(KB[NETTO],KB[RELASI],C36,KB[TYPE],"A",KB[TANGGAL],"&gt;="&amp;$DF$8,KB[TANGGAL],"&lt;"&amp;DATE(YEAR($DF$8),MONTH($DF$8)+1,0))</f>
        <v>0</v>
      </c>
      <c r="DG36" s="1323"/>
      <c r="DH36" s="1322"/>
      <c r="DI36" s="1321">
        <f t="shared" si="15"/>
        <v>0</v>
      </c>
      <c r="DJ36" s="1322"/>
      <c r="DK36" s="1321">
        <f>SUMIFS(KB[TPOT],KB[RELASI],C36,KB[TYPE],"A",KB[TANGGAL],"&gt;="&amp;$DF$8,KB[TANGGAL],"&lt;"&amp;DATE(YEAR($DF$8),MONTH($DF$8)+1,0))</f>
        <v>0</v>
      </c>
      <c r="DL36" s="1322"/>
      <c r="DM36" s="1321">
        <f>SUMIFS(KB[NETTO2],KB[RELASI],C36,KB[TYPE],"A",KB[TANGGAL],"&gt;="&amp;$DF$8,KB[TANGGAL],"&lt;"&amp;DATE(YEAR($DF$8),MONTH($DF$8)+1,0))</f>
        <v>0</v>
      </c>
      <c r="DN36" s="1323"/>
      <c r="DO36" s="1322"/>
      <c r="DP36" s="1321">
        <f>SUMIFS(KB[NETTO],KB[RELASI],C36,KB[TYPE],"A",KB[TANGGAL],"&gt;="&amp;$DP$8,KB[TANGGAL],"&lt;"&amp;DATE(YEAR($DP$8),MONTH($DP$8)+1,0))</f>
        <v>0</v>
      </c>
      <c r="DQ36" s="1323"/>
      <c r="DR36" s="1322"/>
      <c r="DS36" s="1321">
        <f t="shared" si="16"/>
        <v>0</v>
      </c>
      <c r="DT36" s="1322"/>
      <c r="DU36" s="1321">
        <f>SUMIFS(KB[TPOT],KB[RELASI],C36,KB[TYPE],"A",KB[TANGGAL],"&gt;="&amp;$DP$8,KB[TANGGAL],"&lt;"&amp;DATE(YEAR($DP$8),MONTH($DP$8)+1,0))</f>
        <v>0</v>
      </c>
      <c r="DV36" s="1322"/>
      <c r="DW36" s="1321">
        <f>SUMIFS(KB[NETTO2],KB[RELASI],C36,KB[TYPE],"A",KB[TANGGAL],"&gt;="&amp;$DP$8,KB[TANGGAL],"&lt;"&amp;DATE(YEAR($DP$8),MONTH($DP$8)+1,0))</f>
        <v>0</v>
      </c>
      <c r="DX36" s="1323"/>
      <c r="DY36" s="1322"/>
      <c r="DZ36" s="1321">
        <f>SUMIFS(KB[NETTO],KB[RELASI],C36,KB[TYPE],"A",KB[TANGGAL],"&gt;="&amp;$DZ$8,KB[TANGGAL],"&lt;"&amp;DATE(YEAR($DZ$8),MONTH($DZ$8)+1,0))</f>
        <v>0</v>
      </c>
      <c r="EA36" s="1323"/>
      <c r="EB36" s="1322"/>
      <c r="EC36" s="1321">
        <f t="shared" si="17"/>
        <v>0</v>
      </c>
      <c r="ED36" s="1322"/>
      <c r="EE36" s="1321">
        <f>SUMIFS(KB[TPOT],KB[RELASI],C36,KB[TYPE],"A",KB[TANGGAL],"&gt;="&amp;$DZ$8,KB[TANGGAL],"&lt;"&amp;DATE(YEAR($DZ$8),MONTH($DZ$8)+1,0))</f>
        <v>0</v>
      </c>
      <c r="EF36" s="1322"/>
      <c r="EG36" s="1321">
        <f>SUMIFS(KB[NETTO2],KB[RELASI],C36,KB[TYPE],"A",KB[TANGGAL],"&gt;="&amp;$DZ$8,KB[TANGGAL],"&lt;"&amp;DATE(YEAR($DZ$8),MONTH($DZ$8)+1,0))</f>
        <v>0</v>
      </c>
      <c r="EH36" s="1323"/>
      <c r="EI36" s="1322"/>
      <c r="EJ36" s="844"/>
      <c r="EK36" s="845"/>
      <c r="EL36" s="846"/>
      <c r="EM36" s="844"/>
      <c r="EN36" s="846"/>
      <c r="EO36" s="844"/>
      <c r="EP36" s="846"/>
      <c r="EQ36" s="844"/>
      <c r="ER36" s="845"/>
      <c r="ES36" s="847"/>
    </row>
    <row r="37" spans="2:149" ht="18" customHeight="1">
      <c r="B37" s="1040">
        <f t="shared" si="18"/>
        <v>27</v>
      </c>
      <c r="C37" s="844" t="str">
        <f>RELASI!C29</f>
        <v>M.ALI-KTM</v>
      </c>
      <c r="D37" s="845"/>
      <c r="E37" s="845"/>
      <c r="F37" s="846"/>
      <c r="G37" s="844" t="str">
        <f>RELASI!D29</f>
        <v>Kateman</v>
      </c>
      <c r="H37" s="845"/>
      <c r="I37" s="846"/>
      <c r="J37" s="1319">
        <f>SUMIFS(KB[NETTO],KB[RELASI],C37,KB[TYPE],"A",KB[TANGGAL],"&gt;="&amp;DATE($J$7,1,1),KB[TANGGAL],"&lt;"&amp;DATE($J$7+1,1,0))/12</f>
        <v>0</v>
      </c>
      <c r="K37" s="1324"/>
      <c r="L37" s="1320"/>
      <c r="M37" s="1319">
        <f t="shared" si="19"/>
        <v>0</v>
      </c>
      <c r="N37" s="1320"/>
      <c r="O37" s="1321">
        <f>SUMIFS(KB[TPOT],KB[RELASI],C37,KB[TYPE],"A",KB[TANGGAL],"&gt;="&amp;DATE($J$7,1,1),KB[TANGGAL],"&lt;"&amp;DATE($J$7+1,1,0))/12</f>
        <v>0</v>
      </c>
      <c r="P37" s="1322"/>
      <c r="Q37" s="1321">
        <f>SUMIFS(KB[NETTO2],KB[RELASI],C37,KB[TYPE],"A",KB[TANGGAL],"&gt;="&amp;DATE($J$7,1,1),KB[TANGGAL],"&lt;"&amp;DATE($J$7+1,1,0))/12</f>
        <v>0</v>
      </c>
      <c r="R37" s="1323"/>
      <c r="S37" s="1322"/>
      <c r="T37" s="1321">
        <f>SUMIFS(KB[NETTO],KB[RELASI],C37,KB[TYPE],"A",KB[TANGGAL],"&gt;="&amp;$T$8,KB[TANGGAL],"&lt;"&amp;DATE($FA$4,$FA$5+1,0))</f>
        <v>0</v>
      </c>
      <c r="U37" s="1323"/>
      <c r="V37" s="1322"/>
      <c r="W37" s="1319">
        <f t="shared" si="20"/>
        <v>0</v>
      </c>
      <c r="X37" s="1320"/>
      <c r="Y37" s="1339">
        <f>SUMIFS(KB[TPOT],KB[RELASI],C37,KB[TYPE],"A",KB[TANGGAL],"&gt;="&amp;$T$8,KB[TANGGAL],"&lt;"&amp;DATE($FA$4,$FA$5+1,0))</f>
        <v>0</v>
      </c>
      <c r="Z37" s="1340"/>
      <c r="AA37" s="1339">
        <f>SUMIFS(KB[NETTO2],KB[RELASI],C37,KB[TYPE],"A",KB[TANGGAL],"&gt;="&amp;$T$8,KB[TANGGAL],"&lt;"&amp;DATE($FA$4,$FA$5+1,0))</f>
        <v>0</v>
      </c>
      <c r="AB37" s="1341"/>
      <c r="AC37" s="1340"/>
      <c r="AD37" s="1321">
        <f>SUMIFS(KB[NETTO],KB[RELASI],C37,KB[TYPE],"A",KB[TANGGAL],"&gt;="&amp;$AD$8,KB[TANGGAL],"&lt;"&amp;DATE($FA$4,MONTH($AD$8)+1,0))</f>
        <v>0</v>
      </c>
      <c r="AE37" s="1323"/>
      <c r="AF37" s="1322"/>
      <c r="AG37" s="1321">
        <f t="shared" si="7"/>
        <v>0</v>
      </c>
      <c r="AH37" s="1322"/>
      <c r="AI37" s="1321">
        <f>SUMIFS(KB[TPOT],KB[RELASI],C37,KB[TYPE],"A",KB[TANGGAL],"&gt;="&amp;$AD$8,KB[TANGGAL],"&lt;"&amp;DATE($FA$4,MONTH($AD$8)+1,0))</f>
        <v>0</v>
      </c>
      <c r="AJ37" s="1322"/>
      <c r="AK37" s="1321">
        <f>SUMIFS(KB[NETTO2],KB[RELASI],C37,KB[TYPE],"A",KB[TANGGAL],"&gt;="&amp;$AD$8,KB[TANGGAL],"&lt;"&amp;DATE($FA$4,MONTH($AD$8)+1,0))</f>
        <v>0</v>
      </c>
      <c r="AL37" s="1323"/>
      <c r="AM37" s="1322"/>
      <c r="AN37" s="1321">
        <f>SUMIFS(KB[NETTO],KB[RELASI],C37,KB[TYPE],"A",KB[TANGGAL],"&gt;="&amp;$AN$8,KB[TANGGAL],"&lt;"&amp;DATE(YEAR($AN$8),MONTH($AN$8)+1,0))</f>
        <v>0</v>
      </c>
      <c r="AO37" s="1323"/>
      <c r="AP37" s="1322"/>
      <c r="AQ37" s="1321">
        <f t="shared" si="8"/>
        <v>0</v>
      </c>
      <c r="AR37" s="1322"/>
      <c r="AS37" s="1321">
        <f>SUMIFS(KB[TPOT],KB[RELASI],C37,KB[TYPE],"A",KB[TANGGAL],"&gt;="&amp;$AN$8,KB[TANGGAL],"&lt;"&amp;DATE(YEAR($AN$8),MONTH($AN$8)+1,0))</f>
        <v>0</v>
      </c>
      <c r="AT37" s="1322"/>
      <c r="AU37" s="1321">
        <f>SUMIFS(KB[NETTO2],KB[RELASI],C37,KB[TYPE],"A",KB[TANGGAL],"&gt;="&amp;$AN$8,KB[TANGGAL],"&lt;"&amp;DATE(YEAR($AN$8),MONTH($AN$8)+1,0))</f>
        <v>0</v>
      </c>
      <c r="AV37" s="1323"/>
      <c r="AW37" s="1322"/>
      <c r="AX37" s="1321">
        <f>SUMIFS(KB[NETTO],KB[RELASI],C37,KB[TYPE],"A",KB[TANGGAL],"&gt;="&amp;$AX$8,KB[TANGGAL],"&lt;"&amp;DATE(YEAR($AX$8),MONTH($AX$8)+1,0))</f>
        <v>0</v>
      </c>
      <c r="AY37" s="1323"/>
      <c r="AZ37" s="1322"/>
      <c r="BA37" s="1321">
        <f t="shared" si="9"/>
        <v>0</v>
      </c>
      <c r="BB37" s="1322"/>
      <c r="BC37" s="1321">
        <f>SUMIFS(KB[TPOT],KB[RELASI],C37,KB[TYPE],"A",KB[TANGGAL],"&gt;="&amp;$AX$8,KB[TANGGAL],"&lt;"&amp;DATE(YEAR($AX$8),MONTH($AX$8)+1,0))</f>
        <v>0</v>
      </c>
      <c r="BD37" s="1322"/>
      <c r="BE37" s="1321">
        <f>SUMIFS(KB[NETTO2],KB[RELASI],C37,KB[TYPE],"A",KB[TANGGAL],"&gt;="&amp;$AX$8,KB[TANGGAL],"&lt;"&amp;DATE(YEAR($AX$8),MONTH($AX$8)+1,0))</f>
        <v>0</v>
      </c>
      <c r="BF37" s="1323"/>
      <c r="BG37" s="1322"/>
      <c r="BH37" s="1321">
        <f>SUMIFS(KB[NETTO],KB[RELASI],C37,KB[TYPE],"A",KB[TANGGAL],"&gt;="&amp;$BH$8,KB[TANGGAL],"&lt;"&amp;DATE(YEAR($BH$8),MONTH($BH$8)+1,0))</f>
        <v>0</v>
      </c>
      <c r="BI37" s="1323"/>
      <c r="BJ37" s="1322"/>
      <c r="BK37" s="1321">
        <f t="shared" si="10"/>
        <v>0</v>
      </c>
      <c r="BL37" s="1322"/>
      <c r="BM37" s="1321">
        <f>SUMIFS(KB[TPOT],KB[RELASI],C37,KB[TYPE],"A",KB[TANGGAL],"&gt;="&amp;$BH$8,KB[TANGGAL],"&lt;"&amp;DATE(YEAR($BH$8),MONTH($BH$8)+1,0))</f>
        <v>0</v>
      </c>
      <c r="BN37" s="1322"/>
      <c r="BO37" s="1321">
        <f>SUMIFS(KB[NETTO2],KB[RELASI],C37,KB[TYPE],"A",KB[TANGGAL],"&gt;="&amp;$BH$8,KB[TANGGAL],"&lt;"&amp;DATE(YEAR($BH$8),MONTH($BH$8)+1,0))</f>
        <v>0</v>
      </c>
      <c r="BP37" s="1323"/>
      <c r="BQ37" s="1322"/>
      <c r="BR37" s="1321">
        <f>SUMIFS(KB[NETTO],KB[RELASI],C37,KB[TYPE],"A",KB[TANGGAL],"&gt;="&amp;$BR$8,KB[TANGGAL],"&lt;"&amp;DATE(YEAR($BR$8),MONTH($BR$8)+1,0))</f>
        <v>0</v>
      </c>
      <c r="BS37" s="1323"/>
      <c r="BT37" s="1322"/>
      <c r="BU37" s="1321">
        <f t="shared" si="11"/>
        <v>0</v>
      </c>
      <c r="BV37" s="1322"/>
      <c r="BW37" s="1321">
        <f>SUMIFS(KB[TPOT],KB[RELASI],C37,KB[TYPE],"A",KB[TANGGAL],"&gt;="&amp;$BR$8,KB[TANGGAL],"&lt;"&amp;DATE(YEAR($BR$8),MONTH($BR$8)+1,0))</f>
        <v>0</v>
      </c>
      <c r="BX37" s="1322"/>
      <c r="BY37" s="1321">
        <f>SUMIFS(KB[NETTO2],KB[RELASI],C37,KB[TYPE],"A",KB[TANGGAL],"&gt;="&amp;$BR$8,KB[TANGGAL],"&lt;"&amp;DATE(YEAR($BR$8),MONTH($BR$8)+1,0))</f>
        <v>0</v>
      </c>
      <c r="BZ37" s="1323"/>
      <c r="CA37" s="1322"/>
      <c r="CB37" s="1321">
        <f>SUMIFS(KB[NETTO],KB[RELASI],C37,KB[TYPE],"A",KB[TANGGAL],"&gt;="&amp;$CB$8,KB[TANGGAL],"&lt;"&amp;DATE(YEAR($CB$8),MONTH($CB$8)+1,0))</f>
        <v>0</v>
      </c>
      <c r="CC37" s="1323"/>
      <c r="CD37" s="1322"/>
      <c r="CE37" s="1321">
        <f t="shared" si="12"/>
        <v>0</v>
      </c>
      <c r="CF37" s="1322"/>
      <c r="CG37" s="1321">
        <f>SUMIFS(KB[TPOT],KB[RELASI],C37,KB[TYPE],"A",KB[TANGGAL],"&gt;="&amp;$CB$8,KB[TANGGAL],"&lt;"&amp;DATE(YEAR($CB$8),MONTH($CB$8)+1,0))</f>
        <v>0</v>
      </c>
      <c r="CH37" s="1322"/>
      <c r="CI37" s="1321">
        <f>SUMIFS(KB[NETTO2],KB[RELASI],C37,KB[TYPE],"A",KB[TANGGAL],"&gt;="&amp;$CB$8,KB[TANGGAL],"&lt;"&amp;DATE(YEAR($CB$8),MONTH($CB$8)+1,0))</f>
        <v>0</v>
      </c>
      <c r="CJ37" s="1323"/>
      <c r="CK37" s="1322"/>
      <c r="CL37" s="1321">
        <f>SUMIFS(KB[NETTO],KB[RELASI],C37,KB[TYPE],"A",KB[TANGGAL],"&gt;="&amp;$CL$8,KB[TANGGAL],"&lt;"&amp;DATE(YEAR($CL$8),MONTH($CL$8)+1,0))</f>
        <v>0</v>
      </c>
      <c r="CM37" s="1323"/>
      <c r="CN37" s="1322"/>
      <c r="CO37" s="1321">
        <f t="shared" si="13"/>
        <v>0</v>
      </c>
      <c r="CP37" s="1322"/>
      <c r="CQ37" s="1321">
        <f>SUMIFS(KB[TPOT],KB[RELASI],C37,KB[TYPE],"A",KB[TANGGAL],"&gt;="&amp;$CL$8,KB[TANGGAL],"&lt;"&amp;DATE(YEAR($CL$8),MONTH($CL$8)+1,0))</f>
        <v>0</v>
      </c>
      <c r="CR37" s="1322"/>
      <c r="CS37" s="1321">
        <f>SUMIFS(KB[NETTO2],KB[RELASI],C37,KB[TYPE],"A",KB[TANGGAL],"&gt;="&amp;$CL$8,KB[TANGGAL],"&lt;"&amp;DATE(YEAR($CL$8),MONTH($CL$8)+1,0))</f>
        <v>0</v>
      </c>
      <c r="CT37" s="1323"/>
      <c r="CU37" s="1322"/>
      <c r="CV37" s="1321">
        <f>SUMIFS(KB[NETTO],KB[RELASI],C37,KB[TYPE],"A",KB[TANGGAL],"&gt;="&amp;$CV$8,KB[TANGGAL],"&lt;"&amp;DATE(YEAR($CV$8),MONTH($CV$8)+1,0))</f>
        <v>0</v>
      </c>
      <c r="CW37" s="1323"/>
      <c r="CX37" s="1322"/>
      <c r="CY37" s="1321">
        <f t="shared" si="14"/>
        <v>0</v>
      </c>
      <c r="CZ37" s="1322"/>
      <c r="DA37" s="1321">
        <f>SUMIFS(KB[TPOT],KB[RELASI],C37,KB[TYPE],"A",KB[TANGGAL],"&gt;="&amp;$CV$8,KB[TANGGAL],"&lt;"&amp;DATE(YEAR($CV$8),MONTH($CV$8)+1,0))</f>
        <v>0</v>
      </c>
      <c r="DB37" s="1322"/>
      <c r="DC37" s="1321">
        <f>SUMIFS(KB[NETTO2],KB[RELASI],C37,KB[TYPE],"A",KB[TANGGAL],"&gt;="&amp;$CV$8,KB[TANGGAL],"&lt;"&amp;DATE(YEAR($CV$8),MONTH($CV$8)+1,0))</f>
        <v>0</v>
      </c>
      <c r="DD37" s="1323"/>
      <c r="DE37" s="1322"/>
      <c r="DF37" s="1321">
        <f>SUMIFS(KB[NETTO],KB[RELASI],C37,KB[TYPE],"A",KB[TANGGAL],"&gt;="&amp;$DF$8,KB[TANGGAL],"&lt;"&amp;DATE(YEAR($DF$8),MONTH($DF$8)+1,0))</f>
        <v>0</v>
      </c>
      <c r="DG37" s="1323"/>
      <c r="DH37" s="1322"/>
      <c r="DI37" s="1321">
        <f t="shared" si="15"/>
        <v>0</v>
      </c>
      <c r="DJ37" s="1322"/>
      <c r="DK37" s="1321">
        <f>SUMIFS(KB[TPOT],KB[RELASI],C37,KB[TYPE],"A",KB[TANGGAL],"&gt;="&amp;$DF$8,KB[TANGGAL],"&lt;"&amp;DATE(YEAR($DF$8),MONTH($DF$8)+1,0))</f>
        <v>0</v>
      </c>
      <c r="DL37" s="1322"/>
      <c r="DM37" s="1321">
        <f>SUMIFS(KB[NETTO2],KB[RELASI],C37,KB[TYPE],"A",KB[TANGGAL],"&gt;="&amp;$DF$8,KB[TANGGAL],"&lt;"&amp;DATE(YEAR($DF$8),MONTH($DF$8)+1,0))</f>
        <v>0</v>
      </c>
      <c r="DN37" s="1323"/>
      <c r="DO37" s="1322"/>
      <c r="DP37" s="1321">
        <f>SUMIFS(KB[NETTO],KB[RELASI],C37,KB[TYPE],"A",KB[TANGGAL],"&gt;="&amp;$DP$8,KB[TANGGAL],"&lt;"&amp;DATE(YEAR($DP$8),MONTH($DP$8)+1,0))</f>
        <v>0</v>
      </c>
      <c r="DQ37" s="1323"/>
      <c r="DR37" s="1322"/>
      <c r="DS37" s="1321">
        <f t="shared" si="16"/>
        <v>0</v>
      </c>
      <c r="DT37" s="1322"/>
      <c r="DU37" s="1321">
        <f>SUMIFS(KB[TPOT],KB[RELASI],C37,KB[TYPE],"A",KB[TANGGAL],"&gt;="&amp;$DP$8,KB[TANGGAL],"&lt;"&amp;DATE(YEAR($DP$8),MONTH($DP$8)+1,0))</f>
        <v>0</v>
      </c>
      <c r="DV37" s="1322"/>
      <c r="DW37" s="1321">
        <f>SUMIFS(KB[NETTO2],KB[RELASI],C37,KB[TYPE],"A",KB[TANGGAL],"&gt;="&amp;$DP$8,KB[TANGGAL],"&lt;"&amp;DATE(YEAR($DP$8),MONTH($DP$8)+1,0))</f>
        <v>0</v>
      </c>
      <c r="DX37" s="1323"/>
      <c r="DY37" s="1322"/>
      <c r="DZ37" s="1321">
        <f>SUMIFS(KB[NETTO],KB[RELASI],C37,KB[TYPE],"A",KB[TANGGAL],"&gt;="&amp;$DZ$8,KB[TANGGAL],"&lt;"&amp;DATE(YEAR($DZ$8),MONTH($DZ$8)+1,0))</f>
        <v>0</v>
      </c>
      <c r="EA37" s="1323"/>
      <c r="EB37" s="1322"/>
      <c r="EC37" s="1321">
        <f t="shared" si="17"/>
        <v>0</v>
      </c>
      <c r="ED37" s="1322"/>
      <c r="EE37" s="1321">
        <f>SUMIFS(KB[TPOT],KB[RELASI],C37,KB[TYPE],"A",KB[TANGGAL],"&gt;="&amp;$DZ$8,KB[TANGGAL],"&lt;"&amp;DATE(YEAR($DZ$8),MONTH($DZ$8)+1,0))</f>
        <v>0</v>
      </c>
      <c r="EF37" s="1322"/>
      <c r="EG37" s="1321">
        <f>SUMIFS(KB[NETTO2],KB[RELASI],C37,KB[TYPE],"A",KB[TANGGAL],"&gt;="&amp;$DZ$8,KB[TANGGAL],"&lt;"&amp;DATE(YEAR($DZ$8),MONTH($DZ$8)+1,0))</f>
        <v>0</v>
      </c>
      <c r="EH37" s="1323"/>
      <c r="EI37" s="1322"/>
      <c r="EJ37" s="844"/>
      <c r="EK37" s="845"/>
      <c r="EL37" s="846"/>
      <c r="EM37" s="844"/>
      <c r="EN37" s="846"/>
      <c r="EO37" s="844"/>
      <c r="EP37" s="846"/>
      <c r="EQ37" s="844"/>
      <c r="ER37" s="845"/>
      <c r="ES37" s="847"/>
    </row>
    <row r="38" spans="2:149" ht="18" customHeight="1">
      <c r="B38" s="1040">
        <f t="shared" si="18"/>
        <v>28</v>
      </c>
      <c r="C38" s="844" t="str">
        <f>RELASI!C30</f>
        <v>M.AMIN</v>
      </c>
      <c r="D38" s="845"/>
      <c r="E38" s="845"/>
      <c r="F38" s="846"/>
      <c r="G38" s="844" t="str">
        <f>RELASI!D30</f>
        <v>Lahang</v>
      </c>
      <c r="H38" s="845"/>
      <c r="I38" s="846"/>
      <c r="J38" s="1319">
        <f>SUMIFS(KB[NETTO],KB[RELASI],C38,KB[TYPE],"A",KB[TANGGAL],"&gt;="&amp;DATE($J$7,1,1),KB[TANGGAL],"&lt;"&amp;DATE($J$7+1,1,0))/12</f>
        <v>0</v>
      </c>
      <c r="K38" s="1324"/>
      <c r="L38" s="1320"/>
      <c r="M38" s="1319">
        <f t="shared" si="19"/>
        <v>0</v>
      </c>
      <c r="N38" s="1320"/>
      <c r="O38" s="1321">
        <f>SUMIFS(KB[TPOT],KB[RELASI],C38,KB[TYPE],"A",KB[TANGGAL],"&gt;="&amp;DATE($J$7,1,1),KB[TANGGAL],"&lt;"&amp;DATE($J$7+1,1,0))/12</f>
        <v>0</v>
      </c>
      <c r="P38" s="1322"/>
      <c r="Q38" s="1321">
        <f>SUMIFS(KB[NETTO2],KB[RELASI],C38,KB[TYPE],"A",KB[TANGGAL],"&gt;="&amp;DATE($J$7,1,1),KB[TANGGAL],"&lt;"&amp;DATE($J$7+1,1,0))/12</f>
        <v>0</v>
      </c>
      <c r="R38" s="1323"/>
      <c r="S38" s="1322"/>
      <c r="T38" s="1321">
        <f>SUMIFS(KB[NETTO],KB[RELASI],C38,KB[TYPE],"A",KB[TANGGAL],"&gt;="&amp;$T$8,KB[TANGGAL],"&lt;"&amp;DATE($FA$4,$FA$5+1,0))</f>
        <v>0</v>
      </c>
      <c r="U38" s="1323"/>
      <c r="V38" s="1322"/>
      <c r="W38" s="1319">
        <f t="shared" si="20"/>
        <v>0</v>
      </c>
      <c r="X38" s="1320"/>
      <c r="Y38" s="1339">
        <f>SUMIFS(KB[TPOT],KB[RELASI],C38,KB[TYPE],"A",KB[TANGGAL],"&gt;="&amp;$T$8,KB[TANGGAL],"&lt;"&amp;DATE($FA$4,$FA$5+1,0))</f>
        <v>0</v>
      </c>
      <c r="Z38" s="1340"/>
      <c r="AA38" s="1339">
        <f>SUMIFS(KB[NETTO2],KB[RELASI],C38,KB[TYPE],"A",KB[TANGGAL],"&gt;="&amp;$T$8,KB[TANGGAL],"&lt;"&amp;DATE($FA$4,$FA$5+1,0))</f>
        <v>0</v>
      </c>
      <c r="AB38" s="1341"/>
      <c r="AC38" s="1340"/>
      <c r="AD38" s="1321">
        <f>SUMIFS(KB[NETTO],KB[RELASI],C38,KB[TYPE],"A",KB[TANGGAL],"&gt;="&amp;$AD$8,KB[TANGGAL],"&lt;"&amp;DATE($FA$4,MONTH($AD$8)+1,0))</f>
        <v>0</v>
      </c>
      <c r="AE38" s="1323"/>
      <c r="AF38" s="1322"/>
      <c r="AG38" s="1321">
        <f t="shared" si="7"/>
        <v>0</v>
      </c>
      <c r="AH38" s="1322"/>
      <c r="AI38" s="1321">
        <f>SUMIFS(KB[TPOT],KB[RELASI],C38,KB[TYPE],"A",KB[TANGGAL],"&gt;="&amp;$AD$8,KB[TANGGAL],"&lt;"&amp;DATE($FA$4,MONTH($AD$8)+1,0))</f>
        <v>0</v>
      </c>
      <c r="AJ38" s="1322"/>
      <c r="AK38" s="1321">
        <f>SUMIFS(KB[NETTO2],KB[RELASI],C38,KB[TYPE],"A",KB[TANGGAL],"&gt;="&amp;$AD$8,KB[TANGGAL],"&lt;"&amp;DATE($FA$4,MONTH($AD$8)+1,0))</f>
        <v>0</v>
      </c>
      <c r="AL38" s="1323"/>
      <c r="AM38" s="1322"/>
      <c r="AN38" s="1321">
        <f>SUMIFS(KB[NETTO],KB[RELASI],C38,KB[TYPE],"A",KB[TANGGAL],"&gt;="&amp;$AN$8,KB[TANGGAL],"&lt;"&amp;DATE(YEAR($AN$8),MONTH($AN$8)+1,0))</f>
        <v>0</v>
      </c>
      <c r="AO38" s="1323"/>
      <c r="AP38" s="1322"/>
      <c r="AQ38" s="1321">
        <f t="shared" si="8"/>
        <v>0</v>
      </c>
      <c r="AR38" s="1322"/>
      <c r="AS38" s="1321">
        <f>SUMIFS(KB[TPOT],KB[RELASI],C38,KB[TYPE],"A",KB[TANGGAL],"&gt;="&amp;$AN$8,KB[TANGGAL],"&lt;"&amp;DATE(YEAR($AN$8),MONTH($AN$8)+1,0))</f>
        <v>0</v>
      </c>
      <c r="AT38" s="1322"/>
      <c r="AU38" s="1321">
        <f>SUMIFS(KB[NETTO2],KB[RELASI],C38,KB[TYPE],"A",KB[TANGGAL],"&gt;="&amp;$AN$8,KB[TANGGAL],"&lt;"&amp;DATE(YEAR($AN$8),MONTH($AN$8)+1,0))</f>
        <v>0</v>
      </c>
      <c r="AV38" s="1323"/>
      <c r="AW38" s="1322"/>
      <c r="AX38" s="1321">
        <f>SUMIFS(KB[NETTO],KB[RELASI],C38,KB[TYPE],"A",KB[TANGGAL],"&gt;="&amp;$AX$8,KB[TANGGAL],"&lt;"&amp;DATE(YEAR($AX$8),MONTH($AX$8)+1,0))</f>
        <v>0</v>
      </c>
      <c r="AY38" s="1323"/>
      <c r="AZ38" s="1322"/>
      <c r="BA38" s="1321">
        <f t="shared" si="9"/>
        <v>0</v>
      </c>
      <c r="BB38" s="1322"/>
      <c r="BC38" s="1321">
        <f>SUMIFS(KB[TPOT],KB[RELASI],C38,KB[TYPE],"A",KB[TANGGAL],"&gt;="&amp;$AX$8,KB[TANGGAL],"&lt;"&amp;DATE(YEAR($AX$8),MONTH($AX$8)+1,0))</f>
        <v>0</v>
      </c>
      <c r="BD38" s="1322"/>
      <c r="BE38" s="1321">
        <f>SUMIFS(KB[NETTO2],KB[RELASI],C38,KB[TYPE],"A",KB[TANGGAL],"&gt;="&amp;$AX$8,KB[TANGGAL],"&lt;"&amp;DATE(YEAR($AX$8),MONTH($AX$8)+1,0))</f>
        <v>0</v>
      </c>
      <c r="BF38" s="1323"/>
      <c r="BG38" s="1322"/>
      <c r="BH38" s="1321">
        <f>SUMIFS(KB[NETTO],KB[RELASI],C38,KB[TYPE],"A",KB[TANGGAL],"&gt;="&amp;$BH$8,KB[TANGGAL],"&lt;"&amp;DATE(YEAR($BH$8),MONTH($BH$8)+1,0))</f>
        <v>0</v>
      </c>
      <c r="BI38" s="1323"/>
      <c r="BJ38" s="1322"/>
      <c r="BK38" s="1321">
        <f t="shared" si="10"/>
        <v>0</v>
      </c>
      <c r="BL38" s="1322"/>
      <c r="BM38" s="1321">
        <f>SUMIFS(KB[TPOT],KB[RELASI],C38,KB[TYPE],"A",KB[TANGGAL],"&gt;="&amp;$BH$8,KB[TANGGAL],"&lt;"&amp;DATE(YEAR($BH$8),MONTH($BH$8)+1,0))</f>
        <v>0</v>
      </c>
      <c r="BN38" s="1322"/>
      <c r="BO38" s="1321">
        <f>SUMIFS(KB[NETTO2],KB[RELASI],C38,KB[TYPE],"A",KB[TANGGAL],"&gt;="&amp;$BH$8,KB[TANGGAL],"&lt;"&amp;DATE(YEAR($BH$8),MONTH($BH$8)+1,0))</f>
        <v>0</v>
      </c>
      <c r="BP38" s="1323"/>
      <c r="BQ38" s="1322"/>
      <c r="BR38" s="1321">
        <f>SUMIFS(KB[NETTO],KB[RELASI],C38,KB[TYPE],"A",KB[TANGGAL],"&gt;="&amp;$BR$8,KB[TANGGAL],"&lt;"&amp;DATE(YEAR($BR$8),MONTH($BR$8)+1,0))</f>
        <v>0</v>
      </c>
      <c r="BS38" s="1323"/>
      <c r="BT38" s="1322"/>
      <c r="BU38" s="1321">
        <f t="shared" si="11"/>
        <v>0</v>
      </c>
      <c r="BV38" s="1322"/>
      <c r="BW38" s="1321">
        <f>SUMIFS(KB[TPOT],KB[RELASI],C38,KB[TYPE],"A",KB[TANGGAL],"&gt;="&amp;$BR$8,KB[TANGGAL],"&lt;"&amp;DATE(YEAR($BR$8),MONTH($BR$8)+1,0))</f>
        <v>0</v>
      </c>
      <c r="BX38" s="1322"/>
      <c r="BY38" s="1321">
        <f>SUMIFS(KB[NETTO2],KB[RELASI],C38,KB[TYPE],"A",KB[TANGGAL],"&gt;="&amp;$BR$8,KB[TANGGAL],"&lt;"&amp;DATE(YEAR($BR$8),MONTH($BR$8)+1,0))</f>
        <v>0</v>
      </c>
      <c r="BZ38" s="1323"/>
      <c r="CA38" s="1322"/>
      <c r="CB38" s="1321">
        <f>SUMIFS(KB[NETTO],KB[RELASI],C38,KB[TYPE],"A",KB[TANGGAL],"&gt;="&amp;$CB$8,KB[TANGGAL],"&lt;"&amp;DATE(YEAR($CB$8),MONTH($CB$8)+1,0))</f>
        <v>0</v>
      </c>
      <c r="CC38" s="1323"/>
      <c r="CD38" s="1322"/>
      <c r="CE38" s="1321">
        <f t="shared" si="12"/>
        <v>0</v>
      </c>
      <c r="CF38" s="1322"/>
      <c r="CG38" s="1321">
        <f>SUMIFS(KB[TPOT],KB[RELASI],C38,KB[TYPE],"A",KB[TANGGAL],"&gt;="&amp;$CB$8,KB[TANGGAL],"&lt;"&amp;DATE(YEAR($CB$8),MONTH($CB$8)+1,0))</f>
        <v>0</v>
      </c>
      <c r="CH38" s="1322"/>
      <c r="CI38" s="1321">
        <f>SUMIFS(KB[NETTO2],KB[RELASI],C38,KB[TYPE],"A",KB[TANGGAL],"&gt;="&amp;$CB$8,KB[TANGGAL],"&lt;"&amp;DATE(YEAR($CB$8),MONTH($CB$8)+1,0))</f>
        <v>0</v>
      </c>
      <c r="CJ38" s="1323"/>
      <c r="CK38" s="1322"/>
      <c r="CL38" s="1321">
        <f>SUMIFS(KB[NETTO],KB[RELASI],C38,KB[TYPE],"A",KB[TANGGAL],"&gt;="&amp;$CL$8,KB[TANGGAL],"&lt;"&amp;DATE(YEAR($CL$8),MONTH($CL$8)+1,0))</f>
        <v>0</v>
      </c>
      <c r="CM38" s="1323"/>
      <c r="CN38" s="1322"/>
      <c r="CO38" s="1321">
        <f t="shared" si="13"/>
        <v>0</v>
      </c>
      <c r="CP38" s="1322"/>
      <c r="CQ38" s="1321">
        <f>SUMIFS(KB[TPOT],KB[RELASI],C38,KB[TYPE],"A",KB[TANGGAL],"&gt;="&amp;$CL$8,KB[TANGGAL],"&lt;"&amp;DATE(YEAR($CL$8),MONTH($CL$8)+1,0))</f>
        <v>0</v>
      </c>
      <c r="CR38" s="1322"/>
      <c r="CS38" s="1321">
        <f>SUMIFS(KB[NETTO2],KB[RELASI],C38,KB[TYPE],"A",KB[TANGGAL],"&gt;="&amp;$CL$8,KB[TANGGAL],"&lt;"&amp;DATE(YEAR($CL$8),MONTH($CL$8)+1,0))</f>
        <v>0</v>
      </c>
      <c r="CT38" s="1323"/>
      <c r="CU38" s="1322"/>
      <c r="CV38" s="1321">
        <f>SUMIFS(KB[NETTO],KB[RELASI],C38,KB[TYPE],"A",KB[TANGGAL],"&gt;="&amp;$CV$8,KB[TANGGAL],"&lt;"&amp;DATE(YEAR($CV$8),MONTH($CV$8)+1,0))</f>
        <v>0</v>
      </c>
      <c r="CW38" s="1323"/>
      <c r="CX38" s="1322"/>
      <c r="CY38" s="1321">
        <f t="shared" si="14"/>
        <v>0</v>
      </c>
      <c r="CZ38" s="1322"/>
      <c r="DA38" s="1321">
        <f>SUMIFS(KB[TPOT],KB[RELASI],C38,KB[TYPE],"A",KB[TANGGAL],"&gt;="&amp;$CV$8,KB[TANGGAL],"&lt;"&amp;DATE(YEAR($CV$8),MONTH($CV$8)+1,0))</f>
        <v>0</v>
      </c>
      <c r="DB38" s="1322"/>
      <c r="DC38" s="1321">
        <f>SUMIFS(KB[NETTO2],KB[RELASI],C38,KB[TYPE],"A",KB[TANGGAL],"&gt;="&amp;$CV$8,KB[TANGGAL],"&lt;"&amp;DATE(YEAR($CV$8),MONTH($CV$8)+1,0))</f>
        <v>0</v>
      </c>
      <c r="DD38" s="1323"/>
      <c r="DE38" s="1322"/>
      <c r="DF38" s="1321">
        <f>SUMIFS(KB[NETTO],KB[RELASI],C38,KB[TYPE],"A",KB[TANGGAL],"&gt;="&amp;$DF$8,KB[TANGGAL],"&lt;"&amp;DATE(YEAR($DF$8),MONTH($DF$8)+1,0))</f>
        <v>0</v>
      </c>
      <c r="DG38" s="1323"/>
      <c r="DH38" s="1322"/>
      <c r="DI38" s="1321">
        <f t="shared" si="15"/>
        <v>0</v>
      </c>
      <c r="DJ38" s="1322"/>
      <c r="DK38" s="1321">
        <f>SUMIFS(KB[TPOT],KB[RELASI],C38,KB[TYPE],"A",KB[TANGGAL],"&gt;="&amp;$DF$8,KB[TANGGAL],"&lt;"&amp;DATE(YEAR($DF$8),MONTH($DF$8)+1,0))</f>
        <v>0</v>
      </c>
      <c r="DL38" s="1322"/>
      <c r="DM38" s="1321">
        <f>SUMIFS(KB[NETTO2],KB[RELASI],C38,KB[TYPE],"A",KB[TANGGAL],"&gt;="&amp;$DF$8,KB[TANGGAL],"&lt;"&amp;DATE(YEAR($DF$8),MONTH($DF$8)+1,0))</f>
        <v>0</v>
      </c>
      <c r="DN38" s="1323"/>
      <c r="DO38" s="1322"/>
      <c r="DP38" s="1321">
        <f>SUMIFS(KB[NETTO],KB[RELASI],C38,KB[TYPE],"A",KB[TANGGAL],"&gt;="&amp;$DP$8,KB[TANGGAL],"&lt;"&amp;DATE(YEAR($DP$8),MONTH($DP$8)+1,0))</f>
        <v>0</v>
      </c>
      <c r="DQ38" s="1323"/>
      <c r="DR38" s="1322"/>
      <c r="DS38" s="1321">
        <f t="shared" si="16"/>
        <v>0</v>
      </c>
      <c r="DT38" s="1322"/>
      <c r="DU38" s="1321">
        <f>SUMIFS(KB[TPOT],KB[RELASI],C38,KB[TYPE],"A",KB[TANGGAL],"&gt;="&amp;$DP$8,KB[TANGGAL],"&lt;"&amp;DATE(YEAR($DP$8),MONTH($DP$8)+1,0))</f>
        <v>0</v>
      </c>
      <c r="DV38" s="1322"/>
      <c r="DW38" s="1321">
        <f>SUMIFS(KB[NETTO2],KB[RELASI],C38,KB[TYPE],"A",KB[TANGGAL],"&gt;="&amp;$DP$8,KB[TANGGAL],"&lt;"&amp;DATE(YEAR($DP$8),MONTH($DP$8)+1,0))</f>
        <v>0</v>
      </c>
      <c r="DX38" s="1323"/>
      <c r="DY38" s="1322"/>
      <c r="DZ38" s="1321">
        <f>SUMIFS(KB[NETTO],KB[RELASI],C38,KB[TYPE],"A",KB[TANGGAL],"&gt;="&amp;$DZ$8,KB[TANGGAL],"&lt;"&amp;DATE(YEAR($DZ$8),MONTH($DZ$8)+1,0))</f>
        <v>0</v>
      </c>
      <c r="EA38" s="1323"/>
      <c r="EB38" s="1322"/>
      <c r="EC38" s="1321">
        <f t="shared" si="17"/>
        <v>0</v>
      </c>
      <c r="ED38" s="1322"/>
      <c r="EE38" s="1321">
        <f>SUMIFS(KB[TPOT],KB[RELASI],C38,KB[TYPE],"A",KB[TANGGAL],"&gt;="&amp;$DZ$8,KB[TANGGAL],"&lt;"&amp;DATE(YEAR($DZ$8),MONTH($DZ$8)+1,0))</f>
        <v>0</v>
      </c>
      <c r="EF38" s="1322"/>
      <c r="EG38" s="1321">
        <f>SUMIFS(KB[NETTO2],KB[RELASI],C38,KB[TYPE],"A",KB[TANGGAL],"&gt;="&amp;$DZ$8,KB[TANGGAL],"&lt;"&amp;DATE(YEAR($DZ$8),MONTH($DZ$8)+1,0))</f>
        <v>0</v>
      </c>
      <c r="EH38" s="1323"/>
      <c r="EI38" s="1322"/>
      <c r="EJ38" s="844"/>
      <c r="EK38" s="845"/>
      <c r="EL38" s="846"/>
      <c r="EM38" s="844"/>
      <c r="EN38" s="846"/>
      <c r="EO38" s="844"/>
      <c r="EP38" s="846"/>
      <c r="EQ38" s="844"/>
      <c r="ER38" s="845"/>
      <c r="ES38" s="847"/>
    </row>
    <row r="39" spans="2:149" ht="18" customHeight="1">
      <c r="B39" s="1040">
        <f t="shared" si="18"/>
        <v>29</v>
      </c>
      <c r="C39" s="844" t="str">
        <f>RELASI!C31</f>
        <v>M.ASNAWI</v>
      </c>
      <c r="D39" s="845"/>
      <c r="E39" s="845"/>
      <c r="F39" s="846"/>
      <c r="G39" s="844" t="str">
        <f>RELASI!D31</f>
        <v>Sei. Sejuk</v>
      </c>
      <c r="H39" s="845"/>
      <c r="I39" s="846"/>
      <c r="J39" s="1319">
        <f>SUMIFS(KB[NETTO],KB[RELASI],C39,KB[TYPE],"A",KB[TANGGAL],"&gt;="&amp;DATE($J$7,1,1),KB[TANGGAL],"&lt;"&amp;DATE($J$7+1,1,0))/12</f>
        <v>0</v>
      </c>
      <c r="K39" s="1324"/>
      <c r="L39" s="1320"/>
      <c r="M39" s="1319">
        <f t="shared" si="19"/>
        <v>0</v>
      </c>
      <c r="N39" s="1320"/>
      <c r="O39" s="1321">
        <f>SUMIFS(KB[TPOT],KB[RELASI],C39,KB[TYPE],"A",KB[TANGGAL],"&gt;="&amp;DATE($J$7,1,1),KB[TANGGAL],"&lt;"&amp;DATE($J$7+1,1,0))/12</f>
        <v>0</v>
      </c>
      <c r="P39" s="1322"/>
      <c r="Q39" s="1321">
        <f>SUMIFS(KB[NETTO2],KB[RELASI],C39,KB[TYPE],"A",KB[TANGGAL],"&gt;="&amp;DATE($J$7,1,1),KB[TANGGAL],"&lt;"&amp;DATE($J$7+1,1,0))/12</f>
        <v>0</v>
      </c>
      <c r="R39" s="1323"/>
      <c r="S39" s="1322"/>
      <c r="T39" s="1321">
        <f>SUMIFS(KB[NETTO],KB[RELASI],C39,KB[TYPE],"A",KB[TANGGAL],"&gt;="&amp;$T$8,KB[TANGGAL],"&lt;"&amp;DATE($FA$4,$FA$5+1,0))</f>
        <v>0</v>
      </c>
      <c r="U39" s="1323"/>
      <c r="V39" s="1322"/>
      <c r="W39" s="1319">
        <f t="shared" si="20"/>
        <v>0</v>
      </c>
      <c r="X39" s="1320"/>
      <c r="Y39" s="1339">
        <f>SUMIFS(KB[TPOT],KB[RELASI],C39,KB[TYPE],"A",KB[TANGGAL],"&gt;="&amp;$T$8,KB[TANGGAL],"&lt;"&amp;DATE($FA$4,$FA$5+1,0))</f>
        <v>0</v>
      </c>
      <c r="Z39" s="1340"/>
      <c r="AA39" s="1339">
        <f>SUMIFS(KB[NETTO2],KB[RELASI],C39,KB[TYPE],"A",KB[TANGGAL],"&gt;="&amp;$T$8,KB[TANGGAL],"&lt;"&amp;DATE($FA$4,$FA$5+1,0))</f>
        <v>0</v>
      </c>
      <c r="AB39" s="1341"/>
      <c r="AC39" s="1340"/>
      <c r="AD39" s="1321">
        <f>SUMIFS(KB[NETTO],KB[RELASI],C39,KB[TYPE],"A",KB[TANGGAL],"&gt;="&amp;$AD$8,KB[TANGGAL],"&lt;"&amp;DATE($FA$4,MONTH($AD$8)+1,0))</f>
        <v>0</v>
      </c>
      <c r="AE39" s="1323"/>
      <c r="AF39" s="1322"/>
      <c r="AG39" s="1321">
        <f t="shared" si="7"/>
        <v>0</v>
      </c>
      <c r="AH39" s="1322"/>
      <c r="AI39" s="1321">
        <f>SUMIFS(KB[TPOT],KB[RELASI],C39,KB[TYPE],"A",KB[TANGGAL],"&gt;="&amp;$AD$8,KB[TANGGAL],"&lt;"&amp;DATE($FA$4,MONTH($AD$8)+1,0))</f>
        <v>0</v>
      </c>
      <c r="AJ39" s="1322"/>
      <c r="AK39" s="1321">
        <f>SUMIFS(KB[NETTO2],KB[RELASI],C39,KB[TYPE],"A",KB[TANGGAL],"&gt;="&amp;$AD$8,KB[TANGGAL],"&lt;"&amp;DATE($FA$4,MONTH($AD$8)+1,0))</f>
        <v>0</v>
      </c>
      <c r="AL39" s="1323"/>
      <c r="AM39" s="1322"/>
      <c r="AN39" s="1321">
        <f>SUMIFS(KB[NETTO],KB[RELASI],C39,KB[TYPE],"A",KB[TANGGAL],"&gt;="&amp;$AN$8,KB[TANGGAL],"&lt;"&amp;DATE(YEAR($AN$8),MONTH($AN$8)+1,0))</f>
        <v>0</v>
      </c>
      <c r="AO39" s="1323"/>
      <c r="AP39" s="1322"/>
      <c r="AQ39" s="1321">
        <f t="shared" si="8"/>
        <v>0</v>
      </c>
      <c r="AR39" s="1322"/>
      <c r="AS39" s="1321">
        <f>SUMIFS(KB[TPOT],KB[RELASI],C39,KB[TYPE],"A",KB[TANGGAL],"&gt;="&amp;$AN$8,KB[TANGGAL],"&lt;"&amp;DATE(YEAR($AN$8),MONTH($AN$8)+1,0))</f>
        <v>0</v>
      </c>
      <c r="AT39" s="1322"/>
      <c r="AU39" s="1321">
        <f>SUMIFS(KB[NETTO2],KB[RELASI],C39,KB[TYPE],"A",KB[TANGGAL],"&gt;="&amp;$AN$8,KB[TANGGAL],"&lt;"&amp;DATE(YEAR($AN$8),MONTH($AN$8)+1,0))</f>
        <v>0</v>
      </c>
      <c r="AV39" s="1323"/>
      <c r="AW39" s="1322"/>
      <c r="AX39" s="1321">
        <f>SUMIFS(KB[NETTO],KB[RELASI],C39,KB[TYPE],"A",KB[TANGGAL],"&gt;="&amp;$AX$8,KB[TANGGAL],"&lt;"&amp;DATE(YEAR($AX$8),MONTH($AX$8)+1,0))</f>
        <v>0</v>
      </c>
      <c r="AY39" s="1323"/>
      <c r="AZ39" s="1322"/>
      <c r="BA39" s="1321">
        <f t="shared" si="9"/>
        <v>0</v>
      </c>
      <c r="BB39" s="1322"/>
      <c r="BC39" s="1321">
        <f>SUMIFS(KB[TPOT],KB[RELASI],C39,KB[TYPE],"A",KB[TANGGAL],"&gt;="&amp;$AX$8,KB[TANGGAL],"&lt;"&amp;DATE(YEAR($AX$8),MONTH($AX$8)+1,0))</f>
        <v>0</v>
      </c>
      <c r="BD39" s="1322"/>
      <c r="BE39" s="1321">
        <f>SUMIFS(KB[NETTO2],KB[RELASI],C39,KB[TYPE],"A",KB[TANGGAL],"&gt;="&amp;$AX$8,KB[TANGGAL],"&lt;"&amp;DATE(YEAR($AX$8),MONTH($AX$8)+1,0))</f>
        <v>0</v>
      </c>
      <c r="BF39" s="1323"/>
      <c r="BG39" s="1322"/>
      <c r="BH39" s="1321">
        <f>SUMIFS(KB[NETTO],KB[RELASI],C39,KB[TYPE],"A",KB[TANGGAL],"&gt;="&amp;$BH$8,KB[TANGGAL],"&lt;"&amp;DATE(YEAR($BH$8),MONTH($BH$8)+1,0))</f>
        <v>0</v>
      </c>
      <c r="BI39" s="1323"/>
      <c r="BJ39" s="1322"/>
      <c r="BK39" s="1321">
        <f t="shared" si="10"/>
        <v>0</v>
      </c>
      <c r="BL39" s="1322"/>
      <c r="BM39" s="1321">
        <f>SUMIFS(KB[TPOT],KB[RELASI],C39,KB[TYPE],"A",KB[TANGGAL],"&gt;="&amp;$BH$8,KB[TANGGAL],"&lt;"&amp;DATE(YEAR($BH$8),MONTH($BH$8)+1,0))</f>
        <v>0</v>
      </c>
      <c r="BN39" s="1322"/>
      <c r="BO39" s="1321">
        <f>SUMIFS(KB[NETTO2],KB[RELASI],C39,KB[TYPE],"A",KB[TANGGAL],"&gt;="&amp;$BH$8,KB[TANGGAL],"&lt;"&amp;DATE(YEAR($BH$8),MONTH($BH$8)+1,0))</f>
        <v>0</v>
      </c>
      <c r="BP39" s="1323"/>
      <c r="BQ39" s="1322"/>
      <c r="BR39" s="1321">
        <f>SUMIFS(KB[NETTO],KB[RELASI],C39,KB[TYPE],"A",KB[TANGGAL],"&gt;="&amp;$BR$8,KB[TANGGAL],"&lt;"&amp;DATE(YEAR($BR$8),MONTH($BR$8)+1,0))</f>
        <v>0</v>
      </c>
      <c r="BS39" s="1323"/>
      <c r="BT39" s="1322"/>
      <c r="BU39" s="1321">
        <f t="shared" si="11"/>
        <v>0</v>
      </c>
      <c r="BV39" s="1322"/>
      <c r="BW39" s="1321">
        <f>SUMIFS(KB[TPOT],KB[RELASI],C39,KB[TYPE],"A",KB[TANGGAL],"&gt;="&amp;$BR$8,KB[TANGGAL],"&lt;"&amp;DATE(YEAR($BR$8),MONTH($BR$8)+1,0))</f>
        <v>0</v>
      </c>
      <c r="BX39" s="1322"/>
      <c r="BY39" s="1321">
        <f>SUMIFS(KB[NETTO2],KB[RELASI],C39,KB[TYPE],"A",KB[TANGGAL],"&gt;="&amp;$BR$8,KB[TANGGAL],"&lt;"&amp;DATE(YEAR($BR$8),MONTH($BR$8)+1,0))</f>
        <v>0</v>
      </c>
      <c r="BZ39" s="1323"/>
      <c r="CA39" s="1322"/>
      <c r="CB39" s="1321">
        <f>SUMIFS(KB[NETTO],KB[RELASI],C39,KB[TYPE],"A",KB[TANGGAL],"&gt;="&amp;$CB$8,KB[TANGGAL],"&lt;"&amp;DATE(YEAR($CB$8),MONTH($CB$8)+1,0))</f>
        <v>0</v>
      </c>
      <c r="CC39" s="1323"/>
      <c r="CD39" s="1322"/>
      <c r="CE39" s="1321">
        <f t="shared" si="12"/>
        <v>0</v>
      </c>
      <c r="CF39" s="1322"/>
      <c r="CG39" s="1321">
        <f>SUMIFS(KB[TPOT],KB[RELASI],C39,KB[TYPE],"A",KB[TANGGAL],"&gt;="&amp;$CB$8,KB[TANGGAL],"&lt;"&amp;DATE(YEAR($CB$8),MONTH($CB$8)+1,0))</f>
        <v>0</v>
      </c>
      <c r="CH39" s="1322"/>
      <c r="CI39" s="1321">
        <f>SUMIFS(KB[NETTO2],KB[RELASI],C39,KB[TYPE],"A",KB[TANGGAL],"&gt;="&amp;$CB$8,KB[TANGGAL],"&lt;"&amp;DATE(YEAR($CB$8),MONTH($CB$8)+1,0))</f>
        <v>0</v>
      </c>
      <c r="CJ39" s="1323"/>
      <c r="CK39" s="1322"/>
      <c r="CL39" s="1321">
        <f>SUMIFS(KB[NETTO],KB[RELASI],C39,KB[TYPE],"A",KB[TANGGAL],"&gt;="&amp;$CL$8,KB[TANGGAL],"&lt;"&amp;DATE(YEAR($CL$8),MONTH($CL$8)+1,0))</f>
        <v>0</v>
      </c>
      <c r="CM39" s="1323"/>
      <c r="CN39" s="1322"/>
      <c r="CO39" s="1321">
        <f t="shared" si="13"/>
        <v>0</v>
      </c>
      <c r="CP39" s="1322"/>
      <c r="CQ39" s="1321">
        <f>SUMIFS(KB[TPOT],KB[RELASI],C39,KB[TYPE],"A",KB[TANGGAL],"&gt;="&amp;$CL$8,KB[TANGGAL],"&lt;"&amp;DATE(YEAR($CL$8),MONTH($CL$8)+1,0))</f>
        <v>0</v>
      </c>
      <c r="CR39" s="1322"/>
      <c r="CS39" s="1321">
        <f>SUMIFS(KB[NETTO2],KB[RELASI],C39,KB[TYPE],"A",KB[TANGGAL],"&gt;="&amp;$CL$8,KB[TANGGAL],"&lt;"&amp;DATE(YEAR($CL$8),MONTH($CL$8)+1,0))</f>
        <v>0</v>
      </c>
      <c r="CT39" s="1323"/>
      <c r="CU39" s="1322"/>
      <c r="CV39" s="1321">
        <f>SUMIFS(KB[NETTO],KB[RELASI],C39,KB[TYPE],"A",KB[TANGGAL],"&gt;="&amp;$CV$8,KB[TANGGAL],"&lt;"&amp;DATE(YEAR($CV$8),MONTH($CV$8)+1,0))</f>
        <v>0</v>
      </c>
      <c r="CW39" s="1323"/>
      <c r="CX39" s="1322"/>
      <c r="CY39" s="1321">
        <f t="shared" si="14"/>
        <v>0</v>
      </c>
      <c r="CZ39" s="1322"/>
      <c r="DA39" s="1321">
        <f>SUMIFS(KB[TPOT],KB[RELASI],C39,KB[TYPE],"A",KB[TANGGAL],"&gt;="&amp;$CV$8,KB[TANGGAL],"&lt;"&amp;DATE(YEAR($CV$8),MONTH($CV$8)+1,0))</f>
        <v>0</v>
      </c>
      <c r="DB39" s="1322"/>
      <c r="DC39" s="1321">
        <f>SUMIFS(KB[NETTO2],KB[RELASI],C39,KB[TYPE],"A",KB[TANGGAL],"&gt;="&amp;$CV$8,KB[TANGGAL],"&lt;"&amp;DATE(YEAR($CV$8),MONTH($CV$8)+1,0))</f>
        <v>0</v>
      </c>
      <c r="DD39" s="1323"/>
      <c r="DE39" s="1322"/>
      <c r="DF39" s="1321">
        <f>SUMIFS(KB[NETTO],KB[RELASI],C39,KB[TYPE],"A",KB[TANGGAL],"&gt;="&amp;$DF$8,KB[TANGGAL],"&lt;"&amp;DATE(YEAR($DF$8),MONTH($DF$8)+1,0))</f>
        <v>0</v>
      </c>
      <c r="DG39" s="1323"/>
      <c r="DH39" s="1322"/>
      <c r="DI39" s="1321">
        <f t="shared" si="15"/>
        <v>0</v>
      </c>
      <c r="DJ39" s="1322"/>
      <c r="DK39" s="1321">
        <f>SUMIFS(KB[TPOT],KB[RELASI],C39,KB[TYPE],"A",KB[TANGGAL],"&gt;="&amp;$DF$8,KB[TANGGAL],"&lt;"&amp;DATE(YEAR($DF$8),MONTH($DF$8)+1,0))</f>
        <v>0</v>
      </c>
      <c r="DL39" s="1322"/>
      <c r="DM39" s="1321">
        <f>SUMIFS(KB[NETTO2],KB[RELASI],C39,KB[TYPE],"A",KB[TANGGAL],"&gt;="&amp;$DF$8,KB[TANGGAL],"&lt;"&amp;DATE(YEAR($DF$8),MONTH($DF$8)+1,0))</f>
        <v>0</v>
      </c>
      <c r="DN39" s="1323"/>
      <c r="DO39" s="1322"/>
      <c r="DP39" s="1321">
        <f>SUMIFS(KB[NETTO],KB[RELASI],C39,KB[TYPE],"A",KB[TANGGAL],"&gt;="&amp;$DP$8,KB[TANGGAL],"&lt;"&amp;DATE(YEAR($DP$8),MONTH($DP$8)+1,0))</f>
        <v>0</v>
      </c>
      <c r="DQ39" s="1323"/>
      <c r="DR39" s="1322"/>
      <c r="DS39" s="1321">
        <f t="shared" si="16"/>
        <v>0</v>
      </c>
      <c r="DT39" s="1322"/>
      <c r="DU39" s="1321">
        <f>SUMIFS(KB[TPOT],KB[RELASI],C39,KB[TYPE],"A",KB[TANGGAL],"&gt;="&amp;$DP$8,KB[TANGGAL],"&lt;"&amp;DATE(YEAR($DP$8),MONTH($DP$8)+1,0))</f>
        <v>0</v>
      </c>
      <c r="DV39" s="1322"/>
      <c r="DW39" s="1321">
        <f>SUMIFS(KB[NETTO2],KB[RELASI],C39,KB[TYPE],"A",KB[TANGGAL],"&gt;="&amp;$DP$8,KB[TANGGAL],"&lt;"&amp;DATE(YEAR($DP$8),MONTH($DP$8)+1,0))</f>
        <v>0</v>
      </c>
      <c r="DX39" s="1323"/>
      <c r="DY39" s="1322"/>
      <c r="DZ39" s="1321">
        <f>SUMIFS(KB[NETTO],KB[RELASI],C39,KB[TYPE],"A",KB[TANGGAL],"&gt;="&amp;$DZ$8,KB[TANGGAL],"&lt;"&amp;DATE(YEAR($DZ$8),MONTH($DZ$8)+1,0))</f>
        <v>0</v>
      </c>
      <c r="EA39" s="1323"/>
      <c r="EB39" s="1322"/>
      <c r="EC39" s="1321">
        <f t="shared" si="17"/>
        <v>0</v>
      </c>
      <c r="ED39" s="1322"/>
      <c r="EE39" s="1321">
        <f>SUMIFS(KB[TPOT],KB[RELASI],C39,KB[TYPE],"A",KB[TANGGAL],"&gt;="&amp;$DZ$8,KB[TANGGAL],"&lt;"&amp;DATE(YEAR($DZ$8),MONTH($DZ$8)+1,0))</f>
        <v>0</v>
      </c>
      <c r="EF39" s="1322"/>
      <c r="EG39" s="1321">
        <f>SUMIFS(KB[NETTO2],KB[RELASI],C39,KB[TYPE],"A",KB[TANGGAL],"&gt;="&amp;$DZ$8,KB[TANGGAL],"&lt;"&amp;DATE(YEAR($DZ$8),MONTH($DZ$8)+1,0))</f>
        <v>0</v>
      </c>
      <c r="EH39" s="1323"/>
      <c r="EI39" s="1322"/>
      <c r="EJ39" s="844"/>
      <c r="EK39" s="845"/>
      <c r="EL39" s="846"/>
      <c r="EM39" s="844"/>
      <c r="EN39" s="846"/>
      <c r="EO39" s="844"/>
      <c r="EP39" s="846"/>
      <c r="EQ39" s="844"/>
      <c r="ER39" s="845"/>
      <c r="ES39" s="847"/>
    </row>
    <row r="40" spans="2:149" ht="18" customHeight="1">
      <c r="B40" s="1040">
        <f t="shared" si="18"/>
        <v>30</v>
      </c>
      <c r="C40" s="844" t="str">
        <f>RELASI!C32</f>
        <v>M.FUADI R.</v>
      </c>
      <c r="D40" s="845"/>
      <c r="E40" s="845"/>
      <c r="F40" s="846"/>
      <c r="G40" s="844" t="str">
        <f>RELASI!D32</f>
        <v>Tembilahan</v>
      </c>
      <c r="H40" s="845"/>
      <c r="I40" s="846"/>
      <c r="J40" s="1319">
        <f>SUMIFS(KB[NETTO],KB[RELASI],C40,KB[TYPE],"A",KB[TANGGAL],"&gt;="&amp;DATE($J$7,1,1),KB[TANGGAL],"&lt;"&amp;DATE($J$7+1,1,0))/12</f>
        <v>0</v>
      </c>
      <c r="K40" s="1324"/>
      <c r="L40" s="1320"/>
      <c r="M40" s="1319">
        <f t="shared" si="19"/>
        <v>0</v>
      </c>
      <c r="N40" s="1320"/>
      <c r="O40" s="1321">
        <f>SUMIFS(KB[TPOT],KB[RELASI],C40,KB[TYPE],"A",KB[TANGGAL],"&gt;="&amp;DATE($J$7,1,1),KB[TANGGAL],"&lt;"&amp;DATE($J$7+1,1,0))/12</f>
        <v>0</v>
      </c>
      <c r="P40" s="1322"/>
      <c r="Q40" s="1321">
        <f>SUMIFS(KB[NETTO2],KB[RELASI],C40,KB[TYPE],"A",KB[TANGGAL],"&gt;="&amp;DATE($J$7,1,1),KB[TANGGAL],"&lt;"&amp;DATE($J$7+1,1,0))/12</f>
        <v>0</v>
      </c>
      <c r="R40" s="1323"/>
      <c r="S40" s="1322"/>
      <c r="T40" s="1321">
        <f>SUMIFS(KB[NETTO],KB[RELASI],C40,KB[TYPE],"A",KB[TANGGAL],"&gt;="&amp;$T$8,KB[TANGGAL],"&lt;"&amp;DATE($FA$4,$FA$5+1,0))</f>
        <v>0</v>
      </c>
      <c r="U40" s="1323"/>
      <c r="V40" s="1322"/>
      <c r="W40" s="1319">
        <f t="shared" si="20"/>
        <v>0</v>
      </c>
      <c r="X40" s="1320"/>
      <c r="Y40" s="1339">
        <f>SUMIFS(KB[TPOT],KB[RELASI],C40,KB[TYPE],"A",KB[TANGGAL],"&gt;="&amp;$T$8,KB[TANGGAL],"&lt;"&amp;DATE($FA$4,$FA$5+1,0))</f>
        <v>0</v>
      </c>
      <c r="Z40" s="1340"/>
      <c r="AA40" s="1339">
        <f>SUMIFS(KB[NETTO2],KB[RELASI],C40,KB[TYPE],"A",KB[TANGGAL],"&gt;="&amp;$T$8,KB[TANGGAL],"&lt;"&amp;DATE($FA$4,$FA$5+1,0))</f>
        <v>0</v>
      </c>
      <c r="AB40" s="1341"/>
      <c r="AC40" s="1340"/>
      <c r="AD40" s="1321">
        <f>SUMIFS(KB[NETTO],KB[RELASI],C40,KB[TYPE],"A",KB[TANGGAL],"&gt;="&amp;$AD$8,KB[TANGGAL],"&lt;"&amp;DATE($FA$4,MONTH($AD$8)+1,0))</f>
        <v>0</v>
      </c>
      <c r="AE40" s="1323"/>
      <c r="AF40" s="1322"/>
      <c r="AG40" s="1321">
        <f t="shared" si="7"/>
        <v>0</v>
      </c>
      <c r="AH40" s="1322"/>
      <c r="AI40" s="1321">
        <f>SUMIFS(KB[TPOT],KB[RELASI],C40,KB[TYPE],"A",KB[TANGGAL],"&gt;="&amp;$AD$8,KB[TANGGAL],"&lt;"&amp;DATE($FA$4,MONTH($AD$8)+1,0))</f>
        <v>0</v>
      </c>
      <c r="AJ40" s="1322"/>
      <c r="AK40" s="1321">
        <f>SUMIFS(KB[NETTO2],KB[RELASI],C40,KB[TYPE],"A",KB[TANGGAL],"&gt;="&amp;$AD$8,KB[TANGGAL],"&lt;"&amp;DATE($FA$4,MONTH($AD$8)+1,0))</f>
        <v>0</v>
      </c>
      <c r="AL40" s="1323"/>
      <c r="AM40" s="1322"/>
      <c r="AN40" s="1321">
        <f>SUMIFS(KB[NETTO],KB[RELASI],C40,KB[TYPE],"A",KB[TANGGAL],"&gt;="&amp;$AN$8,KB[TANGGAL],"&lt;"&amp;DATE(YEAR($AN$8),MONTH($AN$8)+1,0))</f>
        <v>0</v>
      </c>
      <c r="AO40" s="1323"/>
      <c r="AP40" s="1322"/>
      <c r="AQ40" s="1321">
        <f t="shared" si="8"/>
        <v>0</v>
      </c>
      <c r="AR40" s="1322"/>
      <c r="AS40" s="1321">
        <f>SUMIFS(KB[TPOT],KB[RELASI],C40,KB[TYPE],"A",KB[TANGGAL],"&gt;="&amp;$AN$8,KB[TANGGAL],"&lt;"&amp;DATE(YEAR($AN$8),MONTH($AN$8)+1,0))</f>
        <v>0</v>
      </c>
      <c r="AT40" s="1322"/>
      <c r="AU40" s="1321">
        <f>SUMIFS(KB[NETTO2],KB[RELASI],C40,KB[TYPE],"A",KB[TANGGAL],"&gt;="&amp;$AN$8,KB[TANGGAL],"&lt;"&amp;DATE(YEAR($AN$8),MONTH($AN$8)+1,0))</f>
        <v>0</v>
      </c>
      <c r="AV40" s="1323"/>
      <c r="AW40" s="1322"/>
      <c r="AX40" s="1321">
        <f>SUMIFS(KB[NETTO],KB[RELASI],C40,KB[TYPE],"A",KB[TANGGAL],"&gt;="&amp;$AX$8,KB[TANGGAL],"&lt;"&amp;DATE(YEAR($AX$8),MONTH($AX$8)+1,0))</f>
        <v>0</v>
      </c>
      <c r="AY40" s="1323"/>
      <c r="AZ40" s="1322"/>
      <c r="BA40" s="1321">
        <f t="shared" si="9"/>
        <v>0</v>
      </c>
      <c r="BB40" s="1322"/>
      <c r="BC40" s="1321">
        <f>SUMIFS(KB[TPOT],KB[RELASI],C40,KB[TYPE],"A",KB[TANGGAL],"&gt;="&amp;$AX$8,KB[TANGGAL],"&lt;"&amp;DATE(YEAR($AX$8),MONTH($AX$8)+1,0))</f>
        <v>0</v>
      </c>
      <c r="BD40" s="1322"/>
      <c r="BE40" s="1321">
        <f>SUMIFS(KB[NETTO2],KB[RELASI],C40,KB[TYPE],"A",KB[TANGGAL],"&gt;="&amp;$AX$8,KB[TANGGAL],"&lt;"&amp;DATE(YEAR($AX$8),MONTH($AX$8)+1,0))</f>
        <v>0</v>
      </c>
      <c r="BF40" s="1323"/>
      <c r="BG40" s="1322"/>
      <c r="BH40" s="1321">
        <f>SUMIFS(KB[NETTO],KB[RELASI],C40,KB[TYPE],"A",KB[TANGGAL],"&gt;="&amp;$BH$8,KB[TANGGAL],"&lt;"&amp;DATE(YEAR($BH$8),MONTH($BH$8)+1,0))</f>
        <v>0</v>
      </c>
      <c r="BI40" s="1323"/>
      <c r="BJ40" s="1322"/>
      <c r="BK40" s="1321">
        <f t="shared" si="10"/>
        <v>0</v>
      </c>
      <c r="BL40" s="1322"/>
      <c r="BM40" s="1321">
        <f>SUMIFS(KB[TPOT],KB[RELASI],C40,KB[TYPE],"A",KB[TANGGAL],"&gt;="&amp;$BH$8,KB[TANGGAL],"&lt;"&amp;DATE(YEAR($BH$8),MONTH($BH$8)+1,0))</f>
        <v>0</v>
      </c>
      <c r="BN40" s="1322"/>
      <c r="BO40" s="1321">
        <f>SUMIFS(KB[NETTO2],KB[RELASI],C40,KB[TYPE],"A",KB[TANGGAL],"&gt;="&amp;$BH$8,KB[TANGGAL],"&lt;"&amp;DATE(YEAR($BH$8),MONTH($BH$8)+1,0))</f>
        <v>0</v>
      </c>
      <c r="BP40" s="1323"/>
      <c r="BQ40" s="1322"/>
      <c r="BR40" s="1321">
        <f>SUMIFS(KB[NETTO],KB[RELASI],C40,KB[TYPE],"A",KB[TANGGAL],"&gt;="&amp;$BR$8,KB[TANGGAL],"&lt;"&amp;DATE(YEAR($BR$8),MONTH($BR$8)+1,0))</f>
        <v>0</v>
      </c>
      <c r="BS40" s="1323"/>
      <c r="BT40" s="1322"/>
      <c r="BU40" s="1321">
        <f t="shared" si="11"/>
        <v>0</v>
      </c>
      <c r="BV40" s="1322"/>
      <c r="BW40" s="1321">
        <f>SUMIFS(KB[TPOT],KB[RELASI],C40,KB[TYPE],"A",KB[TANGGAL],"&gt;="&amp;$BR$8,KB[TANGGAL],"&lt;"&amp;DATE(YEAR($BR$8),MONTH($BR$8)+1,0))</f>
        <v>0</v>
      </c>
      <c r="BX40" s="1322"/>
      <c r="BY40" s="1321">
        <f>SUMIFS(KB[NETTO2],KB[RELASI],C40,KB[TYPE],"A",KB[TANGGAL],"&gt;="&amp;$BR$8,KB[TANGGAL],"&lt;"&amp;DATE(YEAR($BR$8),MONTH($BR$8)+1,0))</f>
        <v>0</v>
      </c>
      <c r="BZ40" s="1323"/>
      <c r="CA40" s="1322"/>
      <c r="CB40" s="1321">
        <f>SUMIFS(KB[NETTO],KB[RELASI],C40,KB[TYPE],"A",KB[TANGGAL],"&gt;="&amp;$CB$8,KB[TANGGAL],"&lt;"&amp;DATE(YEAR($CB$8),MONTH($CB$8)+1,0))</f>
        <v>0</v>
      </c>
      <c r="CC40" s="1323"/>
      <c r="CD40" s="1322"/>
      <c r="CE40" s="1321">
        <f t="shared" si="12"/>
        <v>0</v>
      </c>
      <c r="CF40" s="1322"/>
      <c r="CG40" s="1321">
        <f>SUMIFS(KB[TPOT],KB[RELASI],C40,KB[TYPE],"A",KB[TANGGAL],"&gt;="&amp;$CB$8,KB[TANGGAL],"&lt;"&amp;DATE(YEAR($CB$8),MONTH($CB$8)+1,0))</f>
        <v>0</v>
      </c>
      <c r="CH40" s="1322"/>
      <c r="CI40" s="1321">
        <f>SUMIFS(KB[NETTO2],KB[RELASI],C40,KB[TYPE],"A",KB[TANGGAL],"&gt;="&amp;$CB$8,KB[TANGGAL],"&lt;"&amp;DATE(YEAR($CB$8),MONTH($CB$8)+1,0))</f>
        <v>0</v>
      </c>
      <c r="CJ40" s="1323"/>
      <c r="CK40" s="1322"/>
      <c r="CL40" s="1321">
        <f>SUMIFS(KB[NETTO],KB[RELASI],C40,KB[TYPE],"A",KB[TANGGAL],"&gt;="&amp;$CL$8,KB[TANGGAL],"&lt;"&amp;DATE(YEAR($CL$8),MONTH($CL$8)+1,0))</f>
        <v>0</v>
      </c>
      <c r="CM40" s="1323"/>
      <c r="CN40" s="1322"/>
      <c r="CO40" s="1321">
        <f t="shared" si="13"/>
        <v>0</v>
      </c>
      <c r="CP40" s="1322"/>
      <c r="CQ40" s="1321">
        <f>SUMIFS(KB[TPOT],KB[RELASI],C40,KB[TYPE],"A",KB[TANGGAL],"&gt;="&amp;$CL$8,KB[TANGGAL],"&lt;"&amp;DATE(YEAR($CL$8),MONTH($CL$8)+1,0))</f>
        <v>0</v>
      </c>
      <c r="CR40" s="1322"/>
      <c r="CS40" s="1321">
        <f>SUMIFS(KB[NETTO2],KB[RELASI],C40,KB[TYPE],"A",KB[TANGGAL],"&gt;="&amp;$CL$8,KB[TANGGAL],"&lt;"&amp;DATE(YEAR($CL$8),MONTH($CL$8)+1,0))</f>
        <v>0</v>
      </c>
      <c r="CT40" s="1323"/>
      <c r="CU40" s="1322"/>
      <c r="CV40" s="1321">
        <f>SUMIFS(KB[NETTO],KB[RELASI],C40,KB[TYPE],"A",KB[TANGGAL],"&gt;="&amp;$CV$8,KB[TANGGAL],"&lt;"&amp;DATE(YEAR($CV$8),MONTH($CV$8)+1,0))</f>
        <v>0</v>
      </c>
      <c r="CW40" s="1323"/>
      <c r="CX40" s="1322"/>
      <c r="CY40" s="1321">
        <f t="shared" si="14"/>
        <v>0</v>
      </c>
      <c r="CZ40" s="1322"/>
      <c r="DA40" s="1321">
        <f>SUMIFS(KB[TPOT],KB[RELASI],C40,KB[TYPE],"A",KB[TANGGAL],"&gt;="&amp;$CV$8,KB[TANGGAL],"&lt;"&amp;DATE(YEAR($CV$8),MONTH($CV$8)+1,0))</f>
        <v>0</v>
      </c>
      <c r="DB40" s="1322"/>
      <c r="DC40" s="1321">
        <f>SUMIFS(KB[NETTO2],KB[RELASI],C40,KB[TYPE],"A",KB[TANGGAL],"&gt;="&amp;$CV$8,KB[TANGGAL],"&lt;"&amp;DATE(YEAR($CV$8),MONTH($CV$8)+1,0))</f>
        <v>0</v>
      </c>
      <c r="DD40" s="1323"/>
      <c r="DE40" s="1322"/>
      <c r="DF40" s="1321">
        <f>SUMIFS(KB[NETTO],KB[RELASI],C40,KB[TYPE],"A",KB[TANGGAL],"&gt;="&amp;$DF$8,KB[TANGGAL],"&lt;"&amp;DATE(YEAR($DF$8),MONTH($DF$8)+1,0))</f>
        <v>0</v>
      </c>
      <c r="DG40" s="1323"/>
      <c r="DH40" s="1322"/>
      <c r="DI40" s="1321">
        <f t="shared" si="15"/>
        <v>0</v>
      </c>
      <c r="DJ40" s="1322"/>
      <c r="DK40" s="1321">
        <f>SUMIFS(KB[TPOT],KB[RELASI],C40,KB[TYPE],"A",KB[TANGGAL],"&gt;="&amp;$DF$8,KB[TANGGAL],"&lt;"&amp;DATE(YEAR($DF$8),MONTH($DF$8)+1,0))</f>
        <v>0</v>
      </c>
      <c r="DL40" s="1322"/>
      <c r="DM40" s="1321">
        <f>SUMIFS(KB[NETTO2],KB[RELASI],C40,KB[TYPE],"A",KB[TANGGAL],"&gt;="&amp;$DF$8,KB[TANGGAL],"&lt;"&amp;DATE(YEAR($DF$8),MONTH($DF$8)+1,0))</f>
        <v>0</v>
      </c>
      <c r="DN40" s="1323"/>
      <c r="DO40" s="1322"/>
      <c r="DP40" s="1321">
        <f>SUMIFS(KB[NETTO],KB[RELASI],C40,KB[TYPE],"A",KB[TANGGAL],"&gt;="&amp;$DP$8,KB[TANGGAL],"&lt;"&amp;DATE(YEAR($DP$8),MONTH($DP$8)+1,0))</f>
        <v>0</v>
      </c>
      <c r="DQ40" s="1323"/>
      <c r="DR40" s="1322"/>
      <c r="DS40" s="1321">
        <f t="shared" si="16"/>
        <v>0</v>
      </c>
      <c r="DT40" s="1322"/>
      <c r="DU40" s="1321">
        <f>SUMIFS(KB[TPOT],KB[RELASI],C40,KB[TYPE],"A",KB[TANGGAL],"&gt;="&amp;$DP$8,KB[TANGGAL],"&lt;"&amp;DATE(YEAR($DP$8),MONTH($DP$8)+1,0))</f>
        <v>0</v>
      </c>
      <c r="DV40" s="1322"/>
      <c r="DW40" s="1321">
        <f>SUMIFS(KB[NETTO2],KB[RELASI],C40,KB[TYPE],"A",KB[TANGGAL],"&gt;="&amp;$DP$8,KB[TANGGAL],"&lt;"&amp;DATE(YEAR($DP$8),MONTH($DP$8)+1,0))</f>
        <v>0</v>
      </c>
      <c r="DX40" s="1323"/>
      <c r="DY40" s="1322"/>
      <c r="DZ40" s="1321">
        <f>SUMIFS(KB[NETTO],KB[RELASI],C40,KB[TYPE],"A",KB[TANGGAL],"&gt;="&amp;$DZ$8,KB[TANGGAL],"&lt;"&amp;DATE(YEAR($DZ$8),MONTH($DZ$8)+1,0))</f>
        <v>0</v>
      </c>
      <c r="EA40" s="1323"/>
      <c r="EB40" s="1322"/>
      <c r="EC40" s="1321">
        <f t="shared" si="17"/>
        <v>0</v>
      </c>
      <c r="ED40" s="1322"/>
      <c r="EE40" s="1321">
        <f>SUMIFS(KB[TPOT],KB[RELASI],C40,KB[TYPE],"A",KB[TANGGAL],"&gt;="&amp;$DZ$8,KB[TANGGAL],"&lt;"&amp;DATE(YEAR($DZ$8),MONTH($DZ$8)+1,0))</f>
        <v>0</v>
      </c>
      <c r="EF40" s="1322"/>
      <c r="EG40" s="1321">
        <f>SUMIFS(KB[NETTO2],KB[RELASI],C40,KB[TYPE],"A",KB[TANGGAL],"&gt;="&amp;$DZ$8,KB[TANGGAL],"&lt;"&amp;DATE(YEAR($DZ$8),MONTH($DZ$8)+1,0))</f>
        <v>0</v>
      </c>
      <c r="EH40" s="1323"/>
      <c r="EI40" s="1322"/>
      <c r="EJ40" s="844"/>
      <c r="EK40" s="845"/>
      <c r="EL40" s="846"/>
      <c r="EM40" s="844"/>
      <c r="EN40" s="846"/>
      <c r="EO40" s="844"/>
      <c r="EP40" s="846"/>
      <c r="EQ40" s="844"/>
      <c r="ER40" s="845"/>
      <c r="ES40" s="847"/>
    </row>
    <row r="41" spans="2:149" ht="18" customHeight="1">
      <c r="B41" s="1040">
        <f t="shared" si="18"/>
        <v>31</v>
      </c>
      <c r="C41" s="844" t="str">
        <f>RELASI!C33</f>
        <v>M.RIDWAN ARSYAD</v>
      </c>
      <c r="D41" s="845"/>
      <c r="E41" s="845"/>
      <c r="F41" s="846"/>
      <c r="G41" s="844" t="str">
        <f>RELASI!D33</f>
        <v>Tokolan</v>
      </c>
      <c r="H41" s="845"/>
      <c r="I41" s="846"/>
      <c r="J41" s="1319">
        <f>SUMIFS(KB[NETTO],KB[RELASI],C41,KB[TYPE],"A",KB[TANGGAL],"&gt;="&amp;DATE($J$7,1,1),KB[TANGGAL],"&lt;"&amp;DATE($J$7+1,1,0))/12</f>
        <v>0</v>
      </c>
      <c r="K41" s="1324"/>
      <c r="L41" s="1320"/>
      <c r="M41" s="1319">
        <f t="shared" si="19"/>
        <v>0</v>
      </c>
      <c r="N41" s="1320"/>
      <c r="O41" s="1321">
        <f>SUMIFS(KB[TPOT],KB[RELASI],C41,KB[TYPE],"A",KB[TANGGAL],"&gt;="&amp;DATE($J$7,1,1),KB[TANGGAL],"&lt;"&amp;DATE($J$7+1,1,0))/12</f>
        <v>0</v>
      </c>
      <c r="P41" s="1322"/>
      <c r="Q41" s="1321">
        <f>SUMIFS(KB[NETTO2],KB[RELASI],C41,KB[TYPE],"A",KB[TANGGAL],"&gt;="&amp;DATE($J$7,1,1),KB[TANGGAL],"&lt;"&amp;DATE($J$7+1,1,0))/12</f>
        <v>0</v>
      </c>
      <c r="R41" s="1323"/>
      <c r="S41" s="1322"/>
      <c r="T41" s="1321">
        <f>SUMIFS(KB[NETTO],KB[RELASI],C41,KB[TYPE],"A",KB[TANGGAL],"&gt;="&amp;$T$8,KB[TANGGAL],"&lt;"&amp;DATE($FA$4,$FA$5+1,0))</f>
        <v>0</v>
      </c>
      <c r="U41" s="1323"/>
      <c r="V41" s="1322"/>
      <c r="W41" s="1319">
        <f t="shared" si="20"/>
        <v>0</v>
      </c>
      <c r="X41" s="1320"/>
      <c r="Y41" s="1339">
        <f>SUMIFS(KB[TPOT],KB[RELASI],C41,KB[TYPE],"A",KB[TANGGAL],"&gt;="&amp;$T$8,KB[TANGGAL],"&lt;"&amp;DATE($FA$4,$FA$5+1,0))</f>
        <v>0</v>
      </c>
      <c r="Z41" s="1340"/>
      <c r="AA41" s="1339">
        <f>SUMIFS(KB[NETTO2],KB[RELASI],C41,KB[TYPE],"A",KB[TANGGAL],"&gt;="&amp;$T$8,KB[TANGGAL],"&lt;"&amp;DATE($FA$4,$FA$5+1,0))</f>
        <v>0</v>
      </c>
      <c r="AB41" s="1341"/>
      <c r="AC41" s="1340"/>
      <c r="AD41" s="1321">
        <f>SUMIFS(KB[NETTO],KB[RELASI],C41,KB[TYPE],"A",KB[TANGGAL],"&gt;="&amp;$AD$8,KB[TANGGAL],"&lt;"&amp;DATE($FA$4,MONTH($AD$8)+1,0))</f>
        <v>0</v>
      </c>
      <c r="AE41" s="1323"/>
      <c r="AF41" s="1322"/>
      <c r="AG41" s="1321">
        <f t="shared" si="7"/>
        <v>0</v>
      </c>
      <c r="AH41" s="1322"/>
      <c r="AI41" s="1321">
        <f>SUMIFS(KB[TPOT],KB[RELASI],C41,KB[TYPE],"A",KB[TANGGAL],"&gt;="&amp;$AD$8,KB[TANGGAL],"&lt;"&amp;DATE($FA$4,MONTH($AD$8)+1,0))</f>
        <v>0</v>
      </c>
      <c r="AJ41" s="1322"/>
      <c r="AK41" s="1321">
        <f>SUMIFS(KB[NETTO2],KB[RELASI],C41,KB[TYPE],"A",KB[TANGGAL],"&gt;="&amp;$AD$8,KB[TANGGAL],"&lt;"&amp;DATE($FA$4,MONTH($AD$8)+1,0))</f>
        <v>0</v>
      </c>
      <c r="AL41" s="1323"/>
      <c r="AM41" s="1322"/>
      <c r="AN41" s="1321">
        <f>SUMIFS(KB[NETTO],KB[RELASI],C41,KB[TYPE],"A",KB[TANGGAL],"&gt;="&amp;$AN$8,KB[TANGGAL],"&lt;"&amp;DATE(YEAR($AN$8),MONTH($AN$8)+1,0))</f>
        <v>0</v>
      </c>
      <c r="AO41" s="1323"/>
      <c r="AP41" s="1322"/>
      <c r="AQ41" s="1321">
        <f t="shared" si="8"/>
        <v>0</v>
      </c>
      <c r="AR41" s="1322"/>
      <c r="AS41" s="1321">
        <f>SUMIFS(KB[TPOT],KB[RELASI],C41,KB[TYPE],"A",KB[TANGGAL],"&gt;="&amp;$AN$8,KB[TANGGAL],"&lt;"&amp;DATE(YEAR($AN$8),MONTH($AN$8)+1,0))</f>
        <v>0</v>
      </c>
      <c r="AT41" s="1322"/>
      <c r="AU41" s="1321">
        <f>SUMIFS(KB[NETTO2],KB[RELASI],C41,KB[TYPE],"A",KB[TANGGAL],"&gt;="&amp;$AN$8,KB[TANGGAL],"&lt;"&amp;DATE(YEAR($AN$8),MONTH($AN$8)+1,0))</f>
        <v>0</v>
      </c>
      <c r="AV41" s="1323"/>
      <c r="AW41" s="1322"/>
      <c r="AX41" s="1321">
        <f>SUMIFS(KB[NETTO],KB[RELASI],C41,KB[TYPE],"A",KB[TANGGAL],"&gt;="&amp;$AX$8,KB[TANGGAL],"&lt;"&amp;DATE(YEAR($AX$8),MONTH($AX$8)+1,0))</f>
        <v>0</v>
      </c>
      <c r="AY41" s="1323"/>
      <c r="AZ41" s="1322"/>
      <c r="BA41" s="1321">
        <f t="shared" si="9"/>
        <v>0</v>
      </c>
      <c r="BB41" s="1322"/>
      <c r="BC41" s="1321">
        <f>SUMIFS(KB[TPOT],KB[RELASI],C41,KB[TYPE],"A",KB[TANGGAL],"&gt;="&amp;$AX$8,KB[TANGGAL],"&lt;"&amp;DATE(YEAR($AX$8),MONTH($AX$8)+1,0))</f>
        <v>0</v>
      </c>
      <c r="BD41" s="1322"/>
      <c r="BE41" s="1321">
        <f>SUMIFS(KB[NETTO2],KB[RELASI],C41,KB[TYPE],"A",KB[TANGGAL],"&gt;="&amp;$AX$8,KB[TANGGAL],"&lt;"&amp;DATE(YEAR($AX$8),MONTH($AX$8)+1,0))</f>
        <v>0</v>
      </c>
      <c r="BF41" s="1323"/>
      <c r="BG41" s="1322"/>
      <c r="BH41" s="1321">
        <f>SUMIFS(KB[NETTO],KB[RELASI],C41,KB[TYPE],"A",KB[TANGGAL],"&gt;="&amp;$BH$8,KB[TANGGAL],"&lt;"&amp;DATE(YEAR($BH$8),MONTH($BH$8)+1,0))</f>
        <v>0</v>
      </c>
      <c r="BI41" s="1323"/>
      <c r="BJ41" s="1322"/>
      <c r="BK41" s="1321">
        <f t="shared" si="10"/>
        <v>0</v>
      </c>
      <c r="BL41" s="1322"/>
      <c r="BM41" s="1321">
        <f>SUMIFS(KB[TPOT],KB[RELASI],C41,KB[TYPE],"A",KB[TANGGAL],"&gt;="&amp;$BH$8,KB[TANGGAL],"&lt;"&amp;DATE(YEAR($BH$8),MONTH($BH$8)+1,0))</f>
        <v>0</v>
      </c>
      <c r="BN41" s="1322"/>
      <c r="BO41" s="1321">
        <f>SUMIFS(KB[NETTO2],KB[RELASI],C41,KB[TYPE],"A",KB[TANGGAL],"&gt;="&amp;$BH$8,KB[TANGGAL],"&lt;"&amp;DATE(YEAR($BH$8),MONTH($BH$8)+1,0))</f>
        <v>0</v>
      </c>
      <c r="BP41" s="1323"/>
      <c r="BQ41" s="1322"/>
      <c r="BR41" s="1321">
        <f>SUMIFS(KB[NETTO],KB[RELASI],C41,KB[TYPE],"A",KB[TANGGAL],"&gt;="&amp;$BR$8,KB[TANGGAL],"&lt;"&amp;DATE(YEAR($BR$8),MONTH($BR$8)+1,0))</f>
        <v>0</v>
      </c>
      <c r="BS41" s="1323"/>
      <c r="BT41" s="1322"/>
      <c r="BU41" s="1321">
        <f t="shared" si="11"/>
        <v>0</v>
      </c>
      <c r="BV41" s="1322"/>
      <c r="BW41" s="1321">
        <f>SUMIFS(KB[TPOT],KB[RELASI],C41,KB[TYPE],"A",KB[TANGGAL],"&gt;="&amp;$BR$8,KB[TANGGAL],"&lt;"&amp;DATE(YEAR($BR$8),MONTH($BR$8)+1,0))</f>
        <v>0</v>
      </c>
      <c r="BX41" s="1322"/>
      <c r="BY41" s="1321">
        <f>SUMIFS(KB[NETTO2],KB[RELASI],C41,KB[TYPE],"A",KB[TANGGAL],"&gt;="&amp;$BR$8,KB[TANGGAL],"&lt;"&amp;DATE(YEAR($BR$8),MONTH($BR$8)+1,0))</f>
        <v>0</v>
      </c>
      <c r="BZ41" s="1323"/>
      <c r="CA41" s="1322"/>
      <c r="CB41" s="1321">
        <f>SUMIFS(KB[NETTO],KB[RELASI],C41,KB[TYPE],"A",KB[TANGGAL],"&gt;="&amp;$CB$8,KB[TANGGAL],"&lt;"&amp;DATE(YEAR($CB$8),MONTH($CB$8)+1,0))</f>
        <v>0</v>
      </c>
      <c r="CC41" s="1323"/>
      <c r="CD41" s="1322"/>
      <c r="CE41" s="1321">
        <f t="shared" si="12"/>
        <v>0</v>
      </c>
      <c r="CF41" s="1322"/>
      <c r="CG41" s="1321">
        <f>SUMIFS(KB[TPOT],KB[RELASI],C41,KB[TYPE],"A",KB[TANGGAL],"&gt;="&amp;$CB$8,KB[TANGGAL],"&lt;"&amp;DATE(YEAR($CB$8),MONTH($CB$8)+1,0))</f>
        <v>0</v>
      </c>
      <c r="CH41" s="1322"/>
      <c r="CI41" s="1321">
        <f>SUMIFS(KB[NETTO2],KB[RELASI],C41,KB[TYPE],"A",KB[TANGGAL],"&gt;="&amp;$CB$8,KB[TANGGAL],"&lt;"&amp;DATE(YEAR($CB$8),MONTH($CB$8)+1,0))</f>
        <v>0</v>
      </c>
      <c r="CJ41" s="1323"/>
      <c r="CK41" s="1322"/>
      <c r="CL41" s="1321">
        <f>SUMIFS(KB[NETTO],KB[RELASI],C41,KB[TYPE],"A",KB[TANGGAL],"&gt;="&amp;$CL$8,KB[TANGGAL],"&lt;"&amp;DATE(YEAR($CL$8),MONTH($CL$8)+1,0))</f>
        <v>0</v>
      </c>
      <c r="CM41" s="1323"/>
      <c r="CN41" s="1322"/>
      <c r="CO41" s="1321">
        <f t="shared" si="13"/>
        <v>0</v>
      </c>
      <c r="CP41" s="1322"/>
      <c r="CQ41" s="1321">
        <f>SUMIFS(KB[TPOT],KB[RELASI],C41,KB[TYPE],"A",KB[TANGGAL],"&gt;="&amp;$CL$8,KB[TANGGAL],"&lt;"&amp;DATE(YEAR($CL$8),MONTH($CL$8)+1,0))</f>
        <v>0</v>
      </c>
      <c r="CR41" s="1322"/>
      <c r="CS41" s="1321">
        <f>SUMIFS(KB[NETTO2],KB[RELASI],C41,KB[TYPE],"A",KB[TANGGAL],"&gt;="&amp;$CL$8,KB[TANGGAL],"&lt;"&amp;DATE(YEAR($CL$8),MONTH($CL$8)+1,0))</f>
        <v>0</v>
      </c>
      <c r="CT41" s="1323"/>
      <c r="CU41" s="1322"/>
      <c r="CV41" s="1321">
        <f>SUMIFS(KB[NETTO],KB[RELASI],C41,KB[TYPE],"A",KB[TANGGAL],"&gt;="&amp;$CV$8,KB[TANGGAL],"&lt;"&amp;DATE(YEAR($CV$8),MONTH($CV$8)+1,0))</f>
        <v>0</v>
      </c>
      <c r="CW41" s="1323"/>
      <c r="CX41" s="1322"/>
      <c r="CY41" s="1321">
        <f t="shared" si="14"/>
        <v>0</v>
      </c>
      <c r="CZ41" s="1322"/>
      <c r="DA41" s="1321">
        <f>SUMIFS(KB[TPOT],KB[RELASI],C41,KB[TYPE],"A",KB[TANGGAL],"&gt;="&amp;$CV$8,KB[TANGGAL],"&lt;"&amp;DATE(YEAR($CV$8),MONTH($CV$8)+1,0))</f>
        <v>0</v>
      </c>
      <c r="DB41" s="1322"/>
      <c r="DC41" s="1321">
        <f>SUMIFS(KB[NETTO2],KB[RELASI],C41,KB[TYPE],"A",KB[TANGGAL],"&gt;="&amp;$CV$8,KB[TANGGAL],"&lt;"&amp;DATE(YEAR($CV$8),MONTH($CV$8)+1,0))</f>
        <v>0</v>
      </c>
      <c r="DD41" s="1323"/>
      <c r="DE41" s="1322"/>
      <c r="DF41" s="1321">
        <f>SUMIFS(KB[NETTO],KB[RELASI],C41,KB[TYPE],"A",KB[TANGGAL],"&gt;="&amp;$DF$8,KB[TANGGAL],"&lt;"&amp;DATE(YEAR($DF$8),MONTH($DF$8)+1,0))</f>
        <v>0</v>
      </c>
      <c r="DG41" s="1323"/>
      <c r="DH41" s="1322"/>
      <c r="DI41" s="1321">
        <f t="shared" si="15"/>
        <v>0</v>
      </c>
      <c r="DJ41" s="1322"/>
      <c r="DK41" s="1321">
        <f>SUMIFS(KB[TPOT],KB[RELASI],C41,KB[TYPE],"A",KB[TANGGAL],"&gt;="&amp;$DF$8,KB[TANGGAL],"&lt;"&amp;DATE(YEAR($DF$8),MONTH($DF$8)+1,0))</f>
        <v>0</v>
      </c>
      <c r="DL41" s="1322"/>
      <c r="DM41" s="1321">
        <f>SUMIFS(KB[NETTO2],KB[RELASI],C41,KB[TYPE],"A",KB[TANGGAL],"&gt;="&amp;$DF$8,KB[TANGGAL],"&lt;"&amp;DATE(YEAR($DF$8),MONTH($DF$8)+1,0))</f>
        <v>0</v>
      </c>
      <c r="DN41" s="1323"/>
      <c r="DO41" s="1322"/>
      <c r="DP41" s="1321">
        <f>SUMIFS(KB[NETTO],KB[RELASI],C41,KB[TYPE],"A",KB[TANGGAL],"&gt;="&amp;$DP$8,KB[TANGGAL],"&lt;"&amp;DATE(YEAR($DP$8),MONTH($DP$8)+1,0))</f>
        <v>0</v>
      </c>
      <c r="DQ41" s="1323"/>
      <c r="DR41" s="1322"/>
      <c r="DS41" s="1321">
        <f t="shared" si="16"/>
        <v>0</v>
      </c>
      <c r="DT41" s="1322"/>
      <c r="DU41" s="1321">
        <f>SUMIFS(KB[TPOT],KB[RELASI],C41,KB[TYPE],"A",KB[TANGGAL],"&gt;="&amp;$DP$8,KB[TANGGAL],"&lt;"&amp;DATE(YEAR($DP$8),MONTH($DP$8)+1,0))</f>
        <v>0</v>
      </c>
      <c r="DV41" s="1322"/>
      <c r="DW41" s="1321">
        <f>SUMIFS(KB[NETTO2],KB[RELASI],C41,KB[TYPE],"A",KB[TANGGAL],"&gt;="&amp;$DP$8,KB[TANGGAL],"&lt;"&amp;DATE(YEAR($DP$8),MONTH($DP$8)+1,0))</f>
        <v>0</v>
      </c>
      <c r="DX41" s="1323"/>
      <c r="DY41" s="1322"/>
      <c r="DZ41" s="1321">
        <f>SUMIFS(KB[NETTO],KB[RELASI],C41,KB[TYPE],"A",KB[TANGGAL],"&gt;="&amp;$DZ$8,KB[TANGGAL],"&lt;"&amp;DATE(YEAR($DZ$8),MONTH($DZ$8)+1,0))</f>
        <v>0</v>
      </c>
      <c r="EA41" s="1323"/>
      <c r="EB41" s="1322"/>
      <c r="EC41" s="1321">
        <f t="shared" si="17"/>
        <v>0</v>
      </c>
      <c r="ED41" s="1322"/>
      <c r="EE41" s="1321">
        <f>SUMIFS(KB[TPOT],KB[RELASI],C41,KB[TYPE],"A",KB[TANGGAL],"&gt;="&amp;$DZ$8,KB[TANGGAL],"&lt;"&amp;DATE(YEAR($DZ$8),MONTH($DZ$8)+1,0))</f>
        <v>0</v>
      </c>
      <c r="EF41" s="1322"/>
      <c r="EG41" s="1321">
        <f>SUMIFS(KB[NETTO2],KB[RELASI],C41,KB[TYPE],"A",KB[TANGGAL],"&gt;="&amp;$DZ$8,KB[TANGGAL],"&lt;"&amp;DATE(YEAR($DZ$8),MONTH($DZ$8)+1,0))</f>
        <v>0</v>
      </c>
      <c r="EH41" s="1323"/>
      <c r="EI41" s="1322"/>
      <c r="EJ41" s="844"/>
      <c r="EK41" s="845"/>
      <c r="EL41" s="846"/>
      <c r="EM41" s="844"/>
      <c r="EN41" s="846"/>
      <c r="EO41" s="844"/>
      <c r="EP41" s="846"/>
      <c r="EQ41" s="844"/>
      <c r="ER41" s="845"/>
      <c r="ES41" s="847"/>
    </row>
    <row r="42" spans="2:149" ht="18" customHeight="1">
      <c r="B42" s="1040">
        <f t="shared" si="18"/>
        <v>32</v>
      </c>
      <c r="C42" s="844" t="str">
        <f>RELASI!C34</f>
        <v>MARTONO</v>
      </c>
      <c r="D42" s="845"/>
      <c r="E42" s="845"/>
      <c r="F42" s="846"/>
      <c r="G42" s="844" t="str">
        <f>RELASI!D34</f>
        <v>Tembilahan</v>
      </c>
      <c r="H42" s="845"/>
      <c r="I42" s="846"/>
      <c r="J42" s="1319">
        <f>SUMIFS(KB[NETTO],KB[RELASI],C42,KB[TYPE],"A",KB[TANGGAL],"&gt;="&amp;DATE($J$7,1,1),KB[TANGGAL],"&lt;"&amp;DATE($J$7+1,1,0))/12</f>
        <v>0</v>
      </c>
      <c r="K42" s="1324"/>
      <c r="L42" s="1320"/>
      <c r="M42" s="1319">
        <f t="shared" si="19"/>
        <v>0</v>
      </c>
      <c r="N42" s="1320"/>
      <c r="O42" s="1321">
        <f>SUMIFS(KB[TPOT],KB[RELASI],C42,KB[TYPE],"A",KB[TANGGAL],"&gt;="&amp;DATE($J$7,1,1),KB[TANGGAL],"&lt;"&amp;DATE($J$7+1,1,0))/12</f>
        <v>0</v>
      </c>
      <c r="P42" s="1322"/>
      <c r="Q42" s="1321">
        <f>SUMIFS(KB[NETTO2],KB[RELASI],C42,KB[TYPE],"A",KB[TANGGAL],"&gt;="&amp;DATE($J$7,1,1),KB[TANGGAL],"&lt;"&amp;DATE($J$7+1,1,0))/12</f>
        <v>0</v>
      </c>
      <c r="R42" s="1323"/>
      <c r="S42" s="1322"/>
      <c r="T42" s="1321">
        <f>SUMIFS(KB[NETTO],KB[RELASI],C42,KB[TYPE],"A",KB[TANGGAL],"&gt;="&amp;$T$8,KB[TANGGAL],"&lt;"&amp;DATE($FA$4,$FA$5+1,0))</f>
        <v>372240</v>
      </c>
      <c r="U42" s="1323"/>
      <c r="V42" s="1322"/>
      <c r="W42" s="1319">
        <f t="shared" si="20"/>
        <v>6</v>
      </c>
      <c r="X42" s="1320"/>
      <c r="Y42" s="1339">
        <f>SUMIFS(KB[TPOT],KB[RELASI],C42,KB[TYPE],"A",KB[TANGGAL],"&gt;="&amp;$T$8,KB[TANGGAL],"&lt;"&amp;DATE($FA$4,$FA$5+1,0))</f>
        <v>22334.400000000001</v>
      </c>
      <c r="Z42" s="1340"/>
      <c r="AA42" s="1339">
        <f>SUMIFS(KB[NETTO2],KB[RELASI],C42,KB[TYPE],"A",KB[TANGGAL],"&gt;="&amp;$T$8,KB[TANGGAL],"&lt;"&amp;DATE($FA$4,$FA$5+1,0))</f>
        <v>349905.6</v>
      </c>
      <c r="AB42" s="1341"/>
      <c r="AC42" s="1340"/>
      <c r="AD42" s="1321">
        <f>SUMIFS(KB[NETTO],KB[RELASI],C42,KB[TYPE],"A",KB[TANGGAL],"&gt;="&amp;$AD$8,KB[TANGGAL],"&lt;"&amp;DATE($FA$4,MONTH($AD$8)+1,0))</f>
        <v>291390</v>
      </c>
      <c r="AE42" s="1323"/>
      <c r="AF42" s="1322"/>
      <c r="AG42" s="1321">
        <f t="shared" si="7"/>
        <v>6</v>
      </c>
      <c r="AH42" s="1322"/>
      <c r="AI42" s="1321">
        <f>SUMIFS(KB[TPOT],KB[RELASI],C42,KB[TYPE],"A",KB[TANGGAL],"&gt;="&amp;$AD$8,KB[TANGGAL],"&lt;"&amp;DATE($FA$4,MONTH($AD$8)+1,0))</f>
        <v>17483.400000000005</v>
      </c>
      <c r="AJ42" s="1322"/>
      <c r="AK42" s="1321">
        <f>SUMIFS(KB[NETTO2],KB[RELASI],C42,KB[TYPE],"A",KB[TANGGAL],"&gt;="&amp;$AD$8,KB[TANGGAL],"&lt;"&amp;DATE($FA$4,MONTH($AD$8)+1,0))</f>
        <v>273906.59999999998</v>
      </c>
      <c r="AL42" s="1323"/>
      <c r="AM42" s="1322"/>
      <c r="AN42" s="1321">
        <f>SUMIFS(KB[NETTO],KB[RELASI],C42,KB[TYPE],"A",KB[TANGGAL],"&gt;="&amp;$AN$8,KB[TANGGAL],"&lt;"&amp;DATE(YEAR($AN$8),MONTH($AN$8)+1,0))</f>
        <v>89910</v>
      </c>
      <c r="AO42" s="1323"/>
      <c r="AP42" s="1322"/>
      <c r="AQ42" s="1321">
        <f t="shared" si="8"/>
        <v>6.0390390390390394</v>
      </c>
      <c r="AR42" s="1322"/>
      <c r="AS42" s="1321">
        <f>SUMIFS(KB[TPOT],KB[RELASI],C42,KB[TYPE],"A",KB[TANGGAL],"&gt;="&amp;$AN$8,KB[TANGGAL],"&lt;"&amp;DATE(YEAR($AN$8),MONTH($AN$8)+1,0))</f>
        <v>5429.7000000000007</v>
      </c>
      <c r="AT42" s="1322"/>
      <c r="AU42" s="1321">
        <f>SUMIFS(KB[NETTO2],KB[RELASI],C42,KB[TYPE],"A",KB[TANGGAL],"&gt;="&amp;$AN$8,KB[TANGGAL],"&lt;"&amp;DATE(YEAR($AN$8),MONTH($AN$8)+1,0))</f>
        <v>84480.299999999988</v>
      </c>
      <c r="AV42" s="1323"/>
      <c r="AW42" s="1322"/>
      <c r="AX42" s="1321">
        <f>SUMIFS(KB[NETTO],KB[RELASI],C42,KB[TYPE],"A",KB[TANGGAL],"&gt;="&amp;$AX$8,KB[TANGGAL],"&lt;"&amp;DATE(YEAR($AX$8),MONTH($AX$8)+1,0))</f>
        <v>0</v>
      </c>
      <c r="AY42" s="1323"/>
      <c r="AZ42" s="1322"/>
      <c r="BA42" s="1321">
        <f t="shared" si="9"/>
        <v>0</v>
      </c>
      <c r="BB42" s="1322"/>
      <c r="BC42" s="1321">
        <f>SUMIFS(KB[TPOT],KB[RELASI],C42,KB[TYPE],"A",KB[TANGGAL],"&gt;="&amp;$AX$8,KB[TANGGAL],"&lt;"&amp;DATE(YEAR($AX$8),MONTH($AX$8)+1,0))</f>
        <v>0</v>
      </c>
      <c r="BD42" s="1322"/>
      <c r="BE42" s="1321">
        <f>SUMIFS(KB[NETTO2],KB[RELASI],C42,KB[TYPE],"A",KB[TANGGAL],"&gt;="&amp;$AX$8,KB[TANGGAL],"&lt;"&amp;DATE(YEAR($AX$8),MONTH($AX$8)+1,0))</f>
        <v>0</v>
      </c>
      <c r="BF42" s="1323"/>
      <c r="BG42" s="1322"/>
      <c r="BH42" s="1321">
        <f>SUMIFS(KB[NETTO],KB[RELASI],C42,KB[TYPE],"A",KB[TANGGAL],"&gt;="&amp;$BH$8,KB[TANGGAL],"&lt;"&amp;DATE(YEAR($BH$8),MONTH($BH$8)+1,0))</f>
        <v>0</v>
      </c>
      <c r="BI42" s="1323"/>
      <c r="BJ42" s="1322"/>
      <c r="BK42" s="1321">
        <f t="shared" si="10"/>
        <v>0</v>
      </c>
      <c r="BL42" s="1322"/>
      <c r="BM42" s="1321">
        <f>SUMIFS(KB[TPOT],KB[RELASI],C42,KB[TYPE],"A",KB[TANGGAL],"&gt;="&amp;$BH$8,KB[TANGGAL],"&lt;"&amp;DATE(YEAR($BH$8),MONTH($BH$8)+1,0))</f>
        <v>0</v>
      </c>
      <c r="BN42" s="1322"/>
      <c r="BO42" s="1321">
        <f>SUMIFS(KB[NETTO2],KB[RELASI],C42,KB[TYPE],"A",KB[TANGGAL],"&gt;="&amp;$BH$8,KB[TANGGAL],"&lt;"&amp;DATE(YEAR($BH$8),MONTH($BH$8)+1,0))</f>
        <v>0</v>
      </c>
      <c r="BP42" s="1323"/>
      <c r="BQ42" s="1322"/>
      <c r="BR42" s="1321">
        <f>SUMIFS(KB[NETTO],KB[RELASI],C42,KB[TYPE],"A",KB[TANGGAL],"&gt;="&amp;$BR$8,KB[TANGGAL],"&lt;"&amp;DATE(YEAR($BR$8),MONTH($BR$8)+1,0))</f>
        <v>0</v>
      </c>
      <c r="BS42" s="1323"/>
      <c r="BT42" s="1322"/>
      <c r="BU42" s="1321">
        <f t="shared" si="11"/>
        <v>0</v>
      </c>
      <c r="BV42" s="1322"/>
      <c r="BW42" s="1321">
        <f>SUMIFS(KB[TPOT],KB[RELASI],C42,KB[TYPE],"A",KB[TANGGAL],"&gt;="&amp;$BR$8,KB[TANGGAL],"&lt;"&amp;DATE(YEAR($BR$8),MONTH($BR$8)+1,0))</f>
        <v>0</v>
      </c>
      <c r="BX42" s="1322"/>
      <c r="BY42" s="1321">
        <f>SUMIFS(KB[NETTO2],KB[RELASI],C42,KB[TYPE],"A",KB[TANGGAL],"&gt;="&amp;$BR$8,KB[TANGGAL],"&lt;"&amp;DATE(YEAR($BR$8),MONTH($BR$8)+1,0))</f>
        <v>0</v>
      </c>
      <c r="BZ42" s="1323"/>
      <c r="CA42" s="1322"/>
      <c r="CB42" s="1321">
        <f>SUMIFS(KB[NETTO],KB[RELASI],C42,KB[TYPE],"A",KB[TANGGAL],"&gt;="&amp;$CB$8,KB[TANGGAL],"&lt;"&amp;DATE(YEAR($CB$8),MONTH($CB$8)+1,0))</f>
        <v>0</v>
      </c>
      <c r="CC42" s="1323"/>
      <c r="CD42" s="1322"/>
      <c r="CE42" s="1321">
        <f t="shared" si="12"/>
        <v>0</v>
      </c>
      <c r="CF42" s="1322"/>
      <c r="CG42" s="1321">
        <f>SUMIFS(KB[TPOT],KB[RELASI],C42,KB[TYPE],"A",KB[TANGGAL],"&gt;="&amp;$CB$8,KB[TANGGAL],"&lt;"&amp;DATE(YEAR($CB$8),MONTH($CB$8)+1,0))</f>
        <v>0</v>
      </c>
      <c r="CH42" s="1322"/>
      <c r="CI42" s="1321">
        <f>SUMIFS(KB[NETTO2],KB[RELASI],C42,KB[TYPE],"A",KB[TANGGAL],"&gt;="&amp;$CB$8,KB[TANGGAL],"&lt;"&amp;DATE(YEAR($CB$8),MONTH($CB$8)+1,0))</f>
        <v>0</v>
      </c>
      <c r="CJ42" s="1323"/>
      <c r="CK42" s="1322"/>
      <c r="CL42" s="1321">
        <f>SUMIFS(KB[NETTO],KB[RELASI],C42,KB[TYPE],"A",KB[TANGGAL],"&gt;="&amp;$CL$8,KB[TANGGAL],"&lt;"&amp;DATE(YEAR($CL$8),MONTH($CL$8)+1,0))</f>
        <v>0</v>
      </c>
      <c r="CM42" s="1323"/>
      <c r="CN42" s="1322"/>
      <c r="CO42" s="1321">
        <f t="shared" si="13"/>
        <v>0</v>
      </c>
      <c r="CP42" s="1322"/>
      <c r="CQ42" s="1321">
        <f>SUMIFS(KB[TPOT],KB[RELASI],C42,KB[TYPE],"A",KB[TANGGAL],"&gt;="&amp;$CL$8,KB[TANGGAL],"&lt;"&amp;DATE(YEAR($CL$8),MONTH($CL$8)+1,0))</f>
        <v>0</v>
      </c>
      <c r="CR42" s="1322"/>
      <c r="CS42" s="1321">
        <f>SUMIFS(KB[NETTO2],KB[RELASI],C42,KB[TYPE],"A",KB[TANGGAL],"&gt;="&amp;$CL$8,KB[TANGGAL],"&lt;"&amp;DATE(YEAR($CL$8),MONTH($CL$8)+1,0))</f>
        <v>0</v>
      </c>
      <c r="CT42" s="1323"/>
      <c r="CU42" s="1322"/>
      <c r="CV42" s="1321">
        <f>SUMIFS(KB[NETTO],KB[RELASI],C42,KB[TYPE],"A",KB[TANGGAL],"&gt;="&amp;$CV$8,KB[TANGGAL],"&lt;"&amp;DATE(YEAR($CV$8),MONTH($CV$8)+1,0))</f>
        <v>0</v>
      </c>
      <c r="CW42" s="1323"/>
      <c r="CX42" s="1322"/>
      <c r="CY42" s="1321">
        <f t="shared" si="14"/>
        <v>0</v>
      </c>
      <c r="CZ42" s="1322"/>
      <c r="DA42" s="1321">
        <f>SUMIFS(KB[TPOT],KB[RELASI],C42,KB[TYPE],"A",KB[TANGGAL],"&gt;="&amp;$CV$8,KB[TANGGAL],"&lt;"&amp;DATE(YEAR($CV$8),MONTH($CV$8)+1,0))</f>
        <v>0</v>
      </c>
      <c r="DB42" s="1322"/>
      <c r="DC42" s="1321">
        <f>SUMIFS(KB[NETTO2],KB[RELASI],C42,KB[TYPE],"A",KB[TANGGAL],"&gt;="&amp;$CV$8,KB[TANGGAL],"&lt;"&amp;DATE(YEAR($CV$8),MONTH($CV$8)+1,0))</f>
        <v>0</v>
      </c>
      <c r="DD42" s="1323"/>
      <c r="DE42" s="1322"/>
      <c r="DF42" s="1321">
        <f>SUMIFS(KB[NETTO],KB[RELASI],C42,KB[TYPE],"A",KB[TANGGAL],"&gt;="&amp;$DF$8,KB[TANGGAL],"&lt;"&amp;DATE(YEAR($DF$8),MONTH($DF$8)+1,0))</f>
        <v>0</v>
      </c>
      <c r="DG42" s="1323"/>
      <c r="DH42" s="1322"/>
      <c r="DI42" s="1321">
        <f t="shared" si="15"/>
        <v>0</v>
      </c>
      <c r="DJ42" s="1322"/>
      <c r="DK42" s="1321">
        <f>SUMIFS(KB[TPOT],KB[RELASI],C42,KB[TYPE],"A",KB[TANGGAL],"&gt;="&amp;$DF$8,KB[TANGGAL],"&lt;"&amp;DATE(YEAR($DF$8),MONTH($DF$8)+1,0))</f>
        <v>0</v>
      </c>
      <c r="DL42" s="1322"/>
      <c r="DM42" s="1321">
        <f>SUMIFS(KB[NETTO2],KB[RELASI],C42,KB[TYPE],"A",KB[TANGGAL],"&gt;="&amp;$DF$8,KB[TANGGAL],"&lt;"&amp;DATE(YEAR($DF$8),MONTH($DF$8)+1,0))</f>
        <v>0</v>
      </c>
      <c r="DN42" s="1323"/>
      <c r="DO42" s="1322"/>
      <c r="DP42" s="1321">
        <f>SUMIFS(KB[NETTO],KB[RELASI],C42,KB[TYPE],"A",KB[TANGGAL],"&gt;="&amp;$DP$8,KB[TANGGAL],"&lt;"&amp;DATE(YEAR($DP$8),MONTH($DP$8)+1,0))</f>
        <v>0</v>
      </c>
      <c r="DQ42" s="1323"/>
      <c r="DR42" s="1322"/>
      <c r="DS42" s="1321">
        <f t="shared" si="16"/>
        <v>0</v>
      </c>
      <c r="DT42" s="1322"/>
      <c r="DU42" s="1321">
        <f>SUMIFS(KB[TPOT],KB[RELASI],C42,KB[TYPE],"A",KB[TANGGAL],"&gt;="&amp;$DP$8,KB[TANGGAL],"&lt;"&amp;DATE(YEAR($DP$8),MONTH($DP$8)+1,0))</f>
        <v>0</v>
      </c>
      <c r="DV42" s="1322"/>
      <c r="DW42" s="1321">
        <f>SUMIFS(KB[NETTO2],KB[RELASI],C42,KB[TYPE],"A",KB[TANGGAL],"&gt;="&amp;$DP$8,KB[TANGGAL],"&lt;"&amp;DATE(YEAR($DP$8),MONTH($DP$8)+1,0))</f>
        <v>0</v>
      </c>
      <c r="DX42" s="1323"/>
      <c r="DY42" s="1322"/>
      <c r="DZ42" s="1321">
        <f>SUMIFS(KB[NETTO],KB[RELASI],C42,KB[TYPE],"A",KB[TANGGAL],"&gt;="&amp;$DZ$8,KB[TANGGAL],"&lt;"&amp;DATE(YEAR($DZ$8),MONTH($DZ$8)+1,0))</f>
        <v>0</v>
      </c>
      <c r="EA42" s="1323"/>
      <c r="EB42" s="1322"/>
      <c r="EC42" s="1321">
        <f t="shared" si="17"/>
        <v>0</v>
      </c>
      <c r="ED42" s="1322"/>
      <c r="EE42" s="1321">
        <f>SUMIFS(KB[TPOT],KB[RELASI],C42,KB[TYPE],"A",KB[TANGGAL],"&gt;="&amp;$DZ$8,KB[TANGGAL],"&lt;"&amp;DATE(YEAR($DZ$8),MONTH($DZ$8)+1,0))</f>
        <v>0</v>
      </c>
      <c r="EF42" s="1322"/>
      <c r="EG42" s="1321">
        <f>SUMIFS(KB[NETTO2],KB[RELASI],C42,KB[TYPE],"A",KB[TANGGAL],"&gt;="&amp;$DZ$8,KB[TANGGAL],"&lt;"&amp;DATE(YEAR($DZ$8),MONTH($DZ$8)+1,0))</f>
        <v>0</v>
      </c>
      <c r="EH42" s="1323"/>
      <c r="EI42" s="1322"/>
      <c r="EJ42" s="844"/>
      <c r="EK42" s="845"/>
      <c r="EL42" s="846"/>
      <c r="EM42" s="844"/>
      <c r="EN42" s="846"/>
      <c r="EO42" s="844"/>
      <c r="EP42" s="846"/>
      <c r="EQ42" s="844"/>
      <c r="ER42" s="845"/>
      <c r="ES42" s="847"/>
    </row>
    <row r="43" spans="2:149" ht="18" customHeight="1">
      <c r="B43" s="1040">
        <f t="shared" si="18"/>
        <v>33</v>
      </c>
      <c r="C43" s="844" t="str">
        <f>RELASI!C35</f>
        <v>MASRI</v>
      </c>
      <c r="D43" s="845"/>
      <c r="E43" s="845"/>
      <c r="F43" s="846"/>
      <c r="G43" s="844" t="str">
        <f>RELASI!D35</f>
        <v>Pelanduk</v>
      </c>
      <c r="H43" s="845"/>
      <c r="I43" s="846"/>
      <c r="J43" s="1319">
        <f>SUMIFS(KB[NETTO],KB[RELASI],C43,KB[TYPE],"A",KB[TANGGAL],"&gt;="&amp;DATE($J$7,1,1),KB[TANGGAL],"&lt;"&amp;DATE($J$7+1,1,0))/12</f>
        <v>0</v>
      </c>
      <c r="K43" s="1324"/>
      <c r="L43" s="1320"/>
      <c r="M43" s="1319">
        <f t="shared" si="19"/>
        <v>0</v>
      </c>
      <c r="N43" s="1320"/>
      <c r="O43" s="1321">
        <f>SUMIFS(KB[TPOT],KB[RELASI],C43,KB[TYPE],"A",KB[TANGGAL],"&gt;="&amp;DATE($J$7,1,1),KB[TANGGAL],"&lt;"&amp;DATE($J$7+1,1,0))/12</f>
        <v>0</v>
      </c>
      <c r="P43" s="1322"/>
      <c r="Q43" s="1321">
        <f>SUMIFS(KB[NETTO2],KB[RELASI],C43,KB[TYPE],"A",KB[TANGGAL],"&gt;="&amp;DATE($J$7,1,1),KB[TANGGAL],"&lt;"&amp;DATE($J$7+1,1,0))/12</f>
        <v>0</v>
      </c>
      <c r="R43" s="1323"/>
      <c r="S43" s="1322"/>
      <c r="T43" s="1321">
        <f>SUMIFS(KB[NETTO],KB[RELASI],C43,KB[TYPE],"A",KB[TANGGAL],"&gt;="&amp;$T$8,KB[TANGGAL],"&lt;"&amp;DATE($FA$4,$FA$5+1,0))</f>
        <v>861350</v>
      </c>
      <c r="U43" s="1323"/>
      <c r="V43" s="1322"/>
      <c r="W43" s="1319">
        <f t="shared" si="20"/>
        <v>6</v>
      </c>
      <c r="X43" s="1320"/>
      <c r="Y43" s="1339">
        <f>SUMIFS(KB[TPOT],KB[RELASI],C43,KB[TYPE],"A",KB[TANGGAL],"&gt;="&amp;$T$8,KB[TANGGAL],"&lt;"&amp;DATE($FA$4,$FA$5+1,0))</f>
        <v>51681</v>
      </c>
      <c r="Z43" s="1340"/>
      <c r="AA43" s="1339">
        <f>SUMIFS(KB[NETTO2],KB[RELASI],C43,KB[TYPE],"A",KB[TANGGAL],"&gt;="&amp;$T$8,KB[TANGGAL],"&lt;"&amp;DATE($FA$4,$FA$5+1,0))</f>
        <v>809669</v>
      </c>
      <c r="AB43" s="1341"/>
      <c r="AC43" s="1340"/>
      <c r="AD43" s="1321">
        <f>SUMIFS(KB[NETTO],KB[RELASI],C43,KB[TYPE],"A",KB[TANGGAL],"&gt;="&amp;$AD$8,KB[TANGGAL],"&lt;"&amp;DATE($FA$4,MONTH($AD$8)+1,0))</f>
        <v>711020</v>
      </c>
      <c r="AE43" s="1323"/>
      <c r="AF43" s="1322"/>
      <c r="AG43" s="1321">
        <f t="shared" si="7"/>
        <v>6</v>
      </c>
      <c r="AH43" s="1322"/>
      <c r="AI43" s="1321">
        <f>SUMIFS(KB[TPOT],KB[RELASI],C43,KB[TYPE],"A",KB[TANGGAL],"&gt;="&amp;$AD$8,KB[TANGGAL],"&lt;"&amp;DATE($FA$4,MONTH($AD$8)+1,0))</f>
        <v>42921.9</v>
      </c>
      <c r="AJ43" s="1322"/>
      <c r="AK43" s="1321">
        <f>SUMIFS(KB[NETTO2],KB[RELASI],C43,KB[TYPE],"A",KB[TANGGAL],"&gt;="&amp;$AD$8,KB[TANGGAL],"&lt;"&amp;DATE($FA$4,MONTH($AD$8)+1,0))</f>
        <v>668098.1</v>
      </c>
      <c r="AL43" s="1323"/>
      <c r="AM43" s="1322"/>
      <c r="AN43" s="1321">
        <f>SUMIFS(KB[NETTO],KB[RELASI],C43,KB[TYPE],"A",KB[TANGGAL],"&gt;="&amp;$AN$8,KB[TANGGAL],"&lt;"&amp;DATE(YEAR($AN$8),MONTH($AN$8)+1,0))</f>
        <v>190810</v>
      </c>
      <c r="AO43" s="1323"/>
      <c r="AP43" s="1322"/>
      <c r="AQ43" s="1321">
        <f t="shared" si="8"/>
        <v>6.3064828887374889</v>
      </c>
      <c r="AR43" s="1322"/>
      <c r="AS43" s="1321">
        <f>SUMIFS(KB[TPOT],KB[RELASI],C43,KB[TYPE],"A",KB[TANGGAL],"&gt;="&amp;$AN$8,KB[TANGGAL],"&lt;"&amp;DATE(YEAR($AN$8),MONTH($AN$8)+1,0))</f>
        <v>12033.400000000001</v>
      </c>
      <c r="AT43" s="1322"/>
      <c r="AU43" s="1321">
        <f>SUMIFS(KB[NETTO2],KB[RELASI],C43,KB[TYPE],"A",KB[TANGGAL],"&gt;="&amp;$AN$8,KB[TANGGAL],"&lt;"&amp;DATE(YEAR($AN$8),MONTH($AN$8)+1,0))</f>
        <v>178776.59999999998</v>
      </c>
      <c r="AV43" s="1323"/>
      <c r="AW43" s="1322"/>
      <c r="AX43" s="1321">
        <f>SUMIFS(KB[NETTO],KB[RELASI],C43,KB[TYPE],"A",KB[TANGGAL],"&gt;="&amp;$AX$8,KB[TANGGAL],"&lt;"&amp;DATE(YEAR($AX$8),MONTH($AX$8)+1,0))</f>
        <v>0</v>
      </c>
      <c r="AY43" s="1323"/>
      <c r="AZ43" s="1322"/>
      <c r="BA43" s="1321">
        <f t="shared" si="9"/>
        <v>0</v>
      </c>
      <c r="BB43" s="1322"/>
      <c r="BC43" s="1321">
        <f>SUMIFS(KB[TPOT],KB[RELASI],C43,KB[TYPE],"A",KB[TANGGAL],"&gt;="&amp;$AX$8,KB[TANGGAL],"&lt;"&amp;DATE(YEAR($AX$8),MONTH($AX$8)+1,0))</f>
        <v>0</v>
      </c>
      <c r="BD43" s="1322"/>
      <c r="BE43" s="1321">
        <f>SUMIFS(KB[NETTO2],KB[RELASI],C43,KB[TYPE],"A",KB[TANGGAL],"&gt;="&amp;$AX$8,KB[TANGGAL],"&lt;"&amp;DATE(YEAR($AX$8),MONTH($AX$8)+1,0))</f>
        <v>0</v>
      </c>
      <c r="BF43" s="1323"/>
      <c r="BG43" s="1322"/>
      <c r="BH43" s="1321">
        <f>SUMIFS(KB[NETTO],KB[RELASI],C43,KB[TYPE],"A",KB[TANGGAL],"&gt;="&amp;$BH$8,KB[TANGGAL],"&lt;"&amp;DATE(YEAR($BH$8),MONTH($BH$8)+1,0))</f>
        <v>0</v>
      </c>
      <c r="BI43" s="1323"/>
      <c r="BJ43" s="1322"/>
      <c r="BK43" s="1321">
        <f t="shared" si="10"/>
        <v>0</v>
      </c>
      <c r="BL43" s="1322"/>
      <c r="BM43" s="1321">
        <f>SUMIFS(KB[TPOT],KB[RELASI],C43,KB[TYPE],"A",KB[TANGGAL],"&gt;="&amp;$BH$8,KB[TANGGAL],"&lt;"&amp;DATE(YEAR($BH$8),MONTH($BH$8)+1,0))</f>
        <v>0</v>
      </c>
      <c r="BN43" s="1322"/>
      <c r="BO43" s="1321">
        <f>SUMIFS(KB[NETTO2],KB[RELASI],C43,KB[TYPE],"A",KB[TANGGAL],"&gt;="&amp;$BH$8,KB[TANGGAL],"&lt;"&amp;DATE(YEAR($BH$8),MONTH($BH$8)+1,0))</f>
        <v>0</v>
      </c>
      <c r="BP43" s="1323"/>
      <c r="BQ43" s="1322"/>
      <c r="BR43" s="1321">
        <f>SUMIFS(KB[NETTO],KB[RELASI],C43,KB[TYPE],"A",KB[TANGGAL],"&gt;="&amp;$BR$8,KB[TANGGAL],"&lt;"&amp;DATE(YEAR($BR$8),MONTH($BR$8)+1,0))</f>
        <v>0</v>
      </c>
      <c r="BS43" s="1323"/>
      <c r="BT43" s="1322"/>
      <c r="BU43" s="1321">
        <f t="shared" si="11"/>
        <v>0</v>
      </c>
      <c r="BV43" s="1322"/>
      <c r="BW43" s="1321">
        <f>SUMIFS(KB[TPOT],KB[RELASI],C43,KB[TYPE],"A",KB[TANGGAL],"&gt;="&amp;$BR$8,KB[TANGGAL],"&lt;"&amp;DATE(YEAR($BR$8),MONTH($BR$8)+1,0))</f>
        <v>0</v>
      </c>
      <c r="BX43" s="1322"/>
      <c r="BY43" s="1321">
        <f>SUMIFS(KB[NETTO2],KB[RELASI],C43,KB[TYPE],"A",KB[TANGGAL],"&gt;="&amp;$BR$8,KB[TANGGAL],"&lt;"&amp;DATE(YEAR($BR$8),MONTH($BR$8)+1,0))</f>
        <v>0</v>
      </c>
      <c r="BZ43" s="1323"/>
      <c r="CA43" s="1322"/>
      <c r="CB43" s="1321">
        <f>SUMIFS(KB[NETTO],KB[RELASI],C43,KB[TYPE],"A",KB[TANGGAL],"&gt;="&amp;$CB$8,KB[TANGGAL],"&lt;"&amp;DATE(YEAR($CB$8),MONTH($CB$8)+1,0))</f>
        <v>0</v>
      </c>
      <c r="CC43" s="1323"/>
      <c r="CD43" s="1322"/>
      <c r="CE43" s="1321">
        <f t="shared" si="12"/>
        <v>0</v>
      </c>
      <c r="CF43" s="1322"/>
      <c r="CG43" s="1321">
        <f>SUMIFS(KB[TPOT],KB[RELASI],C43,KB[TYPE],"A",KB[TANGGAL],"&gt;="&amp;$CB$8,KB[TANGGAL],"&lt;"&amp;DATE(YEAR($CB$8),MONTH($CB$8)+1,0))</f>
        <v>0</v>
      </c>
      <c r="CH43" s="1322"/>
      <c r="CI43" s="1321">
        <f>SUMIFS(KB[NETTO2],KB[RELASI],C43,KB[TYPE],"A",KB[TANGGAL],"&gt;="&amp;$CB$8,KB[TANGGAL],"&lt;"&amp;DATE(YEAR($CB$8),MONTH($CB$8)+1,0))</f>
        <v>0</v>
      </c>
      <c r="CJ43" s="1323"/>
      <c r="CK43" s="1322"/>
      <c r="CL43" s="1321">
        <f>SUMIFS(KB[NETTO],KB[RELASI],C43,KB[TYPE],"A",KB[TANGGAL],"&gt;="&amp;$CL$8,KB[TANGGAL],"&lt;"&amp;DATE(YEAR($CL$8),MONTH($CL$8)+1,0))</f>
        <v>0</v>
      </c>
      <c r="CM43" s="1323"/>
      <c r="CN43" s="1322"/>
      <c r="CO43" s="1321">
        <f t="shared" si="13"/>
        <v>0</v>
      </c>
      <c r="CP43" s="1322"/>
      <c r="CQ43" s="1321">
        <f>SUMIFS(KB[TPOT],KB[RELASI],C43,KB[TYPE],"A",KB[TANGGAL],"&gt;="&amp;$CL$8,KB[TANGGAL],"&lt;"&amp;DATE(YEAR($CL$8),MONTH($CL$8)+1,0))</f>
        <v>0</v>
      </c>
      <c r="CR43" s="1322"/>
      <c r="CS43" s="1321">
        <f>SUMIFS(KB[NETTO2],KB[RELASI],C43,KB[TYPE],"A",KB[TANGGAL],"&gt;="&amp;$CL$8,KB[TANGGAL],"&lt;"&amp;DATE(YEAR($CL$8),MONTH($CL$8)+1,0))</f>
        <v>0</v>
      </c>
      <c r="CT43" s="1323"/>
      <c r="CU43" s="1322"/>
      <c r="CV43" s="1321">
        <f>SUMIFS(KB[NETTO],KB[RELASI],C43,KB[TYPE],"A",KB[TANGGAL],"&gt;="&amp;$CV$8,KB[TANGGAL],"&lt;"&amp;DATE(YEAR($CV$8),MONTH($CV$8)+1,0))</f>
        <v>0</v>
      </c>
      <c r="CW43" s="1323"/>
      <c r="CX43" s="1322"/>
      <c r="CY43" s="1321">
        <f t="shared" si="14"/>
        <v>0</v>
      </c>
      <c r="CZ43" s="1322"/>
      <c r="DA43" s="1321">
        <f>SUMIFS(KB[TPOT],KB[RELASI],C43,KB[TYPE],"A",KB[TANGGAL],"&gt;="&amp;$CV$8,KB[TANGGAL],"&lt;"&amp;DATE(YEAR($CV$8),MONTH($CV$8)+1,0))</f>
        <v>0</v>
      </c>
      <c r="DB43" s="1322"/>
      <c r="DC43" s="1321">
        <f>SUMIFS(KB[NETTO2],KB[RELASI],C43,KB[TYPE],"A",KB[TANGGAL],"&gt;="&amp;$CV$8,KB[TANGGAL],"&lt;"&amp;DATE(YEAR($CV$8),MONTH($CV$8)+1,0))</f>
        <v>0</v>
      </c>
      <c r="DD43" s="1323"/>
      <c r="DE43" s="1322"/>
      <c r="DF43" s="1321">
        <f>SUMIFS(KB[NETTO],KB[RELASI],C43,KB[TYPE],"A",KB[TANGGAL],"&gt;="&amp;$DF$8,KB[TANGGAL],"&lt;"&amp;DATE(YEAR($DF$8),MONTH($DF$8)+1,0))</f>
        <v>0</v>
      </c>
      <c r="DG43" s="1323"/>
      <c r="DH43" s="1322"/>
      <c r="DI43" s="1321">
        <f t="shared" si="15"/>
        <v>0</v>
      </c>
      <c r="DJ43" s="1322"/>
      <c r="DK43" s="1321">
        <f>SUMIFS(KB[TPOT],KB[RELASI],C43,KB[TYPE],"A",KB[TANGGAL],"&gt;="&amp;$DF$8,KB[TANGGAL],"&lt;"&amp;DATE(YEAR($DF$8),MONTH($DF$8)+1,0))</f>
        <v>0</v>
      </c>
      <c r="DL43" s="1322"/>
      <c r="DM43" s="1321">
        <f>SUMIFS(KB[NETTO2],KB[RELASI],C43,KB[TYPE],"A",KB[TANGGAL],"&gt;="&amp;$DF$8,KB[TANGGAL],"&lt;"&amp;DATE(YEAR($DF$8),MONTH($DF$8)+1,0))</f>
        <v>0</v>
      </c>
      <c r="DN43" s="1323"/>
      <c r="DO43" s="1322"/>
      <c r="DP43" s="1321">
        <f>SUMIFS(KB[NETTO],KB[RELASI],C43,KB[TYPE],"A",KB[TANGGAL],"&gt;="&amp;$DP$8,KB[TANGGAL],"&lt;"&amp;DATE(YEAR($DP$8),MONTH($DP$8)+1,0))</f>
        <v>0</v>
      </c>
      <c r="DQ43" s="1323"/>
      <c r="DR43" s="1322"/>
      <c r="DS43" s="1321">
        <f t="shared" si="16"/>
        <v>0</v>
      </c>
      <c r="DT43" s="1322"/>
      <c r="DU43" s="1321">
        <f>SUMIFS(KB[TPOT],KB[RELASI],C43,KB[TYPE],"A",KB[TANGGAL],"&gt;="&amp;$DP$8,KB[TANGGAL],"&lt;"&amp;DATE(YEAR($DP$8),MONTH($DP$8)+1,0))</f>
        <v>0</v>
      </c>
      <c r="DV43" s="1322"/>
      <c r="DW43" s="1321">
        <f>SUMIFS(KB[NETTO2],KB[RELASI],C43,KB[TYPE],"A",KB[TANGGAL],"&gt;="&amp;$DP$8,KB[TANGGAL],"&lt;"&amp;DATE(YEAR($DP$8),MONTH($DP$8)+1,0))</f>
        <v>0</v>
      </c>
      <c r="DX43" s="1323"/>
      <c r="DY43" s="1322"/>
      <c r="DZ43" s="1321">
        <f>SUMIFS(KB[NETTO],KB[RELASI],C43,KB[TYPE],"A",KB[TANGGAL],"&gt;="&amp;$DZ$8,KB[TANGGAL],"&lt;"&amp;DATE(YEAR($DZ$8),MONTH($DZ$8)+1,0))</f>
        <v>0</v>
      </c>
      <c r="EA43" s="1323"/>
      <c r="EB43" s="1322"/>
      <c r="EC43" s="1321">
        <f t="shared" si="17"/>
        <v>0</v>
      </c>
      <c r="ED43" s="1322"/>
      <c r="EE43" s="1321">
        <f>SUMIFS(KB[TPOT],KB[RELASI],C43,KB[TYPE],"A",KB[TANGGAL],"&gt;="&amp;$DZ$8,KB[TANGGAL],"&lt;"&amp;DATE(YEAR($DZ$8),MONTH($DZ$8)+1,0))</f>
        <v>0</v>
      </c>
      <c r="EF43" s="1322"/>
      <c r="EG43" s="1321">
        <f>SUMIFS(KB[NETTO2],KB[RELASI],C43,KB[TYPE],"A",KB[TANGGAL],"&gt;="&amp;$DZ$8,KB[TANGGAL],"&lt;"&amp;DATE(YEAR($DZ$8),MONTH($DZ$8)+1,0))</f>
        <v>0</v>
      </c>
      <c r="EH43" s="1323"/>
      <c r="EI43" s="1322"/>
      <c r="EJ43" s="844"/>
      <c r="EK43" s="845"/>
      <c r="EL43" s="846"/>
      <c r="EM43" s="844"/>
      <c r="EN43" s="846"/>
      <c r="EO43" s="844"/>
      <c r="EP43" s="846"/>
      <c r="EQ43" s="844"/>
      <c r="ER43" s="845"/>
      <c r="ES43" s="847"/>
    </row>
    <row r="44" spans="2:149" ht="18" customHeight="1">
      <c r="B44" s="1040">
        <f t="shared" si="18"/>
        <v>34</v>
      </c>
      <c r="C44" s="844" t="str">
        <f>RELASI!C36</f>
        <v>MINSAR</v>
      </c>
      <c r="D44" s="845"/>
      <c r="E44" s="845"/>
      <c r="F44" s="846"/>
      <c r="G44" s="844" t="str">
        <f>RELASI!D36</f>
        <v>Lahang</v>
      </c>
      <c r="H44" s="845"/>
      <c r="I44" s="846"/>
      <c r="J44" s="1319">
        <f>SUMIFS(KB[NETTO],KB[RELASI],C44,KB[TYPE],"A",KB[TANGGAL],"&gt;="&amp;DATE($J$7,1,1),KB[TANGGAL],"&lt;"&amp;DATE($J$7+1,1,0))/12</f>
        <v>0</v>
      </c>
      <c r="K44" s="1324"/>
      <c r="L44" s="1320"/>
      <c r="M44" s="1319">
        <f t="shared" si="19"/>
        <v>0</v>
      </c>
      <c r="N44" s="1320"/>
      <c r="O44" s="1321">
        <f>SUMIFS(KB[TPOT],KB[RELASI],C44,KB[TYPE],"A",KB[TANGGAL],"&gt;="&amp;DATE($J$7,1,1),KB[TANGGAL],"&lt;"&amp;DATE($J$7+1,1,0))/12</f>
        <v>0</v>
      </c>
      <c r="P44" s="1322"/>
      <c r="Q44" s="1321">
        <f>SUMIFS(KB[NETTO2],KB[RELASI],C44,KB[TYPE],"A",KB[TANGGAL],"&gt;="&amp;DATE($J$7,1,1),KB[TANGGAL],"&lt;"&amp;DATE($J$7+1,1,0))/12</f>
        <v>0</v>
      </c>
      <c r="R44" s="1323"/>
      <c r="S44" s="1322"/>
      <c r="T44" s="1321">
        <f>SUMIFS(KB[NETTO],KB[RELASI],C44,KB[TYPE],"A",KB[TANGGAL],"&gt;="&amp;$T$8,KB[TANGGAL],"&lt;"&amp;DATE($FA$4,$FA$5+1,0))</f>
        <v>0</v>
      </c>
      <c r="U44" s="1323"/>
      <c r="V44" s="1322"/>
      <c r="W44" s="1319">
        <f t="shared" si="20"/>
        <v>0</v>
      </c>
      <c r="X44" s="1320"/>
      <c r="Y44" s="1339">
        <f>SUMIFS(KB[TPOT],KB[RELASI],C44,KB[TYPE],"A",KB[TANGGAL],"&gt;="&amp;$T$8,KB[TANGGAL],"&lt;"&amp;DATE($FA$4,$FA$5+1,0))</f>
        <v>0</v>
      </c>
      <c r="Z44" s="1340"/>
      <c r="AA44" s="1339">
        <f>SUMIFS(KB[NETTO2],KB[RELASI],C44,KB[TYPE],"A",KB[TANGGAL],"&gt;="&amp;$T$8,KB[TANGGAL],"&lt;"&amp;DATE($FA$4,$FA$5+1,0))</f>
        <v>0</v>
      </c>
      <c r="AB44" s="1341"/>
      <c r="AC44" s="1340"/>
      <c r="AD44" s="1321">
        <f>SUMIFS(KB[NETTO],KB[RELASI],C44,KB[TYPE],"A",KB[TANGGAL],"&gt;="&amp;$AD$8,KB[TANGGAL],"&lt;"&amp;DATE($FA$4,MONTH($AD$8)+1,0))</f>
        <v>0</v>
      </c>
      <c r="AE44" s="1323"/>
      <c r="AF44" s="1322"/>
      <c r="AG44" s="1321">
        <f t="shared" si="7"/>
        <v>0</v>
      </c>
      <c r="AH44" s="1322"/>
      <c r="AI44" s="1321">
        <f>SUMIFS(KB[TPOT],KB[RELASI],C44,KB[TYPE],"A",KB[TANGGAL],"&gt;="&amp;$AD$8,KB[TANGGAL],"&lt;"&amp;DATE($FA$4,MONTH($AD$8)+1,0))</f>
        <v>0</v>
      </c>
      <c r="AJ44" s="1322"/>
      <c r="AK44" s="1321">
        <f>SUMIFS(KB[NETTO2],KB[RELASI],C44,KB[TYPE],"A",KB[TANGGAL],"&gt;="&amp;$AD$8,KB[TANGGAL],"&lt;"&amp;DATE($FA$4,MONTH($AD$8)+1,0))</f>
        <v>0</v>
      </c>
      <c r="AL44" s="1323"/>
      <c r="AM44" s="1322"/>
      <c r="AN44" s="1321">
        <f>SUMIFS(KB[NETTO],KB[RELASI],C44,KB[TYPE],"A",KB[TANGGAL],"&gt;="&amp;$AN$8,KB[TANGGAL],"&lt;"&amp;DATE(YEAR($AN$8),MONTH($AN$8)+1,0))</f>
        <v>0</v>
      </c>
      <c r="AO44" s="1323"/>
      <c r="AP44" s="1322"/>
      <c r="AQ44" s="1321">
        <f t="shared" si="8"/>
        <v>0</v>
      </c>
      <c r="AR44" s="1322"/>
      <c r="AS44" s="1321">
        <f>SUMIFS(KB[TPOT],KB[RELASI],C44,KB[TYPE],"A",KB[TANGGAL],"&gt;="&amp;$AN$8,KB[TANGGAL],"&lt;"&amp;DATE(YEAR($AN$8),MONTH($AN$8)+1,0))</f>
        <v>0</v>
      </c>
      <c r="AT44" s="1322"/>
      <c r="AU44" s="1321">
        <f>SUMIFS(KB[NETTO2],KB[RELASI],C44,KB[TYPE],"A",KB[TANGGAL],"&gt;="&amp;$AN$8,KB[TANGGAL],"&lt;"&amp;DATE(YEAR($AN$8),MONTH($AN$8)+1,0))</f>
        <v>0</v>
      </c>
      <c r="AV44" s="1323"/>
      <c r="AW44" s="1322"/>
      <c r="AX44" s="1321">
        <f>SUMIFS(KB[NETTO],KB[RELASI],C44,KB[TYPE],"A",KB[TANGGAL],"&gt;="&amp;$AX$8,KB[TANGGAL],"&lt;"&amp;DATE(YEAR($AX$8),MONTH($AX$8)+1,0))</f>
        <v>0</v>
      </c>
      <c r="AY44" s="1323"/>
      <c r="AZ44" s="1322"/>
      <c r="BA44" s="1321">
        <f t="shared" si="9"/>
        <v>0</v>
      </c>
      <c r="BB44" s="1322"/>
      <c r="BC44" s="1321">
        <f>SUMIFS(KB[TPOT],KB[RELASI],C44,KB[TYPE],"A",KB[TANGGAL],"&gt;="&amp;$AX$8,KB[TANGGAL],"&lt;"&amp;DATE(YEAR($AX$8),MONTH($AX$8)+1,0))</f>
        <v>0</v>
      </c>
      <c r="BD44" s="1322"/>
      <c r="BE44" s="1321">
        <f>SUMIFS(KB[NETTO2],KB[RELASI],C44,KB[TYPE],"A",KB[TANGGAL],"&gt;="&amp;$AX$8,KB[TANGGAL],"&lt;"&amp;DATE(YEAR($AX$8),MONTH($AX$8)+1,0))</f>
        <v>0</v>
      </c>
      <c r="BF44" s="1323"/>
      <c r="BG44" s="1322"/>
      <c r="BH44" s="1321">
        <f>SUMIFS(KB[NETTO],KB[RELASI],C44,KB[TYPE],"A",KB[TANGGAL],"&gt;="&amp;$BH$8,KB[TANGGAL],"&lt;"&amp;DATE(YEAR($BH$8),MONTH($BH$8)+1,0))</f>
        <v>0</v>
      </c>
      <c r="BI44" s="1323"/>
      <c r="BJ44" s="1322"/>
      <c r="BK44" s="1321">
        <f t="shared" si="10"/>
        <v>0</v>
      </c>
      <c r="BL44" s="1322"/>
      <c r="BM44" s="1321">
        <f>SUMIFS(KB[TPOT],KB[RELASI],C44,KB[TYPE],"A",KB[TANGGAL],"&gt;="&amp;$BH$8,KB[TANGGAL],"&lt;"&amp;DATE(YEAR($BH$8),MONTH($BH$8)+1,0))</f>
        <v>0</v>
      </c>
      <c r="BN44" s="1322"/>
      <c r="BO44" s="1321">
        <f>SUMIFS(KB[NETTO2],KB[RELASI],C44,KB[TYPE],"A",KB[TANGGAL],"&gt;="&amp;$BH$8,KB[TANGGAL],"&lt;"&amp;DATE(YEAR($BH$8),MONTH($BH$8)+1,0))</f>
        <v>0</v>
      </c>
      <c r="BP44" s="1323"/>
      <c r="BQ44" s="1322"/>
      <c r="BR44" s="1321">
        <f>SUMIFS(KB[NETTO],KB[RELASI],C44,KB[TYPE],"A",KB[TANGGAL],"&gt;="&amp;$BR$8,KB[TANGGAL],"&lt;"&amp;DATE(YEAR($BR$8),MONTH($BR$8)+1,0))</f>
        <v>0</v>
      </c>
      <c r="BS44" s="1323"/>
      <c r="BT44" s="1322"/>
      <c r="BU44" s="1321">
        <f t="shared" si="11"/>
        <v>0</v>
      </c>
      <c r="BV44" s="1322"/>
      <c r="BW44" s="1321">
        <f>SUMIFS(KB[TPOT],KB[RELASI],C44,KB[TYPE],"A",KB[TANGGAL],"&gt;="&amp;$BR$8,KB[TANGGAL],"&lt;"&amp;DATE(YEAR($BR$8),MONTH($BR$8)+1,0))</f>
        <v>0</v>
      </c>
      <c r="BX44" s="1322"/>
      <c r="BY44" s="1321">
        <f>SUMIFS(KB[NETTO2],KB[RELASI],C44,KB[TYPE],"A",KB[TANGGAL],"&gt;="&amp;$BR$8,KB[TANGGAL],"&lt;"&amp;DATE(YEAR($BR$8),MONTH($BR$8)+1,0))</f>
        <v>0</v>
      </c>
      <c r="BZ44" s="1323"/>
      <c r="CA44" s="1322"/>
      <c r="CB44" s="1321">
        <f>SUMIFS(KB[NETTO],KB[RELASI],C44,KB[TYPE],"A",KB[TANGGAL],"&gt;="&amp;$CB$8,KB[TANGGAL],"&lt;"&amp;DATE(YEAR($CB$8),MONTH($CB$8)+1,0))</f>
        <v>0</v>
      </c>
      <c r="CC44" s="1323"/>
      <c r="CD44" s="1322"/>
      <c r="CE44" s="1321">
        <f t="shared" si="12"/>
        <v>0</v>
      </c>
      <c r="CF44" s="1322"/>
      <c r="CG44" s="1321">
        <f>SUMIFS(KB[TPOT],KB[RELASI],C44,KB[TYPE],"A",KB[TANGGAL],"&gt;="&amp;$CB$8,KB[TANGGAL],"&lt;"&amp;DATE(YEAR($CB$8),MONTH($CB$8)+1,0))</f>
        <v>0</v>
      </c>
      <c r="CH44" s="1322"/>
      <c r="CI44" s="1321">
        <f>SUMIFS(KB[NETTO2],KB[RELASI],C44,KB[TYPE],"A",KB[TANGGAL],"&gt;="&amp;$CB$8,KB[TANGGAL],"&lt;"&amp;DATE(YEAR($CB$8),MONTH($CB$8)+1,0))</f>
        <v>0</v>
      </c>
      <c r="CJ44" s="1323"/>
      <c r="CK44" s="1322"/>
      <c r="CL44" s="1321">
        <f>SUMIFS(KB[NETTO],KB[RELASI],C44,KB[TYPE],"A",KB[TANGGAL],"&gt;="&amp;$CL$8,KB[TANGGAL],"&lt;"&amp;DATE(YEAR($CL$8),MONTH($CL$8)+1,0))</f>
        <v>0</v>
      </c>
      <c r="CM44" s="1323"/>
      <c r="CN44" s="1322"/>
      <c r="CO44" s="1321">
        <f t="shared" si="13"/>
        <v>0</v>
      </c>
      <c r="CP44" s="1322"/>
      <c r="CQ44" s="1321">
        <f>SUMIFS(KB[TPOT],KB[RELASI],C44,KB[TYPE],"A",KB[TANGGAL],"&gt;="&amp;$CL$8,KB[TANGGAL],"&lt;"&amp;DATE(YEAR($CL$8),MONTH($CL$8)+1,0))</f>
        <v>0</v>
      </c>
      <c r="CR44" s="1322"/>
      <c r="CS44" s="1321">
        <f>SUMIFS(KB[NETTO2],KB[RELASI],C44,KB[TYPE],"A",KB[TANGGAL],"&gt;="&amp;$CL$8,KB[TANGGAL],"&lt;"&amp;DATE(YEAR($CL$8),MONTH($CL$8)+1,0))</f>
        <v>0</v>
      </c>
      <c r="CT44" s="1323"/>
      <c r="CU44" s="1322"/>
      <c r="CV44" s="1321">
        <f>SUMIFS(KB[NETTO],KB[RELASI],C44,KB[TYPE],"A",KB[TANGGAL],"&gt;="&amp;$CV$8,KB[TANGGAL],"&lt;"&amp;DATE(YEAR($CV$8),MONTH($CV$8)+1,0))</f>
        <v>0</v>
      </c>
      <c r="CW44" s="1323"/>
      <c r="CX44" s="1322"/>
      <c r="CY44" s="1321">
        <f t="shared" si="14"/>
        <v>0</v>
      </c>
      <c r="CZ44" s="1322"/>
      <c r="DA44" s="1321">
        <f>SUMIFS(KB[TPOT],KB[RELASI],C44,KB[TYPE],"A",KB[TANGGAL],"&gt;="&amp;$CV$8,KB[TANGGAL],"&lt;"&amp;DATE(YEAR($CV$8),MONTH($CV$8)+1,0))</f>
        <v>0</v>
      </c>
      <c r="DB44" s="1322"/>
      <c r="DC44" s="1321">
        <f>SUMIFS(KB[NETTO2],KB[RELASI],C44,KB[TYPE],"A",KB[TANGGAL],"&gt;="&amp;$CV$8,KB[TANGGAL],"&lt;"&amp;DATE(YEAR($CV$8),MONTH($CV$8)+1,0))</f>
        <v>0</v>
      </c>
      <c r="DD44" s="1323"/>
      <c r="DE44" s="1322"/>
      <c r="DF44" s="1321">
        <f>SUMIFS(KB[NETTO],KB[RELASI],C44,KB[TYPE],"A",KB[TANGGAL],"&gt;="&amp;$DF$8,KB[TANGGAL],"&lt;"&amp;DATE(YEAR($DF$8),MONTH($DF$8)+1,0))</f>
        <v>0</v>
      </c>
      <c r="DG44" s="1323"/>
      <c r="DH44" s="1322"/>
      <c r="DI44" s="1321">
        <f t="shared" si="15"/>
        <v>0</v>
      </c>
      <c r="DJ44" s="1322"/>
      <c r="DK44" s="1321">
        <f>SUMIFS(KB[TPOT],KB[RELASI],C44,KB[TYPE],"A",KB[TANGGAL],"&gt;="&amp;$DF$8,KB[TANGGAL],"&lt;"&amp;DATE(YEAR($DF$8),MONTH($DF$8)+1,0))</f>
        <v>0</v>
      </c>
      <c r="DL44" s="1322"/>
      <c r="DM44" s="1321">
        <f>SUMIFS(KB[NETTO2],KB[RELASI],C44,KB[TYPE],"A",KB[TANGGAL],"&gt;="&amp;$DF$8,KB[TANGGAL],"&lt;"&amp;DATE(YEAR($DF$8),MONTH($DF$8)+1,0))</f>
        <v>0</v>
      </c>
      <c r="DN44" s="1323"/>
      <c r="DO44" s="1322"/>
      <c r="DP44" s="1321">
        <f>SUMIFS(KB[NETTO],KB[RELASI],C44,KB[TYPE],"A",KB[TANGGAL],"&gt;="&amp;$DP$8,KB[TANGGAL],"&lt;"&amp;DATE(YEAR($DP$8),MONTH($DP$8)+1,0))</f>
        <v>0</v>
      </c>
      <c r="DQ44" s="1323"/>
      <c r="DR44" s="1322"/>
      <c r="DS44" s="1321">
        <f t="shared" si="16"/>
        <v>0</v>
      </c>
      <c r="DT44" s="1322"/>
      <c r="DU44" s="1321">
        <f>SUMIFS(KB[TPOT],KB[RELASI],C44,KB[TYPE],"A",KB[TANGGAL],"&gt;="&amp;$DP$8,KB[TANGGAL],"&lt;"&amp;DATE(YEAR($DP$8),MONTH($DP$8)+1,0))</f>
        <v>0</v>
      </c>
      <c r="DV44" s="1322"/>
      <c r="DW44" s="1321">
        <f>SUMIFS(KB[NETTO2],KB[RELASI],C44,KB[TYPE],"A",KB[TANGGAL],"&gt;="&amp;$DP$8,KB[TANGGAL],"&lt;"&amp;DATE(YEAR($DP$8),MONTH($DP$8)+1,0))</f>
        <v>0</v>
      </c>
      <c r="DX44" s="1323"/>
      <c r="DY44" s="1322"/>
      <c r="DZ44" s="1321">
        <f>SUMIFS(KB[NETTO],KB[RELASI],C44,KB[TYPE],"A",KB[TANGGAL],"&gt;="&amp;$DZ$8,KB[TANGGAL],"&lt;"&amp;DATE(YEAR($DZ$8),MONTH($DZ$8)+1,0))</f>
        <v>0</v>
      </c>
      <c r="EA44" s="1323"/>
      <c r="EB44" s="1322"/>
      <c r="EC44" s="1321">
        <f t="shared" si="17"/>
        <v>0</v>
      </c>
      <c r="ED44" s="1322"/>
      <c r="EE44" s="1321">
        <f>SUMIFS(KB[TPOT],KB[RELASI],C44,KB[TYPE],"A",KB[TANGGAL],"&gt;="&amp;$DZ$8,KB[TANGGAL],"&lt;"&amp;DATE(YEAR($DZ$8),MONTH($DZ$8)+1,0))</f>
        <v>0</v>
      </c>
      <c r="EF44" s="1322"/>
      <c r="EG44" s="1321">
        <f>SUMIFS(KB[NETTO2],KB[RELASI],C44,KB[TYPE],"A",KB[TANGGAL],"&gt;="&amp;$DZ$8,KB[TANGGAL],"&lt;"&amp;DATE(YEAR($DZ$8),MONTH($DZ$8)+1,0))</f>
        <v>0</v>
      </c>
      <c r="EH44" s="1323"/>
      <c r="EI44" s="1322"/>
      <c r="EJ44" s="844"/>
      <c r="EK44" s="845"/>
      <c r="EL44" s="846"/>
      <c r="EM44" s="844"/>
      <c r="EN44" s="846"/>
      <c r="EO44" s="844"/>
      <c r="EP44" s="846"/>
      <c r="EQ44" s="844"/>
      <c r="ER44" s="845"/>
      <c r="ES44" s="847"/>
    </row>
    <row r="45" spans="2:149" ht="18" customHeight="1">
      <c r="B45" s="1040">
        <f t="shared" si="18"/>
        <v>35</v>
      </c>
      <c r="C45" s="844" t="str">
        <f>RELASI!C37</f>
        <v>MUHAMMAD ARAB</v>
      </c>
      <c r="D45" s="845"/>
      <c r="E45" s="845"/>
      <c r="F45" s="846"/>
      <c r="G45" s="844" t="str">
        <f>RELASI!D37</f>
        <v>L. Hulu</v>
      </c>
      <c r="H45" s="845"/>
      <c r="I45" s="846"/>
      <c r="J45" s="1319">
        <f>SUMIFS(KB[NETTO],KB[RELASI],C45,KB[TYPE],"A",KB[TANGGAL],"&gt;="&amp;DATE($J$7,1,1),KB[TANGGAL],"&lt;"&amp;DATE($J$7+1,1,0))/12</f>
        <v>0</v>
      </c>
      <c r="K45" s="1324"/>
      <c r="L45" s="1320"/>
      <c r="M45" s="1319">
        <f t="shared" si="19"/>
        <v>0</v>
      </c>
      <c r="N45" s="1320"/>
      <c r="O45" s="1321">
        <f>SUMIFS(KB[TPOT],KB[RELASI],C45,KB[TYPE],"A",KB[TANGGAL],"&gt;="&amp;DATE($J$7,1,1),KB[TANGGAL],"&lt;"&amp;DATE($J$7+1,1,0))/12</f>
        <v>0</v>
      </c>
      <c r="P45" s="1322"/>
      <c r="Q45" s="1321">
        <f>SUMIFS(KB[NETTO2],KB[RELASI],C45,KB[TYPE],"A",KB[TANGGAL],"&gt;="&amp;DATE($J$7,1,1),KB[TANGGAL],"&lt;"&amp;DATE($J$7+1,1,0))/12</f>
        <v>0</v>
      </c>
      <c r="R45" s="1323"/>
      <c r="S45" s="1322"/>
      <c r="T45" s="1321">
        <f>SUMIFS(KB[NETTO],KB[RELASI],C45,KB[TYPE],"A",KB[TANGGAL],"&gt;="&amp;$T$8,KB[TANGGAL],"&lt;"&amp;DATE($FA$4,$FA$5+1,0))</f>
        <v>23570</v>
      </c>
      <c r="U45" s="1323"/>
      <c r="V45" s="1322"/>
      <c r="W45" s="1319">
        <f t="shared" si="20"/>
        <v>5.9999999999999991</v>
      </c>
      <c r="X45" s="1320"/>
      <c r="Y45" s="1339">
        <f>SUMIFS(KB[TPOT],KB[RELASI],C45,KB[TYPE],"A",KB[TANGGAL],"&gt;="&amp;$T$8,KB[TANGGAL],"&lt;"&amp;DATE($FA$4,$FA$5+1,0))</f>
        <v>1414.1999999999998</v>
      </c>
      <c r="Z45" s="1340"/>
      <c r="AA45" s="1339">
        <f>SUMIFS(KB[NETTO2],KB[RELASI],C45,KB[TYPE],"A",KB[TANGGAL],"&gt;="&amp;$T$8,KB[TANGGAL],"&lt;"&amp;DATE($FA$4,$FA$5+1,0))</f>
        <v>22155.800000000003</v>
      </c>
      <c r="AB45" s="1341"/>
      <c r="AC45" s="1340"/>
      <c r="AD45" s="1321">
        <f>SUMIFS(KB[NETTO],KB[RELASI],C45,KB[TYPE],"A",KB[TANGGAL],"&gt;="&amp;$AD$8,KB[TANGGAL],"&lt;"&amp;DATE($FA$4,MONTH($AD$8)+1,0))</f>
        <v>19800</v>
      </c>
      <c r="AE45" s="1323"/>
      <c r="AF45" s="1322"/>
      <c r="AG45" s="1321">
        <f t="shared" si="7"/>
        <v>5.9999999999999991</v>
      </c>
      <c r="AH45" s="1322"/>
      <c r="AI45" s="1321">
        <f>SUMIFS(KB[TPOT],KB[RELASI],C45,KB[TYPE],"A",KB[TANGGAL],"&gt;="&amp;$AD$8,KB[TANGGAL],"&lt;"&amp;DATE($FA$4,MONTH($AD$8)+1,0))</f>
        <v>1188</v>
      </c>
      <c r="AJ45" s="1322"/>
      <c r="AK45" s="1321">
        <f>SUMIFS(KB[NETTO2],KB[RELASI],C45,KB[TYPE],"A",KB[TANGGAL],"&gt;="&amp;$AD$8,KB[TANGGAL],"&lt;"&amp;DATE($FA$4,MONTH($AD$8)+1,0))</f>
        <v>18612</v>
      </c>
      <c r="AL45" s="1323"/>
      <c r="AM45" s="1322"/>
      <c r="AN45" s="1321">
        <f>SUMIFS(KB[NETTO],KB[RELASI],C45,KB[TYPE],"A",KB[TANGGAL],"&gt;="&amp;$AN$8,KB[TANGGAL],"&lt;"&amp;DATE(YEAR($AN$8),MONTH($AN$8)+1,0))</f>
        <v>0</v>
      </c>
      <c r="AO45" s="1323"/>
      <c r="AP45" s="1322"/>
      <c r="AQ45" s="1321">
        <f t="shared" si="8"/>
        <v>0</v>
      </c>
      <c r="AR45" s="1322"/>
      <c r="AS45" s="1321">
        <f>SUMIFS(KB[TPOT],KB[RELASI],C45,KB[TYPE],"A",KB[TANGGAL],"&gt;="&amp;$AN$8,KB[TANGGAL],"&lt;"&amp;DATE(YEAR($AN$8),MONTH($AN$8)+1,0))</f>
        <v>0</v>
      </c>
      <c r="AT45" s="1322"/>
      <c r="AU45" s="1321">
        <f>SUMIFS(KB[NETTO2],KB[RELASI],C45,KB[TYPE],"A",KB[TANGGAL],"&gt;="&amp;$AN$8,KB[TANGGAL],"&lt;"&amp;DATE(YEAR($AN$8),MONTH($AN$8)+1,0))</f>
        <v>0</v>
      </c>
      <c r="AV45" s="1323"/>
      <c r="AW45" s="1322"/>
      <c r="AX45" s="1321">
        <f>SUMIFS(KB[NETTO],KB[RELASI],C45,KB[TYPE],"A",KB[TANGGAL],"&gt;="&amp;$AX$8,KB[TANGGAL],"&lt;"&amp;DATE(YEAR($AX$8),MONTH($AX$8)+1,0))</f>
        <v>0</v>
      </c>
      <c r="AY45" s="1323"/>
      <c r="AZ45" s="1322"/>
      <c r="BA45" s="1321">
        <f t="shared" si="9"/>
        <v>0</v>
      </c>
      <c r="BB45" s="1322"/>
      <c r="BC45" s="1321">
        <f>SUMIFS(KB[TPOT],KB[RELASI],C45,KB[TYPE],"A",KB[TANGGAL],"&gt;="&amp;$AX$8,KB[TANGGAL],"&lt;"&amp;DATE(YEAR($AX$8),MONTH($AX$8)+1,0))</f>
        <v>0</v>
      </c>
      <c r="BD45" s="1322"/>
      <c r="BE45" s="1321">
        <f>SUMIFS(KB[NETTO2],KB[RELASI],C45,KB[TYPE],"A",KB[TANGGAL],"&gt;="&amp;$AX$8,KB[TANGGAL],"&lt;"&amp;DATE(YEAR($AX$8),MONTH($AX$8)+1,0))</f>
        <v>0</v>
      </c>
      <c r="BF45" s="1323"/>
      <c r="BG45" s="1322"/>
      <c r="BH45" s="1321">
        <f>SUMIFS(KB[NETTO],KB[RELASI],C45,KB[TYPE],"A",KB[TANGGAL],"&gt;="&amp;$BH$8,KB[TANGGAL],"&lt;"&amp;DATE(YEAR($BH$8),MONTH($BH$8)+1,0))</f>
        <v>0</v>
      </c>
      <c r="BI45" s="1323"/>
      <c r="BJ45" s="1322"/>
      <c r="BK45" s="1321">
        <f t="shared" si="10"/>
        <v>0</v>
      </c>
      <c r="BL45" s="1322"/>
      <c r="BM45" s="1321">
        <f>SUMIFS(KB[TPOT],KB[RELASI],C45,KB[TYPE],"A",KB[TANGGAL],"&gt;="&amp;$BH$8,KB[TANGGAL],"&lt;"&amp;DATE(YEAR($BH$8),MONTH($BH$8)+1,0))</f>
        <v>0</v>
      </c>
      <c r="BN45" s="1322"/>
      <c r="BO45" s="1321">
        <f>SUMIFS(KB[NETTO2],KB[RELASI],C45,KB[TYPE],"A",KB[TANGGAL],"&gt;="&amp;$BH$8,KB[TANGGAL],"&lt;"&amp;DATE(YEAR($BH$8),MONTH($BH$8)+1,0))</f>
        <v>0</v>
      </c>
      <c r="BP45" s="1323"/>
      <c r="BQ45" s="1322"/>
      <c r="BR45" s="1321">
        <f>SUMIFS(KB[NETTO],KB[RELASI],C45,KB[TYPE],"A",KB[TANGGAL],"&gt;="&amp;$BR$8,KB[TANGGAL],"&lt;"&amp;DATE(YEAR($BR$8),MONTH($BR$8)+1,0))</f>
        <v>0</v>
      </c>
      <c r="BS45" s="1323"/>
      <c r="BT45" s="1322"/>
      <c r="BU45" s="1321">
        <f t="shared" si="11"/>
        <v>0</v>
      </c>
      <c r="BV45" s="1322"/>
      <c r="BW45" s="1321">
        <f>SUMIFS(KB[TPOT],KB[RELASI],C45,KB[TYPE],"A",KB[TANGGAL],"&gt;="&amp;$BR$8,KB[TANGGAL],"&lt;"&amp;DATE(YEAR($BR$8),MONTH($BR$8)+1,0))</f>
        <v>0</v>
      </c>
      <c r="BX45" s="1322"/>
      <c r="BY45" s="1321">
        <f>SUMIFS(KB[NETTO2],KB[RELASI],C45,KB[TYPE],"A",KB[TANGGAL],"&gt;="&amp;$BR$8,KB[TANGGAL],"&lt;"&amp;DATE(YEAR($BR$8),MONTH($BR$8)+1,0))</f>
        <v>0</v>
      </c>
      <c r="BZ45" s="1323"/>
      <c r="CA45" s="1322"/>
      <c r="CB45" s="1321">
        <f>SUMIFS(KB[NETTO],KB[RELASI],C45,KB[TYPE],"A",KB[TANGGAL],"&gt;="&amp;$CB$8,KB[TANGGAL],"&lt;"&amp;DATE(YEAR($CB$8),MONTH($CB$8)+1,0))</f>
        <v>0</v>
      </c>
      <c r="CC45" s="1323"/>
      <c r="CD45" s="1322"/>
      <c r="CE45" s="1321">
        <f t="shared" si="12"/>
        <v>0</v>
      </c>
      <c r="CF45" s="1322"/>
      <c r="CG45" s="1321">
        <f>SUMIFS(KB[TPOT],KB[RELASI],C45,KB[TYPE],"A",KB[TANGGAL],"&gt;="&amp;$CB$8,KB[TANGGAL],"&lt;"&amp;DATE(YEAR($CB$8),MONTH($CB$8)+1,0))</f>
        <v>0</v>
      </c>
      <c r="CH45" s="1322"/>
      <c r="CI45" s="1321">
        <f>SUMIFS(KB[NETTO2],KB[RELASI],C45,KB[TYPE],"A",KB[TANGGAL],"&gt;="&amp;$CB$8,KB[TANGGAL],"&lt;"&amp;DATE(YEAR($CB$8),MONTH($CB$8)+1,0))</f>
        <v>0</v>
      </c>
      <c r="CJ45" s="1323"/>
      <c r="CK45" s="1322"/>
      <c r="CL45" s="1321">
        <f>SUMIFS(KB[NETTO],KB[RELASI],C45,KB[TYPE],"A",KB[TANGGAL],"&gt;="&amp;$CL$8,KB[TANGGAL],"&lt;"&amp;DATE(YEAR($CL$8),MONTH($CL$8)+1,0))</f>
        <v>0</v>
      </c>
      <c r="CM45" s="1323"/>
      <c r="CN45" s="1322"/>
      <c r="CO45" s="1321">
        <f t="shared" si="13"/>
        <v>0</v>
      </c>
      <c r="CP45" s="1322"/>
      <c r="CQ45" s="1321">
        <f>SUMIFS(KB[TPOT],KB[RELASI],C45,KB[TYPE],"A",KB[TANGGAL],"&gt;="&amp;$CL$8,KB[TANGGAL],"&lt;"&amp;DATE(YEAR($CL$8),MONTH($CL$8)+1,0))</f>
        <v>0</v>
      </c>
      <c r="CR45" s="1322"/>
      <c r="CS45" s="1321">
        <f>SUMIFS(KB[NETTO2],KB[RELASI],C45,KB[TYPE],"A",KB[TANGGAL],"&gt;="&amp;$CL$8,KB[TANGGAL],"&lt;"&amp;DATE(YEAR($CL$8),MONTH($CL$8)+1,0))</f>
        <v>0</v>
      </c>
      <c r="CT45" s="1323"/>
      <c r="CU45" s="1322"/>
      <c r="CV45" s="1321">
        <f>SUMIFS(KB[NETTO],KB[RELASI],C45,KB[TYPE],"A",KB[TANGGAL],"&gt;="&amp;$CV$8,KB[TANGGAL],"&lt;"&amp;DATE(YEAR($CV$8),MONTH($CV$8)+1,0))</f>
        <v>0</v>
      </c>
      <c r="CW45" s="1323"/>
      <c r="CX45" s="1322"/>
      <c r="CY45" s="1321">
        <f t="shared" si="14"/>
        <v>0</v>
      </c>
      <c r="CZ45" s="1322"/>
      <c r="DA45" s="1321">
        <f>SUMIFS(KB[TPOT],KB[RELASI],C45,KB[TYPE],"A",KB[TANGGAL],"&gt;="&amp;$CV$8,KB[TANGGAL],"&lt;"&amp;DATE(YEAR($CV$8),MONTH($CV$8)+1,0))</f>
        <v>0</v>
      </c>
      <c r="DB45" s="1322"/>
      <c r="DC45" s="1321">
        <f>SUMIFS(KB[NETTO2],KB[RELASI],C45,KB[TYPE],"A",KB[TANGGAL],"&gt;="&amp;$CV$8,KB[TANGGAL],"&lt;"&amp;DATE(YEAR($CV$8),MONTH($CV$8)+1,0))</f>
        <v>0</v>
      </c>
      <c r="DD45" s="1323"/>
      <c r="DE45" s="1322"/>
      <c r="DF45" s="1321">
        <f>SUMIFS(KB[NETTO],KB[RELASI],C45,KB[TYPE],"A",KB[TANGGAL],"&gt;="&amp;$DF$8,KB[TANGGAL],"&lt;"&amp;DATE(YEAR($DF$8),MONTH($DF$8)+1,0))</f>
        <v>0</v>
      </c>
      <c r="DG45" s="1323"/>
      <c r="DH45" s="1322"/>
      <c r="DI45" s="1321">
        <f t="shared" si="15"/>
        <v>0</v>
      </c>
      <c r="DJ45" s="1322"/>
      <c r="DK45" s="1321">
        <f>SUMIFS(KB[TPOT],KB[RELASI],C45,KB[TYPE],"A",KB[TANGGAL],"&gt;="&amp;$DF$8,KB[TANGGAL],"&lt;"&amp;DATE(YEAR($DF$8),MONTH($DF$8)+1,0))</f>
        <v>0</v>
      </c>
      <c r="DL45" s="1322"/>
      <c r="DM45" s="1321">
        <f>SUMIFS(KB[NETTO2],KB[RELASI],C45,KB[TYPE],"A",KB[TANGGAL],"&gt;="&amp;$DF$8,KB[TANGGAL],"&lt;"&amp;DATE(YEAR($DF$8),MONTH($DF$8)+1,0))</f>
        <v>0</v>
      </c>
      <c r="DN45" s="1323"/>
      <c r="DO45" s="1322"/>
      <c r="DP45" s="1321">
        <f>SUMIFS(KB[NETTO],KB[RELASI],C45,KB[TYPE],"A",KB[TANGGAL],"&gt;="&amp;$DP$8,KB[TANGGAL],"&lt;"&amp;DATE(YEAR($DP$8),MONTH($DP$8)+1,0))</f>
        <v>0</v>
      </c>
      <c r="DQ45" s="1323"/>
      <c r="DR45" s="1322"/>
      <c r="DS45" s="1321">
        <f t="shared" si="16"/>
        <v>0</v>
      </c>
      <c r="DT45" s="1322"/>
      <c r="DU45" s="1321">
        <f>SUMIFS(KB[TPOT],KB[RELASI],C45,KB[TYPE],"A",KB[TANGGAL],"&gt;="&amp;$DP$8,KB[TANGGAL],"&lt;"&amp;DATE(YEAR($DP$8),MONTH($DP$8)+1,0))</f>
        <v>0</v>
      </c>
      <c r="DV45" s="1322"/>
      <c r="DW45" s="1321">
        <f>SUMIFS(KB[NETTO2],KB[RELASI],C45,KB[TYPE],"A",KB[TANGGAL],"&gt;="&amp;$DP$8,KB[TANGGAL],"&lt;"&amp;DATE(YEAR($DP$8),MONTH($DP$8)+1,0))</f>
        <v>0</v>
      </c>
      <c r="DX45" s="1323"/>
      <c r="DY45" s="1322"/>
      <c r="DZ45" s="1321">
        <f>SUMIFS(KB[NETTO],KB[RELASI],C45,KB[TYPE],"A",KB[TANGGAL],"&gt;="&amp;$DZ$8,KB[TANGGAL],"&lt;"&amp;DATE(YEAR($DZ$8),MONTH($DZ$8)+1,0))</f>
        <v>0</v>
      </c>
      <c r="EA45" s="1323"/>
      <c r="EB45" s="1322"/>
      <c r="EC45" s="1321">
        <f t="shared" si="17"/>
        <v>0</v>
      </c>
      <c r="ED45" s="1322"/>
      <c r="EE45" s="1321">
        <f>SUMIFS(KB[TPOT],KB[RELASI],C45,KB[TYPE],"A",KB[TANGGAL],"&gt;="&amp;$DZ$8,KB[TANGGAL],"&lt;"&amp;DATE(YEAR($DZ$8),MONTH($DZ$8)+1,0))</f>
        <v>0</v>
      </c>
      <c r="EF45" s="1322"/>
      <c r="EG45" s="1321">
        <f>SUMIFS(KB[NETTO2],KB[RELASI],C45,KB[TYPE],"A",KB[TANGGAL],"&gt;="&amp;$DZ$8,KB[TANGGAL],"&lt;"&amp;DATE(YEAR($DZ$8),MONTH($DZ$8)+1,0))</f>
        <v>0</v>
      </c>
      <c r="EH45" s="1323"/>
      <c r="EI45" s="1322"/>
      <c r="EJ45" s="844"/>
      <c r="EK45" s="845"/>
      <c r="EL45" s="846"/>
      <c r="EM45" s="844"/>
      <c r="EN45" s="846"/>
      <c r="EO45" s="844"/>
      <c r="EP45" s="846"/>
      <c r="EQ45" s="844"/>
      <c r="ER45" s="845"/>
      <c r="ES45" s="847"/>
    </row>
    <row r="46" spans="2:149" ht="18" customHeight="1">
      <c r="B46" s="1040">
        <f t="shared" si="18"/>
        <v>36</v>
      </c>
      <c r="C46" s="844" t="str">
        <f>RELASI!C38</f>
        <v>MURYADI</v>
      </c>
      <c r="D46" s="845"/>
      <c r="E46" s="845"/>
      <c r="F46" s="846"/>
      <c r="G46" s="844" t="str">
        <f>RELASI!D38</f>
        <v>Sp. Gaung</v>
      </c>
      <c r="H46" s="845"/>
      <c r="I46" s="846"/>
      <c r="J46" s="1319">
        <f>SUMIFS(KB[NETTO],KB[RELASI],C46,KB[TYPE],"A",KB[TANGGAL],"&gt;="&amp;DATE($J$7,1,1),KB[TANGGAL],"&lt;"&amp;DATE($J$7+1,1,0))/12</f>
        <v>0</v>
      </c>
      <c r="K46" s="1324"/>
      <c r="L46" s="1320"/>
      <c r="M46" s="1319">
        <f t="shared" si="19"/>
        <v>0</v>
      </c>
      <c r="N46" s="1320"/>
      <c r="O46" s="1321">
        <f>SUMIFS(KB[TPOT],KB[RELASI],C46,KB[TYPE],"A",KB[TANGGAL],"&gt;="&amp;DATE($J$7,1,1),KB[TANGGAL],"&lt;"&amp;DATE($J$7+1,1,0))/12</f>
        <v>0</v>
      </c>
      <c r="P46" s="1322"/>
      <c r="Q46" s="1321">
        <f>SUMIFS(KB[NETTO2],KB[RELASI],C46,KB[TYPE],"A",KB[TANGGAL],"&gt;="&amp;DATE($J$7,1,1),KB[TANGGAL],"&lt;"&amp;DATE($J$7+1,1,0))/12</f>
        <v>0</v>
      </c>
      <c r="R46" s="1323"/>
      <c r="S46" s="1322"/>
      <c r="T46" s="1321">
        <f>SUMIFS(KB[NETTO],KB[RELASI],C46,KB[TYPE],"A",KB[TANGGAL],"&gt;="&amp;$T$8,KB[TANGGAL],"&lt;"&amp;DATE($FA$4,$FA$5+1,0))</f>
        <v>0</v>
      </c>
      <c r="U46" s="1323"/>
      <c r="V46" s="1322"/>
      <c r="W46" s="1319">
        <f t="shared" si="20"/>
        <v>0</v>
      </c>
      <c r="X46" s="1320"/>
      <c r="Y46" s="1339">
        <f>SUMIFS(KB[TPOT],KB[RELASI],C46,KB[TYPE],"A",KB[TANGGAL],"&gt;="&amp;$T$8,KB[TANGGAL],"&lt;"&amp;DATE($FA$4,$FA$5+1,0))</f>
        <v>0</v>
      </c>
      <c r="Z46" s="1340"/>
      <c r="AA46" s="1339">
        <f>SUMIFS(KB[NETTO2],KB[RELASI],C46,KB[TYPE],"A",KB[TANGGAL],"&gt;="&amp;$T$8,KB[TANGGAL],"&lt;"&amp;DATE($FA$4,$FA$5+1,0))</f>
        <v>0</v>
      </c>
      <c r="AB46" s="1341"/>
      <c r="AC46" s="1340"/>
      <c r="AD46" s="1321">
        <f>SUMIFS(KB[NETTO],KB[RELASI],C46,KB[TYPE],"A",KB[TANGGAL],"&gt;="&amp;$AD$8,KB[TANGGAL],"&lt;"&amp;DATE($FA$4,MONTH($AD$8)+1,0))</f>
        <v>0</v>
      </c>
      <c r="AE46" s="1323"/>
      <c r="AF46" s="1322"/>
      <c r="AG46" s="1321">
        <f t="shared" si="7"/>
        <v>0</v>
      </c>
      <c r="AH46" s="1322"/>
      <c r="AI46" s="1321">
        <f>SUMIFS(KB[TPOT],KB[RELASI],C46,KB[TYPE],"A",KB[TANGGAL],"&gt;="&amp;$AD$8,KB[TANGGAL],"&lt;"&amp;DATE($FA$4,MONTH($AD$8)+1,0))</f>
        <v>0</v>
      </c>
      <c r="AJ46" s="1322"/>
      <c r="AK46" s="1321">
        <f>SUMIFS(KB[NETTO2],KB[RELASI],C46,KB[TYPE],"A",KB[TANGGAL],"&gt;="&amp;$AD$8,KB[TANGGAL],"&lt;"&amp;DATE($FA$4,MONTH($AD$8)+1,0))</f>
        <v>0</v>
      </c>
      <c r="AL46" s="1323"/>
      <c r="AM46" s="1322"/>
      <c r="AN46" s="1321">
        <f>SUMIFS(KB[NETTO],KB[RELASI],C46,KB[TYPE],"A",KB[TANGGAL],"&gt;="&amp;$AN$8,KB[TANGGAL],"&lt;"&amp;DATE(YEAR($AN$8),MONTH($AN$8)+1,0))</f>
        <v>0</v>
      </c>
      <c r="AO46" s="1323"/>
      <c r="AP46" s="1322"/>
      <c r="AQ46" s="1321">
        <f t="shared" si="8"/>
        <v>0</v>
      </c>
      <c r="AR46" s="1322"/>
      <c r="AS46" s="1321">
        <f>SUMIFS(KB[TPOT],KB[RELASI],C46,KB[TYPE],"A",KB[TANGGAL],"&gt;="&amp;$AN$8,KB[TANGGAL],"&lt;"&amp;DATE(YEAR($AN$8),MONTH($AN$8)+1,0))</f>
        <v>0</v>
      </c>
      <c r="AT46" s="1322"/>
      <c r="AU46" s="1321">
        <f>SUMIFS(KB[NETTO2],KB[RELASI],C46,KB[TYPE],"A",KB[TANGGAL],"&gt;="&amp;$AN$8,KB[TANGGAL],"&lt;"&amp;DATE(YEAR($AN$8),MONTH($AN$8)+1,0))</f>
        <v>0</v>
      </c>
      <c r="AV46" s="1323"/>
      <c r="AW46" s="1322"/>
      <c r="AX46" s="1321">
        <f>SUMIFS(KB[NETTO],KB[RELASI],C46,KB[TYPE],"A",KB[TANGGAL],"&gt;="&amp;$AX$8,KB[TANGGAL],"&lt;"&amp;DATE(YEAR($AX$8),MONTH($AX$8)+1,0))</f>
        <v>0</v>
      </c>
      <c r="AY46" s="1323"/>
      <c r="AZ46" s="1322"/>
      <c r="BA46" s="1321">
        <f t="shared" si="9"/>
        <v>0</v>
      </c>
      <c r="BB46" s="1322"/>
      <c r="BC46" s="1321">
        <f>SUMIFS(KB[TPOT],KB[RELASI],C46,KB[TYPE],"A",KB[TANGGAL],"&gt;="&amp;$AX$8,KB[TANGGAL],"&lt;"&amp;DATE(YEAR($AX$8),MONTH($AX$8)+1,0))</f>
        <v>0</v>
      </c>
      <c r="BD46" s="1322"/>
      <c r="BE46" s="1321">
        <f>SUMIFS(KB[NETTO2],KB[RELASI],C46,KB[TYPE],"A",KB[TANGGAL],"&gt;="&amp;$AX$8,KB[TANGGAL],"&lt;"&amp;DATE(YEAR($AX$8),MONTH($AX$8)+1,0))</f>
        <v>0</v>
      </c>
      <c r="BF46" s="1323"/>
      <c r="BG46" s="1322"/>
      <c r="BH46" s="1321">
        <f>SUMIFS(KB[NETTO],KB[RELASI],C46,KB[TYPE],"A",KB[TANGGAL],"&gt;="&amp;$BH$8,KB[TANGGAL],"&lt;"&amp;DATE(YEAR($BH$8),MONTH($BH$8)+1,0))</f>
        <v>0</v>
      </c>
      <c r="BI46" s="1323"/>
      <c r="BJ46" s="1322"/>
      <c r="BK46" s="1321">
        <f t="shared" si="10"/>
        <v>0</v>
      </c>
      <c r="BL46" s="1322"/>
      <c r="BM46" s="1321">
        <f>SUMIFS(KB[TPOT],KB[RELASI],C46,KB[TYPE],"A",KB[TANGGAL],"&gt;="&amp;$BH$8,KB[TANGGAL],"&lt;"&amp;DATE(YEAR($BH$8),MONTH($BH$8)+1,0))</f>
        <v>0</v>
      </c>
      <c r="BN46" s="1322"/>
      <c r="BO46" s="1321">
        <f>SUMIFS(KB[NETTO2],KB[RELASI],C46,KB[TYPE],"A",KB[TANGGAL],"&gt;="&amp;$BH$8,KB[TANGGAL],"&lt;"&amp;DATE(YEAR($BH$8),MONTH($BH$8)+1,0))</f>
        <v>0</v>
      </c>
      <c r="BP46" s="1323"/>
      <c r="BQ46" s="1322"/>
      <c r="BR46" s="1321">
        <f>SUMIFS(KB[NETTO],KB[RELASI],C46,KB[TYPE],"A",KB[TANGGAL],"&gt;="&amp;$BR$8,KB[TANGGAL],"&lt;"&amp;DATE(YEAR($BR$8),MONTH($BR$8)+1,0))</f>
        <v>0</v>
      </c>
      <c r="BS46" s="1323"/>
      <c r="BT46" s="1322"/>
      <c r="BU46" s="1321">
        <f t="shared" si="11"/>
        <v>0</v>
      </c>
      <c r="BV46" s="1322"/>
      <c r="BW46" s="1321">
        <f>SUMIFS(KB[TPOT],KB[RELASI],C46,KB[TYPE],"A",KB[TANGGAL],"&gt;="&amp;$BR$8,KB[TANGGAL],"&lt;"&amp;DATE(YEAR($BR$8),MONTH($BR$8)+1,0))</f>
        <v>0</v>
      </c>
      <c r="BX46" s="1322"/>
      <c r="BY46" s="1321">
        <f>SUMIFS(KB[NETTO2],KB[RELASI],C46,KB[TYPE],"A",KB[TANGGAL],"&gt;="&amp;$BR$8,KB[TANGGAL],"&lt;"&amp;DATE(YEAR($BR$8),MONTH($BR$8)+1,0))</f>
        <v>0</v>
      </c>
      <c r="BZ46" s="1323"/>
      <c r="CA46" s="1322"/>
      <c r="CB46" s="1321">
        <f>SUMIFS(KB[NETTO],KB[RELASI],C46,KB[TYPE],"A",KB[TANGGAL],"&gt;="&amp;$CB$8,KB[TANGGAL],"&lt;"&amp;DATE(YEAR($CB$8),MONTH($CB$8)+1,0))</f>
        <v>0</v>
      </c>
      <c r="CC46" s="1323"/>
      <c r="CD46" s="1322"/>
      <c r="CE46" s="1321">
        <f t="shared" si="12"/>
        <v>0</v>
      </c>
      <c r="CF46" s="1322"/>
      <c r="CG46" s="1321">
        <f>SUMIFS(KB[TPOT],KB[RELASI],C46,KB[TYPE],"A",KB[TANGGAL],"&gt;="&amp;$CB$8,KB[TANGGAL],"&lt;"&amp;DATE(YEAR($CB$8),MONTH($CB$8)+1,0))</f>
        <v>0</v>
      </c>
      <c r="CH46" s="1322"/>
      <c r="CI46" s="1321">
        <f>SUMIFS(KB[NETTO2],KB[RELASI],C46,KB[TYPE],"A",KB[TANGGAL],"&gt;="&amp;$CB$8,KB[TANGGAL],"&lt;"&amp;DATE(YEAR($CB$8),MONTH($CB$8)+1,0))</f>
        <v>0</v>
      </c>
      <c r="CJ46" s="1323"/>
      <c r="CK46" s="1322"/>
      <c r="CL46" s="1321">
        <f>SUMIFS(KB[NETTO],KB[RELASI],C46,KB[TYPE],"A",KB[TANGGAL],"&gt;="&amp;$CL$8,KB[TANGGAL],"&lt;"&amp;DATE(YEAR($CL$8),MONTH($CL$8)+1,0))</f>
        <v>0</v>
      </c>
      <c r="CM46" s="1323"/>
      <c r="CN46" s="1322"/>
      <c r="CO46" s="1321">
        <f t="shared" si="13"/>
        <v>0</v>
      </c>
      <c r="CP46" s="1322"/>
      <c r="CQ46" s="1321">
        <f>SUMIFS(KB[TPOT],KB[RELASI],C46,KB[TYPE],"A",KB[TANGGAL],"&gt;="&amp;$CL$8,KB[TANGGAL],"&lt;"&amp;DATE(YEAR($CL$8),MONTH($CL$8)+1,0))</f>
        <v>0</v>
      </c>
      <c r="CR46" s="1322"/>
      <c r="CS46" s="1321">
        <f>SUMIFS(KB[NETTO2],KB[RELASI],C46,KB[TYPE],"A",KB[TANGGAL],"&gt;="&amp;$CL$8,KB[TANGGAL],"&lt;"&amp;DATE(YEAR($CL$8),MONTH($CL$8)+1,0))</f>
        <v>0</v>
      </c>
      <c r="CT46" s="1323"/>
      <c r="CU46" s="1322"/>
      <c r="CV46" s="1321">
        <f>SUMIFS(KB[NETTO],KB[RELASI],C46,KB[TYPE],"A",KB[TANGGAL],"&gt;="&amp;$CV$8,KB[TANGGAL],"&lt;"&amp;DATE(YEAR($CV$8),MONTH($CV$8)+1,0))</f>
        <v>0</v>
      </c>
      <c r="CW46" s="1323"/>
      <c r="CX46" s="1322"/>
      <c r="CY46" s="1321">
        <f t="shared" si="14"/>
        <v>0</v>
      </c>
      <c r="CZ46" s="1322"/>
      <c r="DA46" s="1321">
        <f>SUMIFS(KB[TPOT],KB[RELASI],C46,KB[TYPE],"A",KB[TANGGAL],"&gt;="&amp;$CV$8,KB[TANGGAL],"&lt;"&amp;DATE(YEAR($CV$8),MONTH($CV$8)+1,0))</f>
        <v>0</v>
      </c>
      <c r="DB46" s="1322"/>
      <c r="DC46" s="1321">
        <f>SUMIFS(KB[NETTO2],KB[RELASI],C46,KB[TYPE],"A",KB[TANGGAL],"&gt;="&amp;$CV$8,KB[TANGGAL],"&lt;"&amp;DATE(YEAR($CV$8),MONTH($CV$8)+1,0))</f>
        <v>0</v>
      </c>
      <c r="DD46" s="1323"/>
      <c r="DE46" s="1322"/>
      <c r="DF46" s="1321">
        <f>SUMIFS(KB[NETTO],KB[RELASI],C46,KB[TYPE],"A",KB[TANGGAL],"&gt;="&amp;$DF$8,KB[TANGGAL],"&lt;"&amp;DATE(YEAR($DF$8),MONTH($DF$8)+1,0))</f>
        <v>0</v>
      </c>
      <c r="DG46" s="1323"/>
      <c r="DH46" s="1322"/>
      <c r="DI46" s="1321">
        <f t="shared" si="15"/>
        <v>0</v>
      </c>
      <c r="DJ46" s="1322"/>
      <c r="DK46" s="1321">
        <f>SUMIFS(KB[TPOT],KB[RELASI],C46,KB[TYPE],"A",KB[TANGGAL],"&gt;="&amp;$DF$8,KB[TANGGAL],"&lt;"&amp;DATE(YEAR($DF$8),MONTH($DF$8)+1,0))</f>
        <v>0</v>
      </c>
      <c r="DL46" s="1322"/>
      <c r="DM46" s="1321">
        <f>SUMIFS(KB[NETTO2],KB[RELASI],C46,KB[TYPE],"A",KB[TANGGAL],"&gt;="&amp;$DF$8,KB[TANGGAL],"&lt;"&amp;DATE(YEAR($DF$8),MONTH($DF$8)+1,0))</f>
        <v>0</v>
      </c>
      <c r="DN46" s="1323"/>
      <c r="DO46" s="1322"/>
      <c r="DP46" s="1321">
        <f>SUMIFS(KB[NETTO],KB[RELASI],C46,KB[TYPE],"A",KB[TANGGAL],"&gt;="&amp;$DP$8,KB[TANGGAL],"&lt;"&amp;DATE(YEAR($DP$8),MONTH($DP$8)+1,0))</f>
        <v>0</v>
      </c>
      <c r="DQ46" s="1323"/>
      <c r="DR46" s="1322"/>
      <c r="DS46" s="1321">
        <f t="shared" si="16"/>
        <v>0</v>
      </c>
      <c r="DT46" s="1322"/>
      <c r="DU46" s="1321">
        <f>SUMIFS(KB[TPOT],KB[RELASI],C46,KB[TYPE],"A",KB[TANGGAL],"&gt;="&amp;$DP$8,KB[TANGGAL],"&lt;"&amp;DATE(YEAR($DP$8),MONTH($DP$8)+1,0))</f>
        <v>0</v>
      </c>
      <c r="DV46" s="1322"/>
      <c r="DW46" s="1321">
        <f>SUMIFS(KB[NETTO2],KB[RELASI],C46,KB[TYPE],"A",KB[TANGGAL],"&gt;="&amp;$DP$8,KB[TANGGAL],"&lt;"&amp;DATE(YEAR($DP$8),MONTH($DP$8)+1,0))</f>
        <v>0</v>
      </c>
      <c r="DX46" s="1323"/>
      <c r="DY46" s="1322"/>
      <c r="DZ46" s="1321">
        <f>SUMIFS(KB[NETTO],KB[RELASI],C46,KB[TYPE],"A",KB[TANGGAL],"&gt;="&amp;$DZ$8,KB[TANGGAL],"&lt;"&amp;DATE(YEAR($DZ$8),MONTH($DZ$8)+1,0))</f>
        <v>0</v>
      </c>
      <c r="EA46" s="1323"/>
      <c r="EB46" s="1322"/>
      <c r="EC46" s="1321">
        <f t="shared" si="17"/>
        <v>0</v>
      </c>
      <c r="ED46" s="1322"/>
      <c r="EE46" s="1321">
        <f>SUMIFS(KB[TPOT],KB[RELASI],C46,KB[TYPE],"A",KB[TANGGAL],"&gt;="&amp;$DZ$8,KB[TANGGAL],"&lt;"&amp;DATE(YEAR($DZ$8),MONTH($DZ$8)+1,0))</f>
        <v>0</v>
      </c>
      <c r="EF46" s="1322"/>
      <c r="EG46" s="1321">
        <f>SUMIFS(KB[NETTO2],KB[RELASI],C46,KB[TYPE],"A",KB[TANGGAL],"&gt;="&amp;$DZ$8,KB[TANGGAL],"&lt;"&amp;DATE(YEAR($DZ$8),MONTH($DZ$8)+1,0))</f>
        <v>0</v>
      </c>
      <c r="EH46" s="1323"/>
      <c r="EI46" s="1322"/>
      <c r="EJ46" s="844"/>
      <c r="EK46" s="845"/>
      <c r="EL46" s="846"/>
      <c r="EM46" s="844"/>
      <c r="EN46" s="846"/>
      <c r="EO46" s="844"/>
      <c r="EP46" s="846"/>
      <c r="EQ46" s="844"/>
      <c r="ER46" s="845"/>
      <c r="ES46" s="847"/>
    </row>
    <row r="47" spans="2:149" ht="18" customHeight="1">
      <c r="B47" s="1040">
        <f t="shared" si="18"/>
        <v>37</v>
      </c>
      <c r="C47" s="844" t="str">
        <f>RELASI!C39</f>
        <v>PT.SINAR KELAPA TEMBILAHAN</v>
      </c>
      <c r="D47" s="845"/>
      <c r="E47" s="845"/>
      <c r="F47" s="846"/>
      <c r="G47" s="844" t="str">
        <f>RELASI!D39</f>
        <v>Batam</v>
      </c>
      <c r="H47" s="845"/>
      <c r="I47" s="846"/>
      <c r="J47" s="1319">
        <f>SUMIFS(KB[NETTO],KB[RELASI],C47,KB[TYPE],"A",KB[TANGGAL],"&gt;="&amp;DATE($J$7,1,1),KB[TANGGAL],"&lt;"&amp;DATE($J$7+1,1,0))/12</f>
        <v>0</v>
      </c>
      <c r="K47" s="1324"/>
      <c r="L47" s="1320"/>
      <c r="M47" s="1319">
        <f t="shared" si="19"/>
        <v>0</v>
      </c>
      <c r="N47" s="1320"/>
      <c r="O47" s="1321">
        <f>SUMIFS(KB[TPOT],KB[RELASI],C47,KB[TYPE],"A",KB[TANGGAL],"&gt;="&amp;DATE($J$7,1,1),KB[TANGGAL],"&lt;"&amp;DATE($J$7+1,1,0))/12</f>
        <v>0</v>
      </c>
      <c r="P47" s="1322"/>
      <c r="Q47" s="1321">
        <f>SUMIFS(KB[NETTO2],KB[RELASI],C47,KB[TYPE],"A",KB[TANGGAL],"&gt;="&amp;DATE($J$7,1,1),KB[TANGGAL],"&lt;"&amp;DATE($J$7+1,1,0))/12</f>
        <v>0</v>
      </c>
      <c r="R47" s="1323"/>
      <c r="S47" s="1322"/>
      <c r="T47" s="1321">
        <f>SUMIFS(KB[NETTO],KB[RELASI],C47,KB[TYPE],"A",KB[TANGGAL],"&gt;="&amp;$T$8,KB[TANGGAL],"&lt;"&amp;DATE($FA$4,$FA$5+1,0))</f>
        <v>292290</v>
      </c>
      <c r="U47" s="1323"/>
      <c r="V47" s="1322"/>
      <c r="W47" s="1319">
        <f t="shared" si="20"/>
        <v>6</v>
      </c>
      <c r="X47" s="1320"/>
      <c r="Y47" s="1339">
        <f>SUMIFS(KB[TPOT],KB[RELASI],C47,KB[TYPE],"A",KB[TANGGAL],"&gt;="&amp;$T$8,KB[TANGGAL],"&lt;"&amp;DATE($FA$4,$FA$5+1,0))</f>
        <v>17537.400000000001</v>
      </c>
      <c r="Z47" s="1340"/>
      <c r="AA47" s="1339">
        <f>SUMIFS(KB[NETTO2],KB[RELASI],C47,KB[TYPE],"A",KB[TANGGAL],"&gt;="&amp;$T$8,KB[TANGGAL],"&lt;"&amp;DATE($FA$4,$FA$5+1,0))</f>
        <v>274752.59999999998</v>
      </c>
      <c r="AB47" s="1341"/>
      <c r="AC47" s="1340"/>
      <c r="AD47" s="1321">
        <f>SUMIFS(KB[NETTO],KB[RELASI],C47,KB[TYPE],"A",KB[TANGGAL],"&gt;="&amp;$AD$8,KB[TANGGAL],"&lt;"&amp;DATE($FA$4,MONTH($AD$8)+1,0))</f>
        <v>202850</v>
      </c>
      <c r="AE47" s="1323"/>
      <c r="AF47" s="1322"/>
      <c r="AG47" s="1321">
        <f t="shared" si="7"/>
        <v>6</v>
      </c>
      <c r="AH47" s="1322"/>
      <c r="AI47" s="1321">
        <f>SUMIFS(KB[TPOT],KB[RELASI],C47,KB[TYPE],"A",KB[TANGGAL],"&gt;="&amp;$AD$8,KB[TANGGAL],"&lt;"&amp;DATE($FA$4,MONTH($AD$8)+1,0))</f>
        <v>12171</v>
      </c>
      <c r="AJ47" s="1322"/>
      <c r="AK47" s="1321">
        <f>SUMIFS(KB[NETTO2],KB[RELASI],C47,KB[TYPE],"A",KB[TANGGAL],"&gt;="&amp;$AD$8,KB[TANGGAL],"&lt;"&amp;DATE($FA$4,MONTH($AD$8)+1,0))</f>
        <v>190678.99999999997</v>
      </c>
      <c r="AL47" s="1323"/>
      <c r="AM47" s="1322"/>
      <c r="AN47" s="1321">
        <f>SUMIFS(KB[NETTO],KB[RELASI],C47,KB[TYPE],"A",KB[TANGGAL],"&gt;="&amp;$AN$8,KB[TANGGAL],"&lt;"&amp;DATE(YEAR($AN$8),MONTH($AN$8)+1,0))</f>
        <v>0</v>
      </c>
      <c r="AO47" s="1323"/>
      <c r="AP47" s="1322"/>
      <c r="AQ47" s="1321">
        <f t="shared" si="8"/>
        <v>0</v>
      </c>
      <c r="AR47" s="1322"/>
      <c r="AS47" s="1321">
        <f>SUMIFS(KB[TPOT],KB[RELASI],C47,KB[TYPE],"A",KB[TANGGAL],"&gt;="&amp;$AN$8,KB[TANGGAL],"&lt;"&amp;DATE(YEAR($AN$8),MONTH($AN$8)+1,0))</f>
        <v>0</v>
      </c>
      <c r="AT47" s="1322"/>
      <c r="AU47" s="1321">
        <f>SUMIFS(KB[NETTO2],KB[RELASI],C47,KB[TYPE],"A",KB[TANGGAL],"&gt;="&amp;$AN$8,KB[TANGGAL],"&lt;"&amp;DATE(YEAR($AN$8),MONTH($AN$8)+1,0))</f>
        <v>0</v>
      </c>
      <c r="AV47" s="1323"/>
      <c r="AW47" s="1322"/>
      <c r="AX47" s="1321">
        <f>SUMIFS(KB[NETTO],KB[RELASI],C47,KB[TYPE],"A",KB[TANGGAL],"&gt;="&amp;$AX$8,KB[TANGGAL],"&lt;"&amp;DATE(YEAR($AX$8),MONTH($AX$8)+1,0))</f>
        <v>0</v>
      </c>
      <c r="AY47" s="1323"/>
      <c r="AZ47" s="1322"/>
      <c r="BA47" s="1321">
        <f t="shared" si="9"/>
        <v>0</v>
      </c>
      <c r="BB47" s="1322"/>
      <c r="BC47" s="1321">
        <f>SUMIFS(KB[TPOT],KB[RELASI],C47,KB[TYPE],"A",KB[TANGGAL],"&gt;="&amp;$AX$8,KB[TANGGAL],"&lt;"&amp;DATE(YEAR($AX$8),MONTH($AX$8)+1,0))</f>
        <v>0</v>
      </c>
      <c r="BD47" s="1322"/>
      <c r="BE47" s="1321">
        <f>SUMIFS(KB[NETTO2],KB[RELASI],C47,KB[TYPE],"A",KB[TANGGAL],"&gt;="&amp;$AX$8,KB[TANGGAL],"&lt;"&amp;DATE(YEAR($AX$8),MONTH($AX$8)+1,0))</f>
        <v>0</v>
      </c>
      <c r="BF47" s="1323"/>
      <c r="BG47" s="1322"/>
      <c r="BH47" s="1321">
        <f>SUMIFS(KB[NETTO],KB[RELASI],C47,KB[TYPE],"A",KB[TANGGAL],"&gt;="&amp;$BH$8,KB[TANGGAL],"&lt;"&amp;DATE(YEAR($BH$8),MONTH($BH$8)+1,0))</f>
        <v>0</v>
      </c>
      <c r="BI47" s="1323"/>
      <c r="BJ47" s="1322"/>
      <c r="BK47" s="1321">
        <f t="shared" si="10"/>
        <v>0</v>
      </c>
      <c r="BL47" s="1322"/>
      <c r="BM47" s="1321">
        <f>SUMIFS(KB[TPOT],KB[RELASI],C47,KB[TYPE],"A",KB[TANGGAL],"&gt;="&amp;$BH$8,KB[TANGGAL],"&lt;"&amp;DATE(YEAR($BH$8),MONTH($BH$8)+1,0))</f>
        <v>0</v>
      </c>
      <c r="BN47" s="1322"/>
      <c r="BO47" s="1321">
        <f>SUMIFS(KB[NETTO2],KB[RELASI],C47,KB[TYPE],"A",KB[TANGGAL],"&gt;="&amp;$BH$8,KB[TANGGAL],"&lt;"&amp;DATE(YEAR($BH$8),MONTH($BH$8)+1,0))</f>
        <v>0</v>
      </c>
      <c r="BP47" s="1323"/>
      <c r="BQ47" s="1322"/>
      <c r="BR47" s="1321">
        <f>SUMIFS(KB[NETTO],KB[RELASI],C47,KB[TYPE],"A",KB[TANGGAL],"&gt;="&amp;$BR$8,KB[TANGGAL],"&lt;"&amp;DATE(YEAR($BR$8),MONTH($BR$8)+1,0))</f>
        <v>0</v>
      </c>
      <c r="BS47" s="1323"/>
      <c r="BT47" s="1322"/>
      <c r="BU47" s="1321">
        <f t="shared" si="11"/>
        <v>0</v>
      </c>
      <c r="BV47" s="1322"/>
      <c r="BW47" s="1321">
        <f>SUMIFS(KB[TPOT],KB[RELASI],C47,KB[TYPE],"A",KB[TANGGAL],"&gt;="&amp;$BR$8,KB[TANGGAL],"&lt;"&amp;DATE(YEAR($BR$8),MONTH($BR$8)+1,0))</f>
        <v>0</v>
      </c>
      <c r="BX47" s="1322"/>
      <c r="BY47" s="1321">
        <f>SUMIFS(KB[NETTO2],KB[RELASI],C47,KB[TYPE],"A",KB[TANGGAL],"&gt;="&amp;$BR$8,KB[TANGGAL],"&lt;"&amp;DATE(YEAR($BR$8),MONTH($BR$8)+1,0))</f>
        <v>0</v>
      </c>
      <c r="BZ47" s="1323"/>
      <c r="CA47" s="1322"/>
      <c r="CB47" s="1321">
        <f>SUMIFS(KB[NETTO],KB[RELASI],C47,KB[TYPE],"A",KB[TANGGAL],"&gt;="&amp;$CB$8,KB[TANGGAL],"&lt;"&amp;DATE(YEAR($CB$8),MONTH($CB$8)+1,0))</f>
        <v>0</v>
      </c>
      <c r="CC47" s="1323"/>
      <c r="CD47" s="1322"/>
      <c r="CE47" s="1321">
        <f t="shared" si="12"/>
        <v>0</v>
      </c>
      <c r="CF47" s="1322"/>
      <c r="CG47" s="1321">
        <f>SUMIFS(KB[TPOT],KB[RELASI],C47,KB[TYPE],"A",KB[TANGGAL],"&gt;="&amp;$CB$8,KB[TANGGAL],"&lt;"&amp;DATE(YEAR($CB$8),MONTH($CB$8)+1,0))</f>
        <v>0</v>
      </c>
      <c r="CH47" s="1322"/>
      <c r="CI47" s="1321">
        <f>SUMIFS(KB[NETTO2],KB[RELASI],C47,KB[TYPE],"A",KB[TANGGAL],"&gt;="&amp;$CB$8,KB[TANGGAL],"&lt;"&amp;DATE(YEAR($CB$8),MONTH($CB$8)+1,0))</f>
        <v>0</v>
      </c>
      <c r="CJ47" s="1323"/>
      <c r="CK47" s="1322"/>
      <c r="CL47" s="1321">
        <f>SUMIFS(KB[NETTO],KB[RELASI],C47,KB[TYPE],"A",KB[TANGGAL],"&gt;="&amp;$CL$8,KB[TANGGAL],"&lt;"&amp;DATE(YEAR($CL$8),MONTH($CL$8)+1,0))</f>
        <v>0</v>
      </c>
      <c r="CM47" s="1323"/>
      <c r="CN47" s="1322"/>
      <c r="CO47" s="1321">
        <f t="shared" si="13"/>
        <v>0</v>
      </c>
      <c r="CP47" s="1322"/>
      <c r="CQ47" s="1321">
        <f>SUMIFS(KB[TPOT],KB[RELASI],C47,KB[TYPE],"A",KB[TANGGAL],"&gt;="&amp;$CL$8,KB[TANGGAL],"&lt;"&amp;DATE(YEAR($CL$8),MONTH($CL$8)+1,0))</f>
        <v>0</v>
      </c>
      <c r="CR47" s="1322"/>
      <c r="CS47" s="1321">
        <f>SUMIFS(KB[NETTO2],KB[RELASI],C47,KB[TYPE],"A",KB[TANGGAL],"&gt;="&amp;$CL$8,KB[TANGGAL],"&lt;"&amp;DATE(YEAR($CL$8),MONTH($CL$8)+1,0))</f>
        <v>0</v>
      </c>
      <c r="CT47" s="1323"/>
      <c r="CU47" s="1322"/>
      <c r="CV47" s="1321">
        <f>SUMIFS(KB[NETTO],KB[RELASI],C47,KB[TYPE],"A",KB[TANGGAL],"&gt;="&amp;$CV$8,KB[TANGGAL],"&lt;"&amp;DATE(YEAR($CV$8),MONTH($CV$8)+1,0))</f>
        <v>0</v>
      </c>
      <c r="CW47" s="1323"/>
      <c r="CX47" s="1322"/>
      <c r="CY47" s="1321">
        <f t="shared" si="14"/>
        <v>0</v>
      </c>
      <c r="CZ47" s="1322"/>
      <c r="DA47" s="1321">
        <f>SUMIFS(KB[TPOT],KB[RELASI],C47,KB[TYPE],"A",KB[TANGGAL],"&gt;="&amp;$CV$8,KB[TANGGAL],"&lt;"&amp;DATE(YEAR($CV$8),MONTH($CV$8)+1,0))</f>
        <v>0</v>
      </c>
      <c r="DB47" s="1322"/>
      <c r="DC47" s="1321">
        <f>SUMIFS(KB[NETTO2],KB[RELASI],C47,KB[TYPE],"A",KB[TANGGAL],"&gt;="&amp;$CV$8,KB[TANGGAL],"&lt;"&amp;DATE(YEAR($CV$8),MONTH($CV$8)+1,0))</f>
        <v>0</v>
      </c>
      <c r="DD47" s="1323"/>
      <c r="DE47" s="1322"/>
      <c r="DF47" s="1321">
        <f>SUMIFS(KB[NETTO],KB[RELASI],C47,KB[TYPE],"A",KB[TANGGAL],"&gt;="&amp;$DF$8,KB[TANGGAL],"&lt;"&amp;DATE(YEAR($DF$8),MONTH($DF$8)+1,0))</f>
        <v>0</v>
      </c>
      <c r="DG47" s="1323"/>
      <c r="DH47" s="1322"/>
      <c r="DI47" s="1321">
        <f t="shared" si="15"/>
        <v>0</v>
      </c>
      <c r="DJ47" s="1322"/>
      <c r="DK47" s="1321">
        <f>SUMIFS(KB[TPOT],KB[RELASI],C47,KB[TYPE],"A",KB[TANGGAL],"&gt;="&amp;$DF$8,KB[TANGGAL],"&lt;"&amp;DATE(YEAR($DF$8),MONTH($DF$8)+1,0))</f>
        <v>0</v>
      </c>
      <c r="DL47" s="1322"/>
      <c r="DM47" s="1321">
        <f>SUMIFS(KB[NETTO2],KB[RELASI],C47,KB[TYPE],"A",KB[TANGGAL],"&gt;="&amp;$DF$8,KB[TANGGAL],"&lt;"&amp;DATE(YEAR($DF$8),MONTH($DF$8)+1,0))</f>
        <v>0</v>
      </c>
      <c r="DN47" s="1323"/>
      <c r="DO47" s="1322"/>
      <c r="DP47" s="1321">
        <f>SUMIFS(KB[NETTO],KB[RELASI],C47,KB[TYPE],"A",KB[TANGGAL],"&gt;="&amp;$DP$8,KB[TANGGAL],"&lt;"&amp;DATE(YEAR($DP$8),MONTH($DP$8)+1,0))</f>
        <v>0</v>
      </c>
      <c r="DQ47" s="1323"/>
      <c r="DR47" s="1322"/>
      <c r="DS47" s="1321">
        <f t="shared" si="16"/>
        <v>0</v>
      </c>
      <c r="DT47" s="1322"/>
      <c r="DU47" s="1321">
        <f>SUMIFS(KB[TPOT],KB[RELASI],C47,KB[TYPE],"A",KB[TANGGAL],"&gt;="&amp;$DP$8,KB[TANGGAL],"&lt;"&amp;DATE(YEAR($DP$8),MONTH($DP$8)+1,0))</f>
        <v>0</v>
      </c>
      <c r="DV47" s="1322"/>
      <c r="DW47" s="1321">
        <f>SUMIFS(KB[NETTO2],KB[RELASI],C47,KB[TYPE],"A",KB[TANGGAL],"&gt;="&amp;$DP$8,KB[TANGGAL],"&lt;"&amp;DATE(YEAR($DP$8),MONTH($DP$8)+1,0))</f>
        <v>0</v>
      </c>
      <c r="DX47" s="1323"/>
      <c r="DY47" s="1322"/>
      <c r="DZ47" s="1321">
        <f>SUMIFS(KB[NETTO],KB[RELASI],C47,KB[TYPE],"A",KB[TANGGAL],"&gt;="&amp;$DZ$8,KB[TANGGAL],"&lt;"&amp;DATE(YEAR($DZ$8),MONTH($DZ$8)+1,0))</f>
        <v>0</v>
      </c>
      <c r="EA47" s="1323"/>
      <c r="EB47" s="1322"/>
      <c r="EC47" s="1321">
        <f t="shared" si="17"/>
        <v>0</v>
      </c>
      <c r="ED47" s="1322"/>
      <c r="EE47" s="1321">
        <f>SUMIFS(KB[TPOT],KB[RELASI],C47,KB[TYPE],"A",KB[TANGGAL],"&gt;="&amp;$DZ$8,KB[TANGGAL],"&lt;"&amp;DATE(YEAR($DZ$8),MONTH($DZ$8)+1,0))</f>
        <v>0</v>
      </c>
      <c r="EF47" s="1322"/>
      <c r="EG47" s="1321">
        <f>SUMIFS(KB[NETTO2],KB[RELASI],C47,KB[TYPE],"A",KB[TANGGAL],"&gt;="&amp;$DZ$8,KB[TANGGAL],"&lt;"&amp;DATE(YEAR($DZ$8),MONTH($DZ$8)+1,0))</f>
        <v>0</v>
      </c>
      <c r="EH47" s="1323"/>
      <c r="EI47" s="1322"/>
      <c r="EJ47" s="844"/>
      <c r="EK47" s="845"/>
      <c r="EL47" s="846"/>
      <c r="EM47" s="844"/>
      <c r="EN47" s="846"/>
      <c r="EO47" s="844"/>
      <c r="EP47" s="846"/>
      <c r="EQ47" s="844"/>
      <c r="ER47" s="845"/>
      <c r="ES47" s="847"/>
    </row>
    <row r="48" spans="2:149" ht="18" customHeight="1">
      <c r="B48" s="1040">
        <f t="shared" si="18"/>
        <v>38</v>
      </c>
      <c r="C48" s="844" t="str">
        <f>RELASI!C40</f>
        <v>RITA ERNITA</v>
      </c>
      <c r="D48" s="845"/>
      <c r="E48" s="845"/>
      <c r="F48" s="846"/>
      <c r="G48" s="844" t="str">
        <f>RELASI!D40</f>
        <v>Lahang</v>
      </c>
      <c r="H48" s="845"/>
      <c r="I48" s="846"/>
      <c r="J48" s="1319">
        <f>SUMIFS(KB[NETTO],KB[RELASI],C48,KB[TYPE],"A",KB[TANGGAL],"&gt;="&amp;DATE($J$7,1,1),KB[TANGGAL],"&lt;"&amp;DATE($J$7+1,1,0))/12</f>
        <v>0</v>
      </c>
      <c r="K48" s="1324"/>
      <c r="L48" s="1320"/>
      <c r="M48" s="1319">
        <f t="shared" si="19"/>
        <v>0</v>
      </c>
      <c r="N48" s="1320"/>
      <c r="O48" s="1321">
        <f>SUMIFS(KB[TPOT],KB[RELASI],C48,KB[TYPE],"A",KB[TANGGAL],"&gt;="&amp;DATE($J$7,1,1),KB[TANGGAL],"&lt;"&amp;DATE($J$7+1,1,0))/12</f>
        <v>0</v>
      </c>
      <c r="P48" s="1322"/>
      <c r="Q48" s="1321">
        <f>SUMIFS(KB[NETTO2],KB[RELASI],C48,KB[TYPE],"A",KB[TANGGAL],"&gt;="&amp;DATE($J$7,1,1),KB[TANGGAL],"&lt;"&amp;DATE($J$7+1,1,0))/12</f>
        <v>0</v>
      </c>
      <c r="R48" s="1323"/>
      <c r="S48" s="1322"/>
      <c r="T48" s="1321">
        <f>SUMIFS(KB[NETTO],KB[RELASI],C48,KB[TYPE],"A",KB[TANGGAL],"&gt;="&amp;$T$8,KB[TANGGAL],"&lt;"&amp;DATE($FA$4,$FA$5+1,0))</f>
        <v>76680</v>
      </c>
      <c r="U48" s="1323"/>
      <c r="V48" s="1322"/>
      <c r="W48" s="1319">
        <f t="shared" si="20"/>
        <v>5.9999999999999991</v>
      </c>
      <c r="X48" s="1320"/>
      <c r="Y48" s="1339">
        <f>SUMIFS(KB[TPOT],KB[RELASI],C48,KB[TYPE],"A",KB[TANGGAL],"&gt;="&amp;$T$8,KB[TANGGAL],"&lt;"&amp;DATE($FA$4,$FA$5+1,0))</f>
        <v>4600.7999999999993</v>
      </c>
      <c r="Z48" s="1340"/>
      <c r="AA48" s="1339">
        <f>SUMIFS(KB[NETTO2],KB[RELASI],C48,KB[TYPE],"A",KB[TANGGAL],"&gt;="&amp;$T$8,KB[TANGGAL],"&lt;"&amp;DATE($FA$4,$FA$5+1,0))</f>
        <v>72079.199999999997</v>
      </c>
      <c r="AB48" s="1341"/>
      <c r="AC48" s="1340"/>
      <c r="AD48" s="1321">
        <f>SUMIFS(KB[NETTO],KB[RELASI],C48,KB[TYPE],"A",KB[TANGGAL],"&gt;="&amp;$AD$8,KB[TANGGAL],"&lt;"&amp;DATE($FA$4,MONTH($AD$8)+1,0))</f>
        <v>99470</v>
      </c>
      <c r="AE48" s="1323"/>
      <c r="AF48" s="1322"/>
      <c r="AG48" s="1321">
        <f t="shared" si="7"/>
        <v>5.9999999999999991</v>
      </c>
      <c r="AH48" s="1322"/>
      <c r="AI48" s="1321">
        <f>SUMIFS(KB[TPOT],KB[RELASI],C48,KB[TYPE],"A",KB[TANGGAL],"&gt;="&amp;$AD$8,KB[TANGGAL],"&lt;"&amp;DATE($FA$4,MONTH($AD$8)+1,0))</f>
        <v>6074.5999999999985</v>
      </c>
      <c r="AJ48" s="1322"/>
      <c r="AK48" s="1321">
        <f>SUMIFS(KB[NETTO2],KB[RELASI],C48,KB[TYPE],"A",KB[TANGGAL],"&gt;="&amp;$AD$8,KB[TANGGAL],"&lt;"&amp;DATE($FA$4,MONTH($AD$8)+1,0))</f>
        <v>93395.400000000009</v>
      </c>
      <c r="AL48" s="1323"/>
      <c r="AM48" s="1322"/>
      <c r="AN48" s="1321">
        <f>SUMIFS(KB[NETTO],KB[RELASI],C48,KB[TYPE],"A",KB[TANGGAL],"&gt;="&amp;$AN$8,KB[TANGGAL],"&lt;"&amp;DATE(YEAR($AN$8),MONTH($AN$8)+1,0))</f>
        <v>40260</v>
      </c>
      <c r="AO48" s="1323"/>
      <c r="AP48" s="1322"/>
      <c r="AQ48" s="1321">
        <f t="shared" si="8"/>
        <v>6.217337307501241</v>
      </c>
      <c r="AR48" s="1322"/>
      <c r="AS48" s="1321">
        <f>SUMIFS(KB[TPOT],KB[RELASI],C48,KB[TYPE],"A",KB[TANGGAL],"&gt;="&amp;$AN$8,KB[TANGGAL],"&lt;"&amp;DATE(YEAR($AN$8),MONTH($AN$8)+1,0))</f>
        <v>2503.1</v>
      </c>
      <c r="AT48" s="1322"/>
      <c r="AU48" s="1321">
        <f>SUMIFS(KB[NETTO2],KB[RELASI],C48,KB[TYPE],"A",KB[TANGGAL],"&gt;="&amp;$AN$8,KB[TANGGAL],"&lt;"&amp;DATE(YEAR($AN$8),MONTH($AN$8)+1,0))</f>
        <v>37756.899999999994</v>
      </c>
      <c r="AV48" s="1323"/>
      <c r="AW48" s="1322"/>
      <c r="AX48" s="1321">
        <f>SUMIFS(KB[NETTO],KB[RELASI],C48,KB[TYPE],"A",KB[TANGGAL],"&gt;="&amp;$AX$8,KB[TANGGAL],"&lt;"&amp;DATE(YEAR($AX$8),MONTH($AX$8)+1,0))</f>
        <v>0</v>
      </c>
      <c r="AY48" s="1323"/>
      <c r="AZ48" s="1322"/>
      <c r="BA48" s="1321">
        <f t="shared" si="9"/>
        <v>0</v>
      </c>
      <c r="BB48" s="1322"/>
      <c r="BC48" s="1321">
        <f>SUMIFS(KB[TPOT],KB[RELASI],C48,KB[TYPE],"A",KB[TANGGAL],"&gt;="&amp;$AX$8,KB[TANGGAL],"&lt;"&amp;DATE(YEAR($AX$8),MONTH($AX$8)+1,0))</f>
        <v>0</v>
      </c>
      <c r="BD48" s="1322"/>
      <c r="BE48" s="1321">
        <f>SUMIFS(KB[NETTO2],KB[RELASI],C48,KB[TYPE],"A",KB[TANGGAL],"&gt;="&amp;$AX$8,KB[TANGGAL],"&lt;"&amp;DATE(YEAR($AX$8),MONTH($AX$8)+1,0))</f>
        <v>0</v>
      </c>
      <c r="BF48" s="1323"/>
      <c r="BG48" s="1322"/>
      <c r="BH48" s="1321">
        <f>SUMIFS(KB[NETTO],KB[RELASI],C48,KB[TYPE],"A",KB[TANGGAL],"&gt;="&amp;$BH$8,KB[TANGGAL],"&lt;"&amp;DATE(YEAR($BH$8),MONTH($BH$8)+1,0))</f>
        <v>0</v>
      </c>
      <c r="BI48" s="1323"/>
      <c r="BJ48" s="1322"/>
      <c r="BK48" s="1321">
        <f t="shared" si="10"/>
        <v>0</v>
      </c>
      <c r="BL48" s="1322"/>
      <c r="BM48" s="1321">
        <f>SUMIFS(KB[TPOT],KB[RELASI],C48,KB[TYPE],"A",KB[TANGGAL],"&gt;="&amp;$BH$8,KB[TANGGAL],"&lt;"&amp;DATE(YEAR($BH$8),MONTH($BH$8)+1,0))</f>
        <v>0</v>
      </c>
      <c r="BN48" s="1322"/>
      <c r="BO48" s="1321">
        <f>SUMIFS(KB[NETTO2],KB[RELASI],C48,KB[TYPE],"A",KB[TANGGAL],"&gt;="&amp;$BH$8,KB[TANGGAL],"&lt;"&amp;DATE(YEAR($BH$8),MONTH($BH$8)+1,0))</f>
        <v>0</v>
      </c>
      <c r="BP48" s="1323"/>
      <c r="BQ48" s="1322"/>
      <c r="BR48" s="1321">
        <f>SUMIFS(KB[NETTO],KB[RELASI],C48,KB[TYPE],"A",KB[TANGGAL],"&gt;="&amp;$BR$8,KB[TANGGAL],"&lt;"&amp;DATE(YEAR($BR$8),MONTH($BR$8)+1,0))</f>
        <v>0</v>
      </c>
      <c r="BS48" s="1323"/>
      <c r="BT48" s="1322"/>
      <c r="BU48" s="1321">
        <f t="shared" si="11"/>
        <v>0</v>
      </c>
      <c r="BV48" s="1322"/>
      <c r="BW48" s="1321">
        <f>SUMIFS(KB[TPOT],KB[RELASI],C48,KB[TYPE],"A",KB[TANGGAL],"&gt;="&amp;$BR$8,KB[TANGGAL],"&lt;"&amp;DATE(YEAR($BR$8),MONTH($BR$8)+1,0))</f>
        <v>0</v>
      </c>
      <c r="BX48" s="1322"/>
      <c r="BY48" s="1321">
        <f>SUMIFS(KB[NETTO2],KB[RELASI],C48,KB[TYPE],"A",KB[TANGGAL],"&gt;="&amp;$BR$8,KB[TANGGAL],"&lt;"&amp;DATE(YEAR($BR$8),MONTH($BR$8)+1,0))</f>
        <v>0</v>
      </c>
      <c r="BZ48" s="1323"/>
      <c r="CA48" s="1322"/>
      <c r="CB48" s="1321">
        <f>SUMIFS(KB[NETTO],KB[RELASI],C48,KB[TYPE],"A",KB[TANGGAL],"&gt;="&amp;$CB$8,KB[TANGGAL],"&lt;"&amp;DATE(YEAR($CB$8),MONTH($CB$8)+1,0))</f>
        <v>0</v>
      </c>
      <c r="CC48" s="1323"/>
      <c r="CD48" s="1322"/>
      <c r="CE48" s="1321">
        <f t="shared" si="12"/>
        <v>0</v>
      </c>
      <c r="CF48" s="1322"/>
      <c r="CG48" s="1321">
        <f>SUMIFS(KB[TPOT],KB[RELASI],C48,KB[TYPE],"A",KB[TANGGAL],"&gt;="&amp;$CB$8,KB[TANGGAL],"&lt;"&amp;DATE(YEAR($CB$8),MONTH($CB$8)+1,0))</f>
        <v>0</v>
      </c>
      <c r="CH48" s="1322"/>
      <c r="CI48" s="1321">
        <f>SUMIFS(KB[NETTO2],KB[RELASI],C48,KB[TYPE],"A",KB[TANGGAL],"&gt;="&amp;$CB$8,KB[TANGGAL],"&lt;"&amp;DATE(YEAR($CB$8),MONTH($CB$8)+1,0))</f>
        <v>0</v>
      </c>
      <c r="CJ48" s="1323"/>
      <c r="CK48" s="1322"/>
      <c r="CL48" s="1321">
        <f>SUMIFS(KB[NETTO],KB[RELASI],C48,KB[TYPE],"A",KB[TANGGAL],"&gt;="&amp;$CL$8,KB[TANGGAL],"&lt;"&amp;DATE(YEAR($CL$8),MONTH($CL$8)+1,0))</f>
        <v>0</v>
      </c>
      <c r="CM48" s="1323"/>
      <c r="CN48" s="1322"/>
      <c r="CO48" s="1321">
        <f t="shared" si="13"/>
        <v>0</v>
      </c>
      <c r="CP48" s="1322"/>
      <c r="CQ48" s="1321">
        <f>SUMIFS(KB[TPOT],KB[RELASI],C48,KB[TYPE],"A",KB[TANGGAL],"&gt;="&amp;$CL$8,KB[TANGGAL],"&lt;"&amp;DATE(YEAR($CL$8),MONTH($CL$8)+1,0))</f>
        <v>0</v>
      </c>
      <c r="CR48" s="1322"/>
      <c r="CS48" s="1321">
        <f>SUMIFS(KB[NETTO2],KB[RELASI],C48,KB[TYPE],"A",KB[TANGGAL],"&gt;="&amp;$CL$8,KB[TANGGAL],"&lt;"&amp;DATE(YEAR($CL$8),MONTH($CL$8)+1,0))</f>
        <v>0</v>
      </c>
      <c r="CT48" s="1323"/>
      <c r="CU48" s="1322"/>
      <c r="CV48" s="1321">
        <f>SUMIFS(KB[NETTO],KB[RELASI],C48,KB[TYPE],"A",KB[TANGGAL],"&gt;="&amp;$CV$8,KB[TANGGAL],"&lt;"&amp;DATE(YEAR($CV$8),MONTH($CV$8)+1,0))</f>
        <v>0</v>
      </c>
      <c r="CW48" s="1323"/>
      <c r="CX48" s="1322"/>
      <c r="CY48" s="1321">
        <f t="shared" si="14"/>
        <v>0</v>
      </c>
      <c r="CZ48" s="1322"/>
      <c r="DA48" s="1321">
        <f>SUMIFS(KB[TPOT],KB[RELASI],C48,KB[TYPE],"A",KB[TANGGAL],"&gt;="&amp;$CV$8,KB[TANGGAL],"&lt;"&amp;DATE(YEAR($CV$8),MONTH($CV$8)+1,0))</f>
        <v>0</v>
      </c>
      <c r="DB48" s="1322"/>
      <c r="DC48" s="1321">
        <f>SUMIFS(KB[NETTO2],KB[RELASI],C48,KB[TYPE],"A",KB[TANGGAL],"&gt;="&amp;$CV$8,KB[TANGGAL],"&lt;"&amp;DATE(YEAR($CV$8),MONTH($CV$8)+1,0))</f>
        <v>0</v>
      </c>
      <c r="DD48" s="1323"/>
      <c r="DE48" s="1322"/>
      <c r="DF48" s="1321">
        <f>SUMIFS(KB[NETTO],KB[RELASI],C48,KB[TYPE],"A",KB[TANGGAL],"&gt;="&amp;$DF$8,KB[TANGGAL],"&lt;"&amp;DATE(YEAR($DF$8),MONTH($DF$8)+1,0))</f>
        <v>0</v>
      </c>
      <c r="DG48" s="1323"/>
      <c r="DH48" s="1322"/>
      <c r="DI48" s="1321">
        <f t="shared" si="15"/>
        <v>0</v>
      </c>
      <c r="DJ48" s="1322"/>
      <c r="DK48" s="1321">
        <f>SUMIFS(KB[TPOT],KB[RELASI],C48,KB[TYPE],"A",KB[TANGGAL],"&gt;="&amp;$DF$8,KB[TANGGAL],"&lt;"&amp;DATE(YEAR($DF$8),MONTH($DF$8)+1,0))</f>
        <v>0</v>
      </c>
      <c r="DL48" s="1322"/>
      <c r="DM48" s="1321">
        <f>SUMIFS(KB[NETTO2],KB[RELASI],C48,KB[TYPE],"A",KB[TANGGAL],"&gt;="&amp;$DF$8,KB[TANGGAL],"&lt;"&amp;DATE(YEAR($DF$8),MONTH($DF$8)+1,0))</f>
        <v>0</v>
      </c>
      <c r="DN48" s="1323"/>
      <c r="DO48" s="1322"/>
      <c r="DP48" s="1321">
        <f>SUMIFS(KB[NETTO],KB[RELASI],C48,KB[TYPE],"A",KB[TANGGAL],"&gt;="&amp;$DP$8,KB[TANGGAL],"&lt;"&amp;DATE(YEAR($DP$8),MONTH($DP$8)+1,0))</f>
        <v>0</v>
      </c>
      <c r="DQ48" s="1323"/>
      <c r="DR48" s="1322"/>
      <c r="DS48" s="1321">
        <f t="shared" si="16"/>
        <v>0</v>
      </c>
      <c r="DT48" s="1322"/>
      <c r="DU48" s="1321">
        <f>SUMIFS(KB[TPOT],KB[RELASI],C48,KB[TYPE],"A",KB[TANGGAL],"&gt;="&amp;$DP$8,KB[TANGGAL],"&lt;"&amp;DATE(YEAR($DP$8),MONTH($DP$8)+1,0))</f>
        <v>0</v>
      </c>
      <c r="DV48" s="1322"/>
      <c r="DW48" s="1321">
        <f>SUMIFS(KB[NETTO2],KB[RELASI],C48,KB[TYPE],"A",KB[TANGGAL],"&gt;="&amp;$DP$8,KB[TANGGAL],"&lt;"&amp;DATE(YEAR($DP$8),MONTH($DP$8)+1,0))</f>
        <v>0</v>
      </c>
      <c r="DX48" s="1323"/>
      <c r="DY48" s="1322"/>
      <c r="DZ48" s="1321">
        <f>SUMIFS(KB[NETTO],KB[RELASI],C48,KB[TYPE],"A",KB[TANGGAL],"&gt;="&amp;$DZ$8,KB[TANGGAL],"&lt;"&amp;DATE(YEAR($DZ$8),MONTH($DZ$8)+1,0))</f>
        <v>0</v>
      </c>
      <c r="EA48" s="1323"/>
      <c r="EB48" s="1322"/>
      <c r="EC48" s="1321">
        <f t="shared" si="17"/>
        <v>0</v>
      </c>
      <c r="ED48" s="1322"/>
      <c r="EE48" s="1321">
        <f>SUMIFS(KB[TPOT],KB[RELASI],C48,KB[TYPE],"A",KB[TANGGAL],"&gt;="&amp;$DZ$8,KB[TANGGAL],"&lt;"&amp;DATE(YEAR($DZ$8),MONTH($DZ$8)+1,0))</f>
        <v>0</v>
      </c>
      <c r="EF48" s="1322"/>
      <c r="EG48" s="1321">
        <f>SUMIFS(KB[NETTO2],KB[RELASI],C48,KB[TYPE],"A",KB[TANGGAL],"&gt;="&amp;$DZ$8,KB[TANGGAL],"&lt;"&amp;DATE(YEAR($DZ$8),MONTH($DZ$8)+1,0))</f>
        <v>0</v>
      </c>
      <c r="EH48" s="1323"/>
      <c r="EI48" s="1322"/>
      <c r="EJ48" s="844"/>
      <c r="EK48" s="845"/>
      <c r="EL48" s="846"/>
      <c r="EM48" s="844"/>
      <c r="EN48" s="846"/>
      <c r="EO48" s="844"/>
      <c r="EP48" s="846"/>
      <c r="EQ48" s="844"/>
      <c r="ER48" s="845"/>
      <c r="ES48" s="847"/>
    </row>
    <row r="49" spans="2:149" ht="18" customHeight="1">
      <c r="B49" s="1040">
        <f t="shared" si="18"/>
        <v>39</v>
      </c>
      <c r="C49" s="844" t="str">
        <f>RELASI!C41</f>
        <v>ROSDIANTO</v>
      </c>
      <c r="D49" s="845"/>
      <c r="E49" s="845"/>
      <c r="F49" s="846"/>
      <c r="G49" s="844" t="str">
        <f>RELASI!D41</f>
        <v>Sei Piring</v>
      </c>
      <c r="H49" s="845"/>
      <c r="I49" s="846"/>
      <c r="J49" s="1319">
        <f>SUMIFS(KB[NETTO],KB[RELASI],C49,KB[TYPE],"A",KB[TANGGAL],"&gt;="&amp;DATE($J$7,1,1),KB[TANGGAL],"&lt;"&amp;DATE($J$7+1,1,0))/12</f>
        <v>0</v>
      </c>
      <c r="K49" s="1324"/>
      <c r="L49" s="1320"/>
      <c r="M49" s="1319">
        <f t="shared" si="19"/>
        <v>0</v>
      </c>
      <c r="N49" s="1320"/>
      <c r="O49" s="1321">
        <f>SUMIFS(KB[TPOT],KB[RELASI],C49,KB[TYPE],"A",KB[TANGGAL],"&gt;="&amp;DATE($J$7,1,1),KB[TANGGAL],"&lt;"&amp;DATE($J$7+1,1,0))/12</f>
        <v>0</v>
      </c>
      <c r="P49" s="1322"/>
      <c r="Q49" s="1321">
        <f>SUMIFS(KB[NETTO2],KB[RELASI],C49,KB[TYPE],"A",KB[TANGGAL],"&gt;="&amp;DATE($J$7,1,1),KB[TANGGAL],"&lt;"&amp;DATE($J$7+1,1,0))/12</f>
        <v>0</v>
      </c>
      <c r="R49" s="1323"/>
      <c r="S49" s="1322"/>
      <c r="T49" s="1321">
        <f>SUMIFS(KB[NETTO],KB[RELASI],C49,KB[TYPE],"A",KB[TANGGAL],"&gt;="&amp;$T$8,KB[TANGGAL],"&lt;"&amp;DATE($FA$4,$FA$5+1,0))</f>
        <v>17870</v>
      </c>
      <c r="U49" s="1323"/>
      <c r="V49" s="1322"/>
      <c r="W49" s="1319">
        <f t="shared" si="20"/>
        <v>6.0000000000000009</v>
      </c>
      <c r="X49" s="1320"/>
      <c r="Y49" s="1339">
        <f>SUMIFS(KB[TPOT],KB[RELASI],C49,KB[TYPE],"A",KB[TANGGAL],"&gt;="&amp;$T$8,KB[TANGGAL],"&lt;"&amp;DATE($FA$4,$FA$5+1,0))</f>
        <v>1072.2</v>
      </c>
      <c r="Z49" s="1340"/>
      <c r="AA49" s="1339">
        <f>SUMIFS(KB[NETTO2],KB[RELASI],C49,KB[TYPE],"A",KB[TANGGAL],"&gt;="&amp;$T$8,KB[TANGGAL],"&lt;"&amp;DATE($FA$4,$FA$5+1,0))</f>
        <v>16797.8</v>
      </c>
      <c r="AB49" s="1341"/>
      <c r="AC49" s="1340"/>
      <c r="AD49" s="1321">
        <f>SUMIFS(KB[NETTO],KB[RELASI],C49,KB[TYPE],"A",KB[TANGGAL],"&gt;="&amp;$AD$8,KB[TANGGAL],"&lt;"&amp;DATE($FA$4,MONTH($AD$8)+1,0))</f>
        <v>25260</v>
      </c>
      <c r="AE49" s="1323"/>
      <c r="AF49" s="1322"/>
      <c r="AG49" s="1321">
        <f t="shared" si="7"/>
        <v>6.0000000000000009</v>
      </c>
      <c r="AH49" s="1322"/>
      <c r="AI49" s="1321">
        <f>SUMIFS(KB[TPOT],KB[RELASI],C49,KB[TYPE],"A",KB[TANGGAL],"&gt;="&amp;$AD$8,KB[TANGGAL],"&lt;"&amp;DATE($FA$4,MONTH($AD$8)+1,0))</f>
        <v>1515.5999999999997</v>
      </c>
      <c r="AJ49" s="1322"/>
      <c r="AK49" s="1321">
        <f>SUMIFS(KB[NETTO2],KB[RELASI],C49,KB[TYPE],"A",KB[TANGGAL],"&gt;="&amp;$AD$8,KB[TANGGAL],"&lt;"&amp;DATE($FA$4,MONTH($AD$8)+1,0))</f>
        <v>23744.400000000005</v>
      </c>
      <c r="AL49" s="1323"/>
      <c r="AM49" s="1322"/>
      <c r="AN49" s="1321">
        <f>SUMIFS(KB[NETTO],KB[RELASI],C49,KB[TYPE],"A",KB[TANGGAL],"&gt;="&amp;$AN$8,KB[TANGGAL],"&lt;"&amp;DATE(YEAR($AN$8),MONTH($AN$8)+1,0))</f>
        <v>0</v>
      </c>
      <c r="AO49" s="1323"/>
      <c r="AP49" s="1322"/>
      <c r="AQ49" s="1321">
        <f t="shared" si="8"/>
        <v>0</v>
      </c>
      <c r="AR49" s="1322"/>
      <c r="AS49" s="1321">
        <f>SUMIFS(KB[TPOT],KB[RELASI],C49,KB[TYPE],"A",KB[TANGGAL],"&gt;="&amp;$AN$8,KB[TANGGAL],"&lt;"&amp;DATE(YEAR($AN$8),MONTH($AN$8)+1,0))</f>
        <v>0</v>
      </c>
      <c r="AT49" s="1322"/>
      <c r="AU49" s="1321">
        <f>SUMIFS(KB[NETTO2],KB[RELASI],C49,KB[TYPE],"A",KB[TANGGAL],"&gt;="&amp;$AN$8,KB[TANGGAL],"&lt;"&amp;DATE(YEAR($AN$8),MONTH($AN$8)+1,0))</f>
        <v>0</v>
      </c>
      <c r="AV49" s="1323"/>
      <c r="AW49" s="1322"/>
      <c r="AX49" s="1321">
        <f>SUMIFS(KB[NETTO],KB[RELASI],C49,KB[TYPE],"A",KB[TANGGAL],"&gt;="&amp;$AX$8,KB[TANGGAL],"&lt;"&amp;DATE(YEAR($AX$8),MONTH($AX$8)+1,0))</f>
        <v>0</v>
      </c>
      <c r="AY49" s="1323"/>
      <c r="AZ49" s="1322"/>
      <c r="BA49" s="1321">
        <f t="shared" si="9"/>
        <v>0</v>
      </c>
      <c r="BB49" s="1322"/>
      <c r="BC49" s="1321">
        <f>SUMIFS(KB[TPOT],KB[RELASI],C49,KB[TYPE],"A",KB[TANGGAL],"&gt;="&amp;$AX$8,KB[TANGGAL],"&lt;"&amp;DATE(YEAR($AX$8),MONTH($AX$8)+1,0))</f>
        <v>0</v>
      </c>
      <c r="BD49" s="1322"/>
      <c r="BE49" s="1321">
        <f>SUMIFS(KB[NETTO2],KB[RELASI],C49,KB[TYPE],"A",KB[TANGGAL],"&gt;="&amp;$AX$8,KB[TANGGAL],"&lt;"&amp;DATE(YEAR($AX$8),MONTH($AX$8)+1,0))</f>
        <v>0</v>
      </c>
      <c r="BF49" s="1323"/>
      <c r="BG49" s="1322"/>
      <c r="BH49" s="1321">
        <f>SUMIFS(KB[NETTO],KB[RELASI],C49,KB[TYPE],"A",KB[TANGGAL],"&gt;="&amp;$BH$8,KB[TANGGAL],"&lt;"&amp;DATE(YEAR($BH$8),MONTH($BH$8)+1,0))</f>
        <v>0</v>
      </c>
      <c r="BI49" s="1323"/>
      <c r="BJ49" s="1322"/>
      <c r="BK49" s="1321">
        <f t="shared" si="10"/>
        <v>0</v>
      </c>
      <c r="BL49" s="1322"/>
      <c r="BM49" s="1321">
        <f>SUMIFS(KB[TPOT],KB[RELASI],C49,KB[TYPE],"A",KB[TANGGAL],"&gt;="&amp;$BH$8,KB[TANGGAL],"&lt;"&amp;DATE(YEAR($BH$8),MONTH($BH$8)+1,0))</f>
        <v>0</v>
      </c>
      <c r="BN49" s="1322"/>
      <c r="BO49" s="1321">
        <f>SUMIFS(KB[NETTO2],KB[RELASI],C49,KB[TYPE],"A",KB[TANGGAL],"&gt;="&amp;$BH$8,KB[TANGGAL],"&lt;"&amp;DATE(YEAR($BH$8),MONTH($BH$8)+1,0))</f>
        <v>0</v>
      </c>
      <c r="BP49" s="1323"/>
      <c r="BQ49" s="1322"/>
      <c r="BR49" s="1321">
        <f>SUMIFS(KB[NETTO],KB[RELASI],C49,KB[TYPE],"A",KB[TANGGAL],"&gt;="&amp;$BR$8,KB[TANGGAL],"&lt;"&amp;DATE(YEAR($BR$8),MONTH($BR$8)+1,0))</f>
        <v>0</v>
      </c>
      <c r="BS49" s="1323"/>
      <c r="BT49" s="1322"/>
      <c r="BU49" s="1321">
        <f t="shared" si="11"/>
        <v>0</v>
      </c>
      <c r="BV49" s="1322"/>
      <c r="BW49" s="1321">
        <f>SUMIFS(KB[TPOT],KB[RELASI],C49,KB[TYPE],"A",KB[TANGGAL],"&gt;="&amp;$BR$8,KB[TANGGAL],"&lt;"&amp;DATE(YEAR($BR$8),MONTH($BR$8)+1,0))</f>
        <v>0</v>
      </c>
      <c r="BX49" s="1322"/>
      <c r="BY49" s="1321">
        <f>SUMIFS(KB[NETTO2],KB[RELASI],C49,KB[TYPE],"A",KB[TANGGAL],"&gt;="&amp;$BR$8,KB[TANGGAL],"&lt;"&amp;DATE(YEAR($BR$8),MONTH($BR$8)+1,0))</f>
        <v>0</v>
      </c>
      <c r="BZ49" s="1323"/>
      <c r="CA49" s="1322"/>
      <c r="CB49" s="1321">
        <f>SUMIFS(KB[NETTO],KB[RELASI],C49,KB[TYPE],"A",KB[TANGGAL],"&gt;="&amp;$CB$8,KB[TANGGAL],"&lt;"&amp;DATE(YEAR($CB$8),MONTH($CB$8)+1,0))</f>
        <v>0</v>
      </c>
      <c r="CC49" s="1323"/>
      <c r="CD49" s="1322"/>
      <c r="CE49" s="1321">
        <f t="shared" si="12"/>
        <v>0</v>
      </c>
      <c r="CF49" s="1322"/>
      <c r="CG49" s="1321">
        <f>SUMIFS(KB[TPOT],KB[RELASI],C49,KB[TYPE],"A",KB[TANGGAL],"&gt;="&amp;$CB$8,KB[TANGGAL],"&lt;"&amp;DATE(YEAR($CB$8),MONTH($CB$8)+1,0))</f>
        <v>0</v>
      </c>
      <c r="CH49" s="1322"/>
      <c r="CI49" s="1321">
        <f>SUMIFS(KB[NETTO2],KB[RELASI],C49,KB[TYPE],"A",KB[TANGGAL],"&gt;="&amp;$CB$8,KB[TANGGAL],"&lt;"&amp;DATE(YEAR($CB$8),MONTH($CB$8)+1,0))</f>
        <v>0</v>
      </c>
      <c r="CJ49" s="1323"/>
      <c r="CK49" s="1322"/>
      <c r="CL49" s="1321">
        <f>SUMIFS(KB[NETTO],KB[RELASI],C49,KB[TYPE],"A",KB[TANGGAL],"&gt;="&amp;$CL$8,KB[TANGGAL],"&lt;"&amp;DATE(YEAR($CL$8),MONTH($CL$8)+1,0))</f>
        <v>0</v>
      </c>
      <c r="CM49" s="1323"/>
      <c r="CN49" s="1322"/>
      <c r="CO49" s="1321">
        <f t="shared" si="13"/>
        <v>0</v>
      </c>
      <c r="CP49" s="1322"/>
      <c r="CQ49" s="1321">
        <f>SUMIFS(KB[TPOT],KB[RELASI],C49,KB[TYPE],"A",KB[TANGGAL],"&gt;="&amp;$CL$8,KB[TANGGAL],"&lt;"&amp;DATE(YEAR($CL$8),MONTH($CL$8)+1,0))</f>
        <v>0</v>
      </c>
      <c r="CR49" s="1322"/>
      <c r="CS49" s="1321">
        <f>SUMIFS(KB[NETTO2],KB[RELASI],C49,KB[TYPE],"A",KB[TANGGAL],"&gt;="&amp;$CL$8,KB[TANGGAL],"&lt;"&amp;DATE(YEAR($CL$8),MONTH($CL$8)+1,0))</f>
        <v>0</v>
      </c>
      <c r="CT49" s="1323"/>
      <c r="CU49" s="1322"/>
      <c r="CV49" s="1321">
        <f>SUMIFS(KB[NETTO],KB[RELASI],C49,KB[TYPE],"A",KB[TANGGAL],"&gt;="&amp;$CV$8,KB[TANGGAL],"&lt;"&amp;DATE(YEAR($CV$8),MONTH($CV$8)+1,0))</f>
        <v>0</v>
      </c>
      <c r="CW49" s="1323"/>
      <c r="CX49" s="1322"/>
      <c r="CY49" s="1321">
        <f t="shared" si="14"/>
        <v>0</v>
      </c>
      <c r="CZ49" s="1322"/>
      <c r="DA49" s="1321">
        <f>SUMIFS(KB[TPOT],KB[RELASI],C49,KB[TYPE],"A",KB[TANGGAL],"&gt;="&amp;$CV$8,KB[TANGGAL],"&lt;"&amp;DATE(YEAR($CV$8),MONTH($CV$8)+1,0))</f>
        <v>0</v>
      </c>
      <c r="DB49" s="1322"/>
      <c r="DC49" s="1321">
        <f>SUMIFS(KB[NETTO2],KB[RELASI],C49,KB[TYPE],"A",KB[TANGGAL],"&gt;="&amp;$CV$8,KB[TANGGAL],"&lt;"&amp;DATE(YEAR($CV$8),MONTH($CV$8)+1,0))</f>
        <v>0</v>
      </c>
      <c r="DD49" s="1323"/>
      <c r="DE49" s="1322"/>
      <c r="DF49" s="1321">
        <f>SUMIFS(KB[NETTO],KB[RELASI],C49,KB[TYPE],"A",KB[TANGGAL],"&gt;="&amp;$DF$8,KB[TANGGAL],"&lt;"&amp;DATE(YEAR($DF$8),MONTH($DF$8)+1,0))</f>
        <v>0</v>
      </c>
      <c r="DG49" s="1323"/>
      <c r="DH49" s="1322"/>
      <c r="DI49" s="1321">
        <f t="shared" si="15"/>
        <v>0</v>
      </c>
      <c r="DJ49" s="1322"/>
      <c r="DK49" s="1321">
        <f>SUMIFS(KB[TPOT],KB[RELASI],C49,KB[TYPE],"A",KB[TANGGAL],"&gt;="&amp;$DF$8,KB[TANGGAL],"&lt;"&amp;DATE(YEAR($DF$8),MONTH($DF$8)+1,0))</f>
        <v>0</v>
      </c>
      <c r="DL49" s="1322"/>
      <c r="DM49" s="1321">
        <f>SUMIFS(KB[NETTO2],KB[RELASI],C49,KB[TYPE],"A",KB[TANGGAL],"&gt;="&amp;$DF$8,KB[TANGGAL],"&lt;"&amp;DATE(YEAR($DF$8),MONTH($DF$8)+1,0))</f>
        <v>0</v>
      </c>
      <c r="DN49" s="1323"/>
      <c r="DO49" s="1322"/>
      <c r="DP49" s="1321">
        <f>SUMIFS(KB[NETTO],KB[RELASI],C49,KB[TYPE],"A",KB[TANGGAL],"&gt;="&amp;$DP$8,KB[TANGGAL],"&lt;"&amp;DATE(YEAR($DP$8),MONTH($DP$8)+1,0))</f>
        <v>0</v>
      </c>
      <c r="DQ49" s="1323"/>
      <c r="DR49" s="1322"/>
      <c r="DS49" s="1321">
        <f t="shared" si="16"/>
        <v>0</v>
      </c>
      <c r="DT49" s="1322"/>
      <c r="DU49" s="1321">
        <f>SUMIFS(KB[TPOT],KB[RELASI],C49,KB[TYPE],"A",KB[TANGGAL],"&gt;="&amp;$DP$8,KB[TANGGAL],"&lt;"&amp;DATE(YEAR($DP$8),MONTH($DP$8)+1,0))</f>
        <v>0</v>
      </c>
      <c r="DV49" s="1322"/>
      <c r="DW49" s="1321">
        <f>SUMIFS(KB[NETTO2],KB[RELASI],C49,KB[TYPE],"A",KB[TANGGAL],"&gt;="&amp;$DP$8,KB[TANGGAL],"&lt;"&amp;DATE(YEAR($DP$8),MONTH($DP$8)+1,0))</f>
        <v>0</v>
      </c>
      <c r="DX49" s="1323"/>
      <c r="DY49" s="1322"/>
      <c r="DZ49" s="1321">
        <f>SUMIFS(KB[NETTO],KB[RELASI],C49,KB[TYPE],"A",KB[TANGGAL],"&gt;="&amp;$DZ$8,KB[TANGGAL],"&lt;"&amp;DATE(YEAR($DZ$8),MONTH($DZ$8)+1,0))</f>
        <v>0</v>
      </c>
      <c r="EA49" s="1323"/>
      <c r="EB49" s="1322"/>
      <c r="EC49" s="1321">
        <f t="shared" si="17"/>
        <v>0</v>
      </c>
      <c r="ED49" s="1322"/>
      <c r="EE49" s="1321">
        <f>SUMIFS(KB[TPOT],KB[RELASI],C49,KB[TYPE],"A",KB[TANGGAL],"&gt;="&amp;$DZ$8,KB[TANGGAL],"&lt;"&amp;DATE(YEAR($DZ$8),MONTH($DZ$8)+1,0))</f>
        <v>0</v>
      </c>
      <c r="EF49" s="1322"/>
      <c r="EG49" s="1321">
        <f>SUMIFS(KB[NETTO2],KB[RELASI],C49,KB[TYPE],"A",KB[TANGGAL],"&gt;="&amp;$DZ$8,KB[TANGGAL],"&lt;"&amp;DATE(YEAR($DZ$8),MONTH($DZ$8)+1,0))</f>
        <v>0</v>
      </c>
      <c r="EH49" s="1323"/>
      <c r="EI49" s="1322"/>
      <c r="EJ49" s="844"/>
      <c r="EK49" s="845"/>
      <c r="EL49" s="846"/>
      <c r="EM49" s="844"/>
      <c r="EN49" s="846"/>
      <c r="EO49" s="844"/>
      <c r="EP49" s="846"/>
      <c r="EQ49" s="844"/>
      <c r="ER49" s="845"/>
      <c r="ES49" s="847"/>
    </row>
    <row r="50" spans="2:149" ht="18" customHeight="1">
      <c r="B50" s="1040">
        <f t="shared" si="18"/>
        <v>40</v>
      </c>
      <c r="C50" s="844" t="str">
        <f>RELASI!C42</f>
        <v>RUSLAN JAYA, SH</v>
      </c>
      <c r="D50" s="845"/>
      <c r="E50" s="845"/>
      <c r="F50" s="846"/>
      <c r="G50" s="844" t="str">
        <f>RELASI!D42</f>
        <v>Tembilahan</v>
      </c>
      <c r="H50" s="845"/>
      <c r="I50" s="846"/>
      <c r="J50" s="1319">
        <f>SUMIFS(KB[NETTO],KB[RELASI],C50,KB[TYPE],"A",KB[TANGGAL],"&gt;="&amp;DATE($J$7,1,1),KB[TANGGAL],"&lt;"&amp;DATE($J$7+1,1,0))/12</f>
        <v>0</v>
      </c>
      <c r="K50" s="1324"/>
      <c r="L50" s="1320"/>
      <c r="M50" s="1319">
        <f t="shared" si="19"/>
        <v>0</v>
      </c>
      <c r="N50" s="1320"/>
      <c r="O50" s="1321">
        <f>SUMIFS(KB[TPOT],KB[RELASI],C50,KB[TYPE],"A",KB[TANGGAL],"&gt;="&amp;DATE($J$7,1,1),KB[TANGGAL],"&lt;"&amp;DATE($J$7+1,1,0))/12</f>
        <v>0</v>
      </c>
      <c r="P50" s="1322"/>
      <c r="Q50" s="1321">
        <f>SUMIFS(KB[NETTO2],KB[RELASI],C50,KB[TYPE],"A",KB[TANGGAL],"&gt;="&amp;DATE($J$7,1,1),KB[TANGGAL],"&lt;"&amp;DATE($J$7+1,1,0))/12</f>
        <v>0</v>
      </c>
      <c r="R50" s="1323"/>
      <c r="S50" s="1322"/>
      <c r="T50" s="1321">
        <f>SUMIFS(KB[NETTO],KB[RELASI],C50,KB[TYPE],"A",KB[TANGGAL],"&gt;="&amp;$T$8,KB[TANGGAL],"&lt;"&amp;DATE($FA$4,$FA$5+1,0))</f>
        <v>100140</v>
      </c>
      <c r="U50" s="1323"/>
      <c r="V50" s="1322"/>
      <c r="W50" s="1319">
        <f t="shared" si="20"/>
        <v>5.0595166766526871</v>
      </c>
      <c r="X50" s="1320"/>
      <c r="Y50" s="1339">
        <f>SUMIFS(KB[TPOT],KB[RELASI],C50,KB[TYPE],"A",KB[TANGGAL],"&gt;="&amp;$T$8,KB[TANGGAL],"&lt;"&amp;DATE($FA$4,$FA$5+1,0))</f>
        <v>5066.6000000000004</v>
      </c>
      <c r="Z50" s="1340"/>
      <c r="AA50" s="1339">
        <f>SUMIFS(KB[NETTO2],KB[RELASI],C50,KB[TYPE],"A",KB[TANGGAL],"&gt;="&amp;$T$8,KB[TANGGAL],"&lt;"&amp;DATE($FA$4,$FA$5+1,0))</f>
        <v>95073.4</v>
      </c>
      <c r="AB50" s="1341"/>
      <c r="AC50" s="1340"/>
      <c r="AD50" s="1321">
        <f>SUMIFS(KB[NETTO],KB[RELASI],C50,KB[TYPE],"A",KB[TANGGAL],"&gt;="&amp;$AD$8,KB[TANGGAL],"&lt;"&amp;DATE($FA$4,MONTH($AD$8)+1,0))</f>
        <v>324570</v>
      </c>
      <c r="AE50" s="1323"/>
      <c r="AF50" s="1322"/>
      <c r="AG50" s="1321">
        <f t="shared" si="7"/>
        <v>5.0595166766526871</v>
      </c>
      <c r="AH50" s="1322"/>
      <c r="AI50" s="1321">
        <f>SUMIFS(KB[TPOT],KB[RELASI],C50,KB[TYPE],"A",KB[TANGGAL],"&gt;="&amp;$AD$8,KB[TANGGAL],"&lt;"&amp;DATE($FA$4,MONTH($AD$8)+1,0))</f>
        <v>16535.900000000001</v>
      </c>
      <c r="AJ50" s="1322"/>
      <c r="AK50" s="1321">
        <f>SUMIFS(KB[NETTO2],KB[RELASI],C50,KB[TYPE],"A",KB[TANGGAL],"&gt;="&amp;$AD$8,KB[TANGGAL],"&lt;"&amp;DATE($FA$4,MONTH($AD$8)+1,0))</f>
        <v>308034.09999999998</v>
      </c>
      <c r="AL50" s="1323"/>
      <c r="AM50" s="1322"/>
      <c r="AN50" s="1321">
        <f>SUMIFS(KB[NETTO],KB[RELASI],C50,KB[TYPE],"A",KB[TANGGAL],"&gt;="&amp;$AN$8,KB[TANGGAL],"&lt;"&amp;DATE(YEAR($AN$8),MONTH($AN$8)+1,0))</f>
        <v>440490</v>
      </c>
      <c r="AO50" s="1323"/>
      <c r="AP50" s="1322"/>
      <c r="AQ50" s="1321">
        <f t="shared" si="8"/>
        <v>5.0809325977888262</v>
      </c>
      <c r="AR50" s="1322"/>
      <c r="AS50" s="1321">
        <f>SUMIFS(KB[TPOT],KB[RELASI],C50,KB[TYPE],"A",KB[TANGGAL],"&gt;="&amp;$AN$8,KB[TANGGAL],"&lt;"&amp;DATE(YEAR($AN$8),MONTH($AN$8)+1,0))</f>
        <v>22381</v>
      </c>
      <c r="AT50" s="1322"/>
      <c r="AU50" s="1321">
        <f>SUMIFS(KB[NETTO2],KB[RELASI],C50,KB[TYPE],"A",KB[TANGGAL],"&gt;="&amp;$AN$8,KB[TANGGAL],"&lt;"&amp;DATE(YEAR($AN$8),MONTH($AN$8)+1,0))</f>
        <v>418109</v>
      </c>
      <c r="AV50" s="1323"/>
      <c r="AW50" s="1322"/>
      <c r="AX50" s="1321">
        <f>SUMIFS(KB[NETTO],KB[RELASI],C50,KB[TYPE],"A",KB[TANGGAL],"&gt;="&amp;$AX$8,KB[TANGGAL],"&lt;"&amp;DATE(YEAR($AX$8),MONTH($AX$8)+1,0))</f>
        <v>0</v>
      </c>
      <c r="AY50" s="1323"/>
      <c r="AZ50" s="1322"/>
      <c r="BA50" s="1321">
        <f t="shared" si="9"/>
        <v>0</v>
      </c>
      <c r="BB50" s="1322"/>
      <c r="BC50" s="1321">
        <f>SUMIFS(KB[TPOT],KB[RELASI],C50,KB[TYPE],"A",KB[TANGGAL],"&gt;="&amp;$AX$8,KB[TANGGAL],"&lt;"&amp;DATE(YEAR($AX$8),MONTH($AX$8)+1,0))</f>
        <v>0</v>
      </c>
      <c r="BD50" s="1322"/>
      <c r="BE50" s="1321">
        <f>SUMIFS(KB[NETTO2],KB[RELASI],C50,KB[TYPE],"A",KB[TANGGAL],"&gt;="&amp;$AX$8,KB[TANGGAL],"&lt;"&amp;DATE(YEAR($AX$8),MONTH($AX$8)+1,0))</f>
        <v>0</v>
      </c>
      <c r="BF50" s="1323"/>
      <c r="BG50" s="1322"/>
      <c r="BH50" s="1321">
        <f>SUMIFS(KB[NETTO],KB[RELASI],C50,KB[TYPE],"A",KB[TANGGAL],"&gt;="&amp;$BH$8,KB[TANGGAL],"&lt;"&amp;DATE(YEAR($BH$8),MONTH($BH$8)+1,0))</f>
        <v>0</v>
      </c>
      <c r="BI50" s="1323"/>
      <c r="BJ50" s="1322"/>
      <c r="BK50" s="1321">
        <f t="shared" si="10"/>
        <v>0</v>
      </c>
      <c r="BL50" s="1322"/>
      <c r="BM50" s="1321">
        <f>SUMIFS(KB[TPOT],KB[RELASI],C50,KB[TYPE],"A",KB[TANGGAL],"&gt;="&amp;$BH$8,KB[TANGGAL],"&lt;"&amp;DATE(YEAR($BH$8),MONTH($BH$8)+1,0))</f>
        <v>0</v>
      </c>
      <c r="BN50" s="1322"/>
      <c r="BO50" s="1321">
        <f>SUMIFS(KB[NETTO2],KB[RELASI],C50,KB[TYPE],"A",KB[TANGGAL],"&gt;="&amp;$BH$8,KB[TANGGAL],"&lt;"&amp;DATE(YEAR($BH$8),MONTH($BH$8)+1,0))</f>
        <v>0</v>
      </c>
      <c r="BP50" s="1323"/>
      <c r="BQ50" s="1322"/>
      <c r="BR50" s="1321">
        <f>SUMIFS(KB[NETTO],KB[RELASI],C50,KB[TYPE],"A",KB[TANGGAL],"&gt;="&amp;$BR$8,KB[TANGGAL],"&lt;"&amp;DATE(YEAR($BR$8),MONTH($BR$8)+1,0))</f>
        <v>0</v>
      </c>
      <c r="BS50" s="1323"/>
      <c r="BT50" s="1322"/>
      <c r="BU50" s="1321">
        <f t="shared" si="11"/>
        <v>0</v>
      </c>
      <c r="BV50" s="1322"/>
      <c r="BW50" s="1321">
        <f>SUMIFS(KB[TPOT],KB[RELASI],C50,KB[TYPE],"A",KB[TANGGAL],"&gt;="&amp;$BR$8,KB[TANGGAL],"&lt;"&amp;DATE(YEAR($BR$8),MONTH($BR$8)+1,0))</f>
        <v>0</v>
      </c>
      <c r="BX50" s="1322"/>
      <c r="BY50" s="1321">
        <f>SUMIFS(KB[NETTO2],KB[RELASI],C50,KB[TYPE],"A",KB[TANGGAL],"&gt;="&amp;$BR$8,KB[TANGGAL],"&lt;"&amp;DATE(YEAR($BR$8),MONTH($BR$8)+1,0))</f>
        <v>0</v>
      </c>
      <c r="BZ50" s="1323"/>
      <c r="CA50" s="1322"/>
      <c r="CB50" s="1321">
        <f>SUMIFS(KB[NETTO],KB[RELASI],C50,KB[TYPE],"A",KB[TANGGAL],"&gt;="&amp;$CB$8,KB[TANGGAL],"&lt;"&amp;DATE(YEAR($CB$8),MONTH($CB$8)+1,0))</f>
        <v>0</v>
      </c>
      <c r="CC50" s="1323"/>
      <c r="CD50" s="1322"/>
      <c r="CE50" s="1321">
        <f t="shared" si="12"/>
        <v>0</v>
      </c>
      <c r="CF50" s="1322"/>
      <c r="CG50" s="1321">
        <f>SUMIFS(KB[TPOT],KB[RELASI],C50,KB[TYPE],"A",KB[TANGGAL],"&gt;="&amp;$CB$8,KB[TANGGAL],"&lt;"&amp;DATE(YEAR($CB$8),MONTH($CB$8)+1,0))</f>
        <v>0</v>
      </c>
      <c r="CH50" s="1322"/>
      <c r="CI50" s="1321">
        <f>SUMIFS(KB[NETTO2],KB[RELASI],C50,KB[TYPE],"A",KB[TANGGAL],"&gt;="&amp;$CB$8,KB[TANGGAL],"&lt;"&amp;DATE(YEAR($CB$8),MONTH($CB$8)+1,0))</f>
        <v>0</v>
      </c>
      <c r="CJ50" s="1323"/>
      <c r="CK50" s="1322"/>
      <c r="CL50" s="1321">
        <f>SUMIFS(KB[NETTO],KB[RELASI],C50,KB[TYPE],"A",KB[TANGGAL],"&gt;="&amp;$CL$8,KB[TANGGAL],"&lt;"&amp;DATE(YEAR($CL$8),MONTH($CL$8)+1,0))</f>
        <v>0</v>
      </c>
      <c r="CM50" s="1323"/>
      <c r="CN50" s="1322"/>
      <c r="CO50" s="1321">
        <f t="shared" si="13"/>
        <v>0</v>
      </c>
      <c r="CP50" s="1322"/>
      <c r="CQ50" s="1321">
        <f>SUMIFS(KB[TPOT],KB[RELASI],C50,KB[TYPE],"A",KB[TANGGAL],"&gt;="&amp;$CL$8,KB[TANGGAL],"&lt;"&amp;DATE(YEAR($CL$8),MONTH($CL$8)+1,0))</f>
        <v>0</v>
      </c>
      <c r="CR50" s="1322"/>
      <c r="CS50" s="1321">
        <f>SUMIFS(KB[NETTO2],KB[RELASI],C50,KB[TYPE],"A",KB[TANGGAL],"&gt;="&amp;$CL$8,KB[TANGGAL],"&lt;"&amp;DATE(YEAR($CL$8),MONTH($CL$8)+1,0))</f>
        <v>0</v>
      </c>
      <c r="CT50" s="1323"/>
      <c r="CU50" s="1322"/>
      <c r="CV50" s="1321">
        <f>SUMIFS(KB[NETTO],KB[RELASI],C50,KB[TYPE],"A",KB[TANGGAL],"&gt;="&amp;$CV$8,KB[TANGGAL],"&lt;"&amp;DATE(YEAR($CV$8),MONTH($CV$8)+1,0))</f>
        <v>0</v>
      </c>
      <c r="CW50" s="1323"/>
      <c r="CX50" s="1322"/>
      <c r="CY50" s="1321">
        <f t="shared" si="14"/>
        <v>0</v>
      </c>
      <c r="CZ50" s="1322"/>
      <c r="DA50" s="1321">
        <f>SUMIFS(KB[TPOT],KB[RELASI],C50,KB[TYPE],"A",KB[TANGGAL],"&gt;="&amp;$CV$8,KB[TANGGAL],"&lt;"&amp;DATE(YEAR($CV$8),MONTH($CV$8)+1,0))</f>
        <v>0</v>
      </c>
      <c r="DB50" s="1322"/>
      <c r="DC50" s="1321">
        <f>SUMIFS(KB[NETTO2],KB[RELASI],C50,KB[TYPE],"A",KB[TANGGAL],"&gt;="&amp;$CV$8,KB[TANGGAL],"&lt;"&amp;DATE(YEAR($CV$8),MONTH($CV$8)+1,0))</f>
        <v>0</v>
      </c>
      <c r="DD50" s="1323"/>
      <c r="DE50" s="1322"/>
      <c r="DF50" s="1321">
        <f>SUMIFS(KB[NETTO],KB[RELASI],C50,KB[TYPE],"A",KB[TANGGAL],"&gt;="&amp;$DF$8,KB[TANGGAL],"&lt;"&amp;DATE(YEAR($DF$8),MONTH($DF$8)+1,0))</f>
        <v>0</v>
      </c>
      <c r="DG50" s="1323"/>
      <c r="DH50" s="1322"/>
      <c r="DI50" s="1321">
        <f t="shared" si="15"/>
        <v>0</v>
      </c>
      <c r="DJ50" s="1322"/>
      <c r="DK50" s="1321">
        <f>SUMIFS(KB[TPOT],KB[RELASI],C50,KB[TYPE],"A",KB[TANGGAL],"&gt;="&amp;$DF$8,KB[TANGGAL],"&lt;"&amp;DATE(YEAR($DF$8),MONTH($DF$8)+1,0))</f>
        <v>0</v>
      </c>
      <c r="DL50" s="1322"/>
      <c r="DM50" s="1321">
        <f>SUMIFS(KB[NETTO2],KB[RELASI],C50,KB[TYPE],"A",KB[TANGGAL],"&gt;="&amp;$DF$8,KB[TANGGAL],"&lt;"&amp;DATE(YEAR($DF$8),MONTH($DF$8)+1,0))</f>
        <v>0</v>
      </c>
      <c r="DN50" s="1323"/>
      <c r="DO50" s="1322"/>
      <c r="DP50" s="1321">
        <f>SUMIFS(KB[NETTO],KB[RELASI],C50,KB[TYPE],"A",KB[TANGGAL],"&gt;="&amp;$DP$8,KB[TANGGAL],"&lt;"&amp;DATE(YEAR($DP$8),MONTH($DP$8)+1,0))</f>
        <v>0</v>
      </c>
      <c r="DQ50" s="1323"/>
      <c r="DR50" s="1322"/>
      <c r="DS50" s="1321">
        <f t="shared" si="16"/>
        <v>0</v>
      </c>
      <c r="DT50" s="1322"/>
      <c r="DU50" s="1321">
        <f>SUMIFS(KB[TPOT],KB[RELASI],C50,KB[TYPE],"A",KB[TANGGAL],"&gt;="&amp;$DP$8,KB[TANGGAL],"&lt;"&amp;DATE(YEAR($DP$8),MONTH($DP$8)+1,0))</f>
        <v>0</v>
      </c>
      <c r="DV50" s="1322"/>
      <c r="DW50" s="1321">
        <f>SUMIFS(KB[NETTO2],KB[RELASI],C50,KB[TYPE],"A",KB[TANGGAL],"&gt;="&amp;$DP$8,KB[TANGGAL],"&lt;"&amp;DATE(YEAR($DP$8),MONTH($DP$8)+1,0))</f>
        <v>0</v>
      </c>
      <c r="DX50" s="1323"/>
      <c r="DY50" s="1322"/>
      <c r="DZ50" s="1321">
        <f>SUMIFS(KB[NETTO],KB[RELASI],C50,KB[TYPE],"A",KB[TANGGAL],"&gt;="&amp;$DZ$8,KB[TANGGAL],"&lt;"&amp;DATE(YEAR($DZ$8),MONTH($DZ$8)+1,0))</f>
        <v>0</v>
      </c>
      <c r="EA50" s="1323"/>
      <c r="EB50" s="1322"/>
      <c r="EC50" s="1321">
        <f t="shared" si="17"/>
        <v>0</v>
      </c>
      <c r="ED50" s="1322"/>
      <c r="EE50" s="1321">
        <f>SUMIFS(KB[TPOT],KB[RELASI],C50,KB[TYPE],"A",KB[TANGGAL],"&gt;="&amp;$DZ$8,KB[TANGGAL],"&lt;"&amp;DATE(YEAR($DZ$8),MONTH($DZ$8)+1,0))</f>
        <v>0</v>
      </c>
      <c r="EF50" s="1322"/>
      <c r="EG50" s="1321">
        <f>SUMIFS(KB[NETTO2],KB[RELASI],C50,KB[TYPE],"A",KB[TANGGAL],"&gt;="&amp;$DZ$8,KB[TANGGAL],"&lt;"&amp;DATE(YEAR($DZ$8),MONTH($DZ$8)+1,0))</f>
        <v>0</v>
      </c>
      <c r="EH50" s="1323"/>
      <c r="EI50" s="1322"/>
      <c r="EJ50" s="844"/>
      <c r="EK50" s="845"/>
      <c r="EL50" s="846"/>
      <c r="EM50" s="844"/>
      <c r="EN50" s="846"/>
      <c r="EO50" s="844"/>
      <c r="EP50" s="846"/>
      <c r="EQ50" s="844"/>
      <c r="ER50" s="845"/>
      <c r="ES50" s="847"/>
    </row>
    <row r="51" spans="2:149" ht="18" customHeight="1">
      <c r="B51" s="1040">
        <f t="shared" si="18"/>
        <v>41</v>
      </c>
      <c r="C51" s="844" t="str">
        <f>RELASI!C43</f>
        <v>SAIRI</v>
      </c>
      <c r="D51" s="845"/>
      <c r="E51" s="845"/>
      <c r="F51" s="846"/>
      <c r="G51" s="844" t="str">
        <f>RELASI!D43</f>
        <v>Rukun Makmur</v>
      </c>
      <c r="H51" s="845"/>
      <c r="I51" s="846"/>
      <c r="J51" s="1319">
        <f>SUMIFS(KB[NETTO],KB[RELASI],C51,KB[TYPE],"A",KB[TANGGAL],"&gt;="&amp;DATE($J$7,1,1),KB[TANGGAL],"&lt;"&amp;DATE($J$7+1,1,0))/12</f>
        <v>0</v>
      </c>
      <c r="K51" s="1324"/>
      <c r="L51" s="1320"/>
      <c r="M51" s="1319">
        <f t="shared" si="19"/>
        <v>0</v>
      </c>
      <c r="N51" s="1320"/>
      <c r="O51" s="1321">
        <f>SUMIFS(KB[TPOT],KB[RELASI],C51,KB[TYPE],"A",KB[TANGGAL],"&gt;="&amp;DATE($J$7,1,1),KB[TANGGAL],"&lt;"&amp;DATE($J$7+1,1,0))/12</f>
        <v>0</v>
      </c>
      <c r="P51" s="1322"/>
      <c r="Q51" s="1321">
        <f>SUMIFS(KB[NETTO2],KB[RELASI],C51,KB[TYPE],"A",KB[TANGGAL],"&gt;="&amp;DATE($J$7,1,1),KB[TANGGAL],"&lt;"&amp;DATE($J$7+1,1,0))/12</f>
        <v>0</v>
      </c>
      <c r="R51" s="1323"/>
      <c r="S51" s="1322"/>
      <c r="T51" s="1321">
        <f>SUMIFS(KB[NETTO],KB[RELASI],C51,KB[TYPE],"A",KB[TANGGAL],"&gt;="&amp;$T$8,KB[TANGGAL],"&lt;"&amp;DATE($FA$4,$FA$5+1,0))</f>
        <v>84270</v>
      </c>
      <c r="U51" s="1323"/>
      <c r="V51" s="1322"/>
      <c r="W51" s="1319">
        <f t="shared" si="20"/>
        <v>5.0506704639848099</v>
      </c>
      <c r="X51" s="1320"/>
      <c r="Y51" s="1339">
        <f>SUMIFS(KB[TPOT],KB[RELASI],C51,KB[TYPE],"A",KB[TANGGAL],"&gt;="&amp;$T$8,KB[TANGGAL],"&lt;"&amp;DATE($FA$4,$FA$5+1,0))</f>
        <v>4256.2</v>
      </c>
      <c r="Z51" s="1340"/>
      <c r="AA51" s="1339">
        <f>SUMIFS(KB[NETTO2],KB[RELASI],C51,KB[TYPE],"A",KB[TANGGAL],"&gt;="&amp;$T$8,KB[TANGGAL],"&lt;"&amp;DATE($FA$4,$FA$5+1,0))</f>
        <v>80013.8</v>
      </c>
      <c r="AB51" s="1341"/>
      <c r="AC51" s="1340"/>
      <c r="AD51" s="1321">
        <f>SUMIFS(KB[NETTO],KB[RELASI],C51,KB[TYPE],"A",KB[TANGGAL],"&gt;="&amp;$AD$8,KB[TANGGAL],"&lt;"&amp;DATE($FA$4,MONTH($AD$8)+1,0))</f>
        <v>57280</v>
      </c>
      <c r="AE51" s="1323"/>
      <c r="AF51" s="1322"/>
      <c r="AG51" s="1321">
        <f t="shared" si="7"/>
        <v>5.0506704639848099</v>
      </c>
      <c r="AH51" s="1322"/>
      <c r="AI51" s="1321">
        <f>SUMIFS(KB[TPOT],KB[RELASI],C51,KB[TYPE],"A",KB[TANGGAL],"&gt;="&amp;$AD$8,KB[TANGGAL],"&lt;"&amp;DATE($FA$4,MONTH($AD$8)+1,0))</f>
        <v>2864</v>
      </c>
      <c r="AJ51" s="1322"/>
      <c r="AK51" s="1321">
        <f>SUMIFS(KB[NETTO2],KB[RELASI],C51,KB[TYPE],"A",KB[TANGGAL],"&gt;="&amp;$AD$8,KB[TANGGAL],"&lt;"&amp;DATE($FA$4,MONTH($AD$8)+1,0))</f>
        <v>54416</v>
      </c>
      <c r="AL51" s="1323"/>
      <c r="AM51" s="1322"/>
      <c r="AN51" s="1321">
        <f>SUMIFS(KB[NETTO],KB[RELASI],C51,KB[TYPE],"A",KB[TANGGAL],"&gt;="&amp;$AN$8,KB[TANGGAL],"&lt;"&amp;DATE(YEAR($AN$8),MONTH($AN$8)+1,0))</f>
        <v>7650</v>
      </c>
      <c r="AO51" s="1323"/>
      <c r="AP51" s="1322"/>
      <c r="AQ51" s="1321">
        <f t="shared" si="8"/>
        <v>5</v>
      </c>
      <c r="AR51" s="1322"/>
      <c r="AS51" s="1321">
        <f>SUMIFS(KB[TPOT],KB[RELASI],C51,KB[TYPE],"A",KB[TANGGAL],"&gt;="&amp;$AN$8,KB[TANGGAL],"&lt;"&amp;DATE(YEAR($AN$8),MONTH($AN$8)+1,0))</f>
        <v>382.5</v>
      </c>
      <c r="AT51" s="1322"/>
      <c r="AU51" s="1321">
        <f>SUMIFS(KB[NETTO2],KB[RELASI],C51,KB[TYPE],"A",KB[TANGGAL],"&gt;="&amp;$AN$8,KB[TANGGAL],"&lt;"&amp;DATE(YEAR($AN$8),MONTH($AN$8)+1,0))</f>
        <v>7267.5</v>
      </c>
      <c r="AV51" s="1323"/>
      <c r="AW51" s="1322"/>
      <c r="AX51" s="1321">
        <f>SUMIFS(KB[NETTO],KB[RELASI],C51,KB[TYPE],"A",KB[TANGGAL],"&gt;="&amp;$AX$8,KB[TANGGAL],"&lt;"&amp;DATE(YEAR($AX$8),MONTH($AX$8)+1,0))</f>
        <v>0</v>
      </c>
      <c r="AY51" s="1323"/>
      <c r="AZ51" s="1322"/>
      <c r="BA51" s="1321">
        <f t="shared" si="9"/>
        <v>0</v>
      </c>
      <c r="BB51" s="1322"/>
      <c r="BC51" s="1321">
        <f>SUMIFS(KB[TPOT],KB[RELASI],C51,KB[TYPE],"A",KB[TANGGAL],"&gt;="&amp;$AX$8,KB[TANGGAL],"&lt;"&amp;DATE(YEAR($AX$8),MONTH($AX$8)+1,0))</f>
        <v>0</v>
      </c>
      <c r="BD51" s="1322"/>
      <c r="BE51" s="1321">
        <f>SUMIFS(KB[NETTO2],KB[RELASI],C51,KB[TYPE],"A",KB[TANGGAL],"&gt;="&amp;$AX$8,KB[TANGGAL],"&lt;"&amp;DATE(YEAR($AX$8),MONTH($AX$8)+1,0))</f>
        <v>0</v>
      </c>
      <c r="BF51" s="1323"/>
      <c r="BG51" s="1322"/>
      <c r="BH51" s="1321">
        <f>SUMIFS(KB[NETTO],KB[RELASI],C51,KB[TYPE],"A",KB[TANGGAL],"&gt;="&amp;$BH$8,KB[TANGGAL],"&lt;"&amp;DATE(YEAR($BH$8),MONTH($BH$8)+1,0))</f>
        <v>0</v>
      </c>
      <c r="BI51" s="1323"/>
      <c r="BJ51" s="1322"/>
      <c r="BK51" s="1321">
        <f t="shared" si="10"/>
        <v>0</v>
      </c>
      <c r="BL51" s="1322"/>
      <c r="BM51" s="1321">
        <f>SUMIFS(KB[TPOT],KB[RELASI],C51,KB[TYPE],"A",KB[TANGGAL],"&gt;="&amp;$BH$8,KB[TANGGAL],"&lt;"&amp;DATE(YEAR($BH$8),MONTH($BH$8)+1,0))</f>
        <v>0</v>
      </c>
      <c r="BN51" s="1322"/>
      <c r="BO51" s="1321">
        <f>SUMIFS(KB[NETTO2],KB[RELASI],C51,KB[TYPE],"A",KB[TANGGAL],"&gt;="&amp;$BH$8,KB[TANGGAL],"&lt;"&amp;DATE(YEAR($BH$8),MONTH($BH$8)+1,0))</f>
        <v>0</v>
      </c>
      <c r="BP51" s="1323"/>
      <c r="BQ51" s="1322"/>
      <c r="BR51" s="1321">
        <f>SUMIFS(KB[NETTO],KB[RELASI],C51,KB[TYPE],"A",KB[TANGGAL],"&gt;="&amp;$BR$8,KB[TANGGAL],"&lt;"&amp;DATE(YEAR($BR$8),MONTH($BR$8)+1,0))</f>
        <v>0</v>
      </c>
      <c r="BS51" s="1323"/>
      <c r="BT51" s="1322"/>
      <c r="BU51" s="1321">
        <f t="shared" si="11"/>
        <v>0</v>
      </c>
      <c r="BV51" s="1322"/>
      <c r="BW51" s="1321">
        <f>SUMIFS(KB[TPOT],KB[RELASI],C51,KB[TYPE],"A",KB[TANGGAL],"&gt;="&amp;$BR$8,KB[TANGGAL],"&lt;"&amp;DATE(YEAR($BR$8),MONTH($BR$8)+1,0))</f>
        <v>0</v>
      </c>
      <c r="BX51" s="1322"/>
      <c r="BY51" s="1321">
        <f>SUMIFS(KB[NETTO2],KB[RELASI],C51,KB[TYPE],"A",KB[TANGGAL],"&gt;="&amp;$BR$8,KB[TANGGAL],"&lt;"&amp;DATE(YEAR($BR$8),MONTH($BR$8)+1,0))</f>
        <v>0</v>
      </c>
      <c r="BZ51" s="1323"/>
      <c r="CA51" s="1322"/>
      <c r="CB51" s="1321">
        <f>SUMIFS(KB[NETTO],KB[RELASI],C51,KB[TYPE],"A",KB[TANGGAL],"&gt;="&amp;$CB$8,KB[TANGGAL],"&lt;"&amp;DATE(YEAR($CB$8),MONTH($CB$8)+1,0))</f>
        <v>0</v>
      </c>
      <c r="CC51" s="1323"/>
      <c r="CD51" s="1322"/>
      <c r="CE51" s="1321">
        <f t="shared" si="12"/>
        <v>0</v>
      </c>
      <c r="CF51" s="1322"/>
      <c r="CG51" s="1321">
        <f>SUMIFS(KB[TPOT],KB[RELASI],C51,KB[TYPE],"A",KB[TANGGAL],"&gt;="&amp;$CB$8,KB[TANGGAL],"&lt;"&amp;DATE(YEAR($CB$8),MONTH($CB$8)+1,0))</f>
        <v>0</v>
      </c>
      <c r="CH51" s="1322"/>
      <c r="CI51" s="1321">
        <f>SUMIFS(KB[NETTO2],KB[RELASI],C51,KB[TYPE],"A",KB[TANGGAL],"&gt;="&amp;$CB$8,KB[TANGGAL],"&lt;"&amp;DATE(YEAR($CB$8),MONTH($CB$8)+1,0))</f>
        <v>0</v>
      </c>
      <c r="CJ51" s="1323"/>
      <c r="CK51" s="1322"/>
      <c r="CL51" s="1321">
        <f>SUMIFS(KB[NETTO],KB[RELASI],C51,KB[TYPE],"A",KB[TANGGAL],"&gt;="&amp;$CL$8,KB[TANGGAL],"&lt;"&amp;DATE(YEAR($CL$8),MONTH($CL$8)+1,0))</f>
        <v>0</v>
      </c>
      <c r="CM51" s="1323"/>
      <c r="CN51" s="1322"/>
      <c r="CO51" s="1321">
        <f t="shared" si="13"/>
        <v>0</v>
      </c>
      <c r="CP51" s="1322"/>
      <c r="CQ51" s="1321">
        <f>SUMIFS(KB[TPOT],KB[RELASI],C51,KB[TYPE],"A",KB[TANGGAL],"&gt;="&amp;$CL$8,KB[TANGGAL],"&lt;"&amp;DATE(YEAR($CL$8),MONTH($CL$8)+1,0))</f>
        <v>0</v>
      </c>
      <c r="CR51" s="1322"/>
      <c r="CS51" s="1321">
        <f>SUMIFS(KB[NETTO2],KB[RELASI],C51,KB[TYPE],"A",KB[TANGGAL],"&gt;="&amp;$CL$8,KB[TANGGAL],"&lt;"&amp;DATE(YEAR($CL$8),MONTH($CL$8)+1,0))</f>
        <v>0</v>
      </c>
      <c r="CT51" s="1323"/>
      <c r="CU51" s="1322"/>
      <c r="CV51" s="1321">
        <f>SUMIFS(KB[NETTO],KB[RELASI],C51,KB[TYPE],"A",KB[TANGGAL],"&gt;="&amp;$CV$8,KB[TANGGAL],"&lt;"&amp;DATE(YEAR($CV$8),MONTH($CV$8)+1,0))</f>
        <v>0</v>
      </c>
      <c r="CW51" s="1323"/>
      <c r="CX51" s="1322"/>
      <c r="CY51" s="1321">
        <f t="shared" si="14"/>
        <v>0</v>
      </c>
      <c r="CZ51" s="1322"/>
      <c r="DA51" s="1321">
        <f>SUMIFS(KB[TPOT],KB[RELASI],C51,KB[TYPE],"A",KB[TANGGAL],"&gt;="&amp;$CV$8,KB[TANGGAL],"&lt;"&amp;DATE(YEAR($CV$8),MONTH($CV$8)+1,0))</f>
        <v>0</v>
      </c>
      <c r="DB51" s="1322"/>
      <c r="DC51" s="1321">
        <f>SUMIFS(KB[NETTO2],KB[RELASI],C51,KB[TYPE],"A",KB[TANGGAL],"&gt;="&amp;$CV$8,KB[TANGGAL],"&lt;"&amp;DATE(YEAR($CV$8),MONTH($CV$8)+1,0))</f>
        <v>0</v>
      </c>
      <c r="DD51" s="1323"/>
      <c r="DE51" s="1322"/>
      <c r="DF51" s="1321">
        <f>SUMIFS(KB[NETTO],KB[RELASI],C51,KB[TYPE],"A",KB[TANGGAL],"&gt;="&amp;$DF$8,KB[TANGGAL],"&lt;"&amp;DATE(YEAR($DF$8),MONTH($DF$8)+1,0))</f>
        <v>0</v>
      </c>
      <c r="DG51" s="1323"/>
      <c r="DH51" s="1322"/>
      <c r="DI51" s="1321">
        <f t="shared" si="15"/>
        <v>0</v>
      </c>
      <c r="DJ51" s="1322"/>
      <c r="DK51" s="1321">
        <f>SUMIFS(KB[TPOT],KB[RELASI],C51,KB[TYPE],"A",KB[TANGGAL],"&gt;="&amp;$DF$8,KB[TANGGAL],"&lt;"&amp;DATE(YEAR($DF$8),MONTH($DF$8)+1,0))</f>
        <v>0</v>
      </c>
      <c r="DL51" s="1322"/>
      <c r="DM51" s="1321">
        <f>SUMIFS(KB[NETTO2],KB[RELASI],C51,KB[TYPE],"A",KB[TANGGAL],"&gt;="&amp;$DF$8,KB[TANGGAL],"&lt;"&amp;DATE(YEAR($DF$8),MONTH($DF$8)+1,0))</f>
        <v>0</v>
      </c>
      <c r="DN51" s="1323"/>
      <c r="DO51" s="1322"/>
      <c r="DP51" s="1321">
        <f>SUMIFS(KB[NETTO],KB[RELASI],C51,KB[TYPE],"A",KB[TANGGAL],"&gt;="&amp;$DP$8,KB[TANGGAL],"&lt;"&amp;DATE(YEAR($DP$8),MONTH($DP$8)+1,0))</f>
        <v>0</v>
      </c>
      <c r="DQ51" s="1323"/>
      <c r="DR51" s="1322"/>
      <c r="DS51" s="1321">
        <f t="shared" si="16"/>
        <v>0</v>
      </c>
      <c r="DT51" s="1322"/>
      <c r="DU51" s="1321">
        <f>SUMIFS(KB[TPOT],KB[RELASI],C51,KB[TYPE],"A",KB[TANGGAL],"&gt;="&amp;$DP$8,KB[TANGGAL],"&lt;"&amp;DATE(YEAR($DP$8),MONTH($DP$8)+1,0))</f>
        <v>0</v>
      </c>
      <c r="DV51" s="1322"/>
      <c r="DW51" s="1321">
        <f>SUMIFS(KB[NETTO2],KB[RELASI],C51,KB[TYPE],"A",KB[TANGGAL],"&gt;="&amp;$DP$8,KB[TANGGAL],"&lt;"&amp;DATE(YEAR($DP$8),MONTH($DP$8)+1,0))</f>
        <v>0</v>
      </c>
      <c r="DX51" s="1323"/>
      <c r="DY51" s="1322"/>
      <c r="DZ51" s="1321">
        <f>SUMIFS(KB[NETTO],KB[RELASI],C51,KB[TYPE],"A",KB[TANGGAL],"&gt;="&amp;$DZ$8,KB[TANGGAL],"&lt;"&amp;DATE(YEAR($DZ$8),MONTH($DZ$8)+1,0))</f>
        <v>0</v>
      </c>
      <c r="EA51" s="1323"/>
      <c r="EB51" s="1322"/>
      <c r="EC51" s="1321">
        <f t="shared" si="17"/>
        <v>0</v>
      </c>
      <c r="ED51" s="1322"/>
      <c r="EE51" s="1321">
        <f>SUMIFS(KB[TPOT],KB[RELASI],C51,KB[TYPE],"A",KB[TANGGAL],"&gt;="&amp;$DZ$8,KB[TANGGAL],"&lt;"&amp;DATE(YEAR($DZ$8),MONTH($DZ$8)+1,0))</f>
        <v>0</v>
      </c>
      <c r="EF51" s="1322"/>
      <c r="EG51" s="1321">
        <f>SUMIFS(KB[NETTO2],KB[RELASI],C51,KB[TYPE],"A",KB[TANGGAL],"&gt;="&amp;$DZ$8,KB[TANGGAL],"&lt;"&amp;DATE(YEAR($DZ$8),MONTH($DZ$8)+1,0))</f>
        <v>0</v>
      </c>
      <c r="EH51" s="1323"/>
      <c r="EI51" s="1322"/>
      <c r="EJ51" s="844"/>
      <c r="EK51" s="845"/>
      <c r="EL51" s="846"/>
      <c r="EM51" s="844"/>
      <c r="EN51" s="846"/>
      <c r="EO51" s="844"/>
      <c r="EP51" s="846"/>
      <c r="EQ51" s="844"/>
      <c r="ER51" s="845"/>
      <c r="ES51" s="847"/>
    </row>
    <row r="52" spans="2:149" ht="18" customHeight="1">
      <c r="B52" s="1040">
        <f t="shared" si="18"/>
        <v>42</v>
      </c>
      <c r="C52" s="844" t="str">
        <f>RELASI!C44</f>
        <v>SIHOMBING</v>
      </c>
      <c r="D52" s="845"/>
      <c r="E52" s="845"/>
      <c r="F52" s="846"/>
      <c r="G52" s="844" t="str">
        <f>RELASI!D44</f>
        <v>Mumpa</v>
      </c>
      <c r="H52" s="845"/>
      <c r="I52" s="846"/>
      <c r="J52" s="1319">
        <f>SUMIFS(KB[NETTO],KB[RELASI],C52,KB[TYPE],"A",KB[TANGGAL],"&gt;="&amp;DATE($J$7,1,1),KB[TANGGAL],"&lt;"&amp;DATE($J$7+1,1,0))/12</f>
        <v>0</v>
      </c>
      <c r="K52" s="1324"/>
      <c r="L52" s="1320"/>
      <c r="M52" s="1319">
        <f t="shared" si="19"/>
        <v>0</v>
      </c>
      <c r="N52" s="1320"/>
      <c r="O52" s="1321">
        <f>SUMIFS(KB[TPOT],KB[RELASI],C52,KB[TYPE],"A",KB[TANGGAL],"&gt;="&amp;DATE($J$7,1,1),KB[TANGGAL],"&lt;"&amp;DATE($J$7+1,1,0))/12</f>
        <v>0</v>
      </c>
      <c r="P52" s="1322"/>
      <c r="Q52" s="1321">
        <f>SUMIFS(KB[NETTO2],KB[RELASI],C52,KB[TYPE],"A",KB[TANGGAL],"&gt;="&amp;DATE($J$7,1,1),KB[TANGGAL],"&lt;"&amp;DATE($J$7+1,1,0))/12</f>
        <v>0</v>
      </c>
      <c r="R52" s="1323"/>
      <c r="S52" s="1322"/>
      <c r="T52" s="1321">
        <f>SUMIFS(KB[NETTO],KB[RELASI],C52,KB[TYPE],"A",KB[TANGGAL],"&gt;="&amp;$T$8,KB[TANGGAL],"&lt;"&amp;DATE($FA$4,$FA$5+1,0))</f>
        <v>0</v>
      </c>
      <c r="U52" s="1323"/>
      <c r="V52" s="1322"/>
      <c r="W52" s="1319">
        <f t="shared" si="20"/>
        <v>0</v>
      </c>
      <c r="X52" s="1320"/>
      <c r="Y52" s="1339">
        <f>SUMIFS(KB[TPOT],KB[RELASI],C52,KB[TYPE],"A",KB[TANGGAL],"&gt;="&amp;$T$8,KB[TANGGAL],"&lt;"&amp;DATE($FA$4,$FA$5+1,0))</f>
        <v>0</v>
      </c>
      <c r="Z52" s="1340"/>
      <c r="AA52" s="1339">
        <f>SUMIFS(KB[NETTO2],KB[RELASI],C52,KB[TYPE],"A",KB[TANGGAL],"&gt;="&amp;$T$8,KB[TANGGAL],"&lt;"&amp;DATE($FA$4,$FA$5+1,0))</f>
        <v>0</v>
      </c>
      <c r="AB52" s="1341"/>
      <c r="AC52" s="1340"/>
      <c r="AD52" s="1321">
        <f>SUMIFS(KB[NETTO],KB[RELASI],C52,KB[TYPE],"A",KB[TANGGAL],"&gt;="&amp;$AD$8,KB[TANGGAL],"&lt;"&amp;DATE($FA$4,MONTH($AD$8)+1,0))</f>
        <v>0</v>
      </c>
      <c r="AE52" s="1323"/>
      <c r="AF52" s="1322"/>
      <c r="AG52" s="1321">
        <f t="shared" si="7"/>
        <v>0</v>
      </c>
      <c r="AH52" s="1322"/>
      <c r="AI52" s="1321">
        <f>SUMIFS(KB[TPOT],KB[RELASI],C52,KB[TYPE],"A",KB[TANGGAL],"&gt;="&amp;$AD$8,KB[TANGGAL],"&lt;"&amp;DATE($FA$4,MONTH($AD$8)+1,0))</f>
        <v>0</v>
      </c>
      <c r="AJ52" s="1322"/>
      <c r="AK52" s="1321">
        <f>SUMIFS(KB[NETTO2],KB[RELASI],C52,KB[TYPE],"A",KB[TANGGAL],"&gt;="&amp;$AD$8,KB[TANGGAL],"&lt;"&amp;DATE($FA$4,MONTH($AD$8)+1,0))</f>
        <v>0</v>
      </c>
      <c r="AL52" s="1323"/>
      <c r="AM52" s="1322"/>
      <c r="AN52" s="1321">
        <f>SUMIFS(KB[NETTO],KB[RELASI],C52,KB[TYPE],"A",KB[TANGGAL],"&gt;="&amp;$AN$8,KB[TANGGAL],"&lt;"&amp;DATE(YEAR($AN$8),MONTH($AN$8)+1,0))</f>
        <v>0</v>
      </c>
      <c r="AO52" s="1323"/>
      <c r="AP52" s="1322"/>
      <c r="AQ52" s="1321">
        <f t="shared" si="8"/>
        <v>0</v>
      </c>
      <c r="AR52" s="1322"/>
      <c r="AS52" s="1321">
        <f>SUMIFS(KB[TPOT],KB[RELASI],C52,KB[TYPE],"A",KB[TANGGAL],"&gt;="&amp;$AN$8,KB[TANGGAL],"&lt;"&amp;DATE(YEAR($AN$8),MONTH($AN$8)+1,0))</f>
        <v>0</v>
      </c>
      <c r="AT52" s="1322"/>
      <c r="AU52" s="1321">
        <f>SUMIFS(KB[NETTO2],KB[RELASI],C52,KB[TYPE],"A",KB[TANGGAL],"&gt;="&amp;$AN$8,KB[TANGGAL],"&lt;"&amp;DATE(YEAR($AN$8),MONTH($AN$8)+1,0))</f>
        <v>0</v>
      </c>
      <c r="AV52" s="1323"/>
      <c r="AW52" s="1322"/>
      <c r="AX52" s="1321">
        <f>SUMIFS(KB[NETTO],KB[RELASI],C52,KB[TYPE],"A",KB[TANGGAL],"&gt;="&amp;$AX$8,KB[TANGGAL],"&lt;"&amp;DATE(YEAR($AX$8),MONTH($AX$8)+1,0))</f>
        <v>0</v>
      </c>
      <c r="AY52" s="1323"/>
      <c r="AZ52" s="1322"/>
      <c r="BA52" s="1321">
        <f t="shared" si="9"/>
        <v>0</v>
      </c>
      <c r="BB52" s="1322"/>
      <c r="BC52" s="1321">
        <f>SUMIFS(KB[TPOT],KB[RELASI],C52,KB[TYPE],"A",KB[TANGGAL],"&gt;="&amp;$AX$8,KB[TANGGAL],"&lt;"&amp;DATE(YEAR($AX$8),MONTH($AX$8)+1,0))</f>
        <v>0</v>
      </c>
      <c r="BD52" s="1322"/>
      <c r="BE52" s="1321">
        <f>SUMIFS(KB[NETTO2],KB[RELASI],C52,KB[TYPE],"A",KB[TANGGAL],"&gt;="&amp;$AX$8,KB[TANGGAL],"&lt;"&amp;DATE(YEAR($AX$8),MONTH($AX$8)+1,0))</f>
        <v>0</v>
      </c>
      <c r="BF52" s="1323"/>
      <c r="BG52" s="1322"/>
      <c r="BH52" s="1321">
        <f>SUMIFS(KB[NETTO],KB[RELASI],C52,KB[TYPE],"A",KB[TANGGAL],"&gt;="&amp;$BH$8,KB[TANGGAL],"&lt;"&amp;DATE(YEAR($BH$8),MONTH($BH$8)+1,0))</f>
        <v>0</v>
      </c>
      <c r="BI52" s="1323"/>
      <c r="BJ52" s="1322"/>
      <c r="BK52" s="1321">
        <f t="shared" si="10"/>
        <v>0</v>
      </c>
      <c r="BL52" s="1322"/>
      <c r="BM52" s="1321">
        <f>SUMIFS(KB[TPOT],KB[RELASI],C52,KB[TYPE],"A",KB[TANGGAL],"&gt;="&amp;$BH$8,KB[TANGGAL],"&lt;"&amp;DATE(YEAR($BH$8),MONTH($BH$8)+1,0))</f>
        <v>0</v>
      </c>
      <c r="BN52" s="1322"/>
      <c r="BO52" s="1321">
        <f>SUMIFS(KB[NETTO2],KB[RELASI],C52,KB[TYPE],"A",KB[TANGGAL],"&gt;="&amp;$BH$8,KB[TANGGAL],"&lt;"&amp;DATE(YEAR($BH$8),MONTH($BH$8)+1,0))</f>
        <v>0</v>
      </c>
      <c r="BP52" s="1323"/>
      <c r="BQ52" s="1322"/>
      <c r="BR52" s="1321">
        <f>SUMIFS(KB[NETTO],KB[RELASI],C52,KB[TYPE],"A",KB[TANGGAL],"&gt;="&amp;$BR$8,KB[TANGGAL],"&lt;"&amp;DATE(YEAR($BR$8),MONTH($BR$8)+1,0))</f>
        <v>0</v>
      </c>
      <c r="BS52" s="1323"/>
      <c r="BT52" s="1322"/>
      <c r="BU52" s="1321">
        <f t="shared" si="11"/>
        <v>0</v>
      </c>
      <c r="BV52" s="1322"/>
      <c r="BW52" s="1321">
        <f>SUMIFS(KB[TPOT],KB[RELASI],C52,KB[TYPE],"A",KB[TANGGAL],"&gt;="&amp;$BR$8,KB[TANGGAL],"&lt;"&amp;DATE(YEAR($BR$8),MONTH($BR$8)+1,0))</f>
        <v>0</v>
      </c>
      <c r="BX52" s="1322"/>
      <c r="BY52" s="1321">
        <f>SUMIFS(KB[NETTO2],KB[RELASI],C52,KB[TYPE],"A",KB[TANGGAL],"&gt;="&amp;$BR$8,KB[TANGGAL],"&lt;"&amp;DATE(YEAR($BR$8),MONTH($BR$8)+1,0))</f>
        <v>0</v>
      </c>
      <c r="BZ52" s="1323"/>
      <c r="CA52" s="1322"/>
      <c r="CB52" s="1321">
        <f>SUMIFS(KB[NETTO],KB[RELASI],C52,KB[TYPE],"A",KB[TANGGAL],"&gt;="&amp;$CB$8,KB[TANGGAL],"&lt;"&amp;DATE(YEAR($CB$8),MONTH($CB$8)+1,0))</f>
        <v>0</v>
      </c>
      <c r="CC52" s="1323"/>
      <c r="CD52" s="1322"/>
      <c r="CE52" s="1321">
        <f t="shared" si="12"/>
        <v>0</v>
      </c>
      <c r="CF52" s="1322"/>
      <c r="CG52" s="1321">
        <f>SUMIFS(KB[TPOT],KB[RELASI],C52,KB[TYPE],"A",KB[TANGGAL],"&gt;="&amp;$CB$8,KB[TANGGAL],"&lt;"&amp;DATE(YEAR($CB$8),MONTH($CB$8)+1,0))</f>
        <v>0</v>
      </c>
      <c r="CH52" s="1322"/>
      <c r="CI52" s="1321">
        <f>SUMIFS(KB[NETTO2],KB[RELASI],C52,KB[TYPE],"A",KB[TANGGAL],"&gt;="&amp;$CB$8,KB[TANGGAL],"&lt;"&amp;DATE(YEAR($CB$8),MONTH($CB$8)+1,0))</f>
        <v>0</v>
      </c>
      <c r="CJ52" s="1323"/>
      <c r="CK52" s="1322"/>
      <c r="CL52" s="1321">
        <f>SUMIFS(KB[NETTO],KB[RELASI],C52,KB[TYPE],"A",KB[TANGGAL],"&gt;="&amp;$CL$8,KB[TANGGAL],"&lt;"&amp;DATE(YEAR($CL$8),MONTH($CL$8)+1,0))</f>
        <v>0</v>
      </c>
      <c r="CM52" s="1323"/>
      <c r="CN52" s="1322"/>
      <c r="CO52" s="1321">
        <f t="shared" si="13"/>
        <v>0</v>
      </c>
      <c r="CP52" s="1322"/>
      <c r="CQ52" s="1321">
        <f>SUMIFS(KB[TPOT],KB[RELASI],C52,KB[TYPE],"A",KB[TANGGAL],"&gt;="&amp;$CL$8,KB[TANGGAL],"&lt;"&amp;DATE(YEAR($CL$8),MONTH($CL$8)+1,0))</f>
        <v>0</v>
      </c>
      <c r="CR52" s="1322"/>
      <c r="CS52" s="1321">
        <f>SUMIFS(KB[NETTO2],KB[RELASI],C52,KB[TYPE],"A",KB[TANGGAL],"&gt;="&amp;$CL$8,KB[TANGGAL],"&lt;"&amp;DATE(YEAR($CL$8),MONTH($CL$8)+1,0))</f>
        <v>0</v>
      </c>
      <c r="CT52" s="1323"/>
      <c r="CU52" s="1322"/>
      <c r="CV52" s="1321">
        <f>SUMIFS(KB[NETTO],KB[RELASI],C52,KB[TYPE],"A",KB[TANGGAL],"&gt;="&amp;$CV$8,KB[TANGGAL],"&lt;"&amp;DATE(YEAR($CV$8),MONTH($CV$8)+1,0))</f>
        <v>0</v>
      </c>
      <c r="CW52" s="1323"/>
      <c r="CX52" s="1322"/>
      <c r="CY52" s="1321">
        <f t="shared" si="14"/>
        <v>0</v>
      </c>
      <c r="CZ52" s="1322"/>
      <c r="DA52" s="1321">
        <f>SUMIFS(KB[TPOT],KB[RELASI],C52,KB[TYPE],"A",KB[TANGGAL],"&gt;="&amp;$CV$8,KB[TANGGAL],"&lt;"&amp;DATE(YEAR($CV$8),MONTH($CV$8)+1,0))</f>
        <v>0</v>
      </c>
      <c r="DB52" s="1322"/>
      <c r="DC52" s="1321">
        <f>SUMIFS(KB[NETTO2],KB[RELASI],C52,KB[TYPE],"A",KB[TANGGAL],"&gt;="&amp;$CV$8,KB[TANGGAL],"&lt;"&amp;DATE(YEAR($CV$8),MONTH($CV$8)+1,0))</f>
        <v>0</v>
      </c>
      <c r="DD52" s="1323"/>
      <c r="DE52" s="1322"/>
      <c r="DF52" s="1321">
        <f>SUMIFS(KB[NETTO],KB[RELASI],C52,KB[TYPE],"A",KB[TANGGAL],"&gt;="&amp;$DF$8,KB[TANGGAL],"&lt;"&amp;DATE(YEAR($DF$8),MONTH($DF$8)+1,0))</f>
        <v>0</v>
      </c>
      <c r="DG52" s="1323"/>
      <c r="DH52" s="1322"/>
      <c r="DI52" s="1321">
        <f t="shared" si="15"/>
        <v>0</v>
      </c>
      <c r="DJ52" s="1322"/>
      <c r="DK52" s="1321">
        <f>SUMIFS(KB[TPOT],KB[RELASI],C52,KB[TYPE],"A",KB[TANGGAL],"&gt;="&amp;$DF$8,KB[TANGGAL],"&lt;"&amp;DATE(YEAR($DF$8),MONTH($DF$8)+1,0))</f>
        <v>0</v>
      </c>
      <c r="DL52" s="1322"/>
      <c r="DM52" s="1321">
        <f>SUMIFS(KB[NETTO2],KB[RELASI],C52,KB[TYPE],"A",KB[TANGGAL],"&gt;="&amp;$DF$8,KB[TANGGAL],"&lt;"&amp;DATE(YEAR($DF$8),MONTH($DF$8)+1,0))</f>
        <v>0</v>
      </c>
      <c r="DN52" s="1323"/>
      <c r="DO52" s="1322"/>
      <c r="DP52" s="1321">
        <f>SUMIFS(KB[NETTO],KB[RELASI],C52,KB[TYPE],"A",KB[TANGGAL],"&gt;="&amp;$DP$8,KB[TANGGAL],"&lt;"&amp;DATE(YEAR($DP$8),MONTH($DP$8)+1,0))</f>
        <v>0</v>
      </c>
      <c r="DQ52" s="1323"/>
      <c r="DR52" s="1322"/>
      <c r="DS52" s="1321">
        <f t="shared" si="16"/>
        <v>0</v>
      </c>
      <c r="DT52" s="1322"/>
      <c r="DU52" s="1321">
        <f>SUMIFS(KB[TPOT],KB[RELASI],C52,KB[TYPE],"A",KB[TANGGAL],"&gt;="&amp;$DP$8,KB[TANGGAL],"&lt;"&amp;DATE(YEAR($DP$8),MONTH($DP$8)+1,0))</f>
        <v>0</v>
      </c>
      <c r="DV52" s="1322"/>
      <c r="DW52" s="1321">
        <f>SUMIFS(KB[NETTO2],KB[RELASI],C52,KB[TYPE],"A",KB[TANGGAL],"&gt;="&amp;$DP$8,KB[TANGGAL],"&lt;"&amp;DATE(YEAR($DP$8),MONTH($DP$8)+1,0))</f>
        <v>0</v>
      </c>
      <c r="DX52" s="1323"/>
      <c r="DY52" s="1322"/>
      <c r="DZ52" s="1321">
        <f>SUMIFS(KB[NETTO],KB[RELASI],C52,KB[TYPE],"A",KB[TANGGAL],"&gt;="&amp;$DZ$8,KB[TANGGAL],"&lt;"&amp;DATE(YEAR($DZ$8),MONTH($DZ$8)+1,0))</f>
        <v>0</v>
      </c>
      <c r="EA52" s="1323"/>
      <c r="EB52" s="1322"/>
      <c r="EC52" s="1321">
        <f t="shared" si="17"/>
        <v>0</v>
      </c>
      <c r="ED52" s="1322"/>
      <c r="EE52" s="1321">
        <f>SUMIFS(KB[TPOT],KB[RELASI],C52,KB[TYPE],"A",KB[TANGGAL],"&gt;="&amp;$DZ$8,KB[TANGGAL],"&lt;"&amp;DATE(YEAR($DZ$8),MONTH($DZ$8)+1,0))</f>
        <v>0</v>
      </c>
      <c r="EF52" s="1322"/>
      <c r="EG52" s="1321">
        <f>SUMIFS(KB[NETTO2],KB[RELASI],C52,KB[TYPE],"A",KB[TANGGAL],"&gt;="&amp;$DZ$8,KB[TANGGAL],"&lt;"&amp;DATE(YEAR($DZ$8),MONTH($DZ$8)+1,0))</f>
        <v>0</v>
      </c>
      <c r="EH52" s="1323"/>
      <c r="EI52" s="1322"/>
      <c r="EJ52" s="844"/>
      <c r="EK52" s="845"/>
      <c r="EL52" s="846"/>
      <c r="EM52" s="844"/>
      <c r="EN52" s="846"/>
      <c r="EO52" s="844"/>
      <c r="EP52" s="846"/>
      <c r="EQ52" s="844"/>
      <c r="ER52" s="845"/>
      <c r="ES52" s="847"/>
    </row>
    <row r="53" spans="2:149" ht="18" customHeight="1">
      <c r="B53" s="1040">
        <f t="shared" si="18"/>
        <v>43</v>
      </c>
      <c r="C53" s="844" t="str">
        <f>RELASI!C45</f>
        <v>SITI FATIMAH</v>
      </c>
      <c r="D53" s="845"/>
      <c r="E53" s="845"/>
      <c r="F53" s="846"/>
      <c r="G53" s="844" t="str">
        <f>RELASI!D45</f>
        <v>Tembilahan</v>
      </c>
      <c r="H53" s="845"/>
      <c r="I53" s="846"/>
      <c r="J53" s="1319">
        <f>SUMIFS(KB[NETTO],KB[RELASI],C53,KB[TYPE],"A",KB[TANGGAL],"&gt;="&amp;DATE($J$7,1,1),KB[TANGGAL],"&lt;"&amp;DATE($J$7+1,1,0))/12</f>
        <v>0</v>
      </c>
      <c r="K53" s="1324"/>
      <c r="L53" s="1320"/>
      <c r="M53" s="1319">
        <f t="shared" si="19"/>
        <v>0</v>
      </c>
      <c r="N53" s="1320"/>
      <c r="O53" s="1321">
        <f>SUMIFS(KB[TPOT],KB[RELASI],C53,KB[TYPE],"A",KB[TANGGAL],"&gt;="&amp;DATE($J$7,1,1),KB[TANGGAL],"&lt;"&amp;DATE($J$7+1,1,0))/12</f>
        <v>0</v>
      </c>
      <c r="P53" s="1322"/>
      <c r="Q53" s="1321">
        <f>SUMIFS(KB[NETTO2],KB[RELASI],C53,KB[TYPE],"A",KB[TANGGAL],"&gt;="&amp;DATE($J$7,1,1),KB[TANGGAL],"&lt;"&amp;DATE($J$7+1,1,0))/12</f>
        <v>0</v>
      </c>
      <c r="R53" s="1323"/>
      <c r="S53" s="1322"/>
      <c r="T53" s="1321">
        <f>SUMIFS(KB[NETTO],KB[RELASI],C53,KB[TYPE],"A",KB[TANGGAL],"&gt;="&amp;$T$8,KB[TANGGAL],"&lt;"&amp;DATE($FA$4,$FA$5+1,0))</f>
        <v>0</v>
      </c>
      <c r="U53" s="1323"/>
      <c r="V53" s="1322"/>
      <c r="W53" s="1319">
        <f t="shared" si="20"/>
        <v>0</v>
      </c>
      <c r="X53" s="1320"/>
      <c r="Y53" s="1339">
        <f>SUMIFS(KB[TPOT],KB[RELASI],C53,KB[TYPE],"A",KB[TANGGAL],"&gt;="&amp;$T$8,KB[TANGGAL],"&lt;"&amp;DATE($FA$4,$FA$5+1,0))</f>
        <v>0</v>
      </c>
      <c r="Z53" s="1340"/>
      <c r="AA53" s="1339">
        <f>SUMIFS(KB[NETTO2],KB[RELASI],C53,KB[TYPE],"A",KB[TANGGAL],"&gt;="&amp;$T$8,KB[TANGGAL],"&lt;"&amp;DATE($FA$4,$FA$5+1,0))</f>
        <v>0</v>
      </c>
      <c r="AB53" s="1341"/>
      <c r="AC53" s="1340"/>
      <c r="AD53" s="1321">
        <f>SUMIFS(KB[NETTO],KB[RELASI],C53,KB[TYPE],"A",KB[TANGGAL],"&gt;="&amp;$AD$8,KB[TANGGAL],"&lt;"&amp;DATE($FA$4,MONTH($AD$8)+1,0))</f>
        <v>0</v>
      </c>
      <c r="AE53" s="1323"/>
      <c r="AF53" s="1322"/>
      <c r="AG53" s="1321">
        <f t="shared" si="7"/>
        <v>0</v>
      </c>
      <c r="AH53" s="1322"/>
      <c r="AI53" s="1321">
        <f>SUMIFS(KB[TPOT],KB[RELASI],C53,KB[TYPE],"A",KB[TANGGAL],"&gt;="&amp;$AD$8,KB[TANGGAL],"&lt;"&amp;DATE($FA$4,MONTH($AD$8)+1,0))</f>
        <v>0</v>
      </c>
      <c r="AJ53" s="1322"/>
      <c r="AK53" s="1321">
        <f>SUMIFS(KB[NETTO2],KB[RELASI],C53,KB[TYPE],"A",KB[TANGGAL],"&gt;="&amp;$AD$8,KB[TANGGAL],"&lt;"&amp;DATE($FA$4,MONTH($AD$8)+1,0))</f>
        <v>0</v>
      </c>
      <c r="AL53" s="1323"/>
      <c r="AM53" s="1322"/>
      <c r="AN53" s="1321">
        <f>SUMIFS(KB[NETTO],KB[RELASI],C53,KB[TYPE],"A",KB[TANGGAL],"&gt;="&amp;$AN$8,KB[TANGGAL],"&lt;"&amp;DATE(YEAR($AN$8),MONTH($AN$8)+1,0))</f>
        <v>0</v>
      </c>
      <c r="AO53" s="1323"/>
      <c r="AP53" s="1322"/>
      <c r="AQ53" s="1321">
        <f t="shared" si="8"/>
        <v>0</v>
      </c>
      <c r="AR53" s="1322"/>
      <c r="AS53" s="1321">
        <f>SUMIFS(KB[TPOT],KB[RELASI],C53,KB[TYPE],"A",KB[TANGGAL],"&gt;="&amp;$AN$8,KB[TANGGAL],"&lt;"&amp;DATE(YEAR($AN$8),MONTH($AN$8)+1,0))</f>
        <v>0</v>
      </c>
      <c r="AT53" s="1322"/>
      <c r="AU53" s="1321">
        <f>SUMIFS(KB[NETTO2],KB[RELASI],C53,KB[TYPE],"A",KB[TANGGAL],"&gt;="&amp;$AN$8,KB[TANGGAL],"&lt;"&amp;DATE(YEAR($AN$8),MONTH($AN$8)+1,0))</f>
        <v>0</v>
      </c>
      <c r="AV53" s="1323"/>
      <c r="AW53" s="1322"/>
      <c r="AX53" s="1321">
        <f>SUMIFS(KB[NETTO],KB[RELASI],C53,KB[TYPE],"A",KB[TANGGAL],"&gt;="&amp;$AX$8,KB[TANGGAL],"&lt;"&amp;DATE(YEAR($AX$8),MONTH($AX$8)+1,0))</f>
        <v>0</v>
      </c>
      <c r="AY53" s="1323"/>
      <c r="AZ53" s="1322"/>
      <c r="BA53" s="1321">
        <f t="shared" si="9"/>
        <v>0</v>
      </c>
      <c r="BB53" s="1322"/>
      <c r="BC53" s="1321">
        <f>SUMIFS(KB[TPOT],KB[RELASI],C53,KB[TYPE],"A",KB[TANGGAL],"&gt;="&amp;$AX$8,KB[TANGGAL],"&lt;"&amp;DATE(YEAR($AX$8),MONTH($AX$8)+1,0))</f>
        <v>0</v>
      </c>
      <c r="BD53" s="1322"/>
      <c r="BE53" s="1321">
        <f>SUMIFS(KB[NETTO2],KB[RELASI],C53,KB[TYPE],"A",KB[TANGGAL],"&gt;="&amp;$AX$8,KB[TANGGAL],"&lt;"&amp;DATE(YEAR($AX$8),MONTH($AX$8)+1,0))</f>
        <v>0</v>
      </c>
      <c r="BF53" s="1323"/>
      <c r="BG53" s="1322"/>
      <c r="BH53" s="1321">
        <f>SUMIFS(KB[NETTO],KB[RELASI],C53,KB[TYPE],"A",KB[TANGGAL],"&gt;="&amp;$BH$8,KB[TANGGAL],"&lt;"&amp;DATE(YEAR($BH$8),MONTH($BH$8)+1,0))</f>
        <v>0</v>
      </c>
      <c r="BI53" s="1323"/>
      <c r="BJ53" s="1322"/>
      <c r="BK53" s="1321">
        <f t="shared" si="10"/>
        <v>0</v>
      </c>
      <c r="BL53" s="1322"/>
      <c r="BM53" s="1321">
        <f>SUMIFS(KB[TPOT],KB[RELASI],C53,KB[TYPE],"A",KB[TANGGAL],"&gt;="&amp;$BH$8,KB[TANGGAL],"&lt;"&amp;DATE(YEAR($BH$8),MONTH($BH$8)+1,0))</f>
        <v>0</v>
      </c>
      <c r="BN53" s="1322"/>
      <c r="BO53" s="1321">
        <f>SUMIFS(KB[NETTO2],KB[RELASI],C53,KB[TYPE],"A",KB[TANGGAL],"&gt;="&amp;$BH$8,KB[TANGGAL],"&lt;"&amp;DATE(YEAR($BH$8),MONTH($BH$8)+1,0))</f>
        <v>0</v>
      </c>
      <c r="BP53" s="1323"/>
      <c r="BQ53" s="1322"/>
      <c r="BR53" s="1321">
        <f>SUMIFS(KB[NETTO],KB[RELASI],C53,KB[TYPE],"A",KB[TANGGAL],"&gt;="&amp;$BR$8,KB[TANGGAL],"&lt;"&amp;DATE(YEAR($BR$8),MONTH($BR$8)+1,0))</f>
        <v>0</v>
      </c>
      <c r="BS53" s="1323"/>
      <c r="BT53" s="1322"/>
      <c r="BU53" s="1321">
        <f t="shared" si="11"/>
        <v>0</v>
      </c>
      <c r="BV53" s="1322"/>
      <c r="BW53" s="1321">
        <f>SUMIFS(KB[TPOT],KB[RELASI],C53,KB[TYPE],"A",KB[TANGGAL],"&gt;="&amp;$BR$8,KB[TANGGAL],"&lt;"&amp;DATE(YEAR($BR$8),MONTH($BR$8)+1,0))</f>
        <v>0</v>
      </c>
      <c r="BX53" s="1322"/>
      <c r="BY53" s="1321">
        <f>SUMIFS(KB[NETTO2],KB[RELASI],C53,KB[TYPE],"A",KB[TANGGAL],"&gt;="&amp;$BR$8,KB[TANGGAL],"&lt;"&amp;DATE(YEAR($BR$8),MONTH($BR$8)+1,0))</f>
        <v>0</v>
      </c>
      <c r="BZ53" s="1323"/>
      <c r="CA53" s="1322"/>
      <c r="CB53" s="1321">
        <f>SUMIFS(KB[NETTO],KB[RELASI],C53,KB[TYPE],"A",KB[TANGGAL],"&gt;="&amp;$CB$8,KB[TANGGAL],"&lt;"&amp;DATE(YEAR($CB$8),MONTH($CB$8)+1,0))</f>
        <v>0</v>
      </c>
      <c r="CC53" s="1323"/>
      <c r="CD53" s="1322"/>
      <c r="CE53" s="1321">
        <f t="shared" si="12"/>
        <v>0</v>
      </c>
      <c r="CF53" s="1322"/>
      <c r="CG53" s="1321">
        <f>SUMIFS(KB[TPOT],KB[RELASI],C53,KB[TYPE],"A",KB[TANGGAL],"&gt;="&amp;$CB$8,KB[TANGGAL],"&lt;"&amp;DATE(YEAR($CB$8),MONTH($CB$8)+1,0))</f>
        <v>0</v>
      </c>
      <c r="CH53" s="1322"/>
      <c r="CI53" s="1321">
        <f>SUMIFS(KB[NETTO2],KB[RELASI],C53,KB[TYPE],"A",KB[TANGGAL],"&gt;="&amp;$CB$8,KB[TANGGAL],"&lt;"&amp;DATE(YEAR($CB$8),MONTH($CB$8)+1,0))</f>
        <v>0</v>
      </c>
      <c r="CJ53" s="1323"/>
      <c r="CK53" s="1322"/>
      <c r="CL53" s="1321">
        <f>SUMIFS(KB[NETTO],KB[RELASI],C53,KB[TYPE],"A",KB[TANGGAL],"&gt;="&amp;$CL$8,KB[TANGGAL],"&lt;"&amp;DATE(YEAR($CL$8),MONTH($CL$8)+1,0))</f>
        <v>0</v>
      </c>
      <c r="CM53" s="1323"/>
      <c r="CN53" s="1322"/>
      <c r="CO53" s="1321">
        <f t="shared" si="13"/>
        <v>0</v>
      </c>
      <c r="CP53" s="1322"/>
      <c r="CQ53" s="1321">
        <f>SUMIFS(KB[TPOT],KB[RELASI],C53,KB[TYPE],"A",KB[TANGGAL],"&gt;="&amp;$CL$8,KB[TANGGAL],"&lt;"&amp;DATE(YEAR($CL$8),MONTH($CL$8)+1,0))</f>
        <v>0</v>
      </c>
      <c r="CR53" s="1322"/>
      <c r="CS53" s="1321">
        <f>SUMIFS(KB[NETTO2],KB[RELASI],C53,KB[TYPE],"A",KB[TANGGAL],"&gt;="&amp;$CL$8,KB[TANGGAL],"&lt;"&amp;DATE(YEAR($CL$8),MONTH($CL$8)+1,0))</f>
        <v>0</v>
      </c>
      <c r="CT53" s="1323"/>
      <c r="CU53" s="1322"/>
      <c r="CV53" s="1321">
        <f>SUMIFS(KB[NETTO],KB[RELASI],C53,KB[TYPE],"A",KB[TANGGAL],"&gt;="&amp;$CV$8,KB[TANGGAL],"&lt;"&amp;DATE(YEAR($CV$8),MONTH($CV$8)+1,0))</f>
        <v>0</v>
      </c>
      <c r="CW53" s="1323"/>
      <c r="CX53" s="1322"/>
      <c r="CY53" s="1321">
        <f t="shared" si="14"/>
        <v>0</v>
      </c>
      <c r="CZ53" s="1322"/>
      <c r="DA53" s="1321">
        <f>SUMIFS(KB[TPOT],KB[RELASI],C53,KB[TYPE],"A",KB[TANGGAL],"&gt;="&amp;$CV$8,KB[TANGGAL],"&lt;"&amp;DATE(YEAR($CV$8),MONTH($CV$8)+1,0))</f>
        <v>0</v>
      </c>
      <c r="DB53" s="1322"/>
      <c r="DC53" s="1321">
        <f>SUMIFS(KB[NETTO2],KB[RELASI],C53,KB[TYPE],"A",KB[TANGGAL],"&gt;="&amp;$CV$8,KB[TANGGAL],"&lt;"&amp;DATE(YEAR($CV$8),MONTH($CV$8)+1,0))</f>
        <v>0</v>
      </c>
      <c r="DD53" s="1323"/>
      <c r="DE53" s="1322"/>
      <c r="DF53" s="1321">
        <f>SUMIFS(KB[NETTO],KB[RELASI],C53,KB[TYPE],"A",KB[TANGGAL],"&gt;="&amp;$DF$8,KB[TANGGAL],"&lt;"&amp;DATE(YEAR($DF$8),MONTH($DF$8)+1,0))</f>
        <v>0</v>
      </c>
      <c r="DG53" s="1323"/>
      <c r="DH53" s="1322"/>
      <c r="DI53" s="1321">
        <f t="shared" si="15"/>
        <v>0</v>
      </c>
      <c r="DJ53" s="1322"/>
      <c r="DK53" s="1321">
        <f>SUMIFS(KB[TPOT],KB[RELASI],C53,KB[TYPE],"A",KB[TANGGAL],"&gt;="&amp;$DF$8,KB[TANGGAL],"&lt;"&amp;DATE(YEAR($DF$8),MONTH($DF$8)+1,0))</f>
        <v>0</v>
      </c>
      <c r="DL53" s="1322"/>
      <c r="DM53" s="1321">
        <f>SUMIFS(KB[NETTO2],KB[RELASI],C53,KB[TYPE],"A",KB[TANGGAL],"&gt;="&amp;$DF$8,KB[TANGGAL],"&lt;"&amp;DATE(YEAR($DF$8),MONTH($DF$8)+1,0))</f>
        <v>0</v>
      </c>
      <c r="DN53" s="1323"/>
      <c r="DO53" s="1322"/>
      <c r="DP53" s="1321">
        <f>SUMIFS(KB[NETTO],KB[RELASI],C53,KB[TYPE],"A",KB[TANGGAL],"&gt;="&amp;$DP$8,KB[TANGGAL],"&lt;"&amp;DATE(YEAR($DP$8),MONTH($DP$8)+1,0))</f>
        <v>0</v>
      </c>
      <c r="DQ53" s="1323"/>
      <c r="DR53" s="1322"/>
      <c r="DS53" s="1321">
        <f t="shared" si="16"/>
        <v>0</v>
      </c>
      <c r="DT53" s="1322"/>
      <c r="DU53" s="1321">
        <f>SUMIFS(KB[TPOT],KB[RELASI],C53,KB[TYPE],"A",KB[TANGGAL],"&gt;="&amp;$DP$8,KB[TANGGAL],"&lt;"&amp;DATE(YEAR($DP$8),MONTH($DP$8)+1,0))</f>
        <v>0</v>
      </c>
      <c r="DV53" s="1322"/>
      <c r="DW53" s="1321">
        <f>SUMIFS(KB[NETTO2],KB[RELASI],C53,KB[TYPE],"A",KB[TANGGAL],"&gt;="&amp;$DP$8,KB[TANGGAL],"&lt;"&amp;DATE(YEAR($DP$8),MONTH($DP$8)+1,0))</f>
        <v>0</v>
      </c>
      <c r="DX53" s="1323"/>
      <c r="DY53" s="1322"/>
      <c r="DZ53" s="1321">
        <f>SUMIFS(KB[NETTO],KB[RELASI],C53,KB[TYPE],"A",KB[TANGGAL],"&gt;="&amp;$DZ$8,KB[TANGGAL],"&lt;"&amp;DATE(YEAR($DZ$8),MONTH($DZ$8)+1,0))</f>
        <v>0</v>
      </c>
      <c r="EA53" s="1323"/>
      <c r="EB53" s="1322"/>
      <c r="EC53" s="1321">
        <f t="shared" si="17"/>
        <v>0</v>
      </c>
      <c r="ED53" s="1322"/>
      <c r="EE53" s="1321">
        <f>SUMIFS(KB[TPOT],KB[RELASI],C53,KB[TYPE],"A",KB[TANGGAL],"&gt;="&amp;$DZ$8,KB[TANGGAL],"&lt;"&amp;DATE(YEAR($DZ$8),MONTH($DZ$8)+1,0))</f>
        <v>0</v>
      </c>
      <c r="EF53" s="1322"/>
      <c r="EG53" s="1321">
        <f>SUMIFS(KB[NETTO2],KB[RELASI],C53,KB[TYPE],"A",KB[TANGGAL],"&gt;="&amp;$DZ$8,KB[TANGGAL],"&lt;"&amp;DATE(YEAR($DZ$8),MONTH($DZ$8)+1,0))</f>
        <v>0</v>
      </c>
      <c r="EH53" s="1323"/>
      <c r="EI53" s="1322"/>
      <c r="EJ53" s="844"/>
      <c r="EK53" s="845"/>
      <c r="EL53" s="846"/>
      <c r="EM53" s="844"/>
      <c r="EN53" s="846"/>
      <c r="EO53" s="844"/>
      <c r="EP53" s="846"/>
      <c r="EQ53" s="844"/>
      <c r="ER53" s="845"/>
      <c r="ES53" s="847"/>
    </row>
    <row r="54" spans="2:149" ht="18" customHeight="1">
      <c r="B54" s="1040">
        <f t="shared" si="18"/>
        <v>44</v>
      </c>
      <c r="C54" s="844" t="str">
        <f>RELASI!C46</f>
        <v>SUKAMTO</v>
      </c>
      <c r="D54" s="845"/>
      <c r="E54" s="845"/>
      <c r="F54" s="846"/>
      <c r="G54" s="844" t="str">
        <f>RELASI!D46</f>
        <v>Sungai Salak</v>
      </c>
      <c r="H54" s="845"/>
      <c r="I54" s="846"/>
      <c r="J54" s="1319">
        <f>SUMIFS(KB[NETTO],KB[RELASI],C54,KB[TYPE],"A",KB[TANGGAL],"&gt;="&amp;DATE($J$7,1,1),KB[TANGGAL],"&lt;"&amp;DATE($J$7+1,1,0))/12</f>
        <v>0</v>
      </c>
      <c r="K54" s="1324"/>
      <c r="L54" s="1320"/>
      <c r="M54" s="1319">
        <f t="shared" si="19"/>
        <v>0</v>
      </c>
      <c r="N54" s="1320"/>
      <c r="O54" s="1321">
        <f>SUMIFS(KB[TPOT],KB[RELASI],C54,KB[TYPE],"A",KB[TANGGAL],"&gt;="&amp;DATE($J$7,1,1),KB[TANGGAL],"&lt;"&amp;DATE($J$7+1,1,0))/12</f>
        <v>0</v>
      </c>
      <c r="P54" s="1322"/>
      <c r="Q54" s="1321">
        <f>SUMIFS(KB[NETTO2],KB[RELASI],C54,KB[TYPE],"A",KB[TANGGAL],"&gt;="&amp;DATE($J$7,1,1),KB[TANGGAL],"&lt;"&amp;DATE($J$7+1,1,0))/12</f>
        <v>0</v>
      </c>
      <c r="R54" s="1323"/>
      <c r="S54" s="1322"/>
      <c r="T54" s="1321">
        <f>SUMIFS(KB[NETTO],KB[RELASI],C54,KB[TYPE],"A",KB[TANGGAL],"&gt;="&amp;$T$8,KB[TANGGAL],"&lt;"&amp;DATE($FA$4,$FA$5+1,0))</f>
        <v>54080</v>
      </c>
      <c r="U54" s="1323"/>
      <c r="V54" s="1322"/>
      <c r="W54" s="1319">
        <f t="shared" si="20"/>
        <v>6</v>
      </c>
      <c r="X54" s="1320"/>
      <c r="Y54" s="1339">
        <f>SUMIFS(KB[TPOT],KB[RELASI],C54,KB[TYPE],"A",KB[TANGGAL],"&gt;="&amp;$T$8,KB[TANGGAL],"&lt;"&amp;DATE($FA$4,$FA$5+1,0))</f>
        <v>3244.7999999999997</v>
      </c>
      <c r="Z54" s="1340"/>
      <c r="AA54" s="1339">
        <f>SUMIFS(KB[NETTO2],KB[RELASI],C54,KB[TYPE],"A",KB[TANGGAL],"&gt;="&amp;$T$8,KB[TANGGAL],"&lt;"&amp;DATE($FA$4,$FA$5+1,0))</f>
        <v>50835.199999999997</v>
      </c>
      <c r="AB54" s="1341"/>
      <c r="AC54" s="1340"/>
      <c r="AD54" s="1321">
        <f>SUMIFS(KB[NETTO],KB[RELASI],C54,KB[TYPE],"A",KB[TANGGAL],"&gt;="&amp;$AD$8,KB[TANGGAL],"&lt;"&amp;DATE($FA$4,MONTH($AD$8)+1,0))</f>
        <v>23280</v>
      </c>
      <c r="AE54" s="1323"/>
      <c r="AF54" s="1322"/>
      <c r="AG54" s="1321">
        <f t="shared" si="7"/>
        <v>6</v>
      </c>
      <c r="AH54" s="1322"/>
      <c r="AI54" s="1321">
        <f>SUMIFS(KB[TPOT],KB[RELASI],C54,KB[TYPE],"A",KB[TANGGAL],"&gt;="&amp;$AD$8,KB[TANGGAL],"&lt;"&amp;DATE($FA$4,MONTH($AD$8)+1,0))</f>
        <v>1396.8</v>
      </c>
      <c r="AJ54" s="1322"/>
      <c r="AK54" s="1321">
        <f>SUMIFS(KB[NETTO2],KB[RELASI],C54,KB[TYPE],"A",KB[TANGGAL],"&gt;="&amp;$AD$8,KB[TANGGAL],"&lt;"&amp;DATE($FA$4,MONTH($AD$8)+1,0))</f>
        <v>21883.200000000001</v>
      </c>
      <c r="AL54" s="1323"/>
      <c r="AM54" s="1322"/>
      <c r="AN54" s="1321">
        <f>SUMIFS(KB[NETTO],KB[RELASI],C54,KB[TYPE],"A",KB[TANGGAL],"&gt;="&amp;$AN$8,KB[TANGGAL],"&lt;"&amp;DATE(YEAR($AN$8),MONTH($AN$8)+1,0))</f>
        <v>21350</v>
      </c>
      <c r="AO54" s="1323"/>
      <c r="AP54" s="1322"/>
      <c r="AQ54" s="1321">
        <f t="shared" si="8"/>
        <v>6</v>
      </c>
      <c r="AR54" s="1322"/>
      <c r="AS54" s="1321">
        <f>SUMIFS(KB[TPOT],KB[RELASI],C54,KB[TYPE],"A",KB[TANGGAL],"&gt;="&amp;$AN$8,KB[TANGGAL],"&lt;"&amp;DATE(YEAR($AN$8),MONTH($AN$8)+1,0))</f>
        <v>1281</v>
      </c>
      <c r="AT54" s="1322"/>
      <c r="AU54" s="1321">
        <f>SUMIFS(KB[NETTO2],KB[RELASI],C54,KB[TYPE],"A",KB[TANGGAL],"&gt;="&amp;$AN$8,KB[TANGGAL],"&lt;"&amp;DATE(YEAR($AN$8),MONTH($AN$8)+1,0))</f>
        <v>20069</v>
      </c>
      <c r="AV54" s="1323"/>
      <c r="AW54" s="1322"/>
      <c r="AX54" s="1321">
        <f>SUMIFS(KB[NETTO],KB[RELASI],C54,KB[TYPE],"A",KB[TANGGAL],"&gt;="&amp;$AX$8,KB[TANGGAL],"&lt;"&amp;DATE(YEAR($AX$8),MONTH($AX$8)+1,0))</f>
        <v>0</v>
      </c>
      <c r="AY54" s="1323"/>
      <c r="AZ54" s="1322"/>
      <c r="BA54" s="1321">
        <f t="shared" si="9"/>
        <v>0</v>
      </c>
      <c r="BB54" s="1322"/>
      <c r="BC54" s="1321">
        <f>SUMIFS(KB[TPOT],KB[RELASI],C54,KB[TYPE],"A",KB[TANGGAL],"&gt;="&amp;$AX$8,KB[TANGGAL],"&lt;"&amp;DATE(YEAR($AX$8),MONTH($AX$8)+1,0))</f>
        <v>0</v>
      </c>
      <c r="BD54" s="1322"/>
      <c r="BE54" s="1321">
        <f>SUMIFS(KB[NETTO2],KB[RELASI],C54,KB[TYPE],"A",KB[TANGGAL],"&gt;="&amp;$AX$8,KB[TANGGAL],"&lt;"&amp;DATE(YEAR($AX$8),MONTH($AX$8)+1,0))</f>
        <v>0</v>
      </c>
      <c r="BF54" s="1323"/>
      <c r="BG54" s="1322"/>
      <c r="BH54" s="1321">
        <f>SUMIFS(KB[NETTO],KB[RELASI],C54,KB[TYPE],"A",KB[TANGGAL],"&gt;="&amp;$BH$8,KB[TANGGAL],"&lt;"&amp;DATE(YEAR($BH$8),MONTH($BH$8)+1,0))</f>
        <v>0</v>
      </c>
      <c r="BI54" s="1323"/>
      <c r="BJ54" s="1322"/>
      <c r="BK54" s="1321">
        <f t="shared" si="10"/>
        <v>0</v>
      </c>
      <c r="BL54" s="1322"/>
      <c r="BM54" s="1321">
        <f>SUMIFS(KB[TPOT],KB[RELASI],C54,KB[TYPE],"A",KB[TANGGAL],"&gt;="&amp;$BH$8,KB[TANGGAL],"&lt;"&amp;DATE(YEAR($BH$8),MONTH($BH$8)+1,0))</f>
        <v>0</v>
      </c>
      <c r="BN54" s="1322"/>
      <c r="BO54" s="1321">
        <f>SUMIFS(KB[NETTO2],KB[RELASI],C54,KB[TYPE],"A",KB[TANGGAL],"&gt;="&amp;$BH$8,KB[TANGGAL],"&lt;"&amp;DATE(YEAR($BH$8),MONTH($BH$8)+1,0))</f>
        <v>0</v>
      </c>
      <c r="BP54" s="1323"/>
      <c r="BQ54" s="1322"/>
      <c r="BR54" s="1321">
        <f>SUMIFS(KB[NETTO],KB[RELASI],C54,KB[TYPE],"A",KB[TANGGAL],"&gt;="&amp;$BR$8,KB[TANGGAL],"&lt;"&amp;DATE(YEAR($BR$8),MONTH($BR$8)+1,0))</f>
        <v>0</v>
      </c>
      <c r="BS54" s="1323"/>
      <c r="BT54" s="1322"/>
      <c r="BU54" s="1321">
        <f t="shared" si="11"/>
        <v>0</v>
      </c>
      <c r="BV54" s="1322"/>
      <c r="BW54" s="1321">
        <f>SUMIFS(KB[TPOT],KB[RELASI],C54,KB[TYPE],"A",KB[TANGGAL],"&gt;="&amp;$BR$8,KB[TANGGAL],"&lt;"&amp;DATE(YEAR($BR$8),MONTH($BR$8)+1,0))</f>
        <v>0</v>
      </c>
      <c r="BX54" s="1322"/>
      <c r="BY54" s="1321">
        <f>SUMIFS(KB[NETTO2],KB[RELASI],C54,KB[TYPE],"A",KB[TANGGAL],"&gt;="&amp;$BR$8,KB[TANGGAL],"&lt;"&amp;DATE(YEAR($BR$8),MONTH($BR$8)+1,0))</f>
        <v>0</v>
      </c>
      <c r="BZ54" s="1323"/>
      <c r="CA54" s="1322"/>
      <c r="CB54" s="1321">
        <f>SUMIFS(KB[NETTO],KB[RELASI],C54,KB[TYPE],"A",KB[TANGGAL],"&gt;="&amp;$CB$8,KB[TANGGAL],"&lt;"&amp;DATE(YEAR($CB$8),MONTH($CB$8)+1,0))</f>
        <v>0</v>
      </c>
      <c r="CC54" s="1323"/>
      <c r="CD54" s="1322"/>
      <c r="CE54" s="1321">
        <f t="shared" si="12"/>
        <v>0</v>
      </c>
      <c r="CF54" s="1322"/>
      <c r="CG54" s="1321">
        <f>SUMIFS(KB[TPOT],KB[RELASI],C54,KB[TYPE],"A",KB[TANGGAL],"&gt;="&amp;$CB$8,KB[TANGGAL],"&lt;"&amp;DATE(YEAR($CB$8),MONTH($CB$8)+1,0))</f>
        <v>0</v>
      </c>
      <c r="CH54" s="1322"/>
      <c r="CI54" s="1321">
        <f>SUMIFS(KB[NETTO2],KB[RELASI],C54,KB[TYPE],"A",KB[TANGGAL],"&gt;="&amp;$CB$8,KB[TANGGAL],"&lt;"&amp;DATE(YEAR($CB$8),MONTH($CB$8)+1,0))</f>
        <v>0</v>
      </c>
      <c r="CJ54" s="1323"/>
      <c r="CK54" s="1322"/>
      <c r="CL54" s="1321">
        <f>SUMIFS(KB[NETTO],KB[RELASI],C54,KB[TYPE],"A",KB[TANGGAL],"&gt;="&amp;$CL$8,KB[TANGGAL],"&lt;"&amp;DATE(YEAR($CL$8),MONTH($CL$8)+1,0))</f>
        <v>0</v>
      </c>
      <c r="CM54" s="1323"/>
      <c r="CN54" s="1322"/>
      <c r="CO54" s="1321">
        <f t="shared" si="13"/>
        <v>0</v>
      </c>
      <c r="CP54" s="1322"/>
      <c r="CQ54" s="1321">
        <f>SUMIFS(KB[TPOT],KB[RELASI],C54,KB[TYPE],"A",KB[TANGGAL],"&gt;="&amp;$CL$8,KB[TANGGAL],"&lt;"&amp;DATE(YEAR($CL$8),MONTH($CL$8)+1,0))</f>
        <v>0</v>
      </c>
      <c r="CR54" s="1322"/>
      <c r="CS54" s="1321">
        <f>SUMIFS(KB[NETTO2],KB[RELASI],C54,KB[TYPE],"A",KB[TANGGAL],"&gt;="&amp;$CL$8,KB[TANGGAL],"&lt;"&amp;DATE(YEAR($CL$8),MONTH($CL$8)+1,0))</f>
        <v>0</v>
      </c>
      <c r="CT54" s="1323"/>
      <c r="CU54" s="1322"/>
      <c r="CV54" s="1321">
        <f>SUMIFS(KB[NETTO],KB[RELASI],C54,KB[TYPE],"A",KB[TANGGAL],"&gt;="&amp;$CV$8,KB[TANGGAL],"&lt;"&amp;DATE(YEAR($CV$8),MONTH($CV$8)+1,0))</f>
        <v>0</v>
      </c>
      <c r="CW54" s="1323"/>
      <c r="CX54" s="1322"/>
      <c r="CY54" s="1321">
        <f t="shared" si="14"/>
        <v>0</v>
      </c>
      <c r="CZ54" s="1322"/>
      <c r="DA54" s="1321">
        <f>SUMIFS(KB[TPOT],KB[RELASI],C54,KB[TYPE],"A",KB[TANGGAL],"&gt;="&amp;$CV$8,KB[TANGGAL],"&lt;"&amp;DATE(YEAR($CV$8),MONTH($CV$8)+1,0))</f>
        <v>0</v>
      </c>
      <c r="DB54" s="1322"/>
      <c r="DC54" s="1321">
        <f>SUMIFS(KB[NETTO2],KB[RELASI],C54,KB[TYPE],"A",KB[TANGGAL],"&gt;="&amp;$CV$8,KB[TANGGAL],"&lt;"&amp;DATE(YEAR($CV$8),MONTH($CV$8)+1,0))</f>
        <v>0</v>
      </c>
      <c r="DD54" s="1323"/>
      <c r="DE54" s="1322"/>
      <c r="DF54" s="1321">
        <f>SUMIFS(KB[NETTO],KB[RELASI],C54,KB[TYPE],"A",KB[TANGGAL],"&gt;="&amp;$DF$8,KB[TANGGAL],"&lt;"&amp;DATE(YEAR($DF$8),MONTH($DF$8)+1,0))</f>
        <v>0</v>
      </c>
      <c r="DG54" s="1323"/>
      <c r="DH54" s="1322"/>
      <c r="DI54" s="1321">
        <f t="shared" si="15"/>
        <v>0</v>
      </c>
      <c r="DJ54" s="1322"/>
      <c r="DK54" s="1321">
        <f>SUMIFS(KB[TPOT],KB[RELASI],C54,KB[TYPE],"A",KB[TANGGAL],"&gt;="&amp;$DF$8,KB[TANGGAL],"&lt;"&amp;DATE(YEAR($DF$8),MONTH($DF$8)+1,0))</f>
        <v>0</v>
      </c>
      <c r="DL54" s="1322"/>
      <c r="DM54" s="1321">
        <f>SUMIFS(KB[NETTO2],KB[RELASI],C54,KB[TYPE],"A",KB[TANGGAL],"&gt;="&amp;$DF$8,KB[TANGGAL],"&lt;"&amp;DATE(YEAR($DF$8),MONTH($DF$8)+1,0))</f>
        <v>0</v>
      </c>
      <c r="DN54" s="1323"/>
      <c r="DO54" s="1322"/>
      <c r="DP54" s="1321">
        <f>SUMIFS(KB[NETTO],KB[RELASI],C54,KB[TYPE],"A",KB[TANGGAL],"&gt;="&amp;$DP$8,KB[TANGGAL],"&lt;"&amp;DATE(YEAR($DP$8),MONTH($DP$8)+1,0))</f>
        <v>0</v>
      </c>
      <c r="DQ54" s="1323"/>
      <c r="DR54" s="1322"/>
      <c r="DS54" s="1321">
        <f t="shared" si="16"/>
        <v>0</v>
      </c>
      <c r="DT54" s="1322"/>
      <c r="DU54" s="1321">
        <f>SUMIFS(KB[TPOT],KB[RELASI],C54,KB[TYPE],"A",KB[TANGGAL],"&gt;="&amp;$DP$8,KB[TANGGAL],"&lt;"&amp;DATE(YEAR($DP$8),MONTH($DP$8)+1,0))</f>
        <v>0</v>
      </c>
      <c r="DV54" s="1322"/>
      <c r="DW54" s="1321">
        <f>SUMIFS(KB[NETTO2],KB[RELASI],C54,KB[TYPE],"A",KB[TANGGAL],"&gt;="&amp;$DP$8,KB[TANGGAL],"&lt;"&amp;DATE(YEAR($DP$8),MONTH($DP$8)+1,0))</f>
        <v>0</v>
      </c>
      <c r="DX54" s="1323"/>
      <c r="DY54" s="1322"/>
      <c r="DZ54" s="1321">
        <f>SUMIFS(KB[NETTO],KB[RELASI],C54,KB[TYPE],"A",KB[TANGGAL],"&gt;="&amp;$DZ$8,KB[TANGGAL],"&lt;"&amp;DATE(YEAR($DZ$8),MONTH($DZ$8)+1,0))</f>
        <v>0</v>
      </c>
      <c r="EA54" s="1323"/>
      <c r="EB54" s="1322"/>
      <c r="EC54" s="1321">
        <f t="shared" si="17"/>
        <v>0</v>
      </c>
      <c r="ED54" s="1322"/>
      <c r="EE54" s="1321">
        <f>SUMIFS(KB[TPOT],KB[RELASI],C54,KB[TYPE],"A",KB[TANGGAL],"&gt;="&amp;$DZ$8,KB[TANGGAL],"&lt;"&amp;DATE(YEAR($DZ$8),MONTH($DZ$8)+1,0))</f>
        <v>0</v>
      </c>
      <c r="EF54" s="1322"/>
      <c r="EG54" s="1321">
        <f>SUMIFS(KB[NETTO2],KB[RELASI],C54,KB[TYPE],"A",KB[TANGGAL],"&gt;="&amp;$DZ$8,KB[TANGGAL],"&lt;"&amp;DATE(YEAR($DZ$8),MONTH($DZ$8)+1,0))</f>
        <v>0</v>
      </c>
      <c r="EH54" s="1323"/>
      <c r="EI54" s="1322"/>
      <c r="EJ54" s="844"/>
      <c r="EK54" s="845"/>
      <c r="EL54" s="846"/>
      <c r="EM54" s="844"/>
      <c r="EN54" s="846"/>
      <c r="EO54" s="844"/>
      <c r="EP54" s="846"/>
      <c r="EQ54" s="844"/>
      <c r="ER54" s="845"/>
      <c r="ES54" s="847"/>
    </row>
    <row r="55" spans="2:149" ht="18" customHeight="1">
      <c r="B55" s="1040">
        <f t="shared" si="18"/>
        <v>45</v>
      </c>
      <c r="C55" s="844" t="str">
        <f>RELASI!C47</f>
        <v>WARTINI</v>
      </c>
      <c r="D55" s="845"/>
      <c r="E55" s="845"/>
      <c r="F55" s="846"/>
      <c r="G55" s="844" t="str">
        <f>RELASI!D47</f>
        <v>Sendawa</v>
      </c>
      <c r="H55" s="845"/>
      <c r="I55" s="846"/>
      <c r="J55" s="1319">
        <f>SUMIFS(KB[NETTO],KB[RELASI],C55,KB[TYPE],"A",KB[TANGGAL],"&gt;="&amp;DATE($J$7,1,1),KB[TANGGAL],"&lt;"&amp;DATE($J$7+1,1,0))/12</f>
        <v>0</v>
      </c>
      <c r="K55" s="1324"/>
      <c r="L55" s="1320"/>
      <c r="M55" s="1319">
        <f t="shared" si="19"/>
        <v>0</v>
      </c>
      <c r="N55" s="1320"/>
      <c r="O55" s="1321">
        <f>SUMIFS(KB[TPOT],KB[RELASI],C55,KB[TYPE],"A",KB[TANGGAL],"&gt;="&amp;DATE($J$7,1,1),KB[TANGGAL],"&lt;"&amp;DATE($J$7+1,1,0))/12</f>
        <v>0</v>
      </c>
      <c r="P55" s="1322"/>
      <c r="Q55" s="1321">
        <f>SUMIFS(KB[NETTO2],KB[RELASI],C55,KB[TYPE],"A",KB[TANGGAL],"&gt;="&amp;DATE($J$7,1,1),KB[TANGGAL],"&lt;"&amp;DATE($J$7+1,1,0))/12</f>
        <v>0</v>
      </c>
      <c r="R55" s="1323"/>
      <c r="S55" s="1322"/>
      <c r="T55" s="1321">
        <f>SUMIFS(KB[NETTO],KB[RELASI],C55,KB[TYPE],"A",KB[TANGGAL],"&gt;="&amp;$T$8,KB[TANGGAL],"&lt;"&amp;DATE($FA$4,$FA$5+1,0))</f>
        <v>83900</v>
      </c>
      <c r="U55" s="1323"/>
      <c r="V55" s="1322"/>
      <c r="W55" s="1319">
        <f t="shared" si="20"/>
        <v>6</v>
      </c>
      <c r="X55" s="1320"/>
      <c r="Y55" s="1339">
        <f>SUMIFS(KB[TPOT],KB[RELASI],C55,KB[TYPE],"A",KB[TANGGAL],"&gt;="&amp;$T$8,KB[TANGGAL],"&lt;"&amp;DATE($FA$4,$FA$5+1,0))</f>
        <v>5034</v>
      </c>
      <c r="Z55" s="1340"/>
      <c r="AA55" s="1339">
        <f>SUMIFS(KB[NETTO2],KB[RELASI],C55,KB[TYPE],"A",KB[TANGGAL],"&gt;="&amp;$T$8,KB[TANGGAL],"&lt;"&amp;DATE($FA$4,$FA$5+1,0))</f>
        <v>78866</v>
      </c>
      <c r="AB55" s="1341"/>
      <c r="AC55" s="1340"/>
      <c r="AD55" s="1321">
        <f>SUMIFS(KB[NETTO],KB[RELASI],C55,KB[TYPE],"A",KB[TANGGAL],"&gt;="&amp;$AD$8,KB[TANGGAL],"&lt;"&amp;DATE($FA$4,MONTH($AD$8)+1,0))</f>
        <v>0</v>
      </c>
      <c r="AE55" s="1323"/>
      <c r="AF55" s="1322"/>
      <c r="AG55" s="1321">
        <f t="shared" si="7"/>
        <v>6</v>
      </c>
      <c r="AH55" s="1322"/>
      <c r="AI55" s="1321">
        <f>SUMIFS(KB[TPOT],KB[RELASI],C55,KB[TYPE],"A",KB[TANGGAL],"&gt;="&amp;$AD$8,KB[TANGGAL],"&lt;"&amp;DATE($FA$4,MONTH($AD$8)+1,0))</f>
        <v>0</v>
      </c>
      <c r="AJ55" s="1322"/>
      <c r="AK55" s="1321">
        <f>SUMIFS(KB[NETTO2],KB[RELASI],C55,KB[TYPE],"A",KB[TANGGAL],"&gt;="&amp;$AD$8,KB[TANGGAL],"&lt;"&amp;DATE($FA$4,MONTH($AD$8)+1,0))</f>
        <v>0</v>
      </c>
      <c r="AL55" s="1323"/>
      <c r="AM55" s="1322"/>
      <c r="AN55" s="1321">
        <f>SUMIFS(KB[NETTO],KB[RELASI],C55,KB[TYPE],"A",KB[TANGGAL],"&gt;="&amp;$AN$8,KB[TANGGAL],"&lt;"&amp;DATE(YEAR($AN$8),MONTH($AN$8)+1,0))</f>
        <v>281800</v>
      </c>
      <c r="AO55" s="1323"/>
      <c r="AP55" s="1322"/>
      <c r="AQ55" s="1321">
        <f t="shared" si="8"/>
        <v>6</v>
      </c>
      <c r="AR55" s="1322"/>
      <c r="AS55" s="1321">
        <f>SUMIFS(KB[TPOT],KB[RELASI],C55,KB[TYPE],"A",KB[TANGGAL],"&gt;="&amp;$AN$8,KB[TANGGAL],"&lt;"&amp;DATE(YEAR($AN$8),MONTH($AN$8)+1,0))</f>
        <v>16908</v>
      </c>
      <c r="AT55" s="1322"/>
      <c r="AU55" s="1321">
        <f>SUMIFS(KB[NETTO2],KB[RELASI],C55,KB[TYPE],"A",KB[TANGGAL],"&gt;="&amp;$AN$8,KB[TANGGAL],"&lt;"&amp;DATE(YEAR($AN$8),MONTH($AN$8)+1,0))</f>
        <v>264892</v>
      </c>
      <c r="AV55" s="1323"/>
      <c r="AW55" s="1322"/>
      <c r="AX55" s="1321">
        <f>SUMIFS(KB[NETTO],KB[RELASI],C55,KB[TYPE],"A",KB[TANGGAL],"&gt;="&amp;$AX$8,KB[TANGGAL],"&lt;"&amp;DATE(YEAR($AX$8),MONTH($AX$8)+1,0))</f>
        <v>0</v>
      </c>
      <c r="AY55" s="1323"/>
      <c r="AZ55" s="1322"/>
      <c r="BA55" s="1321">
        <f t="shared" si="9"/>
        <v>0</v>
      </c>
      <c r="BB55" s="1322"/>
      <c r="BC55" s="1321">
        <f>SUMIFS(KB[TPOT],KB[RELASI],C55,KB[TYPE],"A",KB[TANGGAL],"&gt;="&amp;$AX$8,KB[TANGGAL],"&lt;"&amp;DATE(YEAR($AX$8),MONTH($AX$8)+1,0))</f>
        <v>0</v>
      </c>
      <c r="BD55" s="1322"/>
      <c r="BE55" s="1321">
        <f>SUMIFS(KB[NETTO2],KB[RELASI],C55,KB[TYPE],"A",KB[TANGGAL],"&gt;="&amp;$AX$8,KB[TANGGAL],"&lt;"&amp;DATE(YEAR($AX$8),MONTH($AX$8)+1,0))</f>
        <v>0</v>
      </c>
      <c r="BF55" s="1323"/>
      <c r="BG55" s="1322"/>
      <c r="BH55" s="1321">
        <f>SUMIFS(KB[NETTO],KB[RELASI],C55,KB[TYPE],"A",KB[TANGGAL],"&gt;="&amp;$BH$8,KB[TANGGAL],"&lt;"&amp;DATE(YEAR($BH$8),MONTH($BH$8)+1,0))</f>
        <v>0</v>
      </c>
      <c r="BI55" s="1323"/>
      <c r="BJ55" s="1322"/>
      <c r="BK55" s="1321">
        <f t="shared" si="10"/>
        <v>0</v>
      </c>
      <c r="BL55" s="1322"/>
      <c r="BM55" s="1321">
        <f>SUMIFS(KB[TPOT],KB[RELASI],C55,KB[TYPE],"A",KB[TANGGAL],"&gt;="&amp;$BH$8,KB[TANGGAL],"&lt;"&amp;DATE(YEAR($BH$8),MONTH($BH$8)+1,0))</f>
        <v>0</v>
      </c>
      <c r="BN55" s="1322"/>
      <c r="BO55" s="1321">
        <f>SUMIFS(KB[NETTO2],KB[RELASI],C55,KB[TYPE],"A",KB[TANGGAL],"&gt;="&amp;$BH$8,KB[TANGGAL],"&lt;"&amp;DATE(YEAR($BH$8),MONTH($BH$8)+1,0))</f>
        <v>0</v>
      </c>
      <c r="BP55" s="1323"/>
      <c r="BQ55" s="1322"/>
      <c r="BR55" s="1321">
        <f>SUMIFS(KB[NETTO],KB[RELASI],C55,KB[TYPE],"A",KB[TANGGAL],"&gt;="&amp;$BR$8,KB[TANGGAL],"&lt;"&amp;DATE(YEAR($BR$8),MONTH($BR$8)+1,0))</f>
        <v>0</v>
      </c>
      <c r="BS55" s="1323"/>
      <c r="BT55" s="1322"/>
      <c r="BU55" s="1321">
        <f t="shared" si="11"/>
        <v>0</v>
      </c>
      <c r="BV55" s="1322"/>
      <c r="BW55" s="1321">
        <f>SUMIFS(KB[TPOT],KB[RELASI],C55,KB[TYPE],"A",KB[TANGGAL],"&gt;="&amp;$BR$8,KB[TANGGAL],"&lt;"&amp;DATE(YEAR($BR$8),MONTH($BR$8)+1,0))</f>
        <v>0</v>
      </c>
      <c r="BX55" s="1322"/>
      <c r="BY55" s="1321">
        <f>SUMIFS(KB[NETTO2],KB[RELASI],C55,KB[TYPE],"A",KB[TANGGAL],"&gt;="&amp;$BR$8,KB[TANGGAL],"&lt;"&amp;DATE(YEAR($BR$8),MONTH($BR$8)+1,0))</f>
        <v>0</v>
      </c>
      <c r="BZ55" s="1323"/>
      <c r="CA55" s="1322"/>
      <c r="CB55" s="1321">
        <f>SUMIFS(KB[NETTO],KB[RELASI],C55,KB[TYPE],"A",KB[TANGGAL],"&gt;="&amp;$CB$8,KB[TANGGAL],"&lt;"&amp;DATE(YEAR($CB$8),MONTH($CB$8)+1,0))</f>
        <v>0</v>
      </c>
      <c r="CC55" s="1323"/>
      <c r="CD55" s="1322"/>
      <c r="CE55" s="1321">
        <f t="shared" si="12"/>
        <v>0</v>
      </c>
      <c r="CF55" s="1322"/>
      <c r="CG55" s="1321">
        <f>SUMIFS(KB[TPOT],KB[RELASI],C55,KB[TYPE],"A",KB[TANGGAL],"&gt;="&amp;$CB$8,KB[TANGGAL],"&lt;"&amp;DATE(YEAR($CB$8),MONTH($CB$8)+1,0))</f>
        <v>0</v>
      </c>
      <c r="CH55" s="1322"/>
      <c r="CI55" s="1321">
        <f>SUMIFS(KB[NETTO2],KB[RELASI],C55,KB[TYPE],"A",KB[TANGGAL],"&gt;="&amp;$CB$8,KB[TANGGAL],"&lt;"&amp;DATE(YEAR($CB$8),MONTH($CB$8)+1,0))</f>
        <v>0</v>
      </c>
      <c r="CJ55" s="1323"/>
      <c r="CK55" s="1322"/>
      <c r="CL55" s="1321">
        <f>SUMIFS(KB[NETTO],KB[RELASI],C55,KB[TYPE],"A",KB[TANGGAL],"&gt;="&amp;$CL$8,KB[TANGGAL],"&lt;"&amp;DATE(YEAR($CL$8),MONTH($CL$8)+1,0))</f>
        <v>0</v>
      </c>
      <c r="CM55" s="1323"/>
      <c r="CN55" s="1322"/>
      <c r="CO55" s="1321">
        <f t="shared" si="13"/>
        <v>0</v>
      </c>
      <c r="CP55" s="1322"/>
      <c r="CQ55" s="1321">
        <f>SUMIFS(KB[TPOT],KB[RELASI],C55,KB[TYPE],"A",KB[TANGGAL],"&gt;="&amp;$CL$8,KB[TANGGAL],"&lt;"&amp;DATE(YEAR($CL$8),MONTH($CL$8)+1,0))</f>
        <v>0</v>
      </c>
      <c r="CR55" s="1322"/>
      <c r="CS55" s="1321">
        <f>SUMIFS(KB[NETTO2],KB[RELASI],C55,KB[TYPE],"A",KB[TANGGAL],"&gt;="&amp;$CL$8,KB[TANGGAL],"&lt;"&amp;DATE(YEAR($CL$8),MONTH($CL$8)+1,0))</f>
        <v>0</v>
      </c>
      <c r="CT55" s="1323"/>
      <c r="CU55" s="1322"/>
      <c r="CV55" s="1321">
        <f>SUMIFS(KB[NETTO],KB[RELASI],C55,KB[TYPE],"A",KB[TANGGAL],"&gt;="&amp;$CV$8,KB[TANGGAL],"&lt;"&amp;DATE(YEAR($CV$8),MONTH($CV$8)+1,0))</f>
        <v>0</v>
      </c>
      <c r="CW55" s="1323"/>
      <c r="CX55" s="1322"/>
      <c r="CY55" s="1321">
        <f t="shared" si="14"/>
        <v>0</v>
      </c>
      <c r="CZ55" s="1322"/>
      <c r="DA55" s="1321">
        <f>SUMIFS(KB[TPOT],KB[RELASI],C55,KB[TYPE],"A",KB[TANGGAL],"&gt;="&amp;$CV$8,KB[TANGGAL],"&lt;"&amp;DATE(YEAR($CV$8),MONTH($CV$8)+1,0))</f>
        <v>0</v>
      </c>
      <c r="DB55" s="1322"/>
      <c r="DC55" s="1321">
        <f>SUMIFS(KB[NETTO2],KB[RELASI],C55,KB[TYPE],"A",KB[TANGGAL],"&gt;="&amp;$CV$8,KB[TANGGAL],"&lt;"&amp;DATE(YEAR($CV$8),MONTH($CV$8)+1,0))</f>
        <v>0</v>
      </c>
      <c r="DD55" s="1323"/>
      <c r="DE55" s="1322"/>
      <c r="DF55" s="1321">
        <f>SUMIFS(KB[NETTO],KB[RELASI],C55,KB[TYPE],"A",KB[TANGGAL],"&gt;="&amp;$DF$8,KB[TANGGAL],"&lt;"&amp;DATE(YEAR($DF$8),MONTH($DF$8)+1,0))</f>
        <v>0</v>
      </c>
      <c r="DG55" s="1323"/>
      <c r="DH55" s="1322"/>
      <c r="DI55" s="1321">
        <f t="shared" si="15"/>
        <v>0</v>
      </c>
      <c r="DJ55" s="1322"/>
      <c r="DK55" s="1321">
        <f>SUMIFS(KB[TPOT],KB[RELASI],C55,KB[TYPE],"A",KB[TANGGAL],"&gt;="&amp;$DF$8,KB[TANGGAL],"&lt;"&amp;DATE(YEAR($DF$8),MONTH($DF$8)+1,0))</f>
        <v>0</v>
      </c>
      <c r="DL55" s="1322"/>
      <c r="DM55" s="1321">
        <f>SUMIFS(KB[NETTO2],KB[RELASI],C55,KB[TYPE],"A",KB[TANGGAL],"&gt;="&amp;$DF$8,KB[TANGGAL],"&lt;"&amp;DATE(YEAR($DF$8),MONTH($DF$8)+1,0))</f>
        <v>0</v>
      </c>
      <c r="DN55" s="1323"/>
      <c r="DO55" s="1322"/>
      <c r="DP55" s="1321">
        <f>SUMIFS(KB[NETTO],KB[RELASI],C55,KB[TYPE],"A",KB[TANGGAL],"&gt;="&amp;$DP$8,KB[TANGGAL],"&lt;"&amp;DATE(YEAR($DP$8),MONTH($DP$8)+1,0))</f>
        <v>0</v>
      </c>
      <c r="DQ55" s="1323"/>
      <c r="DR55" s="1322"/>
      <c r="DS55" s="1321">
        <f t="shared" si="16"/>
        <v>0</v>
      </c>
      <c r="DT55" s="1322"/>
      <c r="DU55" s="1321">
        <f>SUMIFS(KB[TPOT],KB[RELASI],C55,KB[TYPE],"A",KB[TANGGAL],"&gt;="&amp;$DP$8,KB[TANGGAL],"&lt;"&amp;DATE(YEAR($DP$8),MONTH($DP$8)+1,0))</f>
        <v>0</v>
      </c>
      <c r="DV55" s="1322"/>
      <c r="DW55" s="1321">
        <f>SUMIFS(KB[NETTO2],KB[RELASI],C55,KB[TYPE],"A",KB[TANGGAL],"&gt;="&amp;$DP$8,KB[TANGGAL],"&lt;"&amp;DATE(YEAR($DP$8),MONTH($DP$8)+1,0))</f>
        <v>0</v>
      </c>
      <c r="DX55" s="1323"/>
      <c r="DY55" s="1322"/>
      <c r="DZ55" s="1321">
        <f>SUMIFS(KB[NETTO],KB[RELASI],C55,KB[TYPE],"A",KB[TANGGAL],"&gt;="&amp;$DZ$8,KB[TANGGAL],"&lt;"&amp;DATE(YEAR($DZ$8),MONTH($DZ$8)+1,0))</f>
        <v>0</v>
      </c>
      <c r="EA55" s="1323"/>
      <c r="EB55" s="1322"/>
      <c r="EC55" s="1321">
        <f t="shared" si="17"/>
        <v>0</v>
      </c>
      <c r="ED55" s="1322"/>
      <c r="EE55" s="1321">
        <f>SUMIFS(KB[TPOT],KB[RELASI],C55,KB[TYPE],"A",KB[TANGGAL],"&gt;="&amp;$DZ$8,KB[TANGGAL],"&lt;"&amp;DATE(YEAR($DZ$8),MONTH($DZ$8)+1,0))</f>
        <v>0</v>
      </c>
      <c r="EF55" s="1322"/>
      <c r="EG55" s="1321">
        <f>SUMIFS(KB[NETTO2],KB[RELASI],C55,KB[TYPE],"A",KB[TANGGAL],"&gt;="&amp;$DZ$8,KB[TANGGAL],"&lt;"&amp;DATE(YEAR($DZ$8),MONTH($DZ$8)+1,0))</f>
        <v>0</v>
      </c>
      <c r="EH55" s="1323"/>
      <c r="EI55" s="1322"/>
      <c r="EJ55" s="844"/>
      <c r="EK55" s="845"/>
      <c r="EL55" s="846"/>
      <c r="EM55" s="844"/>
      <c r="EN55" s="846"/>
      <c r="EO55" s="844"/>
      <c r="EP55" s="846"/>
      <c r="EQ55" s="844"/>
      <c r="ER55" s="845"/>
      <c r="ES55" s="847"/>
    </row>
    <row r="56" spans="2:149" ht="18" customHeight="1">
      <c r="B56" s="1040">
        <f t="shared" si="18"/>
        <v>46</v>
      </c>
      <c r="C56" s="844" t="str">
        <f>RELASI!C48</f>
        <v>YANADI</v>
      </c>
      <c r="D56" s="845"/>
      <c r="E56" s="845"/>
      <c r="F56" s="846"/>
      <c r="G56" s="844" t="str">
        <f>RELASI!D48</f>
        <v>Enok</v>
      </c>
      <c r="H56" s="845"/>
      <c r="I56" s="846"/>
      <c r="J56" s="1319">
        <f>SUMIFS(KB[NETTO],KB[RELASI],C56,KB[TYPE],"A",KB[TANGGAL],"&gt;="&amp;DATE($J$7,1,1),KB[TANGGAL],"&lt;"&amp;DATE($J$7+1,1,0))/12</f>
        <v>0</v>
      </c>
      <c r="K56" s="1324"/>
      <c r="L56" s="1320"/>
      <c r="M56" s="1319">
        <f t="shared" si="19"/>
        <v>0</v>
      </c>
      <c r="N56" s="1320"/>
      <c r="O56" s="1321">
        <f>SUMIFS(KB[TPOT],KB[RELASI],C56,KB[TYPE],"A",KB[TANGGAL],"&gt;="&amp;DATE($J$7,1,1),KB[TANGGAL],"&lt;"&amp;DATE($J$7+1,1,0))/12</f>
        <v>0</v>
      </c>
      <c r="P56" s="1322"/>
      <c r="Q56" s="1321">
        <f>SUMIFS(KB[NETTO2],KB[RELASI],C56,KB[TYPE],"A",KB[TANGGAL],"&gt;="&amp;DATE($J$7,1,1),KB[TANGGAL],"&lt;"&amp;DATE($J$7+1,1,0))/12</f>
        <v>0</v>
      </c>
      <c r="R56" s="1323"/>
      <c r="S56" s="1322"/>
      <c r="T56" s="1321">
        <f>SUMIFS(KB[NETTO],KB[RELASI],C56,KB[TYPE],"A",KB[TANGGAL],"&gt;="&amp;$T$8,KB[TANGGAL],"&lt;"&amp;DATE($FA$4,$FA$5+1,0))</f>
        <v>158300</v>
      </c>
      <c r="U56" s="1323"/>
      <c r="V56" s="1322"/>
      <c r="W56" s="1319">
        <f t="shared" si="20"/>
        <v>5.3970309538850287</v>
      </c>
      <c r="X56" s="1320"/>
      <c r="Y56" s="1339">
        <f>SUMIFS(KB[TPOT],KB[RELASI],C56,KB[TYPE],"A",KB[TANGGAL],"&gt;="&amp;$T$8,KB[TANGGAL],"&lt;"&amp;DATE($FA$4,$FA$5+1,0))</f>
        <v>8543.5</v>
      </c>
      <c r="Z56" s="1340"/>
      <c r="AA56" s="1339">
        <f>SUMIFS(KB[NETTO2],KB[RELASI],C56,KB[TYPE],"A",KB[TANGGAL],"&gt;="&amp;$T$8,KB[TANGGAL],"&lt;"&amp;DATE($FA$4,$FA$5+1,0))</f>
        <v>149756.5</v>
      </c>
      <c r="AB56" s="1341"/>
      <c r="AC56" s="1340"/>
      <c r="AD56" s="1321">
        <f>SUMIFS(KB[NETTO],KB[RELASI],C56,KB[TYPE],"A",KB[TANGGAL],"&gt;="&amp;$AD$8,KB[TANGGAL],"&lt;"&amp;DATE($FA$4,MONTH($AD$8)+1,0))</f>
        <v>383710</v>
      </c>
      <c r="AE56" s="1323"/>
      <c r="AF56" s="1322"/>
      <c r="AG56" s="1321">
        <f t="shared" si="7"/>
        <v>5.3970309538850287</v>
      </c>
      <c r="AH56" s="1322"/>
      <c r="AI56" s="1321">
        <f>SUMIFS(KB[TPOT],KB[RELASI],C56,KB[TYPE],"A",KB[TANGGAL],"&gt;="&amp;$AD$8,KB[TANGGAL],"&lt;"&amp;DATE($FA$4,MONTH($AD$8)+1,0))</f>
        <v>20256.3</v>
      </c>
      <c r="AJ56" s="1322"/>
      <c r="AK56" s="1321">
        <f>SUMIFS(KB[NETTO2],KB[RELASI],C56,KB[TYPE],"A",KB[TANGGAL],"&gt;="&amp;$AD$8,KB[TANGGAL],"&lt;"&amp;DATE($FA$4,MONTH($AD$8)+1,0))</f>
        <v>363453.7</v>
      </c>
      <c r="AL56" s="1323"/>
      <c r="AM56" s="1322"/>
      <c r="AN56" s="1321">
        <f>SUMIFS(KB[NETTO],KB[RELASI],C56,KB[TYPE],"A",KB[TANGGAL],"&gt;="&amp;$AN$8,KB[TANGGAL],"&lt;"&amp;DATE(YEAR($AN$8),MONTH($AN$8)+1,0))</f>
        <v>251520</v>
      </c>
      <c r="AO56" s="1323"/>
      <c r="AP56" s="1322"/>
      <c r="AQ56" s="1321">
        <f t="shared" si="8"/>
        <v>5.0810273536895671</v>
      </c>
      <c r="AR56" s="1322"/>
      <c r="AS56" s="1321">
        <f>SUMIFS(KB[TPOT],KB[RELASI],C56,KB[TYPE],"A",KB[TANGGAL],"&gt;="&amp;$AN$8,KB[TANGGAL],"&lt;"&amp;DATE(YEAR($AN$8),MONTH($AN$8)+1,0))</f>
        <v>12779.8</v>
      </c>
      <c r="AT56" s="1322"/>
      <c r="AU56" s="1321">
        <f>SUMIFS(KB[NETTO2],KB[RELASI],C56,KB[TYPE],"A",KB[TANGGAL],"&gt;="&amp;$AN$8,KB[TANGGAL],"&lt;"&amp;DATE(YEAR($AN$8),MONTH($AN$8)+1,0))</f>
        <v>238740.2</v>
      </c>
      <c r="AV56" s="1323"/>
      <c r="AW56" s="1322"/>
      <c r="AX56" s="1321">
        <f>SUMIFS(KB[NETTO],KB[RELASI],C56,KB[TYPE],"A",KB[TANGGAL],"&gt;="&amp;$AX$8,KB[TANGGAL],"&lt;"&amp;DATE(YEAR($AX$8),MONTH($AX$8)+1,0))</f>
        <v>0</v>
      </c>
      <c r="AY56" s="1323"/>
      <c r="AZ56" s="1322"/>
      <c r="BA56" s="1321">
        <f t="shared" si="9"/>
        <v>0</v>
      </c>
      <c r="BB56" s="1322"/>
      <c r="BC56" s="1321">
        <f>SUMIFS(KB[TPOT],KB[RELASI],C56,KB[TYPE],"A",KB[TANGGAL],"&gt;="&amp;$AX$8,KB[TANGGAL],"&lt;"&amp;DATE(YEAR($AX$8),MONTH($AX$8)+1,0))</f>
        <v>0</v>
      </c>
      <c r="BD56" s="1322"/>
      <c r="BE56" s="1321">
        <f>SUMIFS(KB[NETTO2],KB[RELASI],C56,KB[TYPE],"A",KB[TANGGAL],"&gt;="&amp;$AX$8,KB[TANGGAL],"&lt;"&amp;DATE(YEAR($AX$8),MONTH($AX$8)+1,0))</f>
        <v>0</v>
      </c>
      <c r="BF56" s="1323"/>
      <c r="BG56" s="1322"/>
      <c r="BH56" s="1321">
        <f>SUMIFS(KB[NETTO],KB[RELASI],C56,KB[TYPE],"A",KB[TANGGAL],"&gt;="&amp;$BH$8,KB[TANGGAL],"&lt;"&amp;DATE(YEAR($BH$8),MONTH($BH$8)+1,0))</f>
        <v>0</v>
      </c>
      <c r="BI56" s="1323"/>
      <c r="BJ56" s="1322"/>
      <c r="BK56" s="1321">
        <f t="shared" si="10"/>
        <v>0</v>
      </c>
      <c r="BL56" s="1322"/>
      <c r="BM56" s="1321">
        <f>SUMIFS(KB[TPOT],KB[RELASI],C56,KB[TYPE],"A",KB[TANGGAL],"&gt;="&amp;$BH$8,KB[TANGGAL],"&lt;"&amp;DATE(YEAR($BH$8),MONTH($BH$8)+1,0))</f>
        <v>0</v>
      </c>
      <c r="BN56" s="1322"/>
      <c r="BO56" s="1321">
        <f>SUMIFS(KB[NETTO2],KB[RELASI],C56,KB[TYPE],"A",KB[TANGGAL],"&gt;="&amp;$BH$8,KB[TANGGAL],"&lt;"&amp;DATE(YEAR($BH$8),MONTH($BH$8)+1,0))</f>
        <v>0</v>
      </c>
      <c r="BP56" s="1323"/>
      <c r="BQ56" s="1322"/>
      <c r="BR56" s="1321">
        <f>SUMIFS(KB[NETTO],KB[RELASI],C56,KB[TYPE],"A",KB[TANGGAL],"&gt;="&amp;$BR$8,KB[TANGGAL],"&lt;"&amp;DATE(YEAR($BR$8),MONTH($BR$8)+1,0))</f>
        <v>0</v>
      </c>
      <c r="BS56" s="1323"/>
      <c r="BT56" s="1322"/>
      <c r="BU56" s="1321">
        <f t="shared" si="11"/>
        <v>0</v>
      </c>
      <c r="BV56" s="1322"/>
      <c r="BW56" s="1321">
        <f>SUMIFS(KB[TPOT],KB[RELASI],C56,KB[TYPE],"A",KB[TANGGAL],"&gt;="&amp;$BR$8,KB[TANGGAL],"&lt;"&amp;DATE(YEAR($BR$8),MONTH($BR$8)+1,0))</f>
        <v>0</v>
      </c>
      <c r="BX56" s="1322"/>
      <c r="BY56" s="1321">
        <f>SUMIFS(KB[NETTO2],KB[RELASI],C56,KB[TYPE],"A",KB[TANGGAL],"&gt;="&amp;$BR$8,KB[TANGGAL],"&lt;"&amp;DATE(YEAR($BR$8),MONTH($BR$8)+1,0))</f>
        <v>0</v>
      </c>
      <c r="BZ56" s="1323"/>
      <c r="CA56" s="1322"/>
      <c r="CB56" s="1321">
        <f>SUMIFS(KB[NETTO],KB[RELASI],C56,KB[TYPE],"A",KB[TANGGAL],"&gt;="&amp;$CB$8,KB[TANGGAL],"&lt;"&amp;DATE(YEAR($CB$8),MONTH($CB$8)+1,0))</f>
        <v>0</v>
      </c>
      <c r="CC56" s="1323"/>
      <c r="CD56" s="1322"/>
      <c r="CE56" s="1321">
        <f t="shared" si="12"/>
        <v>0</v>
      </c>
      <c r="CF56" s="1322"/>
      <c r="CG56" s="1321">
        <f>SUMIFS(KB[TPOT],KB[RELASI],C56,KB[TYPE],"A",KB[TANGGAL],"&gt;="&amp;$CB$8,KB[TANGGAL],"&lt;"&amp;DATE(YEAR($CB$8),MONTH($CB$8)+1,0))</f>
        <v>0</v>
      </c>
      <c r="CH56" s="1322"/>
      <c r="CI56" s="1321">
        <f>SUMIFS(KB[NETTO2],KB[RELASI],C56,KB[TYPE],"A",KB[TANGGAL],"&gt;="&amp;$CB$8,KB[TANGGAL],"&lt;"&amp;DATE(YEAR($CB$8),MONTH($CB$8)+1,0))</f>
        <v>0</v>
      </c>
      <c r="CJ56" s="1323"/>
      <c r="CK56" s="1322"/>
      <c r="CL56" s="1321">
        <f>SUMIFS(KB[NETTO],KB[RELASI],C56,KB[TYPE],"A",KB[TANGGAL],"&gt;="&amp;$CL$8,KB[TANGGAL],"&lt;"&amp;DATE(YEAR($CL$8),MONTH($CL$8)+1,0))</f>
        <v>0</v>
      </c>
      <c r="CM56" s="1323"/>
      <c r="CN56" s="1322"/>
      <c r="CO56" s="1321">
        <f t="shared" si="13"/>
        <v>0</v>
      </c>
      <c r="CP56" s="1322"/>
      <c r="CQ56" s="1321">
        <f>SUMIFS(KB[TPOT],KB[RELASI],C56,KB[TYPE],"A",KB[TANGGAL],"&gt;="&amp;$CL$8,KB[TANGGAL],"&lt;"&amp;DATE(YEAR($CL$8),MONTH($CL$8)+1,0))</f>
        <v>0</v>
      </c>
      <c r="CR56" s="1322"/>
      <c r="CS56" s="1321">
        <f>SUMIFS(KB[NETTO2],KB[RELASI],C56,KB[TYPE],"A",KB[TANGGAL],"&gt;="&amp;$CL$8,KB[TANGGAL],"&lt;"&amp;DATE(YEAR($CL$8),MONTH($CL$8)+1,0))</f>
        <v>0</v>
      </c>
      <c r="CT56" s="1323"/>
      <c r="CU56" s="1322"/>
      <c r="CV56" s="1321">
        <f>SUMIFS(KB[NETTO],KB[RELASI],C56,KB[TYPE],"A",KB[TANGGAL],"&gt;="&amp;$CV$8,KB[TANGGAL],"&lt;"&amp;DATE(YEAR($CV$8),MONTH($CV$8)+1,0))</f>
        <v>0</v>
      </c>
      <c r="CW56" s="1323"/>
      <c r="CX56" s="1322"/>
      <c r="CY56" s="1321">
        <f t="shared" si="14"/>
        <v>0</v>
      </c>
      <c r="CZ56" s="1322"/>
      <c r="DA56" s="1321">
        <f>SUMIFS(KB[TPOT],KB[RELASI],C56,KB[TYPE],"A",KB[TANGGAL],"&gt;="&amp;$CV$8,KB[TANGGAL],"&lt;"&amp;DATE(YEAR($CV$8),MONTH($CV$8)+1,0))</f>
        <v>0</v>
      </c>
      <c r="DB56" s="1322"/>
      <c r="DC56" s="1321">
        <f>SUMIFS(KB[NETTO2],KB[RELASI],C56,KB[TYPE],"A",KB[TANGGAL],"&gt;="&amp;$CV$8,KB[TANGGAL],"&lt;"&amp;DATE(YEAR($CV$8),MONTH($CV$8)+1,0))</f>
        <v>0</v>
      </c>
      <c r="DD56" s="1323"/>
      <c r="DE56" s="1322"/>
      <c r="DF56" s="1321">
        <f>SUMIFS(KB[NETTO],KB[RELASI],C56,KB[TYPE],"A",KB[TANGGAL],"&gt;="&amp;$DF$8,KB[TANGGAL],"&lt;"&amp;DATE(YEAR($DF$8),MONTH($DF$8)+1,0))</f>
        <v>0</v>
      </c>
      <c r="DG56" s="1323"/>
      <c r="DH56" s="1322"/>
      <c r="DI56" s="1321">
        <f t="shared" si="15"/>
        <v>0</v>
      </c>
      <c r="DJ56" s="1322"/>
      <c r="DK56" s="1321">
        <f>SUMIFS(KB[TPOT],KB[RELASI],C56,KB[TYPE],"A",KB[TANGGAL],"&gt;="&amp;$DF$8,KB[TANGGAL],"&lt;"&amp;DATE(YEAR($DF$8),MONTH($DF$8)+1,0))</f>
        <v>0</v>
      </c>
      <c r="DL56" s="1322"/>
      <c r="DM56" s="1321">
        <f>SUMIFS(KB[NETTO2],KB[RELASI],C56,KB[TYPE],"A",KB[TANGGAL],"&gt;="&amp;$DF$8,KB[TANGGAL],"&lt;"&amp;DATE(YEAR($DF$8),MONTH($DF$8)+1,0))</f>
        <v>0</v>
      </c>
      <c r="DN56" s="1323"/>
      <c r="DO56" s="1322"/>
      <c r="DP56" s="1321">
        <f>SUMIFS(KB[NETTO],KB[RELASI],C56,KB[TYPE],"A",KB[TANGGAL],"&gt;="&amp;$DP$8,KB[TANGGAL],"&lt;"&amp;DATE(YEAR($DP$8),MONTH($DP$8)+1,0))</f>
        <v>0</v>
      </c>
      <c r="DQ56" s="1323"/>
      <c r="DR56" s="1322"/>
      <c r="DS56" s="1321">
        <f t="shared" si="16"/>
        <v>0</v>
      </c>
      <c r="DT56" s="1322"/>
      <c r="DU56" s="1321">
        <f>SUMIFS(KB[TPOT],KB[RELASI],C56,KB[TYPE],"A",KB[TANGGAL],"&gt;="&amp;$DP$8,KB[TANGGAL],"&lt;"&amp;DATE(YEAR($DP$8),MONTH($DP$8)+1,0))</f>
        <v>0</v>
      </c>
      <c r="DV56" s="1322"/>
      <c r="DW56" s="1321">
        <f>SUMIFS(KB[NETTO2],KB[RELASI],C56,KB[TYPE],"A",KB[TANGGAL],"&gt;="&amp;$DP$8,KB[TANGGAL],"&lt;"&amp;DATE(YEAR($DP$8),MONTH($DP$8)+1,0))</f>
        <v>0</v>
      </c>
      <c r="DX56" s="1323"/>
      <c r="DY56" s="1322"/>
      <c r="DZ56" s="1321">
        <f>SUMIFS(KB[NETTO],KB[RELASI],C56,KB[TYPE],"A",KB[TANGGAL],"&gt;="&amp;$DZ$8,KB[TANGGAL],"&lt;"&amp;DATE(YEAR($DZ$8),MONTH($DZ$8)+1,0))</f>
        <v>0</v>
      </c>
      <c r="EA56" s="1323"/>
      <c r="EB56" s="1322"/>
      <c r="EC56" s="1321">
        <f t="shared" si="17"/>
        <v>0</v>
      </c>
      <c r="ED56" s="1322"/>
      <c r="EE56" s="1321">
        <f>SUMIFS(KB[TPOT],KB[RELASI],C56,KB[TYPE],"A",KB[TANGGAL],"&gt;="&amp;$DZ$8,KB[TANGGAL],"&lt;"&amp;DATE(YEAR($DZ$8),MONTH($DZ$8)+1,0))</f>
        <v>0</v>
      </c>
      <c r="EF56" s="1322"/>
      <c r="EG56" s="1321">
        <f>SUMIFS(KB[NETTO2],KB[RELASI],C56,KB[TYPE],"A",KB[TANGGAL],"&gt;="&amp;$DZ$8,KB[TANGGAL],"&lt;"&amp;DATE(YEAR($DZ$8),MONTH($DZ$8)+1,0))</f>
        <v>0</v>
      </c>
      <c r="EH56" s="1323"/>
      <c r="EI56" s="1322"/>
      <c r="EJ56" s="844"/>
      <c r="EK56" s="845"/>
      <c r="EL56" s="846"/>
      <c r="EM56" s="844"/>
      <c r="EN56" s="846"/>
      <c r="EO56" s="844"/>
      <c r="EP56" s="846"/>
      <c r="EQ56" s="844"/>
      <c r="ER56" s="845"/>
      <c r="ES56" s="847"/>
    </row>
    <row r="57" spans="2:149" ht="18" customHeight="1">
      <c r="B57" s="1040">
        <f t="shared" si="18"/>
        <v>47</v>
      </c>
      <c r="C57" s="844" t="str">
        <f>RELASI!C49</f>
        <v>ZAINAL ABIDIN</v>
      </c>
      <c r="D57" s="845"/>
      <c r="E57" s="845"/>
      <c r="F57" s="846"/>
      <c r="G57" s="844" t="str">
        <f>RELASI!D49</f>
        <v>Sei. Salak</v>
      </c>
      <c r="H57" s="845"/>
      <c r="I57" s="846"/>
      <c r="J57" s="1319">
        <f>SUMIFS(KB[NETTO],KB[RELASI],C57,KB[TYPE],"A",KB[TANGGAL],"&gt;="&amp;DATE($J$7,1,1),KB[TANGGAL],"&lt;"&amp;DATE($J$7+1,1,0))/12</f>
        <v>0</v>
      </c>
      <c r="K57" s="1324"/>
      <c r="L57" s="1320"/>
      <c r="M57" s="1319">
        <f t="shared" si="19"/>
        <v>0</v>
      </c>
      <c r="N57" s="1320"/>
      <c r="O57" s="1321">
        <f>SUMIFS(KB[TPOT],KB[RELASI],C57,KB[TYPE],"A",KB[TANGGAL],"&gt;="&amp;DATE($J$7,1,1),KB[TANGGAL],"&lt;"&amp;DATE($J$7+1,1,0))/12</f>
        <v>0</v>
      </c>
      <c r="P57" s="1322"/>
      <c r="Q57" s="1321">
        <f>SUMIFS(KB[NETTO2],KB[RELASI],C57,KB[TYPE],"A",KB[TANGGAL],"&gt;="&amp;DATE($J$7,1,1),KB[TANGGAL],"&lt;"&amp;DATE($J$7+1,1,0))/12</f>
        <v>0</v>
      </c>
      <c r="R57" s="1323"/>
      <c r="S57" s="1322"/>
      <c r="T57" s="1321">
        <f>SUMIFS(KB[NETTO],KB[RELASI],C57,KB[TYPE],"A",KB[TANGGAL],"&gt;="&amp;$T$8,KB[TANGGAL],"&lt;"&amp;DATE($FA$4,$FA$5+1,0))</f>
        <v>24160</v>
      </c>
      <c r="U57" s="1323"/>
      <c r="V57" s="1322"/>
      <c r="W57" s="1319">
        <f t="shared" ref="W57:W60" si="21">IFERROR(Y57/T57%,0)</f>
        <v>6</v>
      </c>
      <c r="X57" s="1320"/>
      <c r="Y57" s="1339">
        <f>SUMIFS(KB[TPOT],KB[RELASI],C57,KB[TYPE],"A",KB[TANGGAL],"&gt;="&amp;$T$8,KB[TANGGAL],"&lt;"&amp;DATE($FA$4,$FA$5+1,0))</f>
        <v>1449.6</v>
      </c>
      <c r="Z57" s="1340"/>
      <c r="AA57" s="1339">
        <f>SUMIFS(KB[NETTO2],KB[RELASI],C57,KB[TYPE],"A",KB[TANGGAL],"&gt;="&amp;$T$8,KB[TANGGAL],"&lt;"&amp;DATE($FA$4,$FA$5+1,0))</f>
        <v>22710.400000000001</v>
      </c>
      <c r="AB57" s="1341"/>
      <c r="AC57" s="1340"/>
      <c r="AD57" s="1321">
        <f>SUMIFS(KB[NETTO],KB[RELASI],C57,KB[TYPE],"A",KB[TANGGAL],"&gt;="&amp;$AD$8,KB[TANGGAL],"&lt;"&amp;DATE($FA$4,MONTH($AD$8)+1,0))</f>
        <v>27880</v>
      </c>
      <c r="AE57" s="1323"/>
      <c r="AF57" s="1322"/>
      <c r="AG57" s="1321">
        <f t="shared" ref="AG57:AG60" si="22">IFERROR(Y57/T57%,0)</f>
        <v>6</v>
      </c>
      <c r="AH57" s="1322"/>
      <c r="AI57" s="1321">
        <f>SUMIFS(KB[TPOT],KB[RELASI],C57,KB[TYPE],"A",KB[TANGGAL],"&gt;="&amp;$AD$8,KB[TANGGAL],"&lt;"&amp;DATE($FA$4,MONTH($AD$8)+1,0))</f>
        <v>1672.7999999999997</v>
      </c>
      <c r="AJ57" s="1322"/>
      <c r="AK57" s="1321">
        <f>SUMIFS(KB[NETTO2],KB[RELASI],C57,KB[TYPE],"A",KB[TANGGAL],"&gt;="&amp;$AD$8,KB[TANGGAL],"&lt;"&amp;DATE($FA$4,MONTH($AD$8)+1,0))</f>
        <v>26207.200000000004</v>
      </c>
      <c r="AL57" s="1323"/>
      <c r="AM57" s="1322"/>
      <c r="AN57" s="1321">
        <f>SUMIFS(KB[NETTO],KB[RELASI],C57,KB[TYPE],"A",KB[TANGGAL],"&gt;="&amp;$AN$8,KB[TANGGAL],"&lt;"&amp;DATE(YEAR($AN$8),MONTH($AN$8)+1,0))</f>
        <v>0</v>
      </c>
      <c r="AO57" s="1323"/>
      <c r="AP57" s="1322"/>
      <c r="AQ57" s="1321">
        <f t="shared" ref="AQ57:AQ60" si="23">IFERROR(AS57/AN57%,0)</f>
        <v>0</v>
      </c>
      <c r="AR57" s="1322"/>
      <c r="AS57" s="1321">
        <f>SUMIFS(KB[TPOT],KB[RELASI],C57,KB[TYPE],"A",KB[TANGGAL],"&gt;="&amp;$AN$8,KB[TANGGAL],"&lt;"&amp;DATE(YEAR($AN$8),MONTH($AN$8)+1,0))</f>
        <v>0</v>
      </c>
      <c r="AT57" s="1322"/>
      <c r="AU57" s="1321">
        <f>SUMIFS(KB[NETTO2],KB[RELASI],C57,KB[TYPE],"A",KB[TANGGAL],"&gt;="&amp;$AN$8,KB[TANGGAL],"&lt;"&amp;DATE(YEAR($AN$8),MONTH($AN$8)+1,0))</f>
        <v>0</v>
      </c>
      <c r="AV57" s="1323"/>
      <c r="AW57" s="1322"/>
      <c r="AX57" s="1321">
        <f>SUMIFS(KB[NETTO],KB[RELASI],C57,KB[TYPE],"A",KB[TANGGAL],"&gt;="&amp;$AX$8,KB[TANGGAL],"&lt;"&amp;DATE(YEAR($AX$8),MONTH($AX$8)+1,0))</f>
        <v>0</v>
      </c>
      <c r="AY57" s="1323"/>
      <c r="AZ57" s="1322"/>
      <c r="BA57" s="1321">
        <f t="shared" ref="BA57:BA60" si="24">IFERROR(BC57/AX57%,0)</f>
        <v>0</v>
      </c>
      <c r="BB57" s="1322"/>
      <c r="BC57" s="1321">
        <f>SUMIFS(KB[TPOT],KB[RELASI],C57,KB[TYPE],"A",KB[TANGGAL],"&gt;="&amp;$AX$8,KB[TANGGAL],"&lt;"&amp;DATE(YEAR($AX$8),MONTH($AX$8)+1,0))</f>
        <v>0</v>
      </c>
      <c r="BD57" s="1322"/>
      <c r="BE57" s="1321">
        <f>SUMIFS(KB[NETTO2],KB[RELASI],C57,KB[TYPE],"A",KB[TANGGAL],"&gt;="&amp;$AX$8,KB[TANGGAL],"&lt;"&amp;DATE(YEAR($AX$8),MONTH($AX$8)+1,0))</f>
        <v>0</v>
      </c>
      <c r="BF57" s="1323"/>
      <c r="BG57" s="1322"/>
      <c r="BH57" s="1321">
        <f>SUMIFS(KB[NETTO],KB[RELASI],C57,KB[TYPE],"A",KB[TANGGAL],"&gt;="&amp;$BH$8,KB[TANGGAL],"&lt;"&amp;DATE(YEAR($BH$8),MONTH($BH$8)+1,0))</f>
        <v>0</v>
      </c>
      <c r="BI57" s="1323"/>
      <c r="BJ57" s="1322"/>
      <c r="BK57" s="1321">
        <f t="shared" ref="BK57:BK60" si="25">IFERROR(BM57/BH57%,0)</f>
        <v>0</v>
      </c>
      <c r="BL57" s="1322"/>
      <c r="BM57" s="1321">
        <f>SUMIFS(KB[TPOT],KB[RELASI],C57,KB[TYPE],"A",KB[TANGGAL],"&gt;="&amp;$BH$8,KB[TANGGAL],"&lt;"&amp;DATE(YEAR($BH$8),MONTH($BH$8)+1,0))</f>
        <v>0</v>
      </c>
      <c r="BN57" s="1322"/>
      <c r="BO57" s="1321">
        <f>SUMIFS(KB[NETTO2],KB[RELASI],C57,KB[TYPE],"A",KB[TANGGAL],"&gt;="&amp;$BH$8,KB[TANGGAL],"&lt;"&amp;DATE(YEAR($BH$8),MONTH($BH$8)+1,0))</f>
        <v>0</v>
      </c>
      <c r="BP57" s="1323"/>
      <c r="BQ57" s="1322"/>
      <c r="BR57" s="1321">
        <f>SUMIFS(KB[NETTO],KB[RELASI],C57,KB[TYPE],"A",KB[TANGGAL],"&gt;="&amp;$BR$8,KB[TANGGAL],"&lt;"&amp;DATE(YEAR($BR$8),MONTH($BR$8)+1,0))</f>
        <v>0</v>
      </c>
      <c r="BS57" s="1323"/>
      <c r="BT57" s="1322"/>
      <c r="BU57" s="1321">
        <f t="shared" ref="BU57:BU60" si="26">IFERROR(BW57/BR57%,0)</f>
        <v>0</v>
      </c>
      <c r="BV57" s="1322"/>
      <c r="BW57" s="1321">
        <f>SUMIFS(KB[TPOT],KB[RELASI],C57,KB[TYPE],"A",KB[TANGGAL],"&gt;="&amp;$BR$8,KB[TANGGAL],"&lt;"&amp;DATE(YEAR($BR$8),MONTH($BR$8)+1,0))</f>
        <v>0</v>
      </c>
      <c r="BX57" s="1322"/>
      <c r="BY57" s="1321">
        <f>SUMIFS(KB[NETTO2],KB[RELASI],C57,KB[TYPE],"A",KB[TANGGAL],"&gt;="&amp;$BR$8,KB[TANGGAL],"&lt;"&amp;DATE(YEAR($BR$8),MONTH($BR$8)+1,0))</f>
        <v>0</v>
      </c>
      <c r="BZ57" s="1323"/>
      <c r="CA57" s="1322"/>
      <c r="CB57" s="1321">
        <f>SUMIFS(KB[NETTO],KB[RELASI],C57,KB[TYPE],"A",KB[TANGGAL],"&gt;="&amp;$CB$8,KB[TANGGAL],"&lt;"&amp;DATE(YEAR($CB$8),MONTH($CB$8)+1,0))</f>
        <v>0</v>
      </c>
      <c r="CC57" s="1323"/>
      <c r="CD57" s="1322"/>
      <c r="CE57" s="1321">
        <f t="shared" ref="CE57:CE60" si="27">IFERROR(CG57/CB57%,0)</f>
        <v>0</v>
      </c>
      <c r="CF57" s="1322"/>
      <c r="CG57" s="1321">
        <f>SUMIFS(KB[TPOT],KB[RELASI],C57,KB[TYPE],"A",KB[TANGGAL],"&gt;="&amp;$CB$8,KB[TANGGAL],"&lt;"&amp;DATE(YEAR($CB$8),MONTH($CB$8)+1,0))</f>
        <v>0</v>
      </c>
      <c r="CH57" s="1322"/>
      <c r="CI57" s="1321">
        <f>SUMIFS(KB[NETTO2],KB[RELASI],C57,KB[TYPE],"A",KB[TANGGAL],"&gt;="&amp;$CB$8,KB[TANGGAL],"&lt;"&amp;DATE(YEAR($CB$8),MONTH($CB$8)+1,0))</f>
        <v>0</v>
      </c>
      <c r="CJ57" s="1323"/>
      <c r="CK57" s="1322"/>
      <c r="CL57" s="1321">
        <f>SUMIFS(KB[NETTO],KB[RELASI],C57,KB[TYPE],"A",KB[TANGGAL],"&gt;="&amp;$CL$8,KB[TANGGAL],"&lt;"&amp;DATE(YEAR($CL$8),MONTH($CL$8)+1,0))</f>
        <v>0</v>
      </c>
      <c r="CM57" s="1323"/>
      <c r="CN57" s="1322"/>
      <c r="CO57" s="1321">
        <f t="shared" ref="CO57:CO60" si="28">IFERROR(CQ57/CL57%,0)</f>
        <v>0</v>
      </c>
      <c r="CP57" s="1322"/>
      <c r="CQ57" s="1321">
        <f>SUMIFS(KB[TPOT],KB[RELASI],C57,KB[TYPE],"A",KB[TANGGAL],"&gt;="&amp;$CL$8,KB[TANGGAL],"&lt;"&amp;DATE(YEAR($CL$8),MONTH($CL$8)+1,0))</f>
        <v>0</v>
      </c>
      <c r="CR57" s="1322"/>
      <c r="CS57" s="1321">
        <f>SUMIFS(KB[NETTO2],KB[RELASI],C57,KB[TYPE],"A",KB[TANGGAL],"&gt;="&amp;$CL$8,KB[TANGGAL],"&lt;"&amp;DATE(YEAR($CL$8),MONTH($CL$8)+1,0))</f>
        <v>0</v>
      </c>
      <c r="CT57" s="1323"/>
      <c r="CU57" s="1322"/>
      <c r="CV57" s="1321">
        <f>SUMIFS(KB[NETTO],KB[RELASI],C57,KB[TYPE],"A",KB[TANGGAL],"&gt;="&amp;$CV$8,KB[TANGGAL],"&lt;"&amp;DATE(YEAR($CV$8),MONTH($CV$8)+1,0))</f>
        <v>0</v>
      </c>
      <c r="CW57" s="1323"/>
      <c r="CX57" s="1322"/>
      <c r="CY57" s="1321">
        <f t="shared" ref="CY57:CY60" si="29">IFERROR(DA57/CV57%,0)</f>
        <v>0</v>
      </c>
      <c r="CZ57" s="1322"/>
      <c r="DA57" s="1321">
        <f>SUMIFS(KB[TPOT],KB[RELASI],C57,KB[TYPE],"A",KB[TANGGAL],"&gt;="&amp;$CV$8,KB[TANGGAL],"&lt;"&amp;DATE(YEAR($CV$8),MONTH($CV$8)+1,0))</f>
        <v>0</v>
      </c>
      <c r="DB57" s="1322"/>
      <c r="DC57" s="1321">
        <f>SUMIFS(KB[NETTO2],KB[RELASI],C57,KB[TYPE],"A",KB[TANGGAL],"&gt;="&amp;$CV$8,KB[TANGGAL],"&lt;"&amp;DATE(YEAR($CV$8),MONTH($CV$8)+1,0))</f>
        <v>0</v>
      </c>
      <c r="DD57" s="1323"/>
      <c r="DE57" s="1322"/>
      <c r="DF57" s="1321">
        <f>SUMIFS(KB[NETTO],KB[RELASI],C57,KB[TYPE],"A",KB[TANGGAL],"&gt;="&amp;$DF$8,KB[TANGGAL],"&lt;"&amp;DATE(YEAR($DF$8),MONTH($DF$8)+1,0))</f>
        <v>0</v>
      </c>
      <c r="DG57" s="1323"/>
      <c r="DH57" s="1322"/>
      <c r="DI57" s="1321">
        <f t="shared" ref="DI57:DI60" si="30">IFERROR(DK57/DF57%,0)</f>
        <v>0</v>
      </c>
      <c r="DJ57" s="1322"/>
      <c r="DK57" s="1321">
        <f>SUMIFS(KB[TPOT],KB[RELASI],C57,KB[TYPE],"A",KB[TANGGAL],"&gt;="&amp;$DF$8,KB[TANGGAL],"&lt;"&amp;DATE(YEAR($DF$8),MONTH($DF$8)+1,0))</f>
        <v>0</v>
      </c>
      <c r="DL57" s="1322"/>
      <c r="DM57" s="1321">
        <f>SUMIFS(KB[NETTO2],KB[RELASI],C57,KB[TYPE],"A",KB[TANGGAL],"&gt;="&amp;$DF$8,KB[TANGGAL],"&lt;"&amp;DATE(YEAR($DF$8),MONTH($DF$8)+1,0))</f>
        <v>0</v>
      </c>
      <c r="DN57" s="1323"/>
      <c r="DO57" s="1322"/>
      <c r="DP57" s="1321">
        <f>SUMIFS(KB[NETTO],KB[RELASI],C57,KB[TYPE],"A",KB[TANGGAL],"&gt;="&amp;$DP$8,KB[TANGGAL],"&lt;"&amp;DATE(YEAR($DP$8),MONTH($DP$8)+1,0))</f>
        <v>0</v>
      </c>
      <c r="DQ57" s="1323"/>
      <c r="DR57" s="1322"/>
      <c r="DS57" s="1321">
        <f t="shared" ref="DS57:DS60" si="31">IFERROR(DU57/DP57%,0)</f>
        <v>0</v>
      </c>
      <c r="DT57" s="1322"/>
      <c r="DU57" s="1321">
        <f>SUMIFS(KB[TPOT],KB[RELASI],C57,KB[TYPE],"A",KB[TANGGAL],"&gt;="&amp;$DP$8,KB[TANGGAL],"&lt;"&amp;DATE(YEAR($DP$8),MONTH($DP$8)+1,0))</f>
        <v>0</v>
      </c>
      <c r="DV57" s="1322"/>
      <c r="DW57" s="1321">
        <f>SUMIFS(KB[NETTO2],KB[RELASI],C57,KB[TYPE],"A",KB[TANGGAL],"&gt;="&amp;$DP$8,KB[TANGGAL],"&lt;"&amp;DATE(YEAR($DP$8),MONTH($DP$8)+1,0))</f>
        <v>0</v>
      </c>
      <c r="DX57" s="1323"/>
      <c r="DY57" s="1322"/>
      <c r="DZ57" s="1321">
        <f>SUMIFS(KB[NETTO],KB[RELASI],C57,KB[TYPE],"A",KB[TANGGAL],"&gt;="&amp;$DZ$8,KB[TANGGAL],"&lt;"&amp;DATE(YEAR($DZ$8),MONTH($DZ$8)+1,0))</f>
        <v>0</v>
      </c>
      <c r="EA57" s="1323"/>
      <c r="EB57" s="1322"/>
      <c r="EC57" s="1321">
        <f t="shared" ref="EC57:EC60" si="32">IFERROR(EE57/DZ57%,0)</f>
        <v>0</v>
      </c>
      <c r="ED57" s="1322"/>
      <c r="EE57" s="1321">
        <f>SUMIFS(KB[TPOT],KB[RELASI],C57,KB[TYPE],"A",KB[TANGGAL],"&gt;="&amp;$DZ$8,KB[TANGGAL],"&lt;"&amp;DATE(YEAR($DZ$8),MONTH($DZ$8)+1,0))</f>
        <v>0</v>
      </c>
      <c r="EF57" s="1322"/>
      <c r="EG57" s="1321">
        <f>SUMIFS(KB[NETTO2],KB[RELASI],C57,KB[TYPE],"A",KB[TANGGAL],"&gt;="&amp;$DZ$8,KB[TANGGAL],"&lt;"&amp;DATE(YEAR($DZ$8),MONTH($DZ$8)+1,0))</f>
        <v>0</v>
      </c>
      <c r="EH57" s="1323"/>
      <c r="EI57" s="1322"/>
      <c r="EJ57" s="844"/>
      <c r="EK57" s="845"/>
      <c r="EL57" s="846"/>
      <c r="EM57" s="844"/>
      <c r="EN57" s="846"/>
      <c r="EO57" s="844"/>
      <c r="EP57" s="846"/>
      <c r="EQ57" s="844"/>
      <c r="ER57" s="845"/>
      <c r="ES57" s="847"/>
    </row>
    <row r="58" spans="2:149" ht="18" customHeight="1">
      <c r="B58" s="1040">
        <f t="shared" si="18"/>
        <v>48</v>
      </c>
      <c r="C58" s="844">
        <f>RELASI!C50</f>
        <v>0</v>
      </c>
      <c r="D58" s="845"/>
      <c r="E58" s="845"/>
      <c r="F58" s="846"/>
      <c r="G58" s="844">
        <f>RELASI!D50</f>
        <v>0</v>
      </c>
      <c r="H58" s="845"/>
      <c r="I58" s="846"/>
      <c r="J58" s="1319">
        <f>SUMIFS(KB[NETTO],KB[RELASI],C58,KB[TYPE],"A",KB[TANGGAL],"&gt;="&amp;DATE($J$7,1,1),KB[TANGGAL],"&lt;"&amp;DATE($J$7+1,1,0))/12</f>
        <v>0</v>
      </c>
      <c r="K58" s="1324"/>
      <c r="L58" s="1320"/>
      <c r="M58" s="1319">
        <f t="shared" ref="M58" si="33">IFERROR(O58/J58%,0)</f>
        <v>0</v>
      </c>
      <c r="N58" s="1320"/>
      <c r="O58" s="1321">
        <f>SUMIFS(KB[TPOT],KB[RELASI],C58,KB[TYPE],"A",KB[TANGGAL],"&gt;="&amp;DATE($J$7,1,1),KB[TANGGAL],"&lt;"&amp;DATE($J$7+1,1,0))/12</f>
        <v>0</v>
      </c>
      <c r="P58" s="1322"/>
      <c r="Q58" s="1321">
        <f>SUMIFS(KB[NETTO2],KB[RELASI],C58,KB[TYPE],"A",KB[TANGGAL],"&gt;="&amp;DATE($J$7,1,1),KB[TANGGAL],"&lt;"&amp;DATE($J$7+1,1,0))/12</f>
        <v>0</v>
      </c>
      <c r="R58" s="1323"/>
      <c r="S58" s="1322"/>
      <c r="T58" s="1321">
        <f>SUMIFS(KB[NETTO],KB[RELASI],C58,KB[TYPE],"A",KB[TANGGAL],"&gt;="&amp;$T$8,KB[TANGGAL],"&lt;"&amp;DATE($FA$4,$FA$5+1,0))</f>
        <v>0</v>
      </c>
      <c r="U58" s="1323"/>
      <c r="V58" s="1322"/>
      <c r="W58" s="1319">
        <f t="shared" si="21"/>
        <v>0</v>
      </c>
      <c r="X58" s="1320"/>
      <c r="Y58" s="1339">
        <f>SUMIFS(KB[TPOT],KB[RELASI],C58,KB[TYPE],"A",KB[TANGGAL],"&gt;="&amp;$T$8,KB[TANGGAL],"&lt;"&amp;DATE($FA$4,$FA$5+1,0))</f>
        <v>0</v>
      </c>
      <c r="Z58" s="1340"/>
      <c r="AA58" s="1339">
        <f>SUMIFS(KB[NETTO2],KB[RELASI],C58,KB[TYPE],"A",KB[TANGGAL],"&gt;="&amp;$T$8,KB[TANGGAL],"&lt;"&amp;DATE($FA$4,$FA$5+1,0))</f>
        <v>0</v>
      </c>
      <c r="AB58" s="1341"/>
      <c r="AC58" s="1340"/>
      <c r="AD58" s="1321">
        <f>SUMIFS(KB[NETTO],KB[RELASI],C58,KB[TYPE],"A",KB[TANGGAL],"&gt;="&amp;$AD$8,KB[TANGGAL],"&lt;"&amp;DATE($FA$4,MONTH($AD$8)+1,0))</f>
        <v>0</v>
      </c>
      <c r="AE58" s="1323"/>
      <c r="AF58" s="1322"/>
      <c r="AG58" s="1321">
        <f t="shared" si="22"/>
        <v>0</v>
      </c>
      <c r="AH58" s="1322"/>
      <c r="AI58" s="1321">
        <f>SUMIFS(KB[TPOT],KB[RELASI],C58,KB[TYPE],"A",KB[TANGGAL],"&gt;="&amp;$AD$8,KB[TANGGAL],"&lt;"&amp;DATE($FA$4,MONTH($AD$8)+1,0))</f>
        <v>0</v>
      </c>
      <c r="AJ58" s="1322"/>
      <c r="AK58" s="1321">
        <f>SUMIFS(KB[NETTO2],KB[RELASI],C58,KB[TYPE],"A",KB[TANGGAL],"&gt;="&amp;$AD$8,KB[TANGGAL],"&lt;"&amp;DATE($FA$4,MONTH($AD$8)+1,0))</f>
        <v>0</v>
      </c>
      <c r="AL58" s="1323"/>
      <c r="AM58" s="1322"/>
      <c r="AN58" s="1321">
        <f>SUMIFS(KB[NETTO],KB[RELASI],C58,KB[TYPE],"A",KB[TANGGAL],"&gt;="&amp;$AN$8,KB[TANGGAL],"&lt;"&amp;DATE(YEAR($AN$8),MONTH($AN$8)+1,0))</f>
        <v>0</v>
      </c>
      <c r="AO58" s="1323"/>
      <c r="AP58" s="1322"/>
      <c r="AQ58" s="1321">
        <f t="shared" si="23"/>
        <v>0</v>
      </c>
      <c r="AR58" s="1322"/>
      <c r="AS58" s="1321">
        <f>SUMIFS(KB[TPOT],KB[RELASI],C58,KB[TYPE],"A",KB[TANGGAL],"&gt;="&amp;$AN$8,KB[TANGGAL],"&lt;"&amp;DATE(YEAR($AN$8),MONTH($AN$8)+1,0))</f>
        <v>0</v>
      </c>
      <c r="AT58" s="1322"/>
      <c r="AU58" s="1321">
        <f>SUMIFS(KB[NETTO2],KB[RELASI],C58,KB[TYPE],"A",KB[TANGGAL],"&gt;="&amp;$AN$8,KB[TANGGAL],"&lt;"&amp;DATE(YEAR($AN$8),MONTH($AN$8)+1,0))</f>
        <v>0</v>
      </c>
      <c r="AV58" s="1323"/>
      <c r="AW58" s="1322"/>
      <c r="AX58" s="1321">
        <f>SUMIFS(KB[NETTO],KB[RELASI],C58,KB[TYPE],"A",KB[TANGGAL],"&gt;="&amp;$AX$8,KB[TANGGAL],"&lt;"&amp;DATE(YEAR($AX$8),MONTH($AX$8)+1,0))</f>
        <v>0</v>
      </c>
      <c r="AY58" s="1323"/>
      <c r="AZ58" s="1322"/>
      <c r="BA58" s="1321">
        <f t="shared" si="24"/>
        <v>0</v>
      </c>
      <c r="BB58" s="1322"/>
      <c r="BC58" s="1321">
        <f>SUMIFS(KB[TPOT],KB[RELASI],C58,KB[TYPE],"A",KB[TANGGAL],"&gt;="&amp;$AX$8,KB[TANGGAL],"&lt;"&amp;DATE(YEAR($AX$8),MONTH($AX$8)+1,0))</f>
        <v>0</v>
      </c>
      <c r="BD58" s="1322"/>
      <c r="BE58" s="1321">
        <f>SUMIFS(KB[NETTO2],KB[RELASI],C58,KB[TYPE],"A",KB[TANGGAL],"&gt;="&amp;$AX$8,KB[TANGGAL],"&lt;"&amp;DATE(YEAR($AX$8),MONTH($AX$8)+1,0))</f>
        <v>0</v>
      </c>
      <c r="BF58" s="1323"/>
      <c r="BG58" s="1322"/>
      <c r="BH58" s="1321">
        <f>SUMIFS(KB[NETTO],KB[RELASI],C58,KB[TYPE],"A",KB[TANGGAL],"&gt;="&amp;$BH$8,KB[TANGGAL],"&lt;"&amp;DATE(YEAR($BH$8),MONTH($BH$8)+1,0))</f>
        <v>0</v>
      </c>
      <c r="BI58" s="1323"/>
      <c r="BJ58" s="1322"/>
      <c r="BK58" s="1321">
        <f t="shared" si="25"/>
        <v>0</v>
      </c>
      <c r="BL58" s="1322"/>
      <c r="BM58" s="1321">
        <f>SUMIFS(KB[TPOT],KB[RELASI],C58,KB[TYPE],"A",KB[TANGGAL],"&gt;="&amp;$BH$8,KB[TANGGAL],"&lt;"&amp;DATE(YEAR($BH$8),MONTH($BH$8)+1,0))</f>
        <v>0</v>
      </c>
      <c r="BN58" s="1322"/>
      <c r="BO58" s="1321">
        <f>SUMIFS(KB[NETTO2],KB[RELASI],C58,KB[TYPE],"A",KB[TANGGAL],"&gt;="&amp;$BH$8,KB[TANGGAL],"&lt;"&amp;DATE(YEAR($BH$8),MONTH($BH$8)+1,0))</f>
        <v>0</v>
      </c>
      <c r="BP58" s="1323"/>
      <c r="BQ58" s="1322"/>
      <c r="BR58" s="1321">
        <f>SUMIFS(KB[NETTO],KB[RELASI],C58,KB[TYPE],"A",KB[TANGGAL],"&gt;="&amp;$BR$8,KB[TANGGAL],"&lt;"&amp;DATE(YEAR($BR$8),MONTH($BR$8)+1,0))</f>
        <v>0</v>
      </c>
      <c r="BS58" s="1323"/>
      <c r="BT58" s="1322"/>
      <c r="BU58" s="1321">
        <f t="shared" si="26"/>
        <v>0</v>
      </c>
      <c r="BV58" s="1322"/>
      <c r="BW58" s="1321">
        <f>SUMIFS(KB[TPOT],KB[RELASI],C58,KB[TYPE],"A",KB[TANGGAL],"&gt;="&amp;$BR$8,KB[TANGGAL],"&lt;"&amp;DATE(YEAR($BR$8),MONTH($BR$8)+1,0))</f>
        <v>0</v>
      </c>
      <c r="BX58" s="1322"/>
      <c r="BY58" s="1321">
        <f>SUMIFS(KB[NETTO2],KB[RELASI],C58,KB[TYPE],"A",KB[TANGGAL],"&gt;="&amp;$BR$8,KB[TANGGAL],"&lt;"&amp;DATE(YEAR($BR$8),MONTH($BR$8)+1,0))</f>
        <v>0</v>
      </c>
      <c r="BZ58" s="1323"/>
      <c r="CA58" s="1322"/>
      <c r="CB58" s="1321">
        <f>SUMIFS(KB[NETTO],KB[RELASI],C58,KB[TYPE],"A",KB[TANGGAL],"&gt;="&amp;$CB$8,KB[TANGGAL],"&lt;"&amp;DATE(YEAR($CB$8),MONTH($CB$8)+1,0))</f>
        <v>0</v>
      </c>
      <c r="CC58" s="1323"/>
      <c r="CD58" s="1322"/>
      <c r="CE58" s="1321">
        <f t="shared" si="27"/>
        <v>0</v>
      </c>
      <c r="CF58" s="1322"/>
      <c r="CG58" s="1321">
        <f>SUMIFS(KB[TPOT],KB[RELASI],C58,KB[TYPE],"A",KB[TANGGAL],"&gt;="&amp;$CB$8,KB[TANGGAL],"&lt;"&amp;DATE(YEAR($CB$8),MONTH($CB$8)+1,0))</f>
        <v>0</v>
      </c>
      <c r="CH58" s="1322"/>
      <c r="CI58" s="1321">
        <f>SUMIFS(KB[NETTO2],KB[RELASI],C58,KB[TYPE],"A",KB[TANGGAL],"&gt;="&amp;$CB$8,KB[TANGGAL],"&lt;"&amp;DATE(YEAR($CB$8),MONTH($CB$8)+1,0))</f>
        <v>0</v>
      </c>
      <c r="CJ58" s="1323"/>
      <c r="CK58" s="1322"/>
      <c r="CL58" s="1321">
        <f>SUMIFS(KB[NETTO],KB[RELASI],C58,KB[TYPE],"A",KB[TANGGAL],"&gt;="&amp;$CL$8,KB[TANGGAL],"&lt;"&amp;DATE(YEAR($CL$8),MONTH($CL$8)+1,0))</f>
        <v>0</v>
      </c>
      <c r="CM58" s="1323"/>
      <c r="CN58" s="1322"/>
      <c r="CO58" s="1321">
        <f t="shared" si="28"/>
        <v>0</v>
      </c>
      <c r="CP58" s="1322"/>
      <c r="CQ58" s="1321">
        <f>SUMIFS(KB[TPOT],KB[RELASI],C58,KB[TYPE],"A",KB[TANGGAL],"&gt;="&amp;$CL$8,KB[TANGGAL],"&lt;"&amp;DATE(YEAR($CL$8),MONTH($CL$8)+1,0))</f>
        <v>0</v>
      </c>
      <c r="CR58" s="1322"/>
      <c r="CS58" s="1321">
        <f>SUMIFS(KB[NETTO2],KB[RELASI],C58,KB[TYPE],"A",KB[TANGGAL],"&gt;="&amp;$CL$8,KB[TANGGAL],"&lt;"&amp;DATE(YEAR($CL$8),MONTH($CL$8)+1,0))</f>
        <v>0</v>
      </c>
      <c r="CT58" s="1323"/>
      <c r="CU58" s="1322"/>
      <c r="CV58" s="1321">
        <f>SUMIFS(KB[NETTO],KB[RELASI],C58,KB[TYPE],"A",KB[TANGGAL],"&gt;="&amp;$CV$8,KB[TANGGAL],"&lt;"&amp;DATE(YEAR($CV$8),MONTH($CV$8)+1,0))</f>
        <v>0</v>
      </c>
      <c r="CW58" s="1323"/>
      <c r="CX58" s="1322"/>
      <c r="CY58" s="1321">
        <f t="shared" si="29"/>
        <v>0</v>
      </c>
      <c r="CZ58" s="1322"/>
      <c r="DA58" s="1321">
        <f>SUMIFS(KB[TPOT],KB[RELASI],C58,KB[TYPE],"A",KB[TANGGAL],"&gt;="&amp;$CV$8,KB[TANGGAL],"&lt;"&amp;DATE(YEAR($CV$8),MONTH($CV$8)+1,0))</f>
        <v>0</v>
      </c>
      <c r="DB58" s="1322"/>
      <c r="DC58" s="1321">
        <f>SUMIFS(KB[NETTO2],KB[RELASI],C58,KB[TYPE],"A",KB[TANGGAL],"&gt;="&amp;$CV$8,KB[TANGGAL],"&lt;"&amp;DATE(YEAR($CV$8),MONTH($CV$8)+1,0))</f>
        <v>0</v>
      </c>
      <c r="DD58" s="1323"/>
      <c r="DE58" s="1322"/>
      <c r="DF58" s="1321">
        <f>SUMIFS(KB[NETTO],KB[RELASI],C58,KB[TYPE],"A",KB[TANGGAL],"&gt;="&amp;$DF$8,KB[TANGGAL],"&lt;"&amp;DATE(YEAR($DF$8),MONTH($DF$8)+1,0))</f>
        <v>0</v>
      </c>
      <c r="DG58" s="1323"/>
      <c r="DH58" s="1322"/>
      <c r="DI58" s="1321">
        <f t="shared" si="30"/>
        <v>0</v>
      </c>
      <c r="DJ58" s="1322"/>
      <c r="DK58" s="1321">
        <f>SUMIFS(KB[TPOT],KB[RELASI],C58,KB[TYPE],"A",KB[TANGGAL],"&gt;="&amp;$DF$8,KB[TANGGAL],"&lt;"&amp;DATE(YEAR($DF$8),MONTH($DF$8)+1,0))</f>
        <v>0</v>
      </c>
      <c r="DL58" s="1322"/>
      <c r="DM58" s="1321">
        <f>SUMIFS(KB[NETTO2],KB[RELASI],C58,KB[TYPE],"A",KB[TANGGAL],"&gt;="&amp;$DF$8,KB[TANGGAL],"&lt;"&amp;DATE(YEAR($DF$8),MONTH($DF$8)+1,0))</f>
        <v>0</v>
      </c>
      <c r="DN58" s="1323"/>
      <c r="DO58" s="1322"/>
      <c r="DP58" s="1321">
        <f>SUMIFS(KB[NETTO],KB[RELASI],C58,KB[TYPE],"A",KB[TANGGAL],"&gt;="&amp;$DP$8,KB[TANGGAL],"&lt;"&amp;DATE(YEAR($DP$8),MONTH($DP$8)+1,0))</f>
        <v>0</v>
      </c>
      <c r="DQ58" s="1323"/>
      <c r="DR58" s="1322"/>
      <c r="DS58" s="1321">
        <f t="shared" si="31"/>
        <v>0</v>
      </c>
      <c r="DT58" s="1322"/>
      <c r="DU58" s="1321">
        <f>SUMIFS(KB[TPOT],KB[RELASI],C58,KB[TYPE],"A",KB[TANGGAL],"&gt;="&amp;$DP$8,KB[TANGGAL],"&lt;"&amp;DATE(YEAR($DP$8),MONTH($DP$8)+1,0))</f>
        <v>0</v>
      </c>
      <c r="DV58" s="1322"/>
      <c r="DW58" s="1321">
        <f>SUMIFS(KB[NETTO2],KB[RELASI],C58,KB[TYPE],"A",KB[TANGGAL],"&gt;="&amp;$DP$8,KB[TANGGAL],"&lt;"&amp;DATE(YEAR($DP$8),MONTH($DP$8)+1,0))</f>
        <v>0</v>
      </c>
      <c r="DX58" s="1323"/>
      <c r="DY58" s="1322"/>
      <c r="DZ58" s="1321">
        <f>SUMIFS(KB[NETTO],KB[RELASI],C58,KB[TYPE],"A",KB[TANGGAL],"&gt;="&amp;$DZ$8,KB[TANGGAL],"&lt;"&amp;DATE(YEAR($DZ$8),MONTH($DZ$8)+1,0))</f>
        <v>0</v>
      </c>
      <c r="EA58" s="1323"/>
      <c r="EB58" s="1322"/>
      <c r="EC58" s="1321">
        <f t="shared" si="32"/>
        <v>0</v>
      </c>
      <c r="ED58" s="1322"/>
      <c r="EE58" s="1321">
        <f>SUMIFS(KB[TPOT],KB[RELASI],C58,KB[TYPE],"A",KB[TANGGAL],"&gt;="&amp;$DZ$8,KB[TANGGAL],"&lt;"&amp;DATE(YEAR($DZ$8),MONTH($DZ$8)+1,0))</f>
        <v>0</v>
      </c>
      <c r="EF58" s="1322"/>
      <c r="EG58" s="1321">
        <f>SUMIFS(KB[NETTO2],KB[RELASI],C58,KB[TYPE],"A",KB[TANGGAL],"&gt;="&amp;$DZ$8,KB[TANGGAL],"&lt;"&amp;DATE(YEAR($DZ$8),MONTH($DZ$8)+1,0))</f>
        <v>0</v>
      </c>
      <c r="EH58" s="1323"/>
      <c r="EI58" s="1322"/>
      <c r="EJ58" s="844"/>
      <c r="EK58" s="845"/>
      <c r="EL58" s="846"/>
      <c r="EM58" s="844"/>
      <c r="EN58" s="846"/>
      <c r="EO58" s="844"/>
      <c r="EP58" s="846"/>
      <c r="EQ58" s="844"/>
      <c r="ER58" s="845"/>
      <c r="ES58" s="847"/>
    </row>
    <row r="59" spans="2:149" ht="18" customHeight="1">
      <c r="B59" s="1040">
        <f t="shared" si="18"/>
        <v>49</v>
      </c>
      <c r="C59" s="844">
        <f>RELASI!C51</f>
        <v>0</v>
      </c>
      <c r="D59" s="845"/>
      <c r="E59" s="845"/>
      <c r="F59" s="846"/>
      <c r="G59" s="844">
        <f>RELASI!D51</f>
        <v>0</v>
      </c>
      <c r="H59" s="845"/>
      <c r="I59" s="846"/>
      <c r="J59" s="1319">
        <f>SUMIFS(KB[NETTO],KB[RELASI],C59,KB[TYPE],"A",KB[TANGGAL],"&gt;="&amp;DATE($J$7,1,1),KB[TANGGAL],"&lt;"&amp;DATE($J$7+1,1,0))/12</f>
        <v>0</v>
      </c>
      <c r="K59" s="1324"/>
      <c r="L59" s="1320"/>
      <c r="M59" s="1319">
        <f t="shared" ref="M59" si="34">IFERROR(O59/J59%,0)</f>
        <v>0</v>
      </c>
      <c r="N59" s="1320"/>
      <c r="O59" s="1321">
        <f>SUMIFS(KB[TPOT],KB[RELASI],C59,KB[TYPE],"A",KB[TANGGAL],"&gt;="&amp;DATE($J$7,1,1),KB[TANGGAL],"&lt;"&amp;DATE($J$7+1,1,0))/12</f>
        <v>0</v>
      </c>
      <c r="P59" s="1322"/>
      <c r="Q59" s="1321">
        <f>SUMIFS(KB[NETTO2],KB[RELASI],C59,KB[TYPE],"A",KB[TANGGAL],"&gt;="&amp;DATE($J$7,1,1),KB[TANGGAL],"&lt;"&amp;DATE($J$7+1,1,0))/12</f>
        <v>0</v>
      </c>
      <c r="R59" s="1323"/>
      <c r="S59" s="1322"/>
      <c r="T59" s="1321">
        <f>SUMIFS(KB[NETTO],KB[RELASI],C59,KB[TYPE],"A",KB[TANGGAL],"&gt;="&amp;$T$8,KB[TANGGAL],"&lt;"&amp;DATE($FA$4,$FA$5+1,0))</f>
        <v>0</v>
      </c>
      <c r="U59" s="1323"/>
      <c r="V59" s="1322"/>
      <c r="W59" s="1319">
        <f t="shared" si="21"/>
        <v>0</v>
      </c>
      <c r="X59" s="1320"/>
      <c r="Y59" s="1339">
        <f>SUMIFS(KB[TPOT],KB[RELASI],C59,KB[TYPE],"A",KB[TANGGAL],"&gt;="&amp;$T$8,KB[TANGGAL],"&lt;"&amp;DATE($FA$4,$FA$5+1,0))</f>
        <v>0</v>
      </c>
      <c r="Z59" s="1340"/>
      <c r="AA59" s="1339">
        <f>SUMIFS(KB[NETTO2],KB[RELASI],C59,KB[TYPE],"A",KB[TANGGAL],"&gt;="&amp;$T$8,KB[TANGGAL],"&lt;"&amp;DATE($FA$4,$FA$5+1,0))</f>
        <v>0</v>
      </c>
      <c r="AB59" s="1341"/>
      <c r="AC59" s="1340"/>
      <c r="AD59" s="1321">
        <f>SUMIFS(KB[NETTO],KB[RELASI],C59,KB[TYPE],"A",KB[TANGGAL],"&gt;="&amp;$AD$8,KB[TANGGAL],"&lt;"&amp;DATE($FA$4,MONTH($AD$8)+1,0))</f>
        <v>0</v>
      </c>
      <c r="AE59" s="1323"/>
      <c r="AF59" s="1322"/>
      <c r="AG59" s="1321">
        <f t="shared" si="22"/>
        <v>0</v>
      </c>
      <c r="AH59" s="1322"/>
      <c r="AI59" s="1321">
        <f>SUMIFS(KB[TPOT],KB[RELASI],C59,KB[TYPE],"A",KB[TANGGAL],"&gt;="&amp;$AD$8,KB[TANGGAL],"&lt;"&amp;DATE($FA$4,MONTH($AD$8)+1,0))</f>
        <v>0</v>
      </c>
      <c r="AJ59" s="1322"/>
      <c r="AK59" s="1321">
        <f>SUMIFS(KB[NETTO2],KB[RELASI],C59,KB[TYPE],"A",KB[TANGGAL],"&gt;="&amp;$AD$8,KB[TANGGAL],"&lt;"&amp;DATE($FA$4,MONTH($AD$8)+1,0))</f>
        <v>0</v>
      </c>
      <c r="AL59" s="1323"/>
      <c r="AM59" s="1322"/>
      <c r="AN59" s="1321">
        <f>SUMIFS(KB[NETTO],KB[RELASI],C59,KB[TYPE],"A",KB[TANGGAL],"&gt;="&amp;$AN$8,KB[TANGGAL],"&lt;"&amp;DATE(YEAR($AN$8),MONTH($AN$8)+1,0))</f>
        <v>0</v>
      </c>
      <c r="AO59" s="1323"/>
      <c r="AP59" s="1322"/>
      <c r="AQ59" s="1321">
        <f t="shared" si="23"/>
        <v>0</v>
      </c>
      <c r="AR59" s="1322"/>
      <c r="AS59" s="1321">
        <f>SUMIFS(KB[TPOT],KB[RELASI],C59,KB[TYPE],"A",KB[TANGGAL],"&gt;="&amp;$AN$8,KB[TANGGAL],"&lt;"&amp;DATE(YEAR($AN$8),MONTH($AN$8)+1,0))</f>
        <v>0</v>
      </c>
      <c r="AT59" s="1322"/>
      <c r="AU59" s="1321">
        <f>SUMIFS(KB[NETTO2],KB[RELASI],C59,KB[TYPE],"A",KB[TANGGAL],"&gt;="&amp;$AN$8,KB[TANGGAL],"&lt;"&amp;DATE(YEAR($AN$8),MONTH($AN$8)+1,0))</f>
        <v>0</v>
      </c>
      <c r="AV59" s="1323"/>
      <c r="AW59" s="1322"/>
      <c r="AX59" s="1321">
        <f>SUMIFS(KB[NETTO],KB[RELASI],C59,KB[TYPE],"A",KB[TANGGAL],"&gt;="&amp;$AX$8,KB[TANGGAL],"&lt;"&amp;DATE(YEAR($AX$8),MONTH($AX$8)+1,0))</f>
        <v>0</v>
      </c>
      <c r="AY59" s="1323"/>
      <c r="AZ59" s="1322"/>
      <c r="BA59" s="1321">
        <f t="shared" si="24"/>
        <v>0</v>
      </c>
      <c r="BB59" s="1322"/>
      <c r="BC59" s="1321">
        <f>SUMIFS(KB[TPOT],KB[RELASI],C59,KB[TYPE],"A",KB[TANGGAL],"&gt;="&amp;$AX$8,KB[TANGGAL],"&lt;"&amp;DATE(YEAR($AX$8),MONTH($AX$8)+1,0))</f>
        <v>0</v>
      </c>
      <c r="BD59" s="1322"/>
      <c r="BE59" s="1321">
        <f>SUMIFS(KB[NETTO2],KB[RELASI],C59,KB[TYPE],"A",KB[TANGGAL],"&gt;="&amp;$AX$8,KB[TANGGAL],"&lt;"&amp;DATE(YEAR($AX$8),MONTH($AX$8)+1,0))</f>
        <v>0</v>
      </c>
      <c r="BF59" s="1323"/>
      <c r="BG59" s="1322"/>
      <c r="BH59" s="1321">
        <f>SUMIFS(KB[NETTO],KB[RELASI],C59,KB[TYPE],"A",KB[TANGGAL],"&gt;="&amp;$BH$8,KB[TANGGAL],"&lt;"&amp;DATE(YEAR($BH$8),MONTH($BH$8)+1,0))</f>
        <v>0</v>
      </c>
      <c r="BI59" s="1323"/>
      <c r="BJ59" s="1322"/>
      <c r="BK59" s="1321">
        <f t="shared" si="25"/>
        <v>0</v>
      </c>
      <c r="BL59" s="1322"/>
      <c r="BM59" s="1321">
        <f>SUMIFS(KB[TPOT],KB[RELASI],C59,KB[TYPE],"A",KB[TANGGAL],"&gt;="&amp;$BH$8,KB[TANGGAL],"&lt;"&amp;DATE(YEAR($BH$8),MONTH($BH$8)+1,0))</f>
        <v>0</v>
      </c>
      <c r="BN59" s="1322"/>
      <c r="BO59" s="1321">
        <f>SUMIFS(KB[NETTO2],KB[RELASI],C59,KB[TYPE],"A",KB[TANGGAL],"&gt;="&amp;$BH$8,KB[TANGGAL],"&lt;"&amp;DATE(YEAR($BH$8),MONTH($BH$8)+1,0))</f>
        <v>0</v>
      </c>
      <c r="BP59" s="1323"/>
      <c r="BQ59" s="1322"/>
      <c r="BR59" s="1321">
        <f>SUMIFS(KB[NETTO],KB[RELASI],C59,KB[TYPE],"A",KB[TANGGAL],"&gt;="&amp;$BR$8,KB[TANGGAL],"&lt;"&amp;DATE(YEAR($BR$8),MONTH($BR$8)+1,0))</f>
        <v>0</v>
      </c>
      <c r="BS59" s="1323"/>
      <c r="BT59" s="1322"/>
      <c r="BU59" s="1321">
        <f t="shared" si="26"/>
        <v>0</v>
      </c>
      <c r="BV59" s="1322"/>
      <c r="BW59" s="1321">
        <f>SUMIFS(KB[TPOT],KB[RELASI],C59,KB[TYPE],"A",KB[TANGGAL],"&gt;="&amp;$BR$8,KB[TANGGAL],"&lt;"&amp;DATE(YEAR($BR$8),MONTH($BR$8)+1,0))</f>
        <v>0</v>
      </c>
      <c r="BX59" s="1322"/>
      <c r="BY59" s="1321">
        <f>SUMIFS(KB[NETTO2],KB[RELASI],C59,KB[TYPE],"A",KB[TANGGAL],"&gt;="&amp;$BR$8,KB[TANGGAL],"&lt;"&amp;DATE(YEAR($BR$8),MONTH($BR$8)+1,0))</f>
        <v>0</v>
      </c>
      <c r="BZ59" s="1323"/>
      <c r="CA59" s="1322"/>
      <c r="CB59" s="1321">
        <f>SUMIFS(KB[NETTO],KB[RELASI],C59,KB[TYPE],"A",KB[TANGGAL],"&gt;="&amp;$CB$8,KB[TANGGAL],"&lt;"&amp;DATE(YEAR($CB$8),MONTH($CB$8)+1,0))</f>
        <v>0</v>
      </c>
      <c r="CC59" s="1323"/>
      <c r="CD59" s="1322"/>
      <c r="CE59" s="1321">
        <f t="shared" si="27"/>
        <v>0</v>
      </c>
      <c r="CF59" s="1322"/>
      <c r="CG59" s="1321">
        <f>SUMIFS(KB[TPOT],KB[RELASI],C59,KB[TYPE],"A",KB[TANGGAL],"&gt;="&amp;$CB$8,KB[TANGGAL],"&lt;"&amp;DATE(YEAR($CB$8),MONTH($CB$8)+1,0))</f>
        <v>0</v>
      </c>
      <c r="CH59" s="1322"/>
      <c r="CI59" s="1321">
        <f>SUMIFS(KB[NETTO2],KB[RELASI],C59,KB[TYPE],"A",KB[TANGGAL],"&gt;="&amp;$CB$8,KB[TANGGAL],"&lt;"&amp;DATE(YEAR($CB$8),MONTH($CB$8)+1,0))</f>
        <v>0</v>
      </c>
      <c r="CJ59" s="1323"/>
      <c r="CK59" s="1322"/>
      <c r="CL59" s="1321">
        <f>SUMIFS(KB[NETTO],KB[RELASI],C59,KB[TYPE],"A",KB[TANGGAL],"&gt;="&amp;$CL$8,KB[TANGGAL],"&lt;"&amp;DATE(YEAR($CL$8),MONTH($CL$8)+1,0))</f>
        <v>0</v>
      </c>
      <c r="CM59" s="1323"/>
      <c r="CN59" s="1322"/>
      <c r="CO59" s="1321">
        <f t="shared" si="28"/>
        <v>0</v>
      </c>
      <c r="CP59" s="1322"/>
      <c r="CQ59" s="1321">
        <f>SUMIFS(KB[TPOT],KB[RELASI],C59,KB[TYPE],"A",KB[TANGGAL],"&gt;="&amp;$CL$8,KB[TANGGAL],"&lt;"&amp;DATE(YEAR($CL$8),MONTH($CL$8)+1,0))</f>
        <v>0</v>
      </c>
      <c r="CR59" s="1322"/>
      <c r="CS59" s="1321">
        <f>SUMIFS(KB[NETTO2],KB[RELASI],C59,KB[TYPE],"A",KB[TANGGAL],"&gt;="&amp;$CL$8,KB[TANGGAL],"&lt;"&amp;DATE(YEAR($CL$8),MONTH($CL$8)+1,0))</f>
        <v>0</v>
      </c>
      <c r="CT59" s="1323"/>
      <c r="CU59" s="1322"/>
      <c r="CV59" s="1321">
        <f>SUMIFS(KB[NETTO],KB[RELASI],C59,KB[TYPE],"A",KB[TANGGAL],"&gt;="&amp;$CV$8,KB[TANGGAL],"&lt;"&amp;DATE(YEAR($CV$8),MONTH($CV$8)+1,0))</f>
        <v>0</v>
      </c>
      <c r="CW59" s="1323"/>
      <c r="CX59" s="1322"/>
      <c r="CY59" s="1321">
        <f t="shared" si="29"/>
        <v>0</v>
      </c>
      <c r="CZ59" s="1322"/>
      <c r="DA59" s="1321">
        <f>SUMIFS(KB[TPOT],KB[RELASI],C59,KB[TYPE],"A",KB[TANGGAL],"&gt;="&amp;$CV$8,KB[TANGGAL],"&lt;"&amp;DATE(YEAR($CV$8),MONTH($CV$8)+1,0))</f>
        <v>0</v>
      </c>
      <c r="DB59" s="1322"/>
      <c r="DC59" s="1321">
        <f>SUMIFS(KB[NETTO2],KB[RELASI],C59,KB[TYPE],"A",KB[TANGGAL],"&gt;="&amp;$CV$8,KB[TANGGAL],"&lt;"&amp;DATE(YEAR($CV$8),MONTH($CV$8)+1,0))</f>
        <v>0</v>
      </c>
      <c r="DD59" s="1323"/>
      <c r="DE59" s="1322"/>
      <c r="DF59" s="1321">
        <f>SUMIFS(KB[NETTO],KB[RELASI],C59,KB[TYPE],"A",KB[TANGGAL],"&gt;="&amp;$DF$8,KB[TANGGAL],"&lt;"&amp;DATE(YEAR($DF$8),MONTH($DF$8)+1,0))</f>
        <v>0</v>
      </c>
      <c r="DG59" s="1323"/>
      <c r="DH59" s="1322"/>
      <c r="DI59" s="1321">
        <f t="shared" si="30"/>
        <v>0</v>
      </c>
      <c r="DJ59" s="1322"/>
      <c r="DK59" s="1321">
        <f>SUMIFS(KB[TPOT],KB[RELASI],C59,KB[TYPE],"A",KB[TANGGAL],"&gt;="&amp;$DF$8,KB[TANGGAL],"&lt;"&amp;DATE(YEAR($DF$8),MONTH($DF$8)+1,0))</f>
        <v>0</v>
      </c>
      <c r="DL59" s="1322"/>
      <c r="DM59" s="1321">
        <f>SUMIFS(KB[NETTO2],KB[RELASI],C59,KB[TYPE],"A",KB[TANGGAL],"&gt;="&amp;$DF$8,KB[TANGGAL],"&lt;"&amp;DATE(YEAR($DF$8),MONTH($DF$8)+1,0))</f>
        <v>0</v>
      </c>
      <c r="DN59" s="1323"/>
      <c r="DO59" s="1322"/>
      <c r="DP59" s="1321">
        <f>SUMIFS(KB[NETTO],KB[RELASI],C59,KB[TYPE],"A",KB[TANGGAL],"&gt;="&amp;$DP$8,KB[TANGGAL],"&lt;"&amp;DATE(YEAR($DP$8),MONTH($DP$8)+1,0))</f>
        <v>0</v>
      </c>
      <c r="DQ59" s="1323"/>
      <c r="DR59" s="1322"/>
      <c r="DS59" s="1321">
        <f t="shared" si="31"/>
        <v>0</v>
      </c>
      <c r="DT59" s="1322"/>
      <c r="DU59" s="1321">
        <f>SUMIFS(KB[TPOT],KB[RELASI],C59,KB[TYPE],"A",KB[TANGGAL],"&gt;="&amp;$DP$8,KB[TANGGAL],"&lt;"&amp;DATE(YEAR($DP$8),MONTH($DP$8)+1,0))</f>
        <v>0</v>
      </c>
      <c r="DV59" s="1322"/>
      <c r="DW59" s="1321">
        <f>SUMIFS(KB[NETTO2],KB[RELASI],C59,KB[TYPE],"A",KB[TANGGAL],"&gt;="&amp;$DP$8,KB[TANGGAL],"&lt;"&amp;DATE(YEAR($DP$8),MONTH($DP$8)+1,0))</f>
        <v>0</v>
      </c>
      <c r="DX59" s="1323"/>
      <c r="DY59" s="1322"/>
      <c r="DZ59" s="1321">
        <f>SUMIFS(KB[NETTO],KB[RELASI],C59,KB[TYPE],"A",KB[TANGGAL],"&gt;="&amp;$DZ$8,KB[TANGGAL],"&lt;"&amp;DATE(YEAR($DZ$8),MONTH($DZ$8)+1,0))</f>
        <v>0</v>
      </c>
      <c r="EA59" s="1323"/>
      <c r="EB59" s="1322"/>
      <c r="EC59" s="1321">
        <f t="shared" si="32"/>
        <v>0</v>
      </c>
      <c r="ED59" s="1322"/>
      <c r="EE59" s="1321">
        <f>SUMIFS(KB[TPOT],KB[RELASI],C59,KB[TYPE],"A",KB[TANGGAL],"&gt;="&amp;$DZ$8,KB[TANGGAL],"&lt;"&amp;DATE(YEAR($DZ$8),MONTH($DZ$8)+1,0))</f>
        <v>0</v>
      </c>
      <c r="EF59" s="1322"/>
      <c r="EG59" s="1321">
        <f>SUMIFS(KB[NETTO2],KB[RELASI],C59,KB[TYPE],"A",KB[TANGGAL],"&gt;="&amp;$DZ$8,KB[TANGGAL],"&lt;"&amp;DATE(YEAR($DZ$8),MONTH($DZ$8)+1,0))</f>
        <v>0</v>
      </c>
      <c r="EH59" s="1323"/>
      <c r="EI59" s="1322"/>
      <c r="EJ59" s="844"/>
      <c r="EK59" s="845"/>
      <c r="EL59" s="846"/>
      <c r="EM59" s="844"/>
      <c r="EN59" s="846"/>
      <c r="EO59" s="844"/>
      <c r="EP59" s="846"/>
      <c r="EQ59" s="844"/>
      <c r="ER59" s="845"/>
      <c r="ES59" s="847"/>
    </row>
    <row r="60" spans="2:149" ht="18" customHeight="1" thickBot="1">
      <c r="B60" s="1047">
        <f t="shared" si="18"/>
        <v>50</v>
      </c>
      <c r="C60" s="848">
        <f>RELASI!C52</f>
        <v>0</v>
      </c>
      <c r="D60" s="849"/>
      <c r="E60" s="849"/>
      <c r="F60" s="850"/>
      <c r="G60" s="848">
        <f>RELASI!D52</f>
        <v>0</v>
      </c>
      <c r="H60" s="849"/>
      <c r="I60" s="850"/>
      <c r="J60" s="1319">
        <f>SUMIFS(KB[NETTO],KB[RELASI],C60,KB[TYPE],"A",KB[TANGGAL],"&gt;="&amp;DATE($J$7,1,1),KB[TANGGAL],"&lt;"&amp;DATE($J$7+1,1,0))/12</f>
        <v>0</v>
      </c>
      <c r="K60" s="1324"/>
      <c r="L60" s="1320"/>
      <c r="M60" s="1319">
        <f t="shared" ref="M60" si="35">IFERROR(O60/J60%,0)</f>
        <v>0</v>
      </c>
      <c r="N60" s="1320"/>
      <c r="O60" s="1321">
        <f>SUMIFS(KB[TPOT],KB[RELASI],C60,KB[TYPE],"A",KB[TANGGAL],"&gt;="&amp;DATE($J$7,1,1),KB[TANGGAL],"&lt;"&amp;DATE($J$7+1,1,0))/12</f>
        <v>0</v>
      </c>
      <c r="P60" s="1322"/>
      <c r="Q60" s="1321">
        <f>SUMIFS(KB[NETTO2],KB[RELASI],C60,KB[TYPE],"A",KB[TANGGAL],"&gt;="&amp;DATE($J$7,1,1),KB[TANGGAL],"&lt;"&amp;DATE($J$7+1,1,0))/12</f>
        <v>0</v>
      </c>
      <c r="R60" s="1323"/>
      <c r="S60" s="1322"/>
      <c r="T60" s="1319">
        <f>SUMIFS(KB[NETTO],KB[RELASI],C60,KB[TYPE],"A",KB[TANGGAL],"&gt;="&amp;$T$8,KB[TANGGAL],"&lt;"&amp;DATE($FA$4,$FA$5+1,0))</f>
        <v>0</v>
      </c>
      <c r="U60" s="1324"/>
      <c r="V60" s="1320"/>
      <c r="W60" s="1319">
        <f t="shared" si="21"/>
        <v>0</v>
      </c>
      <c r="X60" s="1320"/>
      <c r="Y60" s="1319">
        <f>SUMIFS(KB[TPOT],KB[RELASI],C60,KB[TYPE],"A",KB[TANGGAL],"&gt;="&amp;$T$8,KB[TANGGAL],"&lt;"&amp;DATE($FA$4,$FA$5+1,0))</f>
        <v>0</v>
      </c>
      <c r="Z60" s="1320"/>
      <c r="AA60" s="1319">
        <f>SUMIFS(KB[NETTO2],KB[RELASI],C60,KB[TYPE],"A",KB[TANGGAL],"&gt;="&amp;$T$8,KB[TANGGAL],"&lt;"&amp;DATE($FA$4,$FA$5+1,0))</f>
        <v>0</v>
      </c>
      <c r="AB60" s="1324"/>
      <c r="AC60" s="1320"/>
      <c r="AD60" s="1319">
        <f>SUMIFS(KB[NETTO],KB[RELASI],C60,KB[TYPE],"A",KB[TANGGAL],"&gt;="&amp;$AD$8,KB[TANGGAL],"&lt;"&amp;DATE($FA$4,MONTH($AD$8)+1,0))</f>
        <v>0</v>
      </c>
      <c r="AE60" s="1324"/>
      <c r="AF60" s="1320"/>
      <c r="AG60" s="1319">
        <f t="shared" si="22"/>
        <v>0</v>
      </c>
      <c r="AH60" s="1320"/>
      <c r="AI60" s="1319">
        <f>SUMIFS(KB[TPOT],KB[RELASI],C60,KB[TYPE],"A",KB[TANGGAL],"&gt;="&amp;$AD$8,KB[TANGGAL],"&lt;"&amp;DATE($FA$4,MONTH($AD$8)+1,0))</f>
        <v>0</v>
      </c>
      <c r="AJ60" s="1320"/>
      <c r="AK60" s="1319">
        <f>SUMIFS(KB[NETTO2],KB[RELASI],C60,KB[TYPE],"A",KB[TANGGAL],"&gt;="&amp;$AD$8,KB[TANGGAL],"&lt;"&amp;DATE($FA$4,MONTH($AD$8)+1,0))</f>
        <v>0</v>
      </c>
      <c r="AL60" s="1324"/>
      <c r="AM60" s="1320"/>
      <c r="AN60" s="1319">
        <f>SUMIFS(KB[NETTO],KB[RELASI],C60,KB[TYPE],"A",KB[TANGGAL],"&gt;="&amp;$AN$8,KB[TANGGAL],"&lt;"&amp;DATE(YEAR($AN$8),MONTH($AN$8)+1,0))</f>
        <v>0</v>
      </c>
      <c r="AO60" s="1324"/>
      <c r="AP60" s="1320"/>
      <c r="AQ60" s="1319">
        <f t="shared" si="23"/>
        <v>0</v>
      </c>
      <c r="AR60" s="1320"/>
      <c r="AS60" s="1319">
        <f>SUMIFS(KB[TPOT],KB[RELASI],C60,KB[TYPE],"A",KB[TANGGAL],"&gt;="&amp;$AN$8,KB[TANGGAL],"&lt;"&amp;DATE(YEAR($AN$8),MONTH($AN$8)+1,0))</f>
        <v>0</v>
      </c>
      <c r="AT60" s="1320"/>
      <c r="AU60" s="1319">
        <f>SUMIFS(KB[NETTO2],KB[RELASI],C60,KB[TYPE],"A",KB[TANGGAL],"&gt;="&amp;$AN$8,KB[TANGGAL],"&lt;"&amp;DATE(YEAR($AN$8),MONTH($AN$8)+1,0))</f>
        <v>0</v>
      </c>
      <c r="AV60" s="1324"/>
      <c r="AW60" s="1320"/>
      <c r="AX60" s="1319">
        <f>SUMIFS(KB[NETTO],KB[RELASI],C60,KB[TYPE],"A",KB[TANGGAL],"&gt;="&amp;$AX$8,KB[TANGGAL],"&lt;"&amp;DATE(YEAR($AX$8),MONTH($AX$8)+1,0))</f>
        <v>0</v>
      </c>
      <c r="AY60" s="1324"/>
      <c r="AZ60" s="1320"/>
      <c r="BA60" s="1319">
        <f t="shared" si="24"/>
        <v>0</v>
      </c>
      <c r="BB60" s="1320"/>
      <c r="BC60" s="1319">
        <f>SUMIFS(KB[TPOT],KB[RELASI],C60,KB[TYPE],"A",KB[TANGGAL],"&gt;="&amp;$AX$8,KB[TANGGAL],"&lt;"&amp;DATE(YEAR($AX$8),MONTH($AX$8)+1,0))</f>
        <v>0</v>
      </c>
      <c r="BD60" s="1320"/>
      <c r="BE60" s="1319">
        <f>SUMIFS(KB[NETTO2],KB[RELASI],C60,KB[TYPE],"A",KB[TANGGAL],"&gt;="&amp;$AX$8,KB[TANGGAL],"&lt;"&amp;DATE(YEAR($AX$8),MONTH($AX$8)+1,0))</f>
        <v>0</v>
      </c>
      <c r="BF60" s="1324"/>
      <c r="BG60" s="1320"/>
      <c r="BH60" s="1319">
        <f>SUMIFS(KB[NETTO],KB[RELASI],C60,KB[TYPE],"A",KB[TANGGAL],"&gt;="&amp;$BH$8,KB[TANGGAL],"&lt;"&amp;DATE(YEAR($BH$8),MONTH($BH$8)+1,0))</f>
        <v>0</v>
      </c>
      <c r="BI60" s="1324"/>
      <c r="BJ60" s="1320"/>
      <c r="BK60" s="1319">
        <f t="shared" si="25"/>
        <v>0</v>
      </c>
      <c r="BL60" s="1320"/>
      <c r="BM60" s="1319">
        <f>SUMIFS(KB[TPOT],KB[RELASI],C60,KB[TYPE],"A",KB[TANGGAL],"&gt;="&amp;$BH$8,KB[TANGGAL],"&lt;"&amp;DATE(YEAR($BH$8),MONTH($BH$8)+1,0))</f>
        <v>0</v>
      </c>
      <c r="BN60" s="1320"/>
      <c r="BO60" s="1319">
        <f>SUMIFS(KB[NETTO2],KB[RELASI],C60,KB[TYPE],"A",KB[TANGGAL],"&gt;="&amp;$BH$8,KB[TANGGAL],"&lt;"&amp;DATE(YEAR($BH$8),MONTH($BH$8)+1,0))</f>
        <v>0</v>
      </c>
      <c r="BP60" s="1324"/>
      <c r="BQ60" s="1320"/>
      <c r="BR60" s="1319">
        <f>SUMIFS(KB[NETTO],KB[RELASI],C60,KB[TYPE],"A",KB[TANGGAL],"&gt;="&amp;$BR$8,KB[TANGGAL],"&lt;"&amp;DATE(YEAR($BR$8),MONTH($BR$8)+1,0))</f>
        <v>0</v>
      </c>
      <c r="BS60" s="1324"/>
      <c r="BT60" s="1320"/>
      <c r="BU60" s="1319">
        <f t="shared" si="26"/>
        <v>0</v>
      </c>
      <c r="BV60" s="1320"/>
      <c r="BW60" s="1319">
        <f>SUMIFS(KB[TPOT],KB[RELASI],C60,KB[TYPE],"A",KB[TANGGAL],"&gt;="&amp;$BR$8,KB[TANGGAL],"&lt;"&amp;DATE(YEAR($BR$8),MONTH($BR$8)+1,0))</f>
        <v>0</v>
      </c>
      <c r="BX60" s="1320"/>
      <c r="BY60" s="1319">
        <f>SUMIFS(KB[NETTO2],KB[RELASI],C60,KB[TYPE],"A",KB[TANGGAL],"&gt;="&amp;$BR$8,KB[TANGGAL],"&lt;"&amp;DATE(YEAR($BR$8),MONTH($BR$8)+1,0))</f>
        <v>0</v>
      </c>
      <c r="BZ60" s="1324"/>
      <c r="CA60" s="1320"/>
      <c r="CB60" s="1319">
        <f>SUMIFS(KB[NETTO],KB[RELASI],C60,KB[TYPE],"A",KB[TANGGAL],"&gt;="&amp;$CB$8,KB[TANGGAL],"&lt;"&amp;DATE(YEAR($CB$8),MONTH($CB$8)+1,0))</f>
        <v>0</v>
      </c>
      <c r="CC60" s="1324"/>
      <c r="CD60" s="1320"/>
      <c r="CE60" s="1319">
        <f t="shared" si="27"/>
        <v>0</v>
      </c>
      <c r="CF60" s="1320"/>
      <c r="CG60" s="1319">
        <f>SUMIFS(KB[TPOT],KB[RELASI],C60,KB[TYPE],"A",KB[TANGGAL],"&gt;="&amp;$CB$8,KB[TANGGAL],"&lt;"&amp;DATE(YEAR($CB$8),MONTH($CB$8)+1,0))</f>
        <v>0</v>
      </c>
      <c r="CH60" s="1320"/>
      <c r="CI60" s="1319">
        <f>SUMIFS(KB[NETTO2],KB[RELASI],C60,KB[TYPE],"A",KB[TANGGAL],"&gt;="&amp;$CB$8,KB[TANGGAL],"&lt;"&amp;DATE(YEAR($CB$8),MONTH($CB$8)+1,0))</f>
        <v>0</v>
      </c>
      <c r="CJ60" s="1324"/>
      <c r="CK60" s="1320"/>
      <c r="CL60" s="1319">
        <f>SUMIFS(KB[NETTO],KB[RELASI],C60,KB[TYPE],"A",KB[TANGGAL],"&gt;="&amp;$CL$8,KB[TANGGAL],"&lt;"&amp;DATE(YEAR($CL$8),MONTH($CL$8)+1,0))</f>
        <v>0</v>
      </c>
      <c r="CM60" s="1324"/>
      <c r="CN60" s="1320"/>
      <c r="CO60" s="1319">
        <f t="shared" si="28"/>
        <v>0</v>
      </c>
      <c r="CP60" s="1320"/>
      <c r="CQ60" s="1319">
        <f>SUMIFS(KB[TPOT],KB[RELASI],C60,KB[TYPE],"A",KB[TANGGAL],"&gt;="&amp;$CL$8,KB[TANGGAL],"&lt;"&amp;DATE(YEAR($CL$8),MONTH($CL$8)+1,0))</f>
        <v>0</v>
      </c>
      <c r="CR60" s="1320"/>
      <c r="CS60" s="1319">
        <f>SUMIFS(KB[NETTO2],KB[RELASI],C60,KB[TYPE],"A",KB[TANGGAL],"&gt;="&amp;$CL$8,KB[TANGGAL],"&lt;"&amp;DATE(YEAR($CL$8),MONTH($CL$8)+1,0))</f>
        <v>0</v>
      </c>
      <c r="CT60" s="1324"/>
      <c r="CU60" s="1320"/>
      <c r="CV60" s="1319">
        <f>SUMIFS(KB[NETTO],KB[RELASI],C60,KB[TYPE],"A",KB[TANGGAL],"&gt;="&amp;$CV$8,KB[TANGGAL],"&lt;"&amp;DATE(YEAR($CV$8),MONTH($CV$8)+1,0))</f>
        <v>0</v>
      </c>
      <c r="CW60" s="1324"/>
      <c r="CX60" s="1320"/>
      <c r="CY60" s="1319">
        <f t="shared" si="29"/>
        <v>0</v>
      </c>
      <c r="CZ60" s="1320"/>
      <c r="DA60" s="1319">
        <f>SUMIFS(KB[TPOT],KB[RELASI],C60,KB[TYPE],"A",KB[TANGGAL],"&gt;="&amp;$CV$8,KB[TANGGAL],"&lt;"&amp;DATE(YEAR($CV$8),MONTH($CV$8)+1,0))</f>
        <v>0</v>
      </c>
      <c r="DB60" s="1320"/>
      <c r="DC60" s="1319">
        <f>SUMIFS(KB[NETTO2],KB[RELASI],C60,KB[TYPE],"A",KB[TANGGAL],"&gt;="&amp;$CV$8,KB[TANGGAL],"&lt;"&amp;DATE(YEAR($CV$8),MONTH($CV$8)+1,0))</f>
        <v>0</v>
      </c>
      <c r="DD60" s="1324"/>
      <c r="DE60" s="1320"/>
      <c r="DF60" s="1319">
        <f>SUMIFS(KB[NETTO],KB[RELASI],C60,KB[TYPE],"A",KB[TANGGAL],"&gt;="&amp;$DF$8,KB[TANGGAL],"&lt;"&amp;DATE(YEAR($DF$8),MONTH($DF$8)+1,0))</f>
        <v>0</v>
      </c>
      <c r="DG60" s="1324"/>
      <c r="DH60" s="1320"/>
      <c r="DI60" s="1319">
        <f t="shared" si="30"/>
        <v>0</v>
      </c>
      <c r="DJ60" s="1320"/>
      <c r="DK60" s="1319">
        <f>SUMIFS(KB[TPOT],KB[RELASI],C60,KB[TYPE],"A",KB[TANGGAL],"&gt;="&amp;$DF$8,KB[TANGGAL],"&lt;"&amp;DATE(YEAR($DF$8),MONTH($DF$8)+1,0))</f>
        <v>0</v>
      </c>
      <c r="DL60" s="1320"/>
      <c r="DM60" s="1319">
        <f>SUMIFS(KB[NETTO2],KB[RELASI],C60,KB[TYPE],"A",KB[TANGGAL],"&gt;="&amp;$DF$8,KB[TANGGAL],"&lt;"&amp;DATE(YEAR($DF$8),MONTH($DF$8)+1,0))</f>
        <v>0</v>
      </c>
      <c r="DN60" s="1324"/>
      <c r="DO60" s="1320"/>
      <c r="DP60" s="1319">
        <f>SUMIFS(KB[NETTO],KB[RELASI],C60,KB[TYPE],"A",KB[TANGGAL],"&gt;="&amp;$DP$8,KB[TANGGAL],"&lt;"&amp;DATE(YEAR($DP$8),MONTH($DP$8)+1,0))</f>
        <v>0</v>
      </c>
      <c r="DQ60" s="1324"/>
      <c r="DR60" s="1320"/>
      <c r="DS60" s="1319">
        <f t="shared" si="31"/>
        <v>0</v>
      </c>
      <c r="DT60" s="1320"/>
      <c r="DU60" s="1319">
        <f>SUMIFS(KB[TPOT],KB[RELASI],C60,KB[TYPE],"A",KB[TANGGAL],"&gt;="&amp;$DP$8,KB[TANGGAL],"&lt;"&amp;DATE(YEAR($DP$8),MONTH($DP$8)+1,0))</f>
        <v>0</v>
      </c>
      <c r="DV60" s="1320"/>
      <c r="DW60" s="1319">
        <f>SUMIFS(KB[NETTO2],KB[RELASI],C60,KB[TYPE],"A",KB[TANGGAL],"&gt;="&amp;$DP$8,KB[TANGGAL],"&lt;"&amp;DATE(YEAR($DP$8),MONTH($DP$8)+1,0))</f>
        <v>0</v>
      </c>
      <c r="DX60" s="1324"/>
      <c r="DY60" s="1320"/>
      <c r="DZ60" s="1319">
        <f>SUMIFS(KB[NETTO],KB[RELASI],C60,KB[TYPE],"A",KB[TANGGAL],"&gt;="&amp;$DZ$8,KB[TANGGAL],"&lt;"&amp;DATE(YEAR($DZ$8),MONTH($DZ$8)+1,0))</f>
        <v>0</v>
      </c>
      <c r="EA60" s="1324"/>
      <c r="EB60" s="1320"/>
      <c r="EC60" s="1319">
        <f t="shared" si="32"/>
        <v>0</v>
      </c>
      <c r="ED60" s="1320"/>
      <c r="EE60" s="1319">
        <f>SUMIFS(KB[TPOT],KB[RELASI],C60,KB[TYPE],"A",KB[TANGGAL],"&gt;="&amp;$DZ$8,KB[TANGGAL],"&lt;"&amp;DATE(YEAR($DZ$8),MONTH($DZ$8)+1,0))</f>
        <v>0</v>
      </c>
      <c r="EF60" s="1320"/>
      <c r="EG60" s="1319">
        <f>SUMIFS(KB[NETTO2],KB[RELASI],C60,KB[TYPE],"A",KB[TANGGAL],"&gt;="&amp;$DZ$8,KB[TANGGAL],"&lt;"&amp;DATE(YEAR($DZ$8),MONTH($DZ$8)+1,0))</f>
        <v>0</v>
      </c>
      <c r="EH60" s="1324"/>
      <c r="EI60" s="1320"/>
      <c r="EJ60" s="844"/>
      <c r="EK60" s="845"/>
      <c r="EL60" s="846"/>
      <c r="EM60" s="844"/>
      <c r="EN60" s="846"/>
      <c r="EO60" s="844"/>
      <c r="EP60" s="846"/>
      <c r="EQ60" s="844"/>
      <c r="ER60" s="845"/>
      <c r="ES60" s="847"/>
    </row>
    <row r="61" spans="2:149" s="29" customFormat="1" ht="18" customHeight="1">
      <c r="EJ61" s="1044"/>
      <c r="EK61" s="1044"/>
      <c r="EL61" s="1044"/>
      <c r="EM61" s="1044"/>
      <c r="EN61" s="1044"/>
      <c r="EO61" s="1044"/>
      <c r="EP61" s="1044"/>
      <c r="EQ61" s="1044"/>
      <c r="ER61" s="1044"/>
      <c r="ES61" s="1044"/>
    </row>
    <row r="62" spans="2:149">
      <c r="B62" s="851"/>
      <c r="C62" s="852" t="s">
        <v>633</v>
      </c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29"/>
      <c r="DX62" s="29"/>
      <c r="DY62" s="29"/>
      <c r="DZ62" s="29"/>
      <c r="EA62" s="29"/>
      <c r="EB62" s="29"/>
      <c r="EC62" s="29"/>
      <c r="ED62" s="29"/>
      <c r="EE62" s="29"/>
      <c r="EF62" s="29"/>
      <c r="EG62" s="29"/>
      <c r="EH62" s="29"/>
      <c r="EI62" s="29"/>
      <c r="EJ62" s="29"/>
      <c r="EK62" s="29"/>
      <c r="EL62" s="29"/>
      <c r="EM62" s="29"/>
      <c r="EN62" s="29"/>
      <c r="EO62" s="29"/>
      <c r="EP62" s="29"/>
      <c r="EQ62" s="29"/>
      <c r="ER62" s="29"/>
      <c r="ES62" s="828"/>
    </row>
    <row r="63" spans="2:149">
      <c r="B63" s="851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1325"/>
      <c r="AO63" s="1325"/>
      <c r="AP63" s="1325"/>
      <c r="AQ63" s="1325"/>
      <c r="AR63" s="1325"/>
      <c r="AS63" s="1325"/>
      <c r="AT63" s="1325"/>
      <c r="AU63" s="1325"/>
      <c r="AV63" s="1325"/>
      <c r="AW63" s="1326"/>
      <c r="AX63" s="1325"/>
      <c r="AY63" s="1325"/>
      <c r="AZ63" s="1325"/>
      <c r="BA63" s="1325"/>
      <c r="BB63" s="1325"/>
      <c r="BC63" s="1325"/>
      <c r="BD63" s="1325"/>
      <c r="BE63" s="1325"/>
      <c r="BF63" s="1325"/>
      <c r="BG63" s="1326"/>
      <c r="BH63" s="1325"/>
      <c r="BI63" s="1325"/>
      <c r="BJ63" s="1325"/>
      <c r="BK63" s="1325"/>
      <c r="BL63" s="1325"/>
      <c r="BM63" s="1325"/>
      <c r="BN63" s="1325"/>
      <c r="BO63" s="1325"/>
      <c r="BP63" s="1325"/>
      <c r="BQ63" s="1326"/>
      <c r="BR63" s="1325"/>
      <c r="BS63" s="1325"/>
      <c r="BT63" s="1325"/>
      <c r="BU63" s="1325"/>
      <c r="BV63" s="1325"/>
      <c r="BW63" s="1325"/>
      <c r="BX63" s="1325"/>
      <c r="BY63" s="1325"/>
      <c r="BZ63" s="1325"/>
      <c r="CA63" s="1326"/>
      <c r="CB63" s="1325"/>
      <c r="CC63" s="1325"/>
      <c r="CD63" s="1325"/>
      <c r="CE63" s="1325"/>
      <c r="CF63" s="1325"/>
      <c r="CG63" s="1325"/>
      <c r="CH63" s="1325"/>
      <c r="CI63" s="1325"/>
      <c r="CJ63" s="1325"/>
      <c r="CK63" s="1326"/>
      <c r="CL63" s="1325"/>
      <c r="CM63" s="1325"/>
      <c r="CN63" s="1325"/>
      <c r="CO63" s="1325"/>
      <c r="CP63" s="1325"/>
      <c r="CQ63" s="1325"/>
      <c r="CR63" s="1325"/>
      <c r="CS63" s="1325"/>
      <c r="CT63" s="1325"/>
      <c r="CU63" s="1326"/>
      <c r="CV63" s="1325"/>
      <c r="CW63" s="1325"/>
      <c r="CX63" s="1325"/>
      <c r="CY63" s="1325"/>
      <c r="CZ63" s="1325"/>
      <c r="DA63" s="1325"/>
      <c r="DB63" s="1325"/>
      <c r="DC63" s="1325"/>
      <c r="DD63" s="1325"/>
      <c r="DE63" s="1326"/>
      <c r="DF63" s="1325"/>
      <c r="DG63" s="1325"/>
      <c r="DH63" s="1325"/>
      <c r="DI63" s="1325"/>
      <c r="DJ63" s="1325"/>
      <c r="DK63" s="1325"/>
      <c r="DL63" s="1325"/>
      <c r="DM63" s="1325"/>
      <c r="DN63" s="1325"/>
      <c r="DO63" s="1326"/>
      <c r="DP63" s="1325"/>
      <c r="DQ63" s="1325"/>
      <c r="DR63" s="1325"/>
      <c r="DS63" s="1325"/>
      <c r="DT63" s="1325"/>
      <c r="DU63" s="1325"/>
      <c r="DV63" s="1325"/>
      <c r="DW63" s="1325"/>
      <c r="DX63" s="1325"/>
      <c r="DY63" s="1326"/>
      <c r="DZ63" s="1325"/>
      <c r="EA63" s="1325"/>
      <c r="EB63" s="1325"/>
      <c r="EC63" s="1325"/>
      <c r="ED63" s="1325"/>
      <c r="EE63" s="1325"/>
      <c r="EF63" s="1325"/>
      <c r="EG63" s="1325"/>
      <c r="EH63" s="1325"/>
      <c r="EI63" s="1326"/>
      <c r="EJ63" s="1344" t="s">
        <v>635</v>
      </c>
      <c r="EK63" s="1345"/>
      <c r="EL63" s="1345"/>
      <c r="EM63" s="1345"/>
      <c r="EN63" s="1345"/>
      <c r="EO63" s="1345"/>
      <c r="EP63" s="1345"/>
      <c r="EQ63" s="1345"/>
      <c r="ER63" s="1345"/>
      <c r="ES63" s="1346"/>
    </row>
    <row r="64" spans="2:149">
      <c r="B64" s="851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1043"/>
      <c r="AX64" s="29"/>
      <c r="AY64" s="29"/>
      <c r="AZ64" s="29"/>
      <c r="BA64" s="29"/>
      <c r="BB64" s="29"/>
      <c r="BC64" s="29"/>
      <c r="BD64" s="29"/>
      <c r="BE64" s="29"/>
      <c r="BF64" s="29"/>
      <c r="BG64" s="1043"/>
      <c r="BH64" s="29"/>
      <c r="BI64" s="29"/>
      <c r="BJ64" s="29"/>
      <c r="BK64" s="29"/>
      <c r="BL64" s="29"/>
      <c r="BM64" s="29"/>
      <c r="BN64" s="29"/>
      <c r="BO64" s="29"/>
      <c r="BP64" s="29"/>
      <c r="BQ64" s="1043"/>
      <c r="BR64" s="29"/>
      <c r="BS64" s="29"/>
      <c r="BT64" s="29"/>
      <c r="BU64" s="29"/>
      <c r="BV64" s="29"/>
      <c r="BW64" s="29"/>
      <c r="BX64" s="29"/>
      <c r="BY64" s="29"/>
      <c r="BZ64" s="29"/>
      <c r="CA64" s="1043"/>
      <c r="CB64" s="29"/>
      <c r="CC64" s="29"/>
      <c r="CD64" s="29"/>
      <c r="CE64" s="29"/>
      <c r="CF64" s="29"/>
      <c r="CG64" s="29"/>
      <c r="CH64" s="29"/>
      <c r="CI64" s="29"/>
      <c r="CJ64" s="29"/>
      <c r="CK64" s="1043"/>
      <c r="CL64" s="29"/>
      <c r="CM64" s="29"/>
      <c r="CN64" s="29"/>
      <c r="CO64" s="29"/>
      <c r="CP64" s="29"/>
      <c r="CQ64" s="29"/>
      <c r="CR64" s="29"/>
      <c r="CS64" s="29"/>
      <c r="CT64" s="29"/>
      <c r="CU64" s="1043"/>
      <c r="CV64" s="29"/>
      <c r="CW64" s="29"/>
      <c r="CX64" s="29"/>
      <c r="CY64" s="29"/>
      <c r="CZ64" s="29"/>
      <c r="DA64" s="29"/>
      <c r="DB64" s="29"/>
      <c r="DC64" s="29"/>
      <c r="DD64" s="29"/>
      <c r="DE64" s="1043"/>
      <c r="DF64" s="29"/>
      <c r="DG64" s="29"/>
      <c r="DH64" s="29"/>
      <c r="DI64" s="29"/>
      <c r="DJ64" s="29"/>
      <c r="DK64" s="29"/>
      <c r="DL64" s="29"/>
      <c r="DM64" s="29"/>
      <c r="DN64" s="29"/>
      <c r="DO64" s="1043"/>
      <c r="DP64" s="29"/>
      <c r="DQ64" s="29"/>
      <c r="DR64" s="29"/>
      <c r="DS64" s="29"/>
      <c r="DT64" s="29"/>
      <c r="DU64" s="29"/>
      <c r="DV64" s="29"/>
      <c r="DW64" s="29"/>
      <c r="DX64" s="29"/>
      <c r="DY64" s="1043"/>
      <c r="DZ64" s="29"/>
      <c r="EA64" s="29"/>
      <c r="EB64" s="29"/>
      <c r="EC64" s="29"/>
      <c r="ED64" s="29"/>
      <c r="EE64" s="29"/>
      <c r="EF64" s="29"/>
      <c r="EG64" s="29"/>
      <c r="EH64" s="29"/>
      <c r="EI64" s="1043"/>
      <c r="EJ64" s="840"/>
      <c r="EK64" s="841"/>
      <c r="EL64" s="841"/>
      <c r="EM64" s="841"/>
      <c r="EN64" s="841"/>
      <c r="EO64" s="841"/>
      <c r="EP64" s="841"/>
      <c r="EQ64" s="841"/>
      <c r="ER64" s="841"/>
      <c r="ES64" s="853"/>
    </row>
    <row r="65" spans="2:149">
      <c r="B65" s="851"/>
      <c r="C65" s="1356" t="s">
        <v>605</v>
      </c>
      <c r="D65" s="1387"/>
      <c r="E65" s="1387"/>
      <c r="F65" s="1387"/>
      <c r="G65" s="1357"/>
      <c r="H65" s="1391" t="s">
        <v>636</v>
      </c>
      <c r="I65" s="1392"/>
      <c r="J65" s="1392"/>
      <c r="K65" s="1392"/>
      <c r="L65" s="1392"/>
      <c r="M65" s="1393"/>
      <c r="N65" s="1356" t="s">
        <v>402</v>
      </c>
      <c r="O65" s="1357"/>
      <c r="P65" s="1391" t="s">
        <v>636</v>
      </c>
      <c r="Q65" s="1392"/>
      <c r="R65" s="1392"/>
      <c r="S65" s="1392"/>
      <c r="T65" s="1392"/>
      <c r="U65" s="1393"/>
      <c r="V65" s="1356" t="s">
        <v>402</v>
      </c>
      <c r="W65" s="1357"/>
      <c r="X65" s="1391" t="s">
        <v>636</v>
      </c>
      <c r="Y65" s="1392"/>
      <c r="Z65" s="1392"/>
      <c r="AA65" s="1392"/>
      <c r="AB65" s="1392"/>
      <c r="AC65" s="1393"/>
      <c r="AD65" s="1356" t="s">
        <v>402</v>
      </c>
      <c r="AE65" s="1357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1043"/>
      <c r="AX65" s="29"/>
      <c r="AY65" s="29"/>
      <c r="AZ65" s="29"/>
      <c r="BA65" s="29"/>
      <c r="BB65" s="29"/>
      <c r="BC65" s="29"/>
      <c r="BD65" s="29"/>
      <c r="BE65" s="29"/>
      <c r="BF65" s="29"/>
      <c r="BG65" s="1043"/>
      <c r="BH65" s="29"/>
      <c r="BI65" s="29"/>
      <c r="BJ65" s="29"/>
      <c r="BK65" s="29"/>
      <c r="BL65" s="29"/>
      <c r="BM65" s="29"/>
      <c r="BN65" s="29"/>
      <c r="BO65" s="29"/>
      <c r="BP65" s="29"/>
      <c r="BQ65" s="1043"/>
      <c r="BR65" s="29"/>
      <c r="BS65" s="29"/>
      <c r="BT65" s="29"/>
      <c r="BU65" s="29"/>
      <c r="BV65" s="29"/>
      <c r="BW65" s="29"/>
      <c r="BX65" s="29"/>
      <c r="BY65" s="29"/>
      <c r="BZ65" s="29"/>
      <c r="CA65" s="1043"/>
      <c r="CB65" s="29"/>
      <c r="CC65" s="29"/>
      <c r="CD65" s="29"/>
      <c r="CE65" s="29"/>
      <c r="CF65" s="29"/>
      <c r="CG65" s="29"/>
      <c r="CH65" s="29"/>
      <c r="CI65" s="29"/>
      <c r="CJ65" s="29"/>
      <c r="CK65" s="1043"/>
      <c r="CL65" s="29"/>
      <c r="CM65" s="29"/>
      <c r="CN65" s="29"/>
      <c r="CO65" s="29"/>
      <c r="CP65" s="29"/>
      <c r="CQ65" s="29"/>
      <c r="CR65" s="29"/>
      <c r="CS65" s="29"/>
      <c r="CT65" s="29"/>
      <c r="CU65" s="1043"/>
      <c r="CV65" s="29"/>
      <c r="CW65" s="29"/>
      <c r="CX65" s="29"/>
      <c r="CY65" s="29"/>
      <c r="CZ65" s="29"/>
      <c r="DA65" s="29"/>
      <c r="DB65" s="29"/>
      <c r="DC65" s="29"/>
      <c r="DD65" s="29"/>
      <c r="DE65" s="1043"/>
      <c r="DF65" s="29"/>
      <c r="DG65" s="29"/>
      <c r="DH65" s="29"/>
      <c r="DI65" s="29"/>
      <c r="DJ65" s="29"/>
      <c r="DK65" s="29"/>
      <c r="DL65" s="29"/>
      <c r="DM65" s="29"/>
      <c r="DN65" s="29"/>
      <c r="DO65" s="1043"/>
      <c r="DP65" s="29"/>
      <c r="DQ65" s="29"/>
      <c r="DR65" s="29"/>
      <c r="DS65" s="29"/>
      <c r="DT65" s="29"/>
      <c r="DU65" s="29"/>
      <c r="DV65" s="29"/>
      <c r="DW65" s="29"/>
      <c r="DX65" s="29"/>
      <c r="DY65" s="1043"/>
      <c r="DZ65" s="29"/>
      <c r="EA65" s="29"/>
      <c r="EB65" s="29"/>
      <c r="EC65" s="29"/>
      <c r="ED65" s="29"/>
      <c r="EE65" s="29"/>
      <c r="EF65" s="29"/>
      <c r="EG65" s="29"/>
      <c r="EH65" s="29"/>
      <c r="EI65" s="1043"/>
      <c r="EJ65" s="854"/>
      <c r="EK65" s="29"/>
      <c r="EL65" s="29"/>
      <c r="EM65" s="29"/>
      <c r="EN65" s="29"/>
      <c r="EO65" s="29"/>
      <c r="EP65" s="29"/>
      <c r="EQ65" s="29"/>
      <c r="ER65" s="29"/>
      <c r="ES65" s="828"/>
    </row>
    <row r="66" spans="2:149">
      <c r="B66" s="851"/>
      <c r="C66" s="1353"/>
      <c r="D66" s="1389"/>
      <c r="E66" s="1389"/>
      <c r="F66" s="1389"/>
      <c r="G66" s="1354"/>
      <c r="H66" s="1358" t="s">
        <v>637</v>
      </c>
      <c r="I66" s="1359"/>
      <c r="J66" s="1359"/>
      <c r="K66" s="1359"/>
      <c r="L66" s="1359"/>
      <c r="M66" s="1360"/>
      <c r="N66" s="1353"/>
      <c r="O66" s="1354"/>
      <c r="P66" s="1358" t="s">
        <v>637</v>
      </c>
      <c r="Q66" s="1359"/>
      <c r="R66" s="1359"/>
      <c r="S66" s="1359"/>
      <c r="T66" s="1359"/>
      <c r="U66" s="1360"/>
      <c r="V66" s="1353"/>
      <c r="W66" s="1354"/>
      <c r="X66" s="1358" t="s">
        <v>637</v>
      </c>
      <c r="Y66" s="1359"/>
      <c r="Z66" s="1359"/>
      <c r="AA66" s="1359"/>
      <c r="AB66" s="1359"/>
      <c r="AC66" s="1360"/>
      <c r="AD66" s="1353"/>
      <c r="AE66" s="1354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1043"/>
      <c r="AX66" s="29"/>
      <c r="AY66" s="29"/>
      <c r="AZ66" s="29"/>
      <c r="BA66" s="29"/>
      <c r="BB66" s="29"/>
      <c r="BC66" s="29"/>
      <c r="BD66" s="29"/>
      <c r="BE66" s="29"/>
      <c r="BF66" s="29"/>
      <c r="BG66" s="1043"/>
      <c r="BH66" s="29"/>
      <c r="BI66" s="29"/>
      <c r="BJ66" s="29"/>
      <c r="BK66" s="29"/>
      <c r="BL66" s="29"/>
      <c r="BM66" s="29"/>
      <c r="BN66" s="29"/>
      <c r="BO66" s="29"/>
      <c r="BP66" s="29"/>
      <c r="BQ66" s="1043"/>
      <c r="BR66" s="29"/>
      <c r="BS66" s="29"/>
      <c r="BT66" s="29"/>
      <c r="BU66" s="29"/>
      <c r="BV66" s="29"/>
      <c r="BW66" s="29"/>
      <c r="BX66" s="29"/>
      <c r="BY66" s="29"/>
      <c r="BZ66" s="29"/>
      <c r="CA66" s="1043"/>
      <c r="CB66" s="29"/>
      <c r="CC66" s="29"/>
      <c r="CD66" s="29"/>
      <c r="CE66" s="29"/>
      <c r="CF66" s="29"/>
      <c r="CG66" s="29"/>
      <c r="CH66" s="29"/>
      <c r="CI66" s="29"/>
      <c r="CJ66" s="29"/>
      <c r="CK66" s="1043"/>
      <c r="CL66" s="29"/>
      <c r="CM66" s="29"/>
      <c r="CN66" s="29"/>
      <c r="CO66" s="29"/>
      <c r="CP66" s="29"/>
      <c r="CQ66" s="29"/>
      <c r="CR66" s="29"/>
      <c r="CS66" s="29"/>
      <c r="CT66" s="29"/>
      <c r="CU66" s="1043"/>
      <c r="CV66" s="29"/>
      <c r="CW66" s="29"/>
      <c r="CX66" s="29"/>
      <c r="CY66" s="29"/>
      <c r="CZ66" s="29"/>
      <c r="DA66" s="29"/>
      <c r="DB66" s="29"/>
      <c r="DC66" s="29"/>
      <c r="DD66" s="29"/>
      <c r="DE66" s="1043"/>
      <c r="DF66" s="29"/>
      <c r="DG66" s="29"/>
      <c r="DH66" s="29"/>
      <c r="DI66" s="29"/>
      <c r="DJ66" s="29"/>
      <c r="DK66" s="29"/>
      <c r="DL66" s="29"/>
      <c r="DM66" s="29"/>
      <c r="DN66" s="29"/>
      <c r="DO66" s="1043"/>
      <c r="DP66" s="29"/>
      <c r="DQ66" s="29"/>
      <c r="DR66" s="29"/>
      <c r="DS66" s="29"/>
      <c r="DT66" s="29"/>
      <c r="DU66" s="29"/>
      <c r="DV66" s="29"/>
      <c r="DW66" s="29"/>
      <c r="DX66" s="29"/>
      <c r="DY66" s="1043"/>
      <c r="DZ66" s="29"/>
      <c r="EA66" s="29"/>
      <c r="EB66" s="29"/>
      <c r="EC66" s="29"/>
      <c r="ED66" s="29"/>
      <c r="EE66" s="29"/>
      <c r="EF66" s="29"/>
      <c r="EG66" s="29"/>
      <c r="EH66" s="29"/>
      <c r="EI66" s="1043"/>
      <c r="EJ66" s="829"/>
      <c r="EK66" s="824"/>
      <c r="EL66" s="824"/>
      <c r="EM66" s="824"/>
      <c r="EN66" s="824"/>
      <c r="EO66" s="824"/>
      <c r="EP66" s="824"/>
      <c r="EQ66" s="824"/>
      <c r="ER66" s="824"/>
      <c r="ES66" s="830"/>
    </row>
    <row r="67" spans="2:149">
      <c r="B67" s="851"/>
      <c r="C67" s="855" t="s">
        <v>638</v>
      </c>
      <c r="D67" s="841"/>
      <c r="E67" s="841"/>
      <c r="F67" s="841"/>
      <c r="G67" s="842"/>
      <c r="H67" s="856" t="s">
        <v>639</v>
      </c>
      <c r="I67" s="841"/>
      <c r="J67" s="841"/>
      <c r="K67" s="841"/>
      <c r="L67" s="841"/>
      <c r="M67" s="842"/>
      <c r="N67" s="1356" t="s">
        <v>640</v>
      </c>
      <c r="O67" s="1357"/>
      <c r="P67" s="856" t="s">
        <v>641</v>
      </c>
      <c r="Q67" s="841"/>
      <c r="R67" s="841"/>
      <c r="S67" s="841"/>
      <c r="T67" s="841"/>
      <c r="U67" s="842"/>
      <c r="V67" s="1361" t="s">
        <v>642</v>
      </c>
      <c r="W67" s="1357"/>
      <c r="X67" s="856" t="s">
        <v>643</v>
      </c>
      <c r="Y67" s="841"/>
      <c r="Z67" s="841"/>
      <c r="AA67" s="841"/>
      <c r="AB67" s="841"/>
      <c r="AC67" s="842"/>
      <c r="AD67" s="1361" t="s">
        <v>644</v>
      </c>
      <c r="AE67" s="1357"/>
      <c r="AF67" s="29"/>
      <c r="AG67" s="29"/>
      <c r="AH67" s="29"/>
      <c r="AI67" s="29"/>
      <c r="AJ67" s="29"/>
      <c r="AK67" s="29"/>
      <c r="AL67" s="29"/>
      <c r="AM67" s="29"/>
      <c r="AN67" s="1046"/>
      <c r="AO67" s="29"/>
      <c r="AP67" s="29"/>
      <c r="AQ67" s="1046"/>
      <c r="AR67" s="29"/>
      <c r="AS67" s="29"/>
      <c r="AT67" s="29"/>
      <c r="AU67" s="29"/>
      <c r="AV67" s="29"/>
      <c r="AW67" s="1043"/>
      <c r="AX67" s="1046"/>
      <c r="AY67" s="29"/>
      <c r="AZ67" s="29"/>
      <c r="BA67" s="1046"/>
      <c r="BB67" s="29"/>
      <c r="BC67" s="29"/>
      <c r="BD67" s="29"/>
      <c r="BE67" s="29"/>
      <c r="BF67" s="29"/>
      <c r="BG67" s="1043"/>
      <c r="BH67" s="1046"/>
      <c r="BI67" s="29"/>
      <c r="BJ67" s="29"/>
      <c r="BK67" s="1046"/>
      <c r="BL67" s="29"/>
      <c r="BM67" s="29"/>
      <c r="BN67" s="29"/>
      <c r="BO67" s="29"/>
      <c r="BP67" s="29"/>
      <c r="BQ67" s="1043"/>
      <c r="BR67" s="1046"/>
      <c r="BS67" s="29"/>
      <c r="BT67" s="29"/>
      <c r="BU67" s="1046"/>
      <c r="BV67" s="29"/>
      <c r="BW67" s="29"/>
      <c r="BX67" s="29"/>
      <c r="BY67" s="29"/>
      <c r="BZ67" s="29"/>
      <c r="CA67" s="1043"/>
      <c r="CB67" s="1046"/>
      <c r="CC67" s="29"/>
      <c r="CD67" s="29"/>
      <c r="CE67" s="1046"/>
      <c r="CF67" s="29"/>
      <c r="CG67" s="29"/>
      <c r="CH67" s="29"/>
      <c r="CI67" s="29"/>
      <c r="CJ67" s="29"/>
      <c r="CK67" s="1043"/>
      <c r="CL67" s="1046"/>
      <c r="CM67" s="29"/>
      <c r="CN67" s="29"/>
      <c r="CO67" s="1046"/>
      <c r="CP67" s="29"/>
      <c r="CQ67" s="29"/>
      <c r="CR67" s="29"/>
      <c r="CS67" s="29"/>
      <c r="CT67" s="29"/>
      <c r="CU67" s="1043"/>
      <c r="CV67" s="1046"/>
      <c r="CW67" s="29"/>
      <c r="CX67" s="29"/>
      <c r="CY67" s="1046"/>
      <c r="CZ67" s="29"/>
      <c r="DA67" s="29"/>
      <c r="DB67" s="29"/>
      <c r="DC67" s="29"/>
      <c r="DD67" s="29"/>
      <c r="DE67" s="1043"/>
      <c r="DF67" s="1046"/>
      <c r="DG67" s="29"/>
      <c r="DH67" s="29"/>
      <c r="DI67" s="1046"/>
      <c r="DJ67" s="29"/>
      <c r="DK67" s="29"/>
      <c r="DL67" s="29"/>
      <c r="DM67" s="29"/>
      <c r="DN67" s="29"/>
      <c r="DO67" s="1043"/>
      <c r="DP67" s="1046"/>
      <c r="DQ67" s="29"/>
      <c r="DR67" s="29"/>
      <c r="DS67" s="1046"/>
      <c r="DT67" s="29"/>
      <c r="DU67" s="29"/>
      <c r="DV67" s="29"/>
      <c r="DW67" s="29"/>
      <c r="DX67" s="29"/>
      <c r="DY67" s="1043"/>
      <c r="DZ67" s="1046"/>
      <c r="EA67" s="29"/>
      <c r="EB67" s="29"/>
      <c r="EC67" s="1046"/>
      <c r="ED67" s="29"/>
      <c r="EE67" s="29"/>
      <c r="EF67" s="29"/>
      <c r="EG67" s="29"/>
      <c r="EH67" s="29"/>
      <c r="EI67" s="1043"/>
      <c r="EJ67" s="857" t="s">
        <v>113</v>
      </c>
      <c r="EK67" s="784"/>
      <c r="EL67" s="784"/>
      <c r="EM67" s="858" t="s">
        <v>3</v>
      </c>
      <c r="EN67" s="784"/>
      <c r="EO67" s="784"/>
      <c r="EP67" s="784"/>
      <c r="EQ67" s="784"/>
      <c r="ER67" s="784"/>
      <c r="ES67" s="859"/>
    </row>
    <row r="68" spans="2:149">
      <c r="B68" s="851"/>
      <c r="C68" s="860" t="s">
        <v>645</v>
      </c>
      <c r="D68" s="29"/>
      <c r="E68" s="29"/>
      <c r="F68" s="29"/>
      <c r="G68" s="442"/>
      <c r="H68" s="861" t="s">
        <v>646</v>
      </c>
      <c r="I68" s="29"/>
      <c r="J68" s="29"/>
      <c r="K68" s="29"/>
      <c r="L68" s="29"/>
      <c r="M68" s="442"/>
      <c r="N68" s="1349" t="s">
        <v>647</v>
      </c>
      <c r="O68" s="1350"/>
      <c r="P68" s="861" t="s">
        <v>646</v>
      </c>
      <c r="Q68" s="29"/>
      <c r="R68" s="29"/>
      <c r="S68" s="29"/>
      <c r="T68" s="29"/>
      <c r="U68" s="442"/>
      <c r="V68" s="1351" t="s">
        <v>648</v>
      </c>
      <c r="W68" s="1352"/>
      <c r="X68" s="861" t="s">
        <v>649</v>
      </c>
      <c r="Y68" s="29"/>
      <c r="Z68" s="29"/>
      <c r="AA68" s="29"/>
      <c r="AB68" s="29"/>
      <c r="AC68" s="442"/>
      <c r="AD68" s="1351" t="s">
        <v>650</v>
      </c>
      <c r="AE68" s="1352"/>
      <c r="AF68" s="29"/>
      <c r="AG68" s="29"/>
      <c r="AH68" s="29"/>
      <c r="AI68" s="29"/>
      <c r="AJ68" s="29"/>
      <c r="AK68" s="29"/>
      <c r="AL68" s="29"/>
      <c r="AM68" s="29"/>
      <c r="AN68" s="1046"/>
      <c r="AO68" s="29"/>
      <c r="AP68" s="29"/>
      <c r="AQ68" s="1046"/>
      <c r="AR68" s="29"/>
      <c r="AS68" s="29"/>
      <c r="AT68" s="29"/>
      <c r="AU68" s="29"/>
      <c r="AV68" s="29"/>
      <c r="AW68" s="1043"/>
      <c r="AX68" s="1046"/>
      <c r="AY68" s="29"/>
      <c r="AZ68" s="29"/>
      <c r="BA68" s="1046"/>
      <c r="BB68" s="29"/>
      <c r="BC68" s="29"/>
      <c r="BD68" s="29"/>
      <c r="BE68" s="29"/>
      <c r="BF68" s="29"/>
      <c r="BG68" s="1043"/>
      <c r="BH68" s="1046"/>
      <c r="BI68" s="29"/>
      <c r="BJ68" s="29"/>
      <c r="BK68" s="1046"/>
      <c r="BL68" s="29"/>
      <c r="BM68" s="29"/>
      <c r="BN68" s="29"/>
      <c r="BO68" s="29"/>
      <c r="BP68" s="29"/>
      <c r="BQ68" s="1043"/>
      <c r="BR68" s="1046"/>
      <c r="BS68" s="29"/>
      <c r="BT68" s="29"/>
      <c r="BU68" s="1046"/>
      <c r="BV68" s="29"/>
      <c r="BW68" s="29"/>
      <c r="BX68" s="29"/>
      <c r="BY68" s="29"/>
      <c r="BZ68" s="29"/>
      <c r="CA68" s="1043"/>
      <c r="CB68" s="1046"/>
      <c r="CC68" s="29"/>
      <c r="CD68" s="29"/>
      <c r="CE68" s="1046"/>
      <c r="CF68" s="29"/>
      <c r="CG68" s="29"/>
      <c r="CH68" s="29"/>
      <c r="CI68" s="29"/>
      <c r="CJ68" s="29"/>
      <c r="CK68" s="1043"/>
      <c r="CL68" s="1046"/>
      <c r="CM68" s="29"/>
      <c r="CN68" s="29"/>
      <c r="CO68" s="1046"/>
      <c r="CP68" s="29"/>
      <c r="CQ68" s="29"/>
      <c r="CR68" s="29"/>
      <c r="CS68" s="29"/>
      <c r="CT68" s="29"/>
      <c r="CU68" s="1043"/>
      <c r="CV68" s="1046"/>
      <c r="CW68" s="29"/>
      <c r="CX68" s="29"/>
      <c r="CY68" s="1046"/>
      <c r="CZ68" s="29"/>
      <c r="DA68" s="29"/>
      <c r="DB68" s="29"/>
      <c r="DC68" s="29"/>
      <c r="DD68" s="29"/>
      <c r="DE68" s="1043"/>
      <c r="DF68" s="1046"/>
      <c r="DG68" s="29"/>
      <c r="DH68" s="29"/>
      <c r="DI68" s="1046"/>
      <c r="DJ68" s="29"/>
      <c r="DK68" s="29"/>
      <c r="DL68" s="29"/>
      <c r="DM68" s="29"/>
      <c r="DN68" s="29"/>
      <c r="DO68" s="1043"/>
      <c r="DP68" s="1046"/>
      <c r="DQ68" s="29"/>
      <c r="DR68" s="29"/>
      <c r="DS68" s="1046"/>
      <c r="DT68" s="29"/>
      <c r="DU68" s="29"/>
      <c r="DV68" s="29"/>
      <c r="DW68" s="29"/>
      <c r="DX68" s="29"/>
      <c r="DY68" s="1043"/>
      <c r="DZ68" s="1046"/>
      <c r="EA68" s="29"/>
      <c r="EB68" s="29"/>
      <c r="EC68" s="1046"/>
      <c r="ED68" s="29"/>
      <c r="EE68" s="29"/>
      <c r="EF68" s="29"/>
      <c r="EG68" s="29"/>
      <c r="EH68" s="29"/>
      <c r="EI68" s="1043"/>
      <c r="EJ68" s="857" t="s">
        <v>651</v>
      </c>
      <c r="EK68" s="784"/>
      <c r="EL68" s="784"/>
      <c r="EM68" s="858" t="s">
        <v>3</v>
      </c>
      <c r="EN68" s="784"/>
      <c r="EO68" s="784"/>
      <c r="EP68" s="784"/>
      <c r="EQ68" s="784"/>
      <c r="ER68" s="784"/>
      <c r="ES68" s="859"/>
    </row>
    <row r="69" spans="2:149">
      <c r="B69" s="851"/>
      <c r="C69" s="862" t="s">
        <v>652</v>
      </c>
      <c r="D69" s="824"/>
      <c r="E69" s="824"/>
      <c r="F69" s="824"/>
      <c r="G69" s="825"/>
      <c r="H69" s="863" t="s">
        <v>653</v>
      </c>
      <c r="I69" s="824"/>
      <c r="J69" s="824"/>
      <c r="K69" s="824"/>
      <c r="L69" s="824"/>
      <c r="M69" s="825"/>
      <c r="N69" s="1353" t="s">
        <v>654</v>
      </c>
      <c r="O69" s="1354"/>
      <c r="P69" s="863" t="s">
        <v>653</v>
      </c>
      <c r="Q69" s="824"/>
      <c r="R69" s="824"/>
      <c r="S69" s="824"/>
      <c r="T69" s="824"/>
      <c r="U69" s="825"/>
      <c r="V69" s="1355" t="s">
        <v>655</v>
      </c>
      <c r="W69" s="1354"/>
      <c r="X69" s="863" t="s">
        <v>656</v>
      </c>
      <c r="Y69" s="824"/>
      <c r="Z69" s="824"/>
      <c r="AA69" s="824"/>
      <c r="AB69" s="824"/>
      <c r="AC69" s="825"/>
      <c r="AD69" s="1355" t="s">
        <v>657</v>
      </c>
      <c r="AE69" s="1354"/>
      <c r="AF69" s="29"/>
      <c r="AG69" s="29"/>
      <c r="AH69" s="29"/>
      <c r="AI69" s="29"/>
      <c r="AJ69" s="29"/>
      <c r="AK69" s="29"/>
      <c r="AL69" s="29"/>
      <c r="AM69" s="29"/>
      <c r="AN69" s="1046"/>
      <c r="AO69" s="29"/>
      <c r="AP69" s="29"/>
      <c r="AQ69" s="1046"/>
      <c r="AR69" s="29"/>
      <c r="AS69" s="29"/>
      <c r="AT69" s="29"/>
      <c r="AU69" s="29"/>
      <c r="AV69" s="29"/>
      <c r="AW69" s="1043"/>
      <c r="AX69" s="1046"/>
      <c r="AY69" s="29"/>
      <c r="AZ69" s="29"/>
      <c r="BA69" s="1046"/>
      <c r="BB69" s="29"/>
      <c r="BC69" s="29"/>
      <c r="BD69" s="29"/>
      <c r="BE69" s="29"/>
      <c r="BF69" s="29"/>
      <c r="BG69" s="1043"/>
      <c r="BH69" s="1046"/>
      <c r="BI69" s="29"/>
      <c r="BJ69" s="29"/>
      <c r="BK69" s="1046"/>
      <c r="BL69" s="29"/>
      <c r="BM69" s="29"/>
      <c r="BN69" s="29"/>
      <c r="BO69" s="29"/>
      <c r="BP69" s="29"/>
      <c r="BQ69" s="1043"/>
      <c r="BR69" s="1046"/>
      <c r="BS69" s="29"/>
      <c r="BT69" s="29"/>
      <c r="BU69" s="1046"/>
      <c r="BV69" s="29"/>
      <c r="BW69" s="29"/>
      <c r="BX69" s="29"/>
      <c r="BY69" s="29"/>
      <c r="BZ69" s="29"/>
      <c r="CA69" s="1043"/>
      <c r="CB69" s="1046"/>
      <c r="CC69" s="29"/>
      <c r="CD69" s="29"/>
      <c r="CE69" s="1046"/>
      <c r="CF69" s="29"/>
      <c r="CG69" s="29"/>
      <c r="CH69" s="29"/>
      <c r="CI69" s="29"/>
      <c r="CJ69" s="29"/>
      <c r="CK69" s="1043"/>
      <c r="CL69" s="1046"/>
      <c r="CM69" s="29"/>
      <c r="CN69" s="29"/>
      <c r="CO69" s="1046"/>
      <c r="CP69" s="29"/>
      <c r="CQ69" s="29"/>
      <c r="CR69" s="29"/>
      <c r="CS69" s="29"/>
      <c r="CT69" s="29"/>
      <c r="CU69" s="1043"/>
      <c r="CV69" s="1046"/>
      <c r="CW69" s="29"/>
      <c r="CX69" s="29"/>
      <c r="CY69" s="1046"/>
      <c r="CZ69" s="29"/>
      <c r="DA69" s="29"/>
      <c r="DB69" s="29"/>
      <c r="DC69" s="29"/>
      <c r="DD69" s="29"/>
      <c r="DE69" s="1043"/>
      <c r="DF69" s="1046"/>
      <c r="DG69" s="29"/>
      <c r="DH69" s="29"/>
      <c r="DI69" s="1046"/>
      <c r="DJ69" s="29"/>
      <c r="DK69" s="29"/>
      <c r="DL69" s="29"/>
      <c r="DM69" s="29"/>
      <c r="DN69" s="29"/>
      <c r="DO69" s="1043"/>
      <c r="DP69" s="1046"/>
      <c r="DQ69" s="29"/>
      <c r="DR69" s="29"/>
      <c r="DS69" s="1046"/>
      <c r="DT69" s="29"/>
      <c r="DU69" s="29"/>
      <c r="DV69" s="29"/>
      <c r="DW69" s="29"/>
      <c r="DX69" s="29"/>
      <c r="DY69" s="1043"/>
      <c r="DZ69" s="1046"/>
      <c r="EA69" s="29"/>
      <c r="EB69" s="29"/>
      <c r="EC69" s="1046"/>
      <c r="ED69" s="29"/>
      <c r="EE69" s="29"/>
      <c r="EF69" s="29"/>
      <c r="EG69" s="29"/>
      <c r="EH69" s="29"/>
      <c r="EI69" s="1043"/>
      <c r="EJ69" s="857" t="s">
        <v>104</v>
      </c>
      <c r="EK69" s="784"/>
      <c r="EL69" s="784"/>
      <c r="EM69" s="858" t="s">
        <v>3</v>
      </c>
      <c r="EN69" s="784"/>
      <c r="EO69" s="784"/>
      <c r="EP69" s="784"/>
      <c r="EQ69" s="784"/>
      <c r="ER69" s="784"/>
      <c r="ES69" s="859"/>
    </row>
    <row r="70" spans="2:149">
      <c r="B70" s="851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  <c r="DO70" s="29"/>
      <c r="DP70" s="29"/>
      <c r="DQ70" s="29"/>
      <c r="DR70" s="29"/>
      <c r="DS70" s="29"/>
      <c r="DT70" s="29"/>
      <c r="DU70" s="29"/>
      <c r="DV70" s="29"/>
      <c r="DW70" s="29"/>
      <c r="DX70" s="29"/>
      <c r="DY70" s="29"/>
      <c r="DZ70" s="29"/>
      <c r="EA70" s="29"/>
      <c r="EB70" s="29"/>
      <c r="EC70" s="29"/>
      <c r="ED70" s="29"/>
      <c r="EE70" s="29"/>
      <c r="EF70" s="29"/>
      <c r="EG70" s="29"/>
      <c r="EH70" s="29"/>
      <c r="EI70" s="29"/>
      <c r="EJ70" s="29"/>
      <c r="EK70" s="29"/>
      <c r="EL70" s="29"/>
      <c r="EM70" s="29"/>
      <c r="EN70" s="29"/>
      <c r="EO70" s="29"/>
      <c r="EP70" s="29"/>
      <c r="EQ70" s="29"/>
      <c r="ER70" s="29"/>
      <c r="ES70" s="828"/>
    </row>
    <row r="71" spans="2:149">
      <c r="B71" s="851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  <c r="DO71" s="29"/>
      <c r="DP71" s="29"/>
      <c r="DQ71" s="29"/>
      <c r="DR71" s="29"/>
      <c r="DS71" s="29"/>
      <c r="DT71" s="29"/>
      <c r="DU71" s="29"/>
      <c r="DV71" s="29"/>
      <c r="DW71" s="29"/>
      <c r="DX71" s="29"/>
      <c r="DY71" s="29"/>
      <c r="DZ71" s="29"/>
      <c r="EA71" s="29"/>
      <c r="EB71" s="29"/>
      <c r="EC71" s="29"/>
      <c r="ED71" s="29"/>
      <c r="EE71" s="29"/>
      <c r="EF71" s="29"/>
      <c r="EG71" s="29"/>
      <c r="EH71" s="29"/>
      <c r="EI71" s="29"/>
      <c r="EJ71" s="29"/>
      <c r="EK71" s="29"/>
      <c r="EL71" s="29"/>
      <c r="EM71" s="29"/>
      <c r="EN71" s="29"/>
      <c r="EO71" s="29"/>
      <c r="EP71" s="29"/>
      <c r="EQ71" s="29"/>
      <c r="ER71" s="29"/>
      <c r="ES71" s="828"/>
    </row>
    <row r="72" spans="2:149" ht="15.75" thickBot="1">
      <c r="B72" s="864" t="s">
        <v>658</v>
      </c>
      <c r="C72" s="865"/>
      <c r="D72" s="865"/>
      <c r="E72" s="865"/>
      <c r="F72" s="865"/>
      <c r="G72" s="865"/>
      <c r="H72" s="865"/>
      <c r="I72" s="865"/>
      <c r="J72" s="865"/>
      <c r="K72" s="865"/>
      <c r="L72" s="865"/>
      <c r="M72" s="865"/>
      <c r="N72" s="865"/>
      <c r="O72" s="865"/>
      <c r="P72" s="865"/>
      <c r="Q72" s="865"/>
      <c r="R72" s="865"/>
      <c r="S72" s="865"/>
      <c r="T72" s="865"/>
      <c r="U72" s="865"/>
      <c r="V72" s="865"/>
      <c r="W72" s="865"/>
      <c r="X72" s="865"/>
      <c r="Y72" s="865"/>
      <c r="Z72" s="865"/>
      <c r="AA72" s="865"/>
      <c r="AB72" s="865"/>
      <c r="AC72" s="865"/>
      <c r="AD72" s="865"/>
      <c r="AE72" s="865"/>
      <c r="AF72" s="865"/>
      <c r="AG72" s="865"/>
      <c r="AH72" s="865"/>
      <c r="AI72" s="865"/>
      <c r="AJ72" s="865"/>
      <c r="AK72" s="865"/>
      <c r="AL72" s="865"/>
      <c r="AM72" s="865"/>
      <c r="AN72" s="1045"/>
      <c r="AO72" s="1045"/>
      <c r="AP72" s="1045"/>
      <c r="AQ72" s="1045"/>
      <c r="AR72" s="1045"/>
      <c r="AS72" s="1045"/>
      <c r="AT72" s="1045"/>
      <c r="AU72" s="1045"/>
      <c r="AV72" s="1045"/>
      <c r="AW72" s="1045"/>
      <c r="AX72" s="1045"/>
      <c r="AY72" s="1045"/>
      <c r="AZ72" s="1045"/>
      <c r="BA72" s="1045"/>
      <c r="BB72" s="1045"/>
      <c r="BC72" s="1045"/>
      <c r="BD72" s="1045"/>
      <c r="BE72" s="1045"/>
      <c r="BF72" s="1045"/>
      <c r="BG72" s="1045"/>
      <c r="BH72" s="1045"/>
      <c r="BI72" s="1045"/>
      <c r="BJ72" s="1045"/>
      <c r="BK72" s="1045"/>
      <c r="BL72" s="1045"/>
      <c r="BM72" s="1045"/>
      <c r="BN72" s="1045"/>
      <c r="BO72" s="1045"/>
      <c r="BP72" s="1045"/>
      <c r="BQ72" s="1045"/>
      <c r="BR72" s="1045"/>
      <c r="BS72" s="1045"/>
      <c r="BT72" s="1045"/>
      <c r="BU72" s="1045"/>
      <c r="BV72" s="1045"/>
      <c r="BW72" s="1045"/>
      <c r="BX72" s="1045"/>
      <c r="BY72" s="1045"/>
      <c r="BZ72" s="1045"/>
      <c r="CA72" s="1045"/>
      <c r="CB72" s="1045"/>
      <c r="CC72" s="1045"/>
      <c r="CD72" s="1045"/>
      <c r="CE72" s="1045"/>
      <c r="CF72" s="1045"/>
      <c r="CG72" s="1045"/>
      <c r="CH72" s="1045"/>
      <c r="CI72" s="1045"/>
      <c r="CJ72" s="1045"/>
      <c r="CK72" s="1045"/>
      <c r="CL72" s="1045"/>
      <c r="CM72" s="1045"/>
      <c r="CN72" s="1045"/>
      <c r="CO72" s="1045"/>
      <c r="CP72" s="1045"/>
      <c r="CQ72" s="1045"/>
      <c r="CR72" s="1045"/>
      <c r="CS72" s="1045"/>
      <c r="CT72" s="1045"/>
      <c r="CU72" s="1045"/>
      <c r="CV72" s="1045"/>
      <c r="CW72" s="1045"/>
      <c r="CX72" s="1045"/>
      <c r="CY72" s="1045"/>
      <c r="CZ72" s="1045"/>
      <c r="DA72" s="1045"/>
      <c r="DB72" s="1045"/>
      <c r="DC72" s="1045"/>
      <c r="DD72" s="1045"/>
      <c r="DE72" s="1045"/>
      <c r="DF72" s="1045"/>
      <c r="DG72" s="1045"/>
      <c r="DH72" s="1045"/>
      <c r="DI72" s="1045"/>
      <c r="DJ72" s="1045"/>
      <c r="DK72" s="1045"/>
      <c r="DL72" s="1045"/>
      <c r="DM72" s="1045"/>
      <c r="DN72" s="1045"/>
      <c r="DO72" s="1045"/>
      <c r="DP72" s="1045"/>
      <c r="DQ72" s="1045"/>
      <c r="DR72" s="1045"/>
      <c r="DS72" s="1045"/>
      <c r="DT72" s="1045"/>
      <c r="DU72" s="1045"/>
      <c r="DV72" s="1045"/>
      <c r="DW72" s="1045"/>
      <c r="DX72" s="1045"/>
      <c r="DY72" s="1045"/>
      <c r="DZ72" s="1045"/>
      <c r="EA72" s="1045"/>
      <c r="EB72" s="1045"/>
      <c r="EC72" s="1045"/>
      <c r="ED72" s="1045"/>
      <c r="EE72" s="1045"/>
      <c r="EF72" s="1045"/>
      <c r="EG72" s="1045"/>
      <c r="EH72" s="1045"/>
      <c r="EI72" s="1045"/>
      <c r="EJ72" s="865"/>
      <c r="EK72" s="865"/>
      <c r="EL72" s="865"/>
      <c r="EM72" s="865"/>
      <c r="EN72" s="865"/>
      <c r="EO72" s="865"/>
      <c r="EP72" s="1342" t="s">
        <v>659</v>
      </c>
      <c r="EQ72" s="1342"/>
      <c r="ER72" s="1342"/>
      <c r="ES72" s="1343"/>
    </row>
  </sheetData>
  <mergeCells count="2724">
    <mergeCell ref="EO2:ES2"/>
    <mergeCell ref="G3:EI4"/>
    <mergeCell ref="B5:F6"/>
    <mergeCell ref="G5:EI5"/>
    <mergeCell ref="G6:EI6"/>
    <mergeCell ref="B7:B10"/>
    <mergeCell ref="G7:I10"/>
    <mergeCell ref="J7:S8"/>
    <mergeCell ref="T7:EI7"/>
    <mergeCell ref="EJ7:ES8"/>
    <mergeCell ref="C65:G66"/>
    <mergeCell ref="H65:M65"/>
    <mergeCell ref="N65:O66"/>
    <mergeCell ref="P65:U65"/>
    <mergeCell ref="V65:W66"/>
    <mergeCell ref="X65:AC65"/>
    <mergeCell ref="EJ9:EL10"/>
    <mergeCell ref="EM9:EP9"/>
    <mergeCell ref="M10:N10"/>
    <mergeCell ref="O10:P10"/>
    <mergeCell ref="W10:X10"/>
    <mergeCell ref="Y10:Z10"/>
    <mergeCell ref="AG10:AH10"/>
    <mergeCell ref="AI10:AJ10"/>
    <mergeCell ref="AA9:AC10"/>
    <mergeCell ref="AD9:AF10"/>
    <mergeCell ref="AG9:AJ9"/>
    <mergeCell ref="AK9:AM10"/>
    <mergeCell ref="C8:F9"/>
    <mergeCell ref="J9:L10"/>
    <mergeCell ref="M9:P9"/>
    <mergeCell ref="Q9:S10"/>
    <mergeCell ref="T9:V10"/>
    <mergeCell ref="W9:Z9"/>
    <mergeCell ref="T28:V28"/>
    <mergeCell ref="T17:V17"/>
    <mergeCell ref="T18:V18"/>
    <mergeCell ref="T19:V19"/>
    <mergeCell ref="N68:O68"/>
    <mergeCell ref="V68:W68"/>
    <mergeCell ref="AD68:AE68"/>
    <mergeCell ref="N69:O69"/>
    <mergeCell ref="V69:W69"/>
    <mergeCell ref="AD69:AE69"/>
    <mergeCell ref="AD65:AE66"/>
    <mergeCell ref="H66:M66"/>
    <mergeCell ref="P66:U66"/>
    <mergeCell ref="X66:AC66"/>
    <mergeCell ref="N67:O67"/>
    <mergeCell ref="V67:W67"/>
    <mergeCell ref="AD67:AE67"/>
    <mergeCell ref="T21:V21"/>
    <mergeCell ref="T22:V22"/>
    <mergeCell ref="T35:V35"/>
    <mergeCell ref="T36:V36"/>
    <mergeCell ref="T37:V37"/>
    <mergeCell ref="T38:V38"/>
    <mergeCell ref="T39:V39"/>
    <mergeCell ref="T40:V40"/>
    <mergeCell ref="T29:V29"/>
    <mergeCell ref="T30:V30"/>
    <mergeCell ref="T31:V31"/>
    <mergeCell ref="T32:V32"/>
    <mergeCell ref="T33:V33"/>
    <mergeCell ref="T34:V34"/>
    <mergeCell ref="EP72:ES72"/>
    <mergeCell ref="T8:AC8"/>
    <mergeCell ref="AD8:AM8"/>
    <mergeCell ref="T11:V11"/>
    <mergeCell ref="T12:V12"/>
    <mergeCell ref="T13:V13"/>
    <mergeCell ref="T14:V14"/>
    <mergeCell ref="T15:V15"/>
    <mergeCell ref="T16:V16"/>
    <mergeCell ref="EM10:EN10"/>
    <mergeCell ref="EO10:EP10"/>
    <mergeCell ref="EJ63:ES63"/>
    <mergeCell ref="EQ9:ES10"/>
    <mergeCell ref="T23:V23"/>
    <mergeCell ref="T24:V24"/>
    <mergeCell ref="T25:V25"/>
    <mergeCell ref="T26:V26"/>
    <mergeCell ref="T27:V27"/>
    <mergeCell ref="AA11:AC11"/>
    <mergeCell ref="AA12:AC12"/>
    <mergeCell ref="AA13:AC13"/>
    <mergeCell ref="AA14:AC14"/>
    <mergeCell ref="AA15:AC15"/>
    <mergeCell ref="AA16:AC16"/>
    <mergeCell ref="AA17:AC17"/>
    <mergeCell ref="AA18:AC18"/>
    <mergeCell ref="AA19:AC19"/>
    <mergeCell ref="Y20:Z20"/>
    <mergeCell ref="AA20:AC20"/>
    <mergeCell ref="T59:V59"/>
    <mergeCell ref="T60:V60"/>
    <mergeCell ref="T53:V53"/>
    <mergeCell ref="T54:V54"/>
    <mergeCell ref="T55:V55"/>
    <mergeCell ref="T56:V56"/>
    <mergeCell ref="T57:V57"/>
    <mergeCell ref="T58:V58"/>
    <mergeCell ref="T47:V47"/>
    <mergeCell ref="T48:V48"/>
    <mergeCell ref="T49:V49"/>
    <mergeCell ref="T50:V50"/>
    <mergeCell ref="T51:V51"/>
    <mergeCell ref="T52:V52"/>
    <mergeCell ref="T41:V41"/>
    <mergeCell ref="T42:V42"/>
    <mergeCell ref="T43:V43"/>
    <mergeCell ref="T44:V44"/>
    <mergeCell ref="T45:V45"/>
    <mergeCell ref="T46:V46"/>
    <mergeCell ref="T20:V20"/>
    <mergeCell ref="AA30:AC30"/>
    <mergeCell ref="AA31:AC31"/>
    <mergeCell ref="AA32:AC32"/>
    <mergeCell ref="AA33:AC33"/>
    <mergeCell ref="AA34:AC34"/>
    <mergeCell ref="AA35:AC35"/>
    <mergeCell ref="AA36:AC36"/>
    <mergeCell ref="AA37:AC37"/>
    <mergeCell ref="AA38:AC38"/>
    <mergeCell ref="AA21:AC21"/>
    <mergeCell ref="AA22:AC22"/>
    <mergeCell ref="AA23:AC23"/>
    <mergeCell ref="AA24:AC24"/>
    <mergeCell ref="AA25:AC25"/>
    <mergeCell ref="AA26:AC26"/>
    <mergeCell ref="AA27:AC27"/>
    <mergeCell ref="AA28:AC28"/>
    <mergeCell ref="AA29:AC29"/>
    <mergeCell ref="Y30:Z30"/>
    <mergeCell ref="Y31:Z31"/>
    <mergeCell ref="Y32:Z32"/>
    <mergeCell ref="Y33:Z33"/>
    <mergeCell ref="Y34:Z34"/>
    <mergeCell ref="Y35:Z35"/>
    <mergeCell ref="Y36:Z36"/>
    <mergeCell ref="Y37:Z37"/>
    <mergeCell ref="Y38:Z38"/>
    <mergeCell ref="Y29:Z29"/>
    <mergeCell ref="W34:X34"/>
    <mergeCell ref="W35:X35"/>
    <mergeCell ref="W36:X36"/>
    <mergeCell ref="AA57:AC57"/>
    <mergeCell ref="AA58:AC58"/>
    <mergeCell ref="AA59:AC59"/>
    <mergeCell ref="AA60:AC60"/>
    <mergeCell ref="AA48:AC48"/>
    <mergeCell ref="AA49:AC49"/>
    <mergeCell ref="AA50:AC50"/>
    <mergeCell ref="AA51:AC51"/>
    <mergeCell ref="AA52:AC52"/>
    <mergeCell ref="AA53:AC53"/>
    <mergeCell ref="AA54:AC54"/>
    <mergeCell ref="AA55:AC55"/>
    <mergeCell ref="AA56:AC56"/>
    <mergeCell ref="AA39:AC39"/>
    <mergeCell ref="AA40:AC40"/>
    <mergeCell ref="AA41:AC41"/>
    <mergeCell ref="AA42:AC42"/>
    <mergeCell ref="AA43:AC43"/>
    <mergeCell ref="AA44:AC44"/>
    <mergeCell ref="AA45:AC45"/>
    <mergeCell ref="AA46:AC46"/>
    <mergeCell ref="AA47:AC47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1:Z21"/>
    <mergeCell ref="Y22:Z22"/>
    <mergeCell ref="Y23:Z23"/>
    <mergeCell ref="Y24:Z24"/>
    <mergeCell ref="Y25:Z25"/>
    <mergeCell ref="Y26:Z26"/>
    <mergeCell ref="Y27:Z27"/>
    <mergeCell ref="Y28:Z28"/>
    <mergeCell ref="Y57:Z57"/>
    <mergeCell ref="Y58:Z58"/>
    <mergeCell ref="Y59:Z59"/>
    <mergeCell ref="Y60:Z60"/>
    <mergeCell ref="Y48:Z48"/>
    <mergeCell ref="Y49:Z49"/>
    <mergeCell ref="Y50:Z50"/>
    <mergeCell ref="Y51:Z51"/>
    <mergeCell ref="Y52:Z52"/>
    <mergeCell ref="Y53:Z53"/>
    <mergeCell ref="Y54:Z54"/>
    <mergeCell ref="Y55:Z55"/>
    <mergeCell ref="Y56:Z56"/>
    <mergeCell ref="Y39:Z39"/>
    <mergeCell ref="Y40:Z40"/>
    <mergeCell ref="Y41:Z41"/>
    <mergeCell ref="Y42:Z42"/>
    <mergeCell ref="Y43:Z43"/>
    <mergeCell ref="Y44:Z44"/>
    <mergeCell ref="Y45:Z45"/>
    <mergeCell ref="Y46:Z46"/>
    <mergeCell ref="Y47:Z47"/>
    <mergeCell ref="W37:X37"/>
    <mergeCell ref="W38:X38"/>
    <mergeCell ref="W39:X39"/>
    <mergeCell ref="W40:X40"/>
    <mergeCell ref="W41:X41"/>
    <mergeCell ref="W42:X42"/>
    <mergeCell ref="W11:X11"/>
    <mergeCell ref="W12:X12"/>
    <mergeCell ref="W13:X13"/>
    <mergeCell ref="W14:X14"/>
    <mergeCell ref="W15:X15"/>
    <mergeCell ref="W16:X16"/>
    <mergeCell ref="W17:X17"/>
    <mergeCell ref="W18:X18"/>
    <mergeCell ref="W19:X19"/>
    <mergeCell ref="W20:X20"/>
    <mergeCell ref="W21:X21"/>
    <mergeCell ref="W22:X22"/>
    <mergeCell ref="W23:X23"/>
    <mergeCell ref="W24:X24"/>
    <mergeCell ref="W25:X25"/>
    <mergeCell ref="W26:X26"/>
    <mergeCell ref="W27:X27"/>
    <mergeCell ref="W28:X28"/>
    <mergeCell ref="W29:X29"/>
    <mergeCell ref="W30:X30"/>
    <mergeCell ref="W31:X31"/>
    <mergeCell ref="W32:X32"/>
    <mergeCell ref="W33:X33"/>
    <mergeCell ref="W52:X52"/>
    <mergeCell ref="W53:X53"/>
    <mergeCell ref="W54:X54"/>
    <mergeCell ref="W55:X55"/>
    <mergeCell ref="W56:X56"/>
    <mergeCell ref="W57:X57"/>
    <mergeCell ref="W58:X58"/>
    <mergeCell ref="W59:X59"/>
    <mergeCell ref="W60:X60"/>
    <mergeCell ref="W43:X43"/>
    <mergeCell ref="W44:X44"/>
    <mergeCell ref="W45:X45"/>
    <mergeCell ref="W46:X46"/>
    <mergeCell ref="W47:X47"/>
    <mergeCell ref="W48:X48"/>
    <mergeCell ref="W49:X49"/>
    <mergeCell ref="W50:X50"/>
    <mergeCell ref="W51:X51"/>
    <mergeCell ref="AX63:BG63"/>
    <mergeCell ref="AN8:AW8"/>
    <mergeCell ref="AN9:AP10"/>
    <mergeCell ref="AQ9:AT9"/>
    <mergeCell ref="AU9:AW10"/>
    <mergeCell ref="AQ10:AR10"/>
    <mergeCell ref="AS10:AT10"/>
    <mergeCell ref="AN63:AW63"/>
    <mergeCell ref="DP8:DY8"/>
    <mergeCell ref="DP9:DR10"/>
    <mergeCell ref="DS9:DV9"/>
    <mergeCell ref="DW9:DY10"/>
    <mergeCell ref="DS10:DT10"/>
    <mergeCell ref="DU10:DV10"/>
    <mergeCell ref="DP63:DY63"/>
    <mergeCell ref="CB8:CK8"/>
    <mergeCell ref="CL8:CU8"/>
    <mergeCell ref="CB9:CD10"/>
    <mergeCell ref="CE9:CH9"/>
    <mergeCell ref="CI9:CK10"/>
    <mergeCell ref="CL9:CN10"/>
    <mergeCell ref="CO9:CR9"/>
    <mergeCell ref="CS9:CU10"/>
    <mergeCell ref="CE10:CF10"/>
    <mergeCell ref="AX8:BG8"/>
    <mergeCell ref="AX9:AZ10"/>
    <mergeCell ref="BA9:BD9"/>
    <mergeCell ref="BE9:BG10"/>
    <mergeCell ref="BA10:BB10"/>
    <mergeCell ref="BC10:BD10"/>
    <mergeCell ref="CG10:CH10"/>
    <mergeCell ref="CO10:CP10"/>
    <mergeCell ref="DZ63:EI63"/>
    <mergeCell ref="CV8:DE8"/>
    <mergeCell ref="DF8:DO8"/>
    <mergeCell ref="CV9:CX10"/>
    <mergeCell ref="CY9:DB9"/>
    <mergeCell ref="DC9:DE10"/>
    <mergeCell ref="DF9:DH10"/>
    <mergeCell ref="DI9:DL9"/>
    <mergeCell ref="DM9:DO10"/>
    <mergeCell ref="CY10:CZ10"/>
    <mergeCell ref="DA10:DB10"/>
    <mergeCell ref="DI10:DJ10"/>
    <mergeCell ref="DK10:DL10"/>
    <mergeCell ref="CV63:DE63"/>
    <mergeCell ref="DF63:DO63"/>
    <mergeCell ref="DC11:DE11"/>
    <mergeCell ref="DF11:DH11"/>
    <mergeCell ref="DI11:DJ11"/>
    <mergeCell ref="DK11:DL11"/>
    <mergeCell ref="DM11:DO11"/>
    <mergeCell ref="DP11:DR11"/>
    <mergeCell ref="DS11:DT11"/>
    <mergeCell ref="DU11:DV11"/>
    <mergeCell ref="DW11:DY11"/>
    <mergeCell ref="DZ8:EI8"/>
    <mergeCell ref="DZ9:EB10"/>
    <mergeCell ref="EC9:EF9"/>
    <mergeCell ref="EG9:EI10"/>
    <mergeCell ref="EC10:ED10"/>
    <mergeCell ref="EE10:EF10"/>
    <mergeCell ref="DA11:DB11"/>
    <mergeCell ref="DZ11:EB11"/>
    <mergeCell ref="CB63:CK63"/>
    <mergeCell ref="CL63:CU63"/>
    <mergeCell ref="BH8:BQ8"/>
    <mergeCell ref="BR8:CA8"/>
    <mergeCell ref="BH9:BJ10"/>
    <mergeCell ref="BK9:BN9"/>
    <mergeCell ref="BO9:BQ10"/>
    <mergeCell ref="BR9:BT10"/>
    <mergeCell ref="BU9:BX9"/>
    <mergeCell ref="BY9:CA10"/>
    <mergeCell ref="BK10:BL10"/>
    <mergeCell ref="BM10:BN10"/>
    <mergeCell ref="BU10:BV10"/>
    <mergeCell ref="BW10:BX10"/>
    <mergeCell ref="BH63:BQ63"/>
    <mergeCell ref="BR63:CA63"/>
    <mergeCell ref="BM11:BN11"/>
    <mergeCell ref="BO11:BQ11"/>
    <mergeCell ref="BR11:BT11"/>
    <mergeCell ref="BU11:BV11"/>
    <mergeCell ref="BW11:BX11"/>
    <mergeCell ref="BY11:CA11"/>
    <mergeCell ref="CB11:CD11"/>
    <mergeCell ref="CE11:CF11"/>
    <mergeCell ref="CQ10:CR10"/>
    <mergeCell ref="CQ19:CR19"/>
    <mergeCell ref="CS19:CU19"/>
    <mergeCell ref="CQ20:CR20"/>
    <mergeCell ref="CS20:CU20"/>
    <mergeCell ref="CQ25:CR25"/>
    <mergeCell ref="CS25:CU25"/>
    <mergeCell ref="CQ26:CR26"/>
    <mergeCell ref="AD14:AF14"/>
    <mergeCell ref="AG14:AH14"/>
    <mergeCell ref="AI14:AJ14"/>
    <mergeCell ref="AK14:AM14"/>
    <mergeCell ref="AD15:AF15"/>
    <mergeCell ref="AG15:AH15"/>
    <mergeCell ref="AI15:AJ15"/>
    <mergeCell ref="AK15:AM15"/>
    <mergeCell ref="AD16:AF16"/>
    <mergeCell ref="AG16:AH16"/>
    <mergeCell ref="AI16:AJ16"/>
    <mergeCell ref="AK16:AM16"/>
    <mergeCell ref="AD11:AF11"/>
    <mergeCell ref="AG11:AH11"/>
    <mergeCell ref="AI11:AJ11"/>
    <mergeCell ref="AK11:AM11"/>
    <mergeCell ref="AD12:AF12"/>
    <mergeCell ref="AG12:AH12"/>
    <mergeCell ref="AI12:AJ12"/>
    <mergeCell ref="AK12:AM12"/>
    <mergeCell ref="AD13:AF13"/>
    <mergeCell ref="AG13:AH13"/>
    <mergeCell ref="AI13:AJ13"/>
    <mergeCell ref="AK13:AM13"/>
    <mergeCell ref="AD20:AF20"/>
    <mergeCell ref="AG20:AH20"/>
    <mergeCell ref="AI20:AJ20"/>
    <mergeCell ref="AK20:AM20"/>
    <mergeCell ref="AD21:AF21"/>
    <mergeCell ref="AG21:AH21"/>
    <mergeCell ref="AI21:AJ21"/>
    <mergeCell ref="AK21:AM21"/>
    <mergeCell ref="AD22:AF22"/>
    <mergeCell ref="AG22:AH22"/>
    <mergeCell ref="AI22:AJ22"/>
    <mergeCell ref="AK22:AM22"/>
    <mergeCell ref="AD17:AF17"/>
    <mergeCell ref="AG17:AH17"/>
    <mergeCell ref="AI17:AJ17"/>
    <mergeCell ref="AK17:AM17"/>
    <mergeCell ref="AD18:AF18"/>
    <mergeCell ref="AG18:AH18"/>
    <mergeCell ref="AI18:AJ18"/>
    <mergeCell ref="AK18:AM18"/>
    <mergeCell ref="AD19:AF19"/>
    <mergeCell ref="AG19:AH19"/>
    <mergeCell ref="AI19:AJ19"/>
    <mergeCell ref="AK19:AM19"/>
    <mergeCell ref="AD26:AF26"/>
    <mergeCell ref="AG26:AH26"/>
    <mergeCell ref="AI26:AJ26"/>
    <mergeCell ref="AK26:AM26"/>
    <mergeCell ref="AD27:AF27"/>
    <mergeCell ref="AG27:AH27"/>
    <mergeCell ref="AI27:AJ27"/>
    <mergeCell ref="AK27:AM27"/>
    <mergeCell ref="AD28:AF28"/>
    <mergeCell ref="AG28:AH28"/>
    <mergeCell ref="AI28:AJ28"/>
    <mergeCell ref="AK28:AM28"/>
    <mergeCell ref="AD23:AF23"/>
    <mergeCell ref="AG23:AH23"/>
    <mergeCell ref="AI23:AJ23"/>
    <mergeCell ref="AK23:AM23"/>
    <mergeCell ref="AD24:AF24"/>
    <mergeCell ref="AG24:AH24"/>
    <mergeCell ref="AI24:AJ24"/>
    <mergeCell ref="AK24:AM24"/>
    <mergeCell ref="AD25:AF25"/>
    <mergeCell ref="AG25:AH25"/>
    <mergeCell ref="AI25:AJ25"/>
    <mergeCell ref="AK25:AM25"/>
    <mergeCell ref="AD32:AF32"/>
    <mergeCell ref="AG32:AH32"/>
    <mergeCell ref="AI32:AJ32"/>
    <mergeCell ref="AK32:AM32"/>
    <mergeCell ref="AD33:AF33"/>
    <mergeCell ref="AG33:AH33"/>
    <mergeCell ref="AI33:AJ33"/>
    <mergeCell ref="AK33:AM33"/>
    <mergeCell ref="AD34:AF34"/>
    <mergeCell ref="AG34:AH34"/>
    <mergeCell ref="AI34:AJ34"/>
    <mergeCell ref="AK34:AM34"/>
    <mergeCell ref="AD29:AF29"/>
    <mergeCell ref="AG29:AH29"/>
    <mergeCell ref="AI29:AJ29"/>
    <mergeCell ref="AK29:AM29"/>
    <mergeCell ref="AD30:AF30"/>
    <mergeCell ref="AG30:AH30"/>
    <mergeCell ref="AI30:AJ30"/>
    <mergeCell ref="AK30:AM30"/>
    <mergeCell ref="AD31:AF31"/>
    <mergeCell ref="AG31:AH31"/>
    <mergeCell ref="AI31:AJ31"/>
    <mergeCell ref="AK31:AM31"/>
    <mergeCell ref="AD38:AF38"/>
    <mergeCell ref="AG38:AH38"/>
    <mergeCell ref="AI38:AJ38"/>
    <mergeCell ref="AK38:AM38"/>
    <mergeCell ref="AD39:AF39"/>
    <mergeCell ref="AG39:AH39"/>
    <mergeCell ref="AI39:AJ39"/>
    <mergeCell ref="AK39:AM39"/>
    <mergeCell ref="AD40:AF40"/>
    <mergeCell ref="AG40:AH40"/>
    <mergeCell ref="AI40:AJ40"/>
    <mergeCell ref="AK40:AM40"/>
    <mergeCell ref="AD35:AF35"/>
    <mergeCell ref="AG35:AH35"/>
    <mergeCell ref="AI35:AJ35"/>
    <mergeCell ref="AK35:AM35"/>
    <mergeCell ref="AD36:AF36"/>
    <mergeCell ref="AG36:AH36"/>
    <mergeCell ref="AI36:AJ36"/>
    <mergeCell ref="AK36:AM36"/>
    <mergeCell ref="AD37:AF37"/>
    <mergeCell ref="AG37:AH37"/>
    <mergeCell ref="AI37:AJ37"/>
    <mergeCell ref="AK37:AM37"/>
    <mergeCell ref="AD44:AF44"/>
    <mergeCell ref="AG44:AH44"/>
    <mergeCell ref="AI44:AJ44"/>
    <mergeCell ref="AK44:AM44"/>
    <mergeCell ref="AD45:AF45"/>
    <mergeCell ref="AG45:AH45"/>
    <mergeCell ref="AI45:AJ45"/>
    <mergeCell ref="AK45:AM45"/>
    <mergeCell ref="AD46:AF46"/>
    <mergeCell ref="AG46:AH46"/>
    <mergeCell ref="AI46:AJ46"/>
    <mergeCell ref="AK46:AM46"/>
    <mergeCell ref="AD41:AF41"/>
    <mergeCell ref="AG41:AH41"/>
    <mergeCell ref="AI41:AJ41"/>
    <mergeCell ref="AK41:AM41"/>
    <mergeCell ref="AD42:AF42"/>
    <mergeCell ref="AG42:AH42"/>
    <mergeCell ref="AI42:AJ42"/>
    <mergeCell ref="AK42:AM42"/>
    <mergeCell ref="AD43:AF43"/>
    <mergeCell ref="AG43:AH43"/>
    <mergeCell ref="AI43:AJ43"/>
    <mergeCell ref="AK43:AM43"/>
    <mergeCell ref="AD50:AF50"/>
    <mergeCell ref="AG50:AH50"/>
    <mergeCell ref="AI50:AJ50"/>
    <mergeCell ref="AK50:AM50"/>
    <mergeCell ref="AD51:AF51"/>
    <mergeCell ref="AG51:AH51"/>
    <mergeCell ref="AI51:AJ51"/>
    <mergeCell ref="AK51:AM51"/>
    <mergeCell ref="AD52:AF52"/>
    <mergeCell ref="AG52:AH52"/>
    <mergeCell ref="AI52:AJ52"/>
    <mergeCell ref="AK52:AM52"/>
    <mergeCell ref="AD47:AF47"/>
    <mergeCell ref="AG47:AH47"/>
    <mergeCell ref="AI47:AJ47"/>
    <mergeCell ref="AK47:AM47"/>
    <mergeCell ref="AD48:AF48"/>
    <mergeCell ref="AG48:AH48"/>
    <mergeCell ref="AI48:AJ48"/>
    <mergeCell ref="AK48:AM48"/>
    <mergeCell ref="AD49:AF49"/>
    <mergeCell ref="AG49:AH49"/>
    <mergeCell ref="AI49:AJ49"/>
    <mergeCell ref="AK49:AM49"/>
    <mergeCell ref="AN56:AP56"/>
    <mergeCell ref="AD56:AF56"/>
    <mergeCell ref="AG56:AH56"/>
    <mergeCell ref="AI56:AJ56"/>
    <mergeCell ref="AK56:AM56"/>
    <mergeCell ref="AD57:AF57"/>
    <mergeCell ref="AG57:AH57"/>
    <mergeCell ref="AI57:AJ57"/>
    <mergeCell ref="AK57:AM57"/>
    <mergeCell ref="AD58:AF58"/>
    <mergeCell ref="AG58:AH58"/>
    <mergeCell ref="AI58:AJ58"/>
    <mergeCell ref="AK58:AM58"/>
    <mergeCell ref="AD53:AF53"/>
    <mergeCell ref="AG53:AH53"/>
    <mergeCell ref="AI53:AJ53"/>
    <mergeCell ref="AK53:AM53"/>
    <mergeCell ref="AD54:AF54"/>
    <mergeCell ref="AG54:AH54"/>
    <mergeCell ref="AI54:AJ54"/>
    <mergeCell ref="AK54:AM54"/>
    <mergeCell ref="AD55:AF55"/>
    <mergeCell ref="AG55:AH55"/>
    <mergeCell ref="AI55:AJ55"/>
    <mergeCell ref="AK55:AM55"/>
    <mergeCell ref="AQ11:AR11"/>
    <mergeCell ref="AS11:AT11"/>
    <mergeCell ref="AU11:AW11"/>
    <mergeCell ref="AX11:AZ11"/>
    <mergeCell ref="BA11:BB11"/>
    <mergeCell ref="BC11:BD11"/>
    <mergeCell ref="BE11:BG11"/>
    <mergeCell ref="BH11:BJ11"/>
    <mergeCell ref="BK11:BL11"/>
    <mergeCell ref="AD59:AF59"/>
    <mergeCell ref="AG59:AH59"/>
    <mergeCell ref="AI59:AJ59"/>
    <mergeCell ref="AK59:AM59"/>
    <mergeCell ref="AD60:AF60"/>
    <mergeCell ref="AG60:AH60"/>
    <mergeCell ref="AI60:AJ60"/>
    <mergeCell ref="AK60:AM60"/>
    <mergeCell ref="AN11:AP11"/>
    <mergeCell ref="AN14:AP14"/>
    <mergeCell ref="AN17:AP17"/>
    <mergeCell ref="AN20:AP20"/>
    <mergeCell ref="AN23:AP23"/>
    <mergeCell ref="AN26:AP26"/>
    <mergeCell ref="AN29:AP29"/>
    <mergeCell ref="AN32:AP32"/>
    <mergeCell ref="AN35:AP35"/>
    <mergeCell ref="AN38:AP38"/>
    <mergeCell ref="AN41:AP41"/>
    <mergeCell ref="AN44:AP44"/>
    <mergeCell ref="AN47:AP47"/>
    <mergeCell ref="AN50:AP50"/>
    <mergeCell ref="AQ17:AR17"/>
    <mergeCell ref="EC11:ED11"/>
    <mergeCell ref="EE11:EF11"/>
    <mergeCell ref="EG11:EI11"/>
    <mergeCell ref="AN12:AP12"/>
    <mergeCell ref="AQ12:AR12"/>
    <mergeCell ref="AS12:AT12"/>
    <mergeCell ref="AU12:AW12"/>
    <mergeCell ref="AN13:AP13"/>
    <mergeCell ref="AQ13:AR13"/>
    <mergeCell ref="AS13:AT13"/>
    <mergeCell ref="AU13:AW13"/>
    <mergeCell ref="BK12:BL12"/>
    <mergeCell ref="BM12:BN12"/>
    <mergeCell ref="BO12:BQ12"/>
    <mergeCell ref="BR12:BT12"/>
    <mergeCell ref="BU12:BV12"/>
    <mergeCell ref="BW12:BX12"/>
    <mergeCell ref="BY12:CA12"/>
    <mergeCell ref="CB12:CD12"/>
    <mergeCell ref="CE12:CF12"/>
    <mergeCell ref="CG12:CH12"/>
    <mergeCell ref="CI12:CK12"/>
    <mergeCell ref="CL12:CN12"/>
    <mergeCell ref="CG11:CH11"/>
    <mergeCell ref="CI11:CK11"/>
    <mergeCell ref="CL11:CN11"/>
    <mergeCell ref="CO11:CP11"/>
    <mergeCell ref="CQ11:CR11"/>
    <mergeCell ref="CS11:CU11"/>
    <mergeCell ref="CV11:CX11"/>
    <mergeCell ref="CY11:CZ11"/>
    <mergeCell ref="EC12:ED12"/>
    <mergeCell ref="AS17:AT17"/>
    <mergeCell ref="AU17:AW17"/>
    <mergeCell ref="AN18:AP18"/>
    <mergeCell ref="AQ18:AR18"/>
    <mergeCell ref="AS18:AT18"/>
    <mergeCell ref="AU18:AW18"/>
    <mergeCell ref="AN19:AP19"/>
    <mergeCell ref="AQ19:AR19"/>
    <mergeCell ref="AS19:AT19"/>
    <mergeCell ref="AU19:AW19"/>
    <mergeCell ref="AQ14:AR14"/>
    <mergeCell ref="AS14:AT14"/>
    <mergeCell ref="AU14:AW14"/>
    <mergeCell ref="AN15:AP15"/>
    <mergeCell ref="AQ15:AR15"/>
    <mergeCell ref="AS15:AT15"/>
    <mergeCell ref="AU15:AW15"/>
    <mergeCell ref="AN16:AP16"/>
    <mergeCell ref="AQ16:AR16"/>
    <mergeCell ref="AS16:AT16"/>
    <mergeCell ref="AU16:AW16"/>
    <mergeCell ref="AQ23:AR23"/>
    <mergeCell ref="AS23:AT23"/>
    <mergeCell ref="AU23:AW23"/>
    <mergeCell ref="AN24:AP24"/>
    <mergeCell ref="AQ24:AR24"/>
    <mergeCell ref="AS24:AT24"/>
    <mergeCell ref="AU24:AW24"/>
    <mergeCell ref="AN25:AP25"/>
    <mergeCell ref="AQ25:AR25"/>
    <mergeCell ref="AS25:AT25"/>
    <mergeCell ref="AU25:AW25"/>
    <mergeCell ref="AQ20:AR20"/>
    <mergeCell ref="AS20:AT20"/>
    <mergeCell ref="AU20:AW20"/>
    <mergeCell ref="AN21:AP21"/>
    <mergeCell ref="AQ21:AR21"/>
    <mergeCell ref="AS21:AT21"/>
    <mergeCell ref="AU21:AW21"/>
    <mergeCell ref="AN22:AP22"/>
    <mergeCell ref="AQ22:AR22"/>
    <mergeCell ref="AS22:AT22"/>
    <mergeCell ref="AU22:AW22"/>
    <mergeCell ref="AQ29:AR29"/>
    <mergeCell ref="AS29:AT29"/>
    <mergeCell ref="AU29:AW29"/>
    <mergeCell ref="AN30:AP30"/>
    <mergeCell ref="AQ30:AR30"/>
    <mergeCell ref="AS30:AT30"/>
    <mergeCell ref="AU30:AW30"/>
    <mergeCell ref="AN31:AP31"/>
    <mergeCell ref="AQ31:AR31"/>
    <mergeCell ref="AS31:AT31"/>
    <mergeCell ref="AU31:AW31"/>
    <mergeCell ref="AQ26:AR26"/>
    <mergeCell ref="AS26:AT26"/>
    <mergeCell ref="AU26:AW26"/>
    <mergeCell ref="AN27:AP27"/>
    <mergeCell ref="AQ27:AR27"/>
    <mergeCell ref="AS27:AT27"/>
    <mergeCell ref="AU27:AW27"/>
    <mergeCell ref="AN28:AP28"/>
    <mergeCell ref="AQ28:AR28"/>
    <mergeCell ref="AS28:AT28"/>
    <mergeCell ref="AU28:AW28"/>
    <mergeCell ref="AQ35:AR35"/>
    <mergeCell ref="AS35:AT35"/>
    <mergeCell ref="AU35:AW35"/>
    <mergeCell ref="AN36:AP36"/>
    <mergeCell ref="AQ36:AR36"/>
    <mergeCell ref="AS36:AT36"/>
    <mergeCell ref="AU36:AW36"/>
    <mergeCell ref="AN37:AP37"/>
    <mergeCell ref="AQ37:AR37"/>
    <mergeCell ref="AS37:AT37"/>
    <mergeCell ref="AU37:AW37"/>
    <mergeCell ref="AQ32:AR32"/>
    <mergeCell ref="AS32:AT32"/>
    <mergeCell ref="AU32:AW32"/>
    <mergeCell ref="AN33:AP33"/>
    <mergeCell ref="AQ33:AR33"/>
    <mergeCell ref="AS33:AT33"/>
    <mergeCell ref="AU33:AW33"/>
    <mergeCell ref="AN34:AP34"/>
    <mergeCell ref="AQ34:AR34"/>
    <mergeCell ref="AS34:AT34"/>
    <mergeCell ref="AU34:AW34"/>
    <mergeCell ref="AQ41:AR41"/>
    <mergeCell ref="AS41:AT41"/>
    <mergeCell ref="AU41:AW41"/>
    <mergeCell ref="AN42:AP42"/>
    <mergeCell ref="AQ42:AR42"/>
    <mergeCell ref="AS42:AT42"/>
    <mergeCell ref="AU42:AW42"/>
    <mergeCell ref="AN43:AP43"/>
    <mergeCell ref="AQ43:AR43"/>
    <mergeCell ref="AS43:AT43"/>
    <mergeCell ref="AU43:AW43"/>
    <mergeCell ref="AQ38:AR38"/>
    <mergeCell ref="AS38:AT38"/>
    <mergeCell ref="AU38:AW38"/>
    <mergeCell ref="AN39:AP39"/>
    <mergeCell ref="AQ39:AR39"/>
    <mergeCell ref="AS39:AT39"/>
    <mergeCell ref="AU39:AW39"/>
    <mergeCell ref="AN40:AP40"/>
    <mergeCell ref="AQ40:AR40"/>
    <mergeCell ref="AS40:AT40"/>
    <mergeCell ref="AU40:AW40"/>
    <mergeCell ref="AQ47:AR47"/>
    <mergeCell ref="AS47:AT47"/>
    <mergeCell ref="AU47:AW47"/>
    <mergeCell ref="AN48:AP48"/>
    <mergeCell ref="AQ48:AR48"/>
    <mergeCell ref="AS48:AT48"/>
    <mergeCell ref="AU48:AW48"/>
    <mergeCell ref="AN49:AP49"/>
    <mergeCell ref="AQ49:AR49"/>
    <mergeCell ref="AS49:AT49"/>
    <mergeCell ref="AU49:AW49"/>
    <mergeCell ref="AQ44:AR44"/>
    <mergeCell ref="AS44:AT44"/>
    <mergeCell ref="AU44:AW44"/>
    <mergeCell ref="AN45:AP45"/>
    <mergeCell ref="AQ45:AR45"/>
    <mergeCell ref="AS45:AT45"/>
    <mergeCell ref="AU45:AW45"/>
    <mergeCell ref="AN46:AP46"/>
    <mergeCell ref="AQ46:AR46"/>
    <mergeCell ref="AS46:AT46"/>
    <mergeCell ref="AU46:AW46"/>
    <mergeCell ref="AS53:AT53"/>
    <mergeCell ref="AU53:AW53"/>
    <mergeCell ref="AN54:AP54"/>
    <mergeCell ref="AQ54:AR54"/>
    <mergeCell ref="AS54:AT54"/>
    <mergeCell ref="AU54:AW54"/>
    <mergeCell ref="AN55:AP55"/>
    <mergeCell ref="AQ55:AR55"/>
    <mergeCell ref="AS55:AT55"/>
    <mergeCell ref="AU55:AW55"/>
    <mergeCell ref="AQ50:AR50"/>
    <mergeCell ref="AS50:AT50"/>
    <mergeCell ref="AU50:AW50"/>
    <mergeCell ref="AN51:AP51"/>
    <mergeCell ref="AQ51:AR51"/>
    <mergeCell ref="AS51:AT51"/>
    <mergeCell ref="AU51:AW51"/>
    <mergeCell ref="AN52:AP52"/>
    <mergeCell ref="AQ52:AR52"/>
    <mergeCell ref="AS52:AT52"/>
    <mergeCell ref="AU52:AW52"/>
    <mergeCell ref="AN53:AP53"/>
    <mergeCell ref="EE12:EF12"/>
    <mergeCell ref="CO12:CP12"/>
    <mergeCell ref="CQ12:CR12"/>
    <mergeCell ref="CS12:CU12"/>
    <mergeCell ref="CV12:CX12"/>
    <mergeCell ref="CY12:CZ12"/>
    <mergeCell ref="DA12:DB12"/>
    <mergeCell ref="DC12:DE12"/>
    <mergeCell ref="DF12:DH12"/>
    <mergeCell ref="DI12:DJ12"/>
    <mergeCell ref="AN59:AP59"/>
    <mergeCell ref="AQ59:AR59"/>
    <mergeCell ref="AS59:AT59"/>
    <mergeCell ref="AU59:AW59"/>
    <mergeCell ref="AX12:AZ12"/>
    <mergeCell ref="BA12:BB12"/>
    <mergeCell ref="BC12:BD12"/>
    <mergeCell ref="BE12:BG12"/>
    <mergeCell ref="BH12:BJ12"/>
    <mergeCell ref="AQ56:AR56"/>
    <mergeCell ref="AS56:AT56"/>
    <mergeCell ref="AU56:AW56"/>
    <mergeCell ref="AN57:AP57"/>
    <mergeCell ref="AQ57:AR57"/>
    <mergeCell ref="AS57:AT57"/>
    <mergeCell ref="AU57:AW57"/>
    <mergeCell ref="AN58:AP58"/>
    <mergeCell ref="AQ58:AR58"/>
    <mergeCell ref="AS58:AT58"/>
    <mergeCell ref="AU58:AW58"/>
    <mergeCell ref="AQ53:AR53"/>
    <mergeCell ref="DW13:DY13"/>
    <mergeCell ref="EG12:EI12"/>
    <mergeCell ref="AX13:AZ13"/>
    <mergeCell ref="BA13:BB13"/>
    <mergeCell ref="BC13:BD13"/>
    <mergeCell ref="BE13:BG13"/>
    <mergeCell ref="BH13:BJ13"/>
    <mergeCell ref="BK13:BL13"/>
    <mergeCell ref="BM13:BN13"/>
    <mergeCell ref="BO13:BQ13"/>
    <mergeCell ref="BR13:BT13"/>
    <mergeCell ref="BU13:BV13"/>
    <mergeCell ref="BW13:BX13"/>
    <mergeCell ref="BY13:CA13"/>
    <mergeCell ref="CB13:CD13"/>
    <mergeCell ref="CE13:CF13"/>
    <mergeCell ref="CG13:CH13"/>
    <mergeCell ref="CI13:CK13"/>
    <mergeCell ref="CL13:CN13"/>
    <mergeCell ref="CO13:CP13"/>
    <mergeCell ref="CQ13:CR13"/>
    <mergeCell ref="CS13:CU13"/>
    <mergeCell ref="CV13:CX13"/>
    <mergeCell ref="CY13:CZ13"/>
    <mergeCell ref="DA13:DB13"/>
    <mergeCell ref="DK12:DL12"/>
    <mergeCell ref="DM12:DO12"/>
    <mergeCell ref="DP12:DR12"/>
    <mergeCell ref="DS12:DT12"/>
    <mergeCell ref="DU12:DV12"/>
    <mergeCell ref="DW12:DY12"/>
    <mergeCell ref="DZ12:EB12"/>
    <mergeCell ref="DZ13:EB13"/>
    <mergeCell ref="EC13:ED13"/>
    <mergeCell ref="EE13:EF13"/>
    <mergeCell ref="EG13:EI13"/>
    <mergeCell ref="AX14:AZ14"/>
    <mergeCell ref="BA14:BB14"/>
    <mergeCell ref="BC14:BD14"/>
    <mergeCell ref="BE14:BG14"/>
    <mergeCell ref="BH14:BJ14"/>
    <mergeCell ref="BK14:BL14"/>
    <mergeCell ref="BM14:BN14"/>
    <mergeCell ref="BO14:BQ14"/>
    <mergeCell ref="BR14:BT14"/>
    <mergeCell ref="BU14:BV14"/>
    <mergeCell ref="BW14:BX14"/>
    <mergeCell ref="BY14:CA14"/>
    <mergeCell ref="CB14:CD14"/>
    <mergeCell ref="CE14:CF14"/>
    <mergeCell ref="CG14:CH14"/>
    <mergeCell ref="CI14:CK14"/>
    <mergeCell ref="CL14:CN14"/>
    <mergeCell ref="CO14:CP14"/>
    <mergeCell ref="CQ14:CR14"/>
    <mergeCell ref="CS14:CU14"/>
    <mergeCell ref="DC13:DE13"/>
    <mergeCell ref="DF13:DH13"/>
    <mergeCell ref="DI13:DJ13"/>
    <mergeCell ref="DK13:DL13"/>
    <mergeCell ref="DM13:DO13"/>
    <mergeCell ref="DP13:DR13"/>
    <mergeCell ref="DS13:DT13"/>
    <mergeCell ref="DU13:DV13"/>
    <mergeCell ref="EG14:EI14"/>
    <mergeCell ref="AX15:AZ15"/>
    <mergeCell ref="BA15:BB15"/>
    <mergeCell ref="BC15:BD15"/>
    <mergeCell ref="BE15:BG15"/>
    <mergeCell ref="BH15:BJ15"/>
    <mergeCell ref="BK15:BL15"/>
    <mergeCell ref="BM15:BN15"/>
    <mergeCell ref="BO15:BQ15"/>
    <mergeCell ref="BR15:BT15"/>
    <mergeCell ref="BU15:BV15"/>
    <mergeCell ref="BW15:BX15"/>
    <mergeCell ref="BY15:CA15"/>
    <mergeCell ref="CB15:CD15"/>
    <mergeCell ref="CE15:CF15"/>
    <mergeCell ref="CG15:CH15"/>
    <mergeCell ref="CI15:CK15"/>
    <mergeCell ref="CL15:CN15"/>
    <mergeCell ref="CV14:CX14"/>
    <mergeCell ref="CY14:CZ14"/>
    <mergeCell ref="DA14:DB14"/>
    <mergeCell ref="DC14:DE14"/>
    <mergeCell ref="DF14:DH14"/>
    <mergeCell ref="DI14:DJ14"/>
    <mergeCell ref="DK14:DL14"/>
    <mergeCell ref="DM14:DO14"/>
    <mergeCell ref="DP14:DR14"/>
    <mergeCell ref="EC15:ED15"/>
    <mergeCell ref="EE15:EF15"/>
    <mergeCell ref="CO15:CP15"/>
    <mergeCell ref="CQ15:CR15"/>
    <mergeCell ref="CS15:CU15"/>
    <mergeCell ref="CV15:CX15"/>
    <mergeCell ref="CY15:CZ15"/>
    <mergeCell ref="DA15:DB15"/>
    <mergeCell ref="DC15:DE15"/>
    <mergeCell ref="DF15:DH15"/>
    <mergeCell ref="DI15:DJ15"/>
    <mergeCell ref="DS14:DT14"/>
    <mergeCell ref="DU14:DV14"/>
    <mergeCell ref="DW14:DY14"/>
    <mergeCell ref="DZ14:EB14"/>
    <mergeCell ref="EC14:ED14"/>
    <mergeCell ref="EE14:EF14"/>
    <mergeCell ref="DW16:DY16"/>
    <mergeCell ref="EG15:EI15"/>
    <mergeCell ref="AX16:AZ16"/>
    <mergeCell ref="BA16:BB16"/>
    <mergeCell ref="BC16:BD16"/>
    <mergeCell ref="BE16:BG16"/>
    <mergeCell ref="BH16:BJ16"/>
    <mergeCell ref="BK16:BL16"/>
    <mergeCell ref="BM16:BN16"/>
    <mergeCell ref="BO16:BQ16"/>
    <mergeCell ref="BR16:BT16"/>
    <mergeCell ref="BU16:BV16"/>
    <mergeCell ref="BW16:BX16"/>
    <mergeCell ref="BY16:CA16"/>
    <mergeCell ref="CB16:CD16"/>
    <mergeCell ref="CE16:CF16"/>
    <mergeCell ref="CG16:CH16"/>
    <mergeCell ref="CI16:CK16"/>
    <mergeCell ref="CL16:CN16"/>
    <mergeCell ref="CO16:CP16"/>
    <mergeCell ref="CQ16:CR16"/>
    <mergeCell ref="CS16:CU16"/>
    <mergeCell ref="CV16:CX16"/>
    <mergeCell ref="CY16:CZ16"/>
    <mergeCell ref="DA16:DB16"/>
    <mergeCell ref="DK15:DL15"/>
    <mergeCell ref="DM15:DO15"/>
    <mergeCell ref="DP15:DR15"/>
    <mergeCell ref="DS15:DT15"/>
    <mergeCell ref="DU15:DV15"/>
    <mergeCell ref="DW15:DY15"/>
    <mergeCell ref="DZ15:EB15"/>
    <mergeCell ref="DZ16:EB16"/>
    <mergeCell ref="EC16:ED16"/>
    <mergeCell ref="EE16:EF16"/>
    <mergeCell ref="EG16:EI16"/>
    <mergeCell ref="AX17:AZ17"/>
    <mergeCell ref="BA17:BB17"/>
    <mergeCell ref="BC17:BD17"/>
    <mergeCell ref="BE17:BG17"/>
    <mergeCell ref="BH17:BJ17"/>
    <mergeCell ref="BK17:BL17"/>
    <mergeCell ref="BM17:BN17"/>
    <mergeCell ref="BO17:BQ17"/>
    <mergeCell ref="BR17:BT17"/>
    <mergeCell ref="BU17:BV17"/>
    <mergeCell ref="BW17:BX17"/>
    <mergeCell ref="BY17:CA17"/>
    <mergeCell ref="CB17:CD17"/>
    <mergeCell ref="CE17:CF17"/>
    <mergeCell ref="CG17:CH17"/>
    <mergeCell ref="CI17:CK17"/>
    <mergeCell ref="CL17:CN17"/>
    <mergeCell ref="CO17:CP17"/>
    <mergeCell ref="CQ17:CR17"/>
    <mergeCell ref="CS17:CU17"/>
    <mergeCell ref="DC16:DE16"/>
    <mergeCell ref="DF16:DH16"/>
    <mergeCell ref="DI16:DJ16"/>
    <mergeCell ref="DK16:DL16"/>
    <mergeCell ref="DM16:DO16"/>
    <mergeCell ref="DP16:DR16"/>
    <mergeCell ref="DS16:DT16"/>
    <mergeCell ref="DU16:DV16"/>
    <mergeCell ref="EG17:EI17"/>
    <mergeCell ref="AX18:AZ18"/>
    <mergeCell ref="BA18:BB18"/>
    <mergeCell ref="BC18:BD18"/>
    <mergeCell ref="BE18:BG18"/>
    <mergeCell ref="BH18:BJ18"/>
    <mergeCell ref="BK18:BL18"/>
    <mergeCell ref="BM18:BN18"/>
    <mergeCell ref="BO18:BQ18"/>
    <mergeCell ref="BR18:BT18"/>
    <mergeCell ref="BU18:BV18"/>
    <mergeCell ref="BW18:BX18"/>
    <mergeCell ref="BY18:CA18"/>
    <mergeCell ref="CB18:CD18"/>
    <mergeCell ref="CE18:CF18"/>
    <mergeCell ref="CG18:CH18"/>
    <mergeCell ref="CI18:CK18"/>
    <mergeCell ref="CL18:CN18"/>
    <mergeCell ref="CV17:CX17"/>
    <mergeCell ref="CY17:CZ17"/>
    <mergeCell ref="DA17:DB17"/>
    <mergeCell ref="DC17:DE17"/>
    <mergeCell ref="DF17:DH17"/>
    <mergeCell ref="DI17:DJ17"/>
    <mergeCell ref="DK17:DL17"/>
    <mergeCell ref="DM17:DO17"/>
    <mergeCell ref="DP17:DR17"/>
    <mergeCell ref="EC18:ED18"/>
    <mergeCell ref="EE18:EF18"/>
    <mergeCell ref="CO18:CP18"/>
    <mergeCell ref="CQ18:CR18"/>
    <mergeCell ref="CS18:CU18"/>
    <mergeCell ref="CV18:CX18"/>
    <mergeCell ref="CY18:CZ18"/>
    <mergeCell ref="DA18:DB18"/>
    <mergeCell ref="DC18:DE18"/>
    <mergeCell ref="DF18:DH18"/>
    <mergeCell ref="DI18:DJ18"/>
    <mergeCell ref="DS17:DT17"/>
    <mergeCell ref="DU17:DV17"/>
    <mergeCell ref="DW17:DY17"/>
    <mergeCell ref="DZ17:EB17"/>
    <mergeCell ref="EC17:ED17"/>
    <mergeCell ref="EE17:EF17"/>
    <mergeCell ref="DW19:DY19"/>
    <mergeCell ref="EG18:EI18"/>
    <mergeCell ref="AX19:AZ19"/>
    <mergeCell ref="BA19:BB19"/>
    <mergeCell ref="BC19:BD19"/>
    <mergeCell ref="BE19:BG19"/>
    <mergeCell ref="BH19:BJ19"/>
    <mergeCell ref="BK19:BL19"/>
    <mergeCell ref="BM19:BN19"/>
    <mergeCell ref="BO19:BQ19"/>
    <mergeCell ref="BR19:BT19"/>
    <mergeCell ref="BU19:BV19"/>
    <mergeCell ref="BW19:BX19"/>
    <mergeCell ref="BY19:CA19"/>
    <mergeCell ref="CB19:CD19"/>
    <mergeCell ref="CE19:CF19"/>
    <mergeCell ref="CG19:CH19"/>
    <mergeCell ref="CI19:CK19"/>
    <mergeCell ref="CL19:CN19"/>
    <mergeCell ref="CO19:CP19"/>
    <mergeCell ref="CV19:CX19"/>
    <mergeCell ref="CY19:CZ19"/>
    <mergeCell ref="DA19:DB19"/>
    <mergeCell ref="DK18:DL18"/>
    <mergeCell ref="DM18:DO18"/>
    <mergeCell ref="DP18:DR18"/>
    <mergeCell ref="DS18:DT18"/>
    <mergeCell ref="DU18:DV18"/>
    <mergeCell ref="DW18:DY18"/>
    <mergeCell ref="DZ18:EB18"/>
    <mergeCell ref="DZ19:EB19"/>
    <mergeCell ref="EC19:ED19"/>
    <mergeCell ref="EE19:EF19"/>
    <mergeCell ref="EG19:EI19"/>
    <mergeCell ref="AX20:AZ20"/>
    <mergeCell ref="BA20:BB20"/>
    <mergeCell ref="BC20:BD20"/>
    <mergeCell ref="BE20:BG20"/>
    <mergeCell ref="BH20:BJ20"/>
    <mergeCell ref="BK20:BL20"/>
    <mergeCell ref="BM20:BN20"/>
    <mergeCell ref="BO20:BQ20"/>
    <mergeCell ref="BR20:BT20"/>
    <mergeCell ref="BU20:BV20"/>
    <mergeCell ref="BW20:BX20"/>
    <mergeCell ref="BY20:CA20"/>
    <mergeCell ref="CB20:CD20"/>
    <mergeCell ref="CE20:CF20"/>
    <mergeCell ref="CG20:CH20"/>
    <mergeCell ref="CI20:CK20"/>
    <mergeCell ref="CL20:CN20"/>
    <mergeCell ref="CO20:CP20"/>
    <mergeCell ref="DC19:DE19"/>
    <mergeCell ref="DF19:DH19"/>
    <mergeCell ref="DI19:DJ19"/>
    <mergeCell ref="DK19:DL19"/>
    <mergeCell ref="DM19:DO19"/>
    <mergeCell ref="DP19:DR19"/>
    <mergeCell ref="DS19:DT19"/>
    <mergeCell ref="DU19:DV19"/>
    <mergeCell ref="EG20:EI20"/>
    <mergeCell ref="AX21:AZ21"/>
    <mergeCell ref="BA21:BB21"/>
    <mergeCell ref="BC21:BD21"/>
    <mergeCell ref="BE21:BG21"/>
    <mergeCell ref="BH21:BJ21"/>
    <mergeCell ref="BK21:BL21"/>
    <mergeCell ref="BM21:BN21"/>
    <mergeCell ref="BO21:BQ21"/>
    <mergeCell ref="BR21:BT21"/>
    <mergeCell ref="BU21:BV21"/>
    <mergeCell ref="BW21:BX21"/>
    <mergeCell ref="BY21:CA21"/>
    <mergeCell ref="CB21:CD21"/>
    <mergeCell ref="CE21:CF21"/>
    <mergeCell ref="CG21:CH21"/>
    <mergeCell ref="CI21:CK21"/>
    <mergeCell ref="CL21:CN21"/>
    <mergeCell ref="CV20:CX20"/>
    <mergeCell ref="CY20:CZ20"/>
    <mergeCell ref="DA20:DB20"/>
    <mergeCell ref="DC20:DE20"/>
    <mergeCell ref="DF20:DH20"/>
    <mergeCell ref="DI20:DJ20"/>
    <mergeCell ref="DK20:DL20"/>
    <mergeCell ref="DM20:DO20"/>
    <mergeCell ref="DP20:DR20"/>
    <mergeCell ref="EC21:ED21"/>
    <mergeCell ref="EE21:EF21"/>
    <mergeCell ref="CO21:CP21"/>
    <mergeCell ref="CQ21:CR21"/>
    <mergeCell ref="CS21:CU21"/>
    <mergeCell ref="CV21:CX21"/>
    <mergeCell ref="CY21:CZ21"/>
    <mergeCell ref="DA21:DB21"/>
    <mergeCell ref="DC21:DE21"/>
    <mergeCell ref="DF21:DH21"/>
    <mergeCell ref="DI21:DJ21"/>
    <mergeCell ref="DS20:DT20"/>
    <mergeCell ref="DU20:DV20"/>
    <mergeCell ref="DW20:DY20"/>
    <mergeCell ref="DZ20:EB20"/>
    <mergeCell ref="EC20:ED20"/>
    <mergeCell ref="EE20:EF20"/>
    <mergeCell ref="EG21:EI21"/>
    <mergeCell ref="AX22:AZ22"/>
    <mergeCell ref="BA22:BB22"/>
    <mergeCell ref="BC22:BD22"/>
    <mergeCell ref="BE22:BG22"/>
    <mergeCell ref="BH22:BJ22"/>
    <mergeCell ref="BK22:BL22"/>
    <mergeCell ref="BM22:BN22"/>
    <mergeCell ref="BO22:BQ22"/>
    <mergeCell ref="BR22:BT22"/>
    <mergeCell ref="BU22:BV22"/>
    <mergeCell ref="BW22:BX22"/>
    <mergeCell ref="BY22:CA22"/>
    <mergeCell ref="CB22:CD22"/>
    <mergeCell ref="CE22:CF22"/>
    <mergeCell ref="CG22:CH22"/>
    <mergeCell ref="CI22:CK22"/>
    <mergeCell ref="CL22:CN22"/>
    <mergeCell ref="CO22:CP22"/>
    <mergeCell ref="CQ22:CR22"/>
    <mergeCell ref="CS22:CU22"/>
    <mergeCell ref="CV22:CX22"/>
    <mergeCell ref="CY22:CZ22"/>
    <mergeCell ref="DA22:DB22"/>
    <mergeCell ref="DK21:DL21"/>
    <mergeCell ref="DM21:DO21"/>
    <mergeCell ref="DP21:DR21"/>
    <mergeCell ref="DS21:DT21"/>
    <mergeCell ref="DU21:DV21"/>
    <mergeCell ref="DW21:DY21"/>
    <mergeCell ref="DZ21:EB21"/>
    <mergeCell ref="EG22:EI22"/>
    <mergeCell ref="AX23:AZ23"/>
    <mergeCell ref="BA23:BB23"/>
    <mergeCell ref="BC23:BD23"/>
    <mergeCell ref="BE23:BG23"/>
    <mergeCell ref="BH23:BJ23"/>
    <mergeCell ref="BK23:BL23"/>
    <mergeCell ref="BM23:BN23"/>
    <mergeCell ref="BO23:BQ23"/>
    <mergeCell ref="BR23:BT23"/>
    <mergeCell ref="BU23:BV23"/>
    <mergeCell ref="BW23:BX23"/>
    <mergeCell ref="BY23:CA23"/>
    <mergeCell ref="CB23:CD23"/>
    <mergeCell ref="CE23:CF23"/>
    <mergeCell ref="CG23:CH23"/>
    <mergeCell ref="CI23:CK23"/>
    <mergeCell ref="CL23:CN23"/>
    <mergeCell ref="CO23:CP23"/>
    <mergeCell ref="CQ23:CR23"/>
    <mergeCell ref="CS23:CU23"/>
    <mergeCell ref="DC22:DE22"/>
    <mergeCell ref="DF22:DH22"/>
    <mergeCell ref="DI22:DJ22"/>
    <mergeCell ref="DK22:DL22"/>
    <mergeCell ref="DM22:DO22"/>
    <mergeCell ref="DP22:DR22"/>
    <mergeCell ref="DS22:DT22"/>
    <mergeCell ref="DU22:DV22"/>
    <mergeCell ref="DW22:DY22"/>
    <mergeCell ref="CV23:CX23"/>
    <mergeCell ref="CY23:CZ23"/>
    <mergeCell ref="DA23:DB23"/>
    <mergeCell ref="DC23:DE23"/>
    <mergeCell ref="DF23:DH23"/>
    <mergeCell ref="DI23:DJ23"/>
    <mergeCell ref="DK23:DL23"/>
    <mergeCell ref="DM23:DO23"/>
    <mergeCell ref="DP23:DR23"/>
    <mergeCell ref="DW23:DY23"/>
    <mergeCell ref="EC24:ED24"/>
    <mergeCell ref="EE24:EF24"/>
    <mergeCell ref="CO24:CP24"/>
    <mergeCell ref="CQ24:CR24"/>
    <mergeCell ref="CS24:CU24"/>
    <mergeCell ref="DZ22:EB22"/>
    <mergeCell ref="EC22:ED22"/>
    <mergeCell ref="EE22:EF22"/>
    <mergeCell ref="AX24:AZ24"/>
    <mergeCell ref="BA24:BB24"/>
    <mergeCell ref="BC24:BD24"/>
    <mergeCell ref="BE24:BG24"/>
    <mergeCell ref="BH24:BJ24"/>
    <mergeCell ref="BK24:BL24"/>
    <mergeCell ref="BM24:BN24"/>
    <mergeCell ref="BO24:BQ24"/>
    <mergeCell ref="BR24:BT24"/>
    <mergeCell ref="BU24:BV24"/>
    <mergeCell ref="BW24:BX24"/>
    <mergeCell ref="BY24:CA24"/>
    <mergeCell ref="CB24:CD24"/>
    <mergeCell ref="CE24:CF24"/>
    <mergeCell ref="CG24:CH24"/>
    <mergeCell ref="CI24:CK24"/>
    <mergeCell ref="CL24:CN24"/>
    <mergeCell ref="CY24:CZ24"/>
    <mergeCell ref="DA24:DB24"/>
    <mergeCell ref="DC24:DE24"/>
    <mergeCell ref="DF24:DH24"/>
    <mergeCell ref="DI24:DJ24"/>
    <mergeCell ref="DS23:DT23"/>
    <mergeCell ref="DU23:DV23"/>
    <mergeCell ref="DZ23:EB23"/>
    <mergeCell ref="EC23:ED23"/>
    <mergeCell ref="EE23:EF23"/>
    <mergeCell ref="DW25:DY25"/>
    <mergeCell ref="EG24:EI24"/>
    <mergeCell ref="AX25:AZ25"/>
    <mergeCell ref="BA25:BB25"/>
    <mergeCell ref="BC25:BD25"/>
    <mergeCell ref="BE25:BG25"/>
    <mergeCell ref="BH25:BJ25"/>
    <mergeCell ref="BK25:BL25"/>
    <mergeCell ref="BM25:BN25"/>
    <mergeCell ref="BO25:BQ25"/>
    <mergeCell ref="BR25:BT25"/>
    <mergeCell ref="BU25:BV25"/>
    <mergeCell ref="BW25:BX25"/>
    <mergeCell ref="BY25:CA25"/>
    <mergeCell ref="CB25:CD25"/>
    <mergeCell ref="CE25:CF25"/>
    <mergeCell ref="CG25:CH25"/>
    <mergeCell ref="CI25:CK25"/>
    <mergeCell ref="CL25:CN25"/>
    <mergeCell ref="CO25:CP25"/>
    <mergeCell ref="EG23:EI23"/>
    <mergeCell ref="CY25:CZ25"/>
    <mergeCell ref="DA25:DB25"/>
    <mergeCell ref="DK24:DL24"/>
    <mergeCell ref="DM24:DO24"/>
    <mergeCell ref="DP24:DR24"/>
    <mergeCell ref="DS24:DT24"/>
    <mergeCell ref="DU24:DV24"/>
    <mergeCell ref="DW24:DY24"/>
    <mergeCell ref="DZ24:EB24"/>
    <mergeCell ref="DZ25:EB25"/>
    <mergeCell ref="EC25:ED25"/>
    <mergeCell ref="EE25:EF25"/>
    <mergeCell ref="EG25:EI25"/>
    <mergeCell ref="AX26:AZ26"/>
    <mergeCell ref="BA26:BB26"/>
    <mergeCell ref="BC26:BD26"/>
    <mergeCell ref="BE26:BG26"/>
    <mergeCell ref="BH26:BJ26"/>
    <mergeCell ref="BK26:BL26"/>
    <mergeCell ref="BM26:BN26"/>
    <mergeCell ref="BO26:BQ26"/>
    <mergeCell ref="BR26:BT26"/>
    <mergeCell ref="BU26:BV26"/>
    <mergeCell ref="BW26:BX26"/>
    <mergeCell ref="BY26:CA26"/>
    <mergeCell ref="CB26:CD26"/>
    <mergeCell ref="CE26:CF26"/>
    <mergeCell ref="CG26:CH26"/>
    <mergeCell ref="CI26:CK26"/>
    <mergeCell ref="CL26:CN26"/>
    <mergeCell ref="CO26:CP26"/>
    <mergeCell ref="CV24:CX24"/>
    <mergeCell ref="DC25:DE25"/>
    <mergeCell ref="DF25:DH25"/>
    <mergeCell ref="DI25:DJ25"/>
    <mergeCell ref="DK25:DL25"/>
    <mergeCell ref="DM25:DO25"/>
    <mergeCell ref="DP25:DR25"/>
    <mergeCell ref="DS25:DT25"/>
    <mergeCell ref="DU25:DV25"/>
    <mergeCell ref="EG26:EI26"/>
    <mergeCell ref="AX27:AZ27"/>
    <mergeCell ref="BA27:BB27"/>
    <mergeCell ref="BC27:BD27"/>
    <mergeCell ref="BE27:BG27"/>
    <mergeCell ref="BH27:BJ27"/>
    <mergeCell ref="BK27:BL27"/>
    <mergeCell ref="BM27:BN27"/>
    <mergeCell ref="BO27:BQ27"/>
    <mergeCell ref="BR27:BT27"/>
    <mergeCell ref="BU27:BV27"/>
    <mergeCell ref="BW27:BX27"/>
    <mergeCell ref="BY27:CA27"/>
    <mergeCell ref="CB27:CD27"/>
    <mergeCell ref="CE27:CF27"/>
    <mergeCell ref="CG27:CH27"/>
    <mergeCell ref="CI27:CK27"/>
    <mergeCell ref="CL27:CN27"/>
    <mergeCell ref="CV26:CX26"/>
    <mergeCell ref="CY26:CZ26"/>
    <mergeCell ref="DA26:DB26"/>
    <mergeCell ref="DC26:DE26"/>
    <mergeCell ref="DF26:DH26"/>
    <mergeCell ref="CV25:CX25"/>
    <mergeCell ref="DI26:DJ26"/>
    <mergeCell ref="DK26:DL26"/>
    <mergeCell ref="DM26:DO26"/>
    <mergeCell ref="DP26:DR26"/>
    <mergeCell ref="EC27:ED27"/>
    <mergeCell ref="EE27:EF27"/>
    <mergeCell ref="CO27:CP27"/>
    <mergeCell ref="CQ27:CR27"/>
    <mergeCell ref="CS27:CU27"/>
    <mergeCell ref="CV27:CX27"/>
    <mergeCell ref="CY27:CZ27"/>
    <mergeCell ref="DA27:DB27"/>
    <mergeCell ref="DC27:DE27"/>
    <mergeCell ref="DF27:DH27"/>
    <mergeCell ref="DI27:DJ27"/>
    <mergeCell ref="DS26:DT26"/>
    <mergeCell ref="DU26:DV26"/>
    <mergeCell ref="DW26:DY26"/>
    <mergeCell ref="DZ26:EB26"/>
    <mergeCell ref="EC26:ED26"/>
    <mergeCell ref="EE26:EF26"/>
    <mergeCell ref="CS26:CU26"/>
    <mergeCell ref="DW28:DY28"/>
    <mergeCell ref="EG27:EI27"/>
    <mergeCell ref="AX28:AZ28"/>
    <mergeCell ref="BA28:BB28"/>
    <mergeCell ref="BC28:BD28"/>
    <mergeCell ref="BE28:BG28"/>
    <mergeCell ref="BH28:BJ28"/>
    <mergeCell ref="BK28:BL28"/>
    <mergeCell ref="BM28:BN28"/>
    <mergeCell ref="BO28:BQ28"/>
    <mergeCell ref="BR28:BT28"/>
    <mergeCell ref="BU28:BV28"/>
    <mergeCell ref="BW28:BX28"/>
    <mergeCell ref="BY28:CA28"/>
    <mergeCell ref="CB28:CD28"/>
    <mergeCell ref="CE28:CF28"/>
    <mergeCell ref="CG28:CH28"/>
    <mergeCell ref="CI28:CK28"/>
    <mergeCell ref="CL28:CN28"/>
    <mergeCell ref="CO28:CP28"/>
    <mergeCell ref="CQ28:CR28"/>
    <mergeCell ref="CS28:CU28"/>
    <mergeCell ref="CV28:CX28"/>
    <mergeCell ref="CY28:CZ28"/>
    <mergeCell ref="DA28:DB28"/>
    <mergeCell ref="DK27:DL27"/>
    <mergeCell ref="DM27:DO27"/>
    <mergeCell ref="DP27:DR27"/>
    <mergeCell ref="DS27:DT27"/>
    <mergeCell ref="DU27:DV27"/>
    <mergeCell ref="DW27:DY27"/>
    <mergeCell ref="DZ27:EB27"/>
    <mergeCell ref="DZ28:EB28"/>
    <mergeCell ref="EC28:ED28"/>
    <mergeCell ref="EE28:EF28"/>
    <mergeCell ref="EG28:EI28"/>
    <mergeCell ref="AX29:AZ29"/>
    <mergeCell ref="BA29:BB29"/>
    <mergeCell ref="BC29:BD29"/>
    <mergeCell ref="BE29:BG29"/>
    <mergeCell ref="BH29:BJ29"/>
    <mergeCell ref="BK29:BL29"/>
    <mergeCell ref="BM29:BN29"/>
    <mergeCell ref="BO29:BQ29"/>
    <mergeCell ref="BR29:BT29"/>
    <mergeCell ref="BU29:BV29"/>
    <mergeCell ref="BW29:BX29"/>
    <mergeCell ref="BY29:CA29"/>
    <mergeCell ref="CB29:CD29"/>
    <mergeCell ref="CE29:CF29"/>
    <mergeCell ref="CG29:CH29"/>
    <mergeCell ref="CI29:CK29"/>
    <mergeCell ref="CL29:CN29"/>
    <mergeCell ref="CO29:CP29"/>
    <mergeCell ref="CQ29:CR29"/>
    <mergeCell ref="CS29:CU29"/>
    <mergeCell ref="DC28:DE28"/>
    <mergeCell ref="DF28:DH28"/>
    <mergeCell ref="DI28:DJ28"/>
    <mergeCell ref="DK28:DL28"/>
    <mergeCell ref="DM28:DO28"/>
    <mergeCell ref="DP28:DR28"/>
    <mergeCell ref="DS28:DT28"/>
    <mergeCell ref="DU28:DV28"/>
    <mergeCell ref="EG29:EI29"/>
    <mergeCell ref="AX30:AZ30"/>
    <mergeCell ref="BA30:BB30"/>
    <mergeCell ref="BC30:BD30"/>
    <mergeCell ref="BE30:BG30"/>
    <mergeCell ref="BH30:BJ30"/>
    <mergeCell ref="BK30:BL30"/>
    <mergeCell ref="BM30:BN30"/>
    <mergeCell ref="BO30:BQ30"/>
    <mergeCell ref="BR30:BT30"/>
    <mergeCell ref="BU30:BV30"/>
    <mergeCell ref="BW30:BX30"/>
    <mergeCell ref="BY30:CA30"/>
    <mergeCell ref="CB30:CD30"/>
    <mergeCell ref="CE30:CF30"/>
    <mergeCell ref="CG30:CH30"/>
    <mergeCell ref="CI30:CK30"/>
    <mergeCell ref="CL30:CN30"/>
    <mergeCell ref="CV29:CX29"/>
    <mergeCell ref="CY29:CZ29"/>
    <mergeCell ref="DA29:DB29"/>
    <mergeCell ref="DC29:DE29"/>
    <mergeCell ref="DF29:DH29"/>
    <mergeCell ref="DI29:DJ29"/>
    <mergeCell ref="DK29:DL29"/>
    <mergeCell ref="DM29:DO29"/>
    <mergeCell ref="DP29:DR29"/>
    <mergeCell ref="EC30:ED30"/>
    <mergeCell ref="EE30:EF30"/>
    <mergeCell ref="CO30:CP30"/>
    <mergeCell ref="CQ30:CR30"/>
    <mergeCell ref="CS30:CU30"/>
    <mergeCell ref="CV30:CX30"/>
    <mergeCell ref="CY30:CZ30"/>
    <mergeCell ref="DA30:DB30"/>
    <mergeCell ref="DC30:DE30"/>
    <mergeCell ref="DF30:DH30"/>
    <mergeCell ref="DI30:DJ30"/>
    <mergeCell ref="DS29:DT29"/>
    <mergeCell ref="DU29:DV29"/>
    <mergeCell ref="DW29:DY29"/>
    <mergeCell ref="DZ29:EB29"/>
    <mergeCell ref="EC29:ED29"/>
    <mergeCell ref="EE29:EF29"/>
    <mergeCell ref="DW31:DY31"/>
    <mergeCell ref="EG30:EI30"/>
    <mergeCell ref="AX31:AZ31"/>
    <mergeCell ref="BA31:BB31"/>
    <mergeCell ref="BC31:BD31"/>
    <mergeCell ref="BE31:BG31"/>
    <mergeCell ref="BH31:BJ31"/>
    <mergeCell ref="BK31:BL31"/>
    <mergeCell ref="BM31:BN31"/>
    <mergeCell ref="BO31:BQ31"/>
    <mergeCell ref="BR31:BT31"/>
    <mergeCell ref="BU31:BV31"/>
    <mergeCell ref="BW31:BX31"/>
    <mergeCell ref="BY31:CA31"/>
    <mergeCell ref="CB31:CD31"/>
    <mergeCell ref="CE31:CF31"/>
    <mergeCell ref="CG31:CH31"/>
    <mergeCell ref="CI31:CK31"/>
    <mergeCell ref="CL31:CN31"/>
    <mergeCell ref="CO31:CP31"/>
    <mergeCell ref="CQ31:CR31"/>
    <mergeCell ref="CS31:CU31"/>
    <mergeCell ref="CV31:CX31"/>
    <mergeCell ref="CY31:CZ31"/>
    <mergeCell ref="DA31:DB31"/>
    <mergeCell ref="DK30:DL30"/>
    <mergeCell ref="DM30:DO30"/>
    <mergeCell ref="DP30:DR30"/>
    <mergeCell ref="DS30:DT30"/>
    <mergeCell ref="DU30:DV30"/>
    <mergeCell ref="DW30:DY30"/>
    <mergeCell ref="DZ30:EB30"/>
    <mergeCell ref="DZ31:EB31"/>
    <mergeCell ref="EC31:ED31"/>
    <mergeCell ref="EE31:EF31"/>
    <mergeCell ref="EG31:EI31"/>
    <mergeCell ref="AX32:AZ32"/>
    <mergeCell ref="BA32:BB32"/>
    <mergeCell ref="BC32:BD32"/>
    <mergeCell ref="BE32:BG32"/>
    <mergeCell ref="BH32:BJ32"/>
    <mergeCell ref="BK32:BL32"/>
    <mergeCell ref="BM32:BN32"/>
    <mergeCell ref="BO32:BQ32"/>
    <mergeCell ref="BR32:BT32"/>
    <mergeCell ref="BU32:BV32"/>
    <mergeCell ref="BW32:BX32"/>
    <mergeCell ref="BY32:CA32"/>
    <mergeCell ref="CB32:CD32"/>
    <mergeCell ref="CE32:CF32"/>
    <mergeCell ref="CG32:CH32"/>
    <mergeCell ref="CI32:CK32"/>
    <mergeCell ref="CL32:CN32"/>
    <mergeCell ref="CO32:CP32"/>
    <mergeCell ref="CQ32:CR32"/>
    <mergeCell ref="CS32:CU32"/>
    <mergeCell ref="DC31:DE31"/>
    <mergeCell ref="DF31:DH31"/>
    <mergeCell ref="DI31:DJ31"/>
    <mergeCell ref="DK31:DL31"/>
    <mergeCell ref="DM31:DO31"/>
    <mergeCell ref="DP31:DR31"/>
    <mergeCell ref="DS31:DT31"/>
    <mergeCell ref="DU31:DV31"/>
    <mergeCell ref="EG32:EI32"/>
    <mergeCell ref="AX33:AZ33"/>
    <mergeCell ref="BA33:BB33"/>
    <mergeCell ref="BC33:BD33"/>
    <mergeCell ref="BE33:BG33"/>
    <mergeCell ref="BH33:BJ33"/>
    <mergeCell ref="BK33:BL33"/>
    <mergeCell ref="BM33:BN33"/>
    <mergeCell ref="BO33:BQ33"/>
    <mergeCell ref="BR33:BT33"/>
    <mergeCell ref="BU33:BV33"/>
    <mergeCell ref="BW33:BX33"/>
    <mergeCell ref="BY33:CA33"/>
    <mergeCell ref="CB33:CD33"/>
    <mergeCell ref="CE33:CF33"/>
    <mergeCell ref="CG33:CH33"/>
    <mergeCell ref="CI33:CK33"/>
    <mergeCell ref="CL33:CN33"/>
    <mergeCell ref="CV32:CX32"/>
    <mergeCell ref="CY32:CZ32"/>
    <mergeCell ref="DA32:DB32"/>
    <mergeCell ref="DC32:DE32"/>
    <mergeCell ref="DF32:DH32"/>
    <mergeCell ref="DI32:DJ32"/>
    <mergeCell ref="DK32:DL32"/>
    <mergeCell ref="DM32:DO32"/>
    <mergeCell ref="DP32:DR32"/>
    <mergeCell ref="EC33:ED33"/>
    <mergeCell ref="EE33:EF33"/>
    <mergeCell ref="CO33:CP33"/>
    <mergeCell ref="CQ33:CR33"/>
    <mergeCell ref="CS33:CU33"/>
    <mergeCell ref="CV33:CX33"/>
    <mergeCell ref="CY33:CZ33"/>
    <mergeCell ref="DA33:DB33"/>
    <mergeCell ref="DC33:DE33"/>
    <mergeCell ref="DF33:DH33"/>
    <mergeCell ref="DI33:DJ33"/>
    <mergeCell ref="DS32:DT32"/>
    <mergeCell ref="DU32:DV32"/>
    <mergeCell ref="DW32:DY32"/>
    <mergeCell ref="DZ32:EB32"/>
    <mergeCell ref="EC32:ED32"/>
    <mergeCell ref="EE32:EF32"/>
    <mergeCell ref="DW34:DY34"/>
    <mergeCell ref="EG33:EI33"/>
    <mergeCell ref="AX34:AZ34"/>
    <mergeCell ref="BA34:BB34"/>
    <mergeCell ref="BC34:BD34"/>
    <mergeCell ref="BE34:BG34"/>
    <mergeCell ref="BH34:BJ34"/>
    <mergeCell ref="BK34:BL34"/>
    <mergeCell ref="BM34:BN34"/>
    <mergeCell ref="BO34:BQ34"/>
    <mergeCell ref="BR34:BT34"/>
    <mergeCell ref="BU34:BV34"/>
    <mergeCell ref="BW34:BX34"/>
    <mergeCell ref="BY34:CA34"/>
    <mergeCell ref="CB34:CD34"/>
    <mergeCell ref="CE34:CF34"/>
    <mergeCell ref="CG34:CH34"/>
    <mergeCell ref="CI34:CK34"/>
    <mergeCell ref="CL34:CN34"/>
    <mergeCell ref="CO34:CP34"/>
    <mergeCell ref="CQ34:CR34"/>
    <mergeCell ref="CS34:CU34"/>
    <mergeCell ref="CV34:CX34"/>
    <mergeCell ref="CY34:CZ34"/>
    <mergeCell ref="DA34:DB34"/>
    <mergeCell ref="DK33:DL33"/>
    <mergeCell ref="DM33:DO33"/>
    <mergeCell ref="DP33:DR33"/>
    <mergeCell ref="DS33:DT33"/>
    <mergeCell ref="DU33:DV33"/>
    <mergeCell ref="DW33:DY33"/>
    <mergeCell ref="DZ33:EB33"/>
    <mergeCell ref="DZ34:EB34"/>
    <mergeCell ref="EC34:ED34"/>
    <mergeCell ref="EE34:EF34"/>
    <mergeCell ref="EG34:EI34"/>
    <mergeCell ref="AX35:AZ35"/>
    <mergeCell ref="BA35:BB35"/>
    <mergeCell ref="BC35:BD35"/>
    <mergeCell ref="BE35:BG35"/>
    <mergeCell ref="BH35:BJ35"/>
    <mergeCell ref="BK35:BL35"/>
    <mergeCell ref="BM35:BN35"/>
    <mergeCell ref="BO35:BQ35"/>
    <mergeCell ref="BR35:BT35"/>
    <mergeCell ref="BU35:BV35"/>
    <mergeCell ref="BW35:BX35"/>
    <mergeCell ref="BY35:CA35"/>
    <mergeCell ref="CB35:CD35"/>
    <mergeCell ref="CE35:CF35"/>
    <mergeCell ref="CG35:CH35"/>
    <mergeCell ref="CI35:CK35"/>
    <mergeCell ref="CL35:CN35"/>
    <mergeCell ref="CO35:CP35"/>
    <mergeCell ref="CQ35:CR35"/>
    <mergeCell ref="CS35:CU35"/>
    <mergeCell ref="DC34:DE34"/>
    <mergeCell ref="DF34:DH34"/>
    <mergeCell ref="DI34:DJ34"/>
    <mergeCell ref="DK34:DL34"/>
    <mergeCell ref="DM34:DO34"/>
    <mergeCell ref="DP34:DR34"/>
    <mergeCell ref="DS34:DT34"/>
    <mergeCell ref="DU34:DV34"/>
    <mergeCell ref="EG35:EI35"/>
    <mergeCell ref="AX36:AZ36"/>
    <mergeCell ref="BA36:BB36"/>
    <mergeCell ref="BC36:BD36"/>
    <mergeCell ref="BE36:BG36"/>
    <mergeCell ref="BH36:BJ36"/>
    <mergeCell ref="BK36:BL36"/>
    <mergeCell ref="BM36:BN36"/>
    <mergeCell ref="BO36:BQ36"/>
    <mergeCell ref="BR36:BT36"/>
    <mergeCell ref="BU36:BV36"/>
    <mergeCell ref="BW36:BX36"/>
    <mergeCell ref="BY36:CA36"/>
    <mergeCell ref="CB36:CD36"/>
    <mergeCell ref="CE36:CF36"/>
    <mergeCell ref="CG36:CH36"/>
    <mergeCell ref="CI36:CK36"/>
    <mergeCell ref="CL36:CN36"/>
    <mergeCell ref="CV35:CX35"/>
    <mergeCell ref="CY35:CZ35"/>
    <mergeCell ref="DA35:DB35"/>
    <mergeCell ref="DC35:DE35"/>
    <mergeCell ref="DF35:DH35"/>
    <mergeCell ref="DI35:DJ35"/>
    <mergeCell ref="DK35:DL35"/>
    <mergeCell ref="DM35:DO35"/>
    <mergeCell ref="DP35:DR35"/>
    <mergeCell ref="EC36:ED36"/>
    <mergeCell ref="EE36:EF36"/>
    <mergeCell ref="CO36:CP36"/>
    <mergeCell ref="CQ36:CR36"/>
    <mergeCell ref="CS36:CU36"/>
    <mergeCell ref="CV36:CX36"/>
    <mergeCell ref="CY36:CZ36"/>
    <mergeCell ref="DA36:DB36"/>
    <mergeCell ref="DC36:DE36"/>
    <mergeCell ref="DF36:DH36"/>
    <mergeCell ref="DI36:DJ36"/>
    <mergeCell ref="DS35:DT35"/>
    <mergeCell ref="DU35:DV35"/>
    <mergeCell ref="DW35:DY35"/>
    <mergeCell ref="DZ35:EB35"/>
    <mergeCell ref="EC35:ED35"/>
    <mergeCell ref="EE35:EF35"/>
    <mergeCell ref="DW37:DY37"/>
    <mergeCell ref="EG36:EI36"/>
    <mergeCell ref="AX37:AZ37"/>
    <mergeCell ref="BA37:BB37"/>
    <mergeCell ref="BC37:BD37"/>
    <mergeCell ref="BE37:BG37"/>
    <mergeCell ref="BH37:BJ37"/>
    <mergeCell ref="BK37:BL37"/>
    <mergeCell ref="BM37:BN37"/>
    <mergeCell ref="BO37:BQ37"/>
    <mergeCell ref="BR37:BT37"/>
    <mergeCell ref="BU37:BV37"/>
    <mergeCell ref="BW37:BX37"/>
    <mergeCell ref="BY37:CA37"/>
    <mergeCell ref="CB37:CD37"/>
    <mergeCell ref="CE37:CF37"/>
    <mergeCell ref="CG37:CH37"/>
    <mergeCell ref="CI37:CK37"/>
    <mergeCell ref="CL37:CN37"/>
    <mergeCell ref="CO37:CP37"/>
    <mergeCell ref="CQ37:CR37"/>
    <mergeCell ref="CS37:CU37"/>
    <mergeCell ref="CV37:CX37"/>
    <mergeCell ref="CY37:CZ37"/>
    <mergeCell ref="DA37:DB37"/>
    <mergeCell ref="DK36:DL36"/>
    <mergeCell ref="DM36:DO36"/>
    <mergeCell ref="DP36:DR36"/>
    <mergeCell ref="DS36:DT36"/>
    <mergeCell ref="DU36:DV36"/>
    <mergeCell ref="DW36:DY36"/>
    <mergeCell ref="DZ36:EB36"/>
    <mergeCell ref="DZ37:EB37"/>
    <mergeCell ref="EC37:ED37"/>
    <mergeCell ref="EE37:EF37"/>
    <mergeCell ref="EG37:EI37"/>
    <mergeCell ref="AX38:AZ38"/>
    <mergeCell ref="BA38:BB38"/>
    <mergeCell ref="BC38:BD38"/>
    <mergeCell ref="BE38:BG38"/>
    <mergeCell ref="BH38:BJ38"/>
    <mergeCell ref="BK38:BL38"/>
    <mergeCell ref="BM38:BN38"/>
    <mergeCell ref="BO38:BQ38"/>
    <mergeCell ref="BR38:BT38"/>
    <mergeCell ref="BU38:BV38"/>
    <mergeCell ref="BW38:BX38"/>
    <mergeCell ref="BY38:CA38"/>
    <mergeCell ref="CB38:CD38"/>
    <mergeCell ref="CE38:CF38"/>
    <mergeCell ref="CG38:CH38"/>
    <mergeCell ref="CI38:CK38"/>
    <mergeCell ref="CL38:CN38"/>
    <mergeCell ref="CO38:CP38"/>
    <mergeCell ref="CQ38:CR38"/>
    <mergeCell ref="CS38:CU38"/>
    <mergeCell ref="DC37:DE37"/>
    <mergeCell ref="DF37:DH37"/>
    <mergeCell ref="DI37:DJ37"/>
    <mergeCell ref="DK37:DL37"/>
    <mergeCell ref="DM37:DO37"/>
    <mergeCell ref="DP37:DR37"/>
    <mergeCell ref="DS37:DT37"/>
    <mergeCell ref="DU37:DV37"/>
    <mergeCell ref="EG38:EI38"/>
    <mergeCell ref="AX39:AZ39"/>
    <mergeCell ref="BA39:BB39"/>
    <mergeCell ref="BC39:BD39"/>
    <mergeCell ref="BE39:BG39"/>
    <mergeCell ref="BH39:BJ39"/>
    <mergeCell ref="BK39:BL39"/>
    <mergeCell ref="BM39:BN39"/>
    <mergeCell ref="BO39:BQ39"/>
    <mergeCell ref="BR39:BT39"/>
    <mergeCell ref="BU39:BV39"/>
    <mergeCell ref="BW39:BX39"/>
    <mergeCell ref="BY39:CA39"/>
    <mergeCell ref="CB39:CD39"/>
    <mergeCell ref="CE39:CF39"/>
    <mergeCell ref="CG39:CH39"/>
    <mergeCell ref="CI39:CK39"/>
    <mergeCell ref="CL39:CN39"/>
    <mergeCell ref="CV38:CX38"/>
    <mergeCell ref="CY38:CZ38"/>
    <mergeCell ref="DA38:DB38"/>
    <mergeCell ref="DC38:DE38"/>
    <mergeCell ref="DF38:DH38"/>
    <mergeCell ref="DI38:DJ38"/>
    <mergeCell ref="DK38:DL38"/>
    <mergeCell ref="DM38:DO38"/>
    <mergeCell ref="DP38:DR38"/>
    <mergeCell ref="EC39:ED39"/>
    <mergeCell ref="EE39:EF39"/>
    <mergeCell ref="CO39:CP39"/>
    <mergeCell ref="CQ39:CR39"/>
    <mergeCell ref="CS39:CU39"/>
    <mergeCell ref="CV39:CX39"/>
    <mergeCell ref="CY39:CZ39"/>
    <mergeCell ref="DA39:DB39"/>
    <mergeCell ref="DC39:DE39"/>
    <mergeCell ref="DF39:DH39"/>
    <mergeCell ref="DI39:DJ39"/>
    <mergeCell ref="DS38:DT38"/>
    <mergeCell ref="DU38:DV38"/>
    <mergeCell ref="DW38:DY38"/>
    <mergeCell ref="DZ38:EB38"/>
    <mergeCell ref="EC38:ED38"/>
    <mergeCell ref="EE38:EF38"/>
    <mergeCell ref="DW40:DY40"/>
    <mergeCell ref="EG39:EI39"/>
    <mergeCell ref="AX40:AZ40"/>
    <mergeCell ref="BA40:BB40"/>
    <mergeCell ref="BC40:BD40"/>
    <mergeCell ref="BE40:BG40"/>
    <mergeCell ref="BH40:BJ40"/>
    <mergeCell ref="BK40:BL40"/>
    <mergeCell ref="BM40:BN40"/>
    <mergeCell ref="BO40:BQ40"/>
    <mergeCell ref="BR40:BT40"/>
    <mergeCell ref="BU40:BV40"/>
    <mergeCell ref="BW40:BX40"/>
    <mergeCell ref="BY40:CA40"/>
    <mergeCell ref="CB40:CD40"/>
    <mergeCell ref="CE40:CF40"/>
    <mergeCell ref="CG40:CH40"/>
    <mergeCell ref="CI40:CK40"/>
    <mergeCell ref="CL40:CN40"/>
    <mergeCell ref="CO40:CP40"/>
    <mergeCell ref="CQ40:CR40"/>
    <mergeCell ref="CS40:CU40"/>
    <mergeCell ref="CV40:CX40"/>
    <mergeCell ref="CY40:CZ40"/>
    <mergeCell ref="DA40:DB40"/>
    <mergeCell ref="DK39:DL39"/>
    <mergeCell ref="DM39:DO39"/>
    <mergeCell ref="DP39:DR39"/>
    <mergeCell ref="DS39:DT39"/>
    <mergeCell ref="DU39:DV39"/>
    <mergeCell ref="DW39:DY39"/>
    <mergeCell ref="DZ39:EB39"/>
    <mergeCell ref="DZ40:EB40"/>
    <mergeCell ref="EC40:ED40"/>
    <mergeCell ref="EE40:EF40"/>
    <mergeCell ref="EG40:EI40"/>
    <mergeCell ref="AX41:AZ41"/>
    <mergeCell ref="BA41:BB41"/>
    <mergeCell ref="BC41:BD41"/>
    <mergeCell ref="BE41:BG41"/>
    <mergeCell ref="BH41:BJ41"/>
    <mergeCell ref="BK41:BL41"/>
    <mergeCell ref="BM41:BN41"/>
    <mergeCell ref="BO41:BQ41"/>
    <mergeCell ref="BR41:BT41"/>
    <mergeCell ref="BU41:BV41"/>
    <mergeCell ref="BW41:BX41"/>
    <mergeCell ref="BY41:CA41"/>
    <mergeCell ref="CB41:CD41"/>
    <mergeCell ref="CE41:CF41"/>
    <mergeCell ref="CG41:CH41"/>
    <mergeCell ref="CI41:CK41"/>
    <mergeCell ref="CL41:CN41"/>
    <mergeCell ref="CO41:CP41"/>
    <mergeCell ref="CQ41:CR41"/>
    <mergeCell ref="CS41:CU41"/>
    <mergeCell ref="DC40:DE40"/>
    <mergeCell ref="DF40:DH40"/>
    <mergeCell ref="DI40:DJ40"/>
    <mergeCell ref="DK40:DL40"/>
    <mergeCell ref="DM40:DO40"/>
    <mergeCell ref="DP40:DR40"/>
    <mergeCell ref="DS40:DT40"/>
    <mergeCell ref="DU40:DV40"/>
    <mergeCell ref="EG41:EI41"/>
    <mergeCell ref="AX42:AZ42"/>
    <mergeCell ref="BA42:BB42"/>
    <mergeCell ref="BC42:BD42"/>
    <mergeCell ref="BE42:BG42"/>
    <mergeCell ref="BH42:BJ42"/>
    <mergeCell ref="BK42:BL42"/>
    <mergeCell ref="BM42:BN42"/>
    <mergeCell ref="BO42:BQ42"/>
    <mergeCell ref="BR42:BT42"/>
    <mergeCell ref="BU42:BV42"/>
    <mergeCell ref="BW42:BX42"/>
    <mergeCell ref="BY42:CA42"/>
    <mergeCell ref="CB42:CD42"/>
    <mergeCell ref="CE42:CF42"/>
    <mergeCell ref="CG42:CH42"/>
    <mergeCell ref="CI42:CK42"/>
    <mergeCell ref="CL42:CN42"/>
    <mergeCell ref="CV41:CX41"/>
    <mergeCell ref="CY41:CZ41"/>
    <mergeCell ref="DA41:DB41"/>
    <mergeCell ref="DC41:DE41"/>
    <mergeCell ref="DF41:DH41"/>
    <mergeCell ref="DI41:DJ41"/>
    <mergeCell ref="DK41:DL41"/>
    <mergeCell ref="DM41:DO41"/>
    <mergeCell ref="DP41:DR41"/>
    <mergeCell ref="EC42:ED42"/>
    <mergeCell ref="EE42:EF42"/>
    <mergeCell ref="CO42:CP42"/>
    <mergeCell ref="CQ42:CR42"/>
    <mergeCell ref="CS42:CU42"/>
    <mergeCell ref="CV42:CX42"/>
    <mergeCell ref="CY42:CZ42"/>
    <mergeCell ref="DA42:DB42"/>
    <mergeCell ref="DC42:DE42"/>
    <mergeCell ref="DF42:DH42"/>
    <mergeCell ref="DI42:DJ42"/>
    <mergeCell ref="DS41:DT41"/>
    <mergeCell ref="DU41:DV41"/>
    <mergeCell ref="DW41:DY41"/>
    <mergeCell ref="DZ41:EB41"/>
    <mergeCell ref="EC41:ED41"/>
    <mergeCell ref="EE41:EF41"/>
    <mergeCell ref="DW43:DY43"/>
    <mergeCell ref="EG42:EI42"/>
    <mergeCell ref="AX43:AZ43"/>
    <mergeCell ref="BA43:BB43"/>
    <mergeCell ref="BC43:BD43"/>
    <mergeCell ref="BE43:BG43"/>
    <mergeCell ref="BH43:BJ43"/>
    <mergeCell ref="BK43:BL43"/>
    <mergeCell ref="BM43:BN43"/>
    <mergeCell ref="BO43:BQ43"/>
    <mergeCell ref="BR43:BT43"/>
    <mergeCell ref="BU43:BV43"/>
    <mergeCell ref="BW43:BX43"/>
    <mergeCell ref="BY43:CA43"/>
    <mergeCell ref="CB43:CD43"/>
    <mergeCell ref="CE43:CF43"/>
    <mergeCell ref="CG43:CH43"/>
    <mergeCell ref="CI43:CK43"/>
    <mergeCell ref="CL43:CN43"/>
    <mergeCell ref="CO43:CP43"/>
    <mergeCell ref="CQ43:CR43"/>
    <mergeCell ref="CS43:CU43"/>
    <mergeCell ref="CV43:CX43"/>
    <mergeCell ref="CY43:CZ43"/>
    <mergeCell ref="DA43:DB43"/>
    <mergeCell ref="DK42:DL42"/>
    <mergeCell ref="DM42:DO42"/>
    <mergeCell ref="DP42:DR42"/>
    <mergeCell ref="DS42:DT42"/>
    <mergeCell ref="DU42:DV42"/>
    <mergeCell ref="DW42:DY42"/>
    <mergeCell ref="DZ42:EB42"/>
    <mergeCell ref="DZ43:EB43"/>
    <mergeCell ref="EC43:ED43"/>
    <mergeCell ref="EE43:EF43"/>
    <mergeCell ref="EG43:EI43"/>
    <mergeCell ref="AX44:AZ44"/>
    <mergeCell ref="BA44:BB44"/>
    <mergeCell ref="BC44:BD44"/>
    <mergeCell ref="BE44:BG44"/>
    <mergeCell ref="BH44:BJ44"/>
    <mergeCell ref="BK44:BL44"/>
    <mergeCell ref="BM44:BN44"/>
    <mergeCell ref="BO44:BQ44"/>
    <mergeCell ref="BR44:BT44"/>
    <mergeCell ref="BU44:BV44"/>
    <mergeCell ref="BW44:BX44"/>
    <mergeCell ref="BY44:CA44"/>
    <mergeCell ref="CB44:CD44"/>
    <mergeCell ref="CE44:CF44"/>
    <mergeCell ref="CG44:CH44"/>
    <mergeCell ref="CI44:CK44"/>
    <mergeCell ref="CL44:CN44"/>
    <mergeCell ref="CO44:CP44"/>
    <mergeCell ref="CQ44:CR44"/>
    <mergeCell ref="CS44:CU44"/>
    <mergeCell ref="DC43:DE43"/>
    <mergeCell ref="DF43:DH43"/>
    <mergeCell ref="DI43:DJ43"/>
    <mergeCell ref="DK43:DL43"/>
    <mergeCell ref="DM43:DO43"/>
    <mergeCell ref="DP43:DR43"/>
    <mergeCell ref="DS43:DT43"/>
    <mergeCell ref="DU43:DV43"/>
    <mergeCell ref="EG44:EI44"/>
    <mergeCell ref="AX45:AZ45"/>
    <mergeCell ref="BA45:BB45"/>
    <mergeCell ref="BC45:BD45"/>
    <mergeCell ref="BE45:BG45"/>
    <mergeCell ref="BH45:BJ45"/>
    <mergeCell ref="BK45:BL45"/>
    <mergeCell ref="BM45:BN45"/>
    <mergeCell ref="BO45:BQ45"/>
    <mergeCell ref="BR45:BT45"/>
    <mergeCell ref="BU45:BV45"/>
    <mergeCell ref="BW45:BX45"/>
    <mergeCell ref="BY45:CA45"/>
    <mergeCell ref="CB45:CD45"/>
    <mergeCell ref="CE45:CF45"/>
    <mergeCell ref="CG45:CH45"/>
    <mergeCell ref="CI45:CK45"/>
    <mergeCell ref="CL45:CN45"/>
    <mergeCell ref="CV44:CX44"/>
    <mergeCell ref="CY44:CZ44"/>
    <mergeCell ref="DA44:DB44"/>
    <mergeCell ref="DC44:DE44"/>
    <mergeCell ref="DF44:DH44"/>
    <mergeCell ref="DI44:DJ44"/>
    <mergeCell ref="DK44:DL44"/>
    <mergeCell ref="DM44:DO44"/>
    <mergeCell ref="DP44:DR44"/>
    <mergeCell ref="EC45:ED45"/>
    <mergeCell ref="EE45:EF45"/>
    <mergeCell ref="CO45:CP45"/>
    <mergeCell ref="CQ45:CR45"/>
    <mergeCell ref="CS45:CU45"/>
    <mergeCell ref="CV45:CX45"/>
    <mergeCell ref="CY45:CZ45"/>
    <mergeCell ref="DA45:DB45"/>
    <mergeCell ref="DC45:DE45"/>
    <mergeCell ref="DF45:DH45"/>
    <mergeCell ref="DI45:DJ45"/>
    <mergeCell ref="DS44:DT44"/>
    <mergeCell ref="DU44:DV44"/>
    <mergeCell ref="DW44:DY44"/>
    <mergeCell ref="DZ44:EB44"/>
    <mergeCell ref="EC44:ED44"/>
    <mergeCell ref="EE44:EF44"/>
    <mergeCell ref="DW46:DY46"/>
    <mergeCell ref="EG45:EI45"/>
    <mergeCell ref="AX46:AZ46"/>
    <mergeCell ref="BA46:BB46"/>
    <mergeCell ref="BC46:BD46"/>
    <mergeCell ref="BE46:BG46"/>
    <mergeCell ref="BH46:BJ46"/>
    <mergeCell ref="BK46:BL46"/>
    <mergeCell ref="BM46:BN46"/>
    <mergeCell ref="BO46:BQ46"/>
    <mergeCell ref="BR46:BT46"/>
    <mergeCell ref="BU46:BV46"/>
    <mergeCell ref="BW46:BX46"/>
    <mergeCell ref="BY46:CA46"/>
    <mergeCell ref="CB46:CD46"/>
    <mergeCell ref="CE46:CF46"/>
    <mergeCell ref="CG46:CH46"/>
    <mergeCell ref="CI46:CK46"/>
    <mergeCell ref="CL46:CN46"/>
    <mergeCell ref="CO46:CP46"/>
    <mergeCell ref="CQ46:CR46"/>
    <mergeCell ref="CS46:CU46"/>
    <mergeCell ref="CV46:CX46"/>
    <mergeCell ref="CY46:CZ46"/>
    <mergeCell ref="DA46:DB46"/>
    <mergeCell ref="DK45:DL45"/>
    <mergeCell ref="DM45:DO45"/>
    <mergeCell ref="DP45:DR45"/>
    <mergeCell ref="DS45:DT45"/>
    <mergeCell ref="DU45:DV45"/>
    <mergeCell ref="DW45:DY45"/>
    <mergeCell ref="DZ45:EB45"/>
    <mergeCell ref="DZ46:EB46"/>
    <mergeCell ref="EC46:ED46"/>
    <mergeCell ref="EE46:EF46"/>
    <mergeCell ref="EG46:EI46"/>
    <mergeCell ref="AX47:AZ47"/>
    <mergeCell ref="BA47:BB47"/>
    <mergeCell ref="BC47:BD47"/>
    <mergeCell ref="BE47:BG47"/>
    <mergeCell ref="BH47:BJ47"/>
    <mergeCell ref="BK47:BL47"/>
    <mergeCell ref="BM47:BN47"/>
    <mergeCell ref="BO47:BQ47"/>
    <mergeCell ref="BR47:BT47"/>
    <mergeCell ref="BU47:BV47"/>
    <mergeCell ref="BW47:BX47"/>
    <mergeCell ref="BY47:CA47"/>
    <mergeCell ref="CB47:CD47"/>
    <mergeCell ref="CE47:CF47"/>
    <mergeCell ref="CG47:CH47"/>
    <mergeCell ref="CI47:CK47"/>
    <mergeCell ref="CL47:CN47"/>
    <mergeCell ref="CO47:CP47"/>
    <mergeCell ref="CQ47:CR47"/>
    <mergeCell ref="CS47:CU47"/>
    <mergeCell ref="DC46:DE46"/>
    <mergeCell ref="DF46:DH46"/>
    <mergeCell ref="DI46:DJ46"/>
    <mergeCell ref="DK46:DL46"/>
    <mergeCell ref="DM46:DO46"/>
    <mergeCell ref="DP46:DR46"/>
    <mergeCell ref="DS46:DT46"/>
    <mergeCell ref="DU46:DV46"/>
    <mergeCell ref="EG47:EI47"/>
    <mergeCell ref="AX48:AZ48"/>
    <mergeCell ref="BA48:BB48"/>
    <mergeCell ref="BC48:BD48"/>
    <mergeCell ref="BE48:BG48"/>
    <mergeCell ref="BH48:BJ48"/>
    <mergeCell ref="BK48:BL48"/>
    <mergeCell ref="BM48:BN48"/>
    <mergeCell ref="BO48:BQ48"/>
    <mergeCell ref="BR48:BT48"/>
    <mergeCell ref="BU48:BV48"/>
    <mergeCell ref="BW48:BX48"/>
    <mergeCell ref="BY48:CA48"/>
    <mergeCell ref="CB48:CD48"/>
    <mergeCell ref="CE48:CF48"/>
    <mergeCell ref="CG48:CH48"/>
    <mergeCell ref="CI48:CK48"/>
    <mergeCell ref="CL48:CN48"/>
    <mergeCell ref="CV47:CX47"/>
    <mergeCell ref="CY47:CZ47"/>
    <mergeCell ref="DA47:DB47"/>
    <mergeCell ref="DC47:DE47"/>
    <mergeCell ref="DF47:DH47"/>
    <mergeCell ref="DI47:DJ47"/>
    <mergeCell ref="DK47:DL47"/>
    <mergeCell ref="DM47:DO47"/>
    <mergeCell ref="DP47:DR47"/>
    <mergeCell ref="EC48:ED48"/>
    <mergeCell ref="EE48:EF48"/>
    <mergeCell ref="CO48:CP48"/>
    <mergeCell ref="CQ48:CR48"/>
    <mergeCell ref="CS48:CU48"/>
    <mergeCell ref="CV48:CX48"/>
    <mergeCell ref="CY48:CZ48"/>
    <mergeCell ref="DA48:DB48"/>
    <mergeCell ref="DC48:DE48"/>
    <mergeCell ref="DF48:DH48"/>
    <mergeCell ref="DI48:DJ48"/>
    <mergeCell ref="DS47:DT47"/>
    <mergeCell ref="DU47:DV47"/>
    <mergeCell ref="DW47:DY47"/>
    <mergeCell ref="DZ47:EB47"/>
    <mergeCell ref="EC47:ED47"/>
    <mergeCell ref="EE47:EF47"/>
    <mergeCell ref="DW49:DY49"/>
    <mergeCell ref="EG48:EI48"/>
    <mergeCell ref="AX49:AZ49"/>
    <mergeCell ref="BA49:BB49"/>
    <mergeCell ref="BC49:BD49"/>
    <mergeCell ref="BE49:BG49"/>
    <mergeCell ref="BH49:BJ49"/>
    <mergeCell ref="BK49:BL49"/>
    <mergeCell ref="BM49:BN49"/>
    <mergeCell ref="BO49:BQ49"/>
    <mergeCell ref="BR49:BT49"/>
    <mergeCell ref="BU49:BV49"/>
    <mergeCell ref="BW49:BX49"/>
    <mergeCell ref="BY49:CA49"/>
    <mergeCell ref="CB49:CD49"/>
    <mergeCell ref="CE49:CF49"/>
    <mergeCell ref="CG49:CH49"/>
    <mergeCell ref="CI49:CK49"/>
    <mergeCell ref="CL49:CN49"/>
    <mergeCell ref="CO49:CP49"/>
    <mergeCell ref="CQ49:CR49"/>
    <mergeCell ref="CS49:CU49"/>
    <mergeCell ref="CV49:CX49"/>
    <mergeCell ref="CY49:CZ49"/>
    <mergeCell ref="DA49:DB49"/>
    <mergeCell ref="DK48:DL48"/>
    <mergeCell ref="DM48:DO48"/>
    <mergeCell ref="DP48:DR48"/>
    <mergeCell ref="DS48:DT48"/>
    <mergeCell ref="DU48:DV48"/>
    <mergeCell ref="DW48:DY48"/>
    <mergeCell ref="DZ48:EB48"/>
    <mergeCell ref="DZ49:EB49"/>
    <mergeCell ref="EC49:ED49"/>
    <mergeCell ref="EE49:EF49"/>
    <mergeCell ref="EG49:EI49"/>
    <mergeCell ref="AX50:AZ50"/>
    <mergeCell ref="BA50:BB50"/>
    <mergeCell ref="BC50:BD50"/>
    <mergeCell ref="BE50:BG50"/>
    <mergeCell ref="BH50:BJ50"/>
    <mergeCell ref="BK50:BL50"/>
    <mergeCell ref="BM50:BN50"/>
    <mergeCell ref="BO50:BQ50"/>
    <mergeCell ref="BR50:BT50"/>
    <mergeCell ref="BU50:BV50"/>
    <mergeCell ref="BW50:BX50"/>
    <mergeCell ref="BY50:CA50"/>
    <mergeCell ref="CB50:CD50"/>
    <mergeCell ref="CE50:CF50"/>
    <mergeCell ref="CG50:CH50"/>
    <mergeCell ref="CI50:CK50"/>
    <mergeCell ref="CL50:CN50"/>
    <mergeCell ref="CO50:CP50"/>
    <mergeCell ref="CQ50:CR50"/>
    <mergeCell ref="CS50:CU50"/>
    <mergeCell ref="DC49:DE49"/>
    <mergeCell ref="DF49:DH49"/>
    <mergeCell ref="DI49:DJ49"/>
    <mergeCell ref="DK49:DL49"/>
    <mergeCell ref="DM49:DO49"/>
    <mergeCell ref="DP49:DR49"/>
    <mergeCell ref="DS49:DT49"/>
    <mergeCell ref="DU49:DV49"/>
    <mergeCell ref="EG50:EI50"/>
    <mergeCell ref="AX51:AZ51"/>
    <mergeCell ref="BA51:BB51"/>
    <mergeCell ref="BC51:BD51"/>
    <mergeCell ref="BE51:BG51"/>
    <mergeCell ref="BH51:BJ51"/>
    <mergeCell ref="BK51:BL51"/>
    <mergeCell ref="BM51:BN51"/>
    <mergeCell ref="BO51:BQ51"/>
    <mergeCell ref="BR51:BT51"/>
    <mergeCell ref="BU51:BV51"/>
    <mergeCell ref="BW51:BX51"/>
    <mergeCell ref="BY51:CA51"/>
    <mergeCell ref="CB51:CD51"/>
    <mergeCell ref="CE51:CF51"/>
    <mergeCell ref="CG51:CH51"/>
    <mergeCell ref="CI51:CK51"/>
    <mergeCell ref="CL51:CN51"/>
    <mergeCell ref="CV50:CX50"/>
    <mergeCell ref="CY50:CZ50"/>
    <mergeCell ref="DA50:DB50"/>
    <mergeCell ref="DC50:DE50"/>
    <mergeCell ref="DF50:DH50"/>
    <mergeCell ref="DI50:DJ50"/>
    <mergeCell ref="DK50:DL50"/>
    <mergeCell ref="DM50:DO50"/>
    <mergeCell ref="DP50:DR50"/>
    <mergeCell ref="EC51:ED51"/>
    <mergeCell ref="EE51:EF51"/>
    <mergeCell ref="CO51:CP51"/>
    <mergeCell ref="CQ51:CR51"/>
    <mergeCell ref="CS51:CU51"/>
    <mergeCell ref="CV51:CX51"/>
    <mergeCell ref="CY51:CZ51"/>
    <mergeCell ref="DA51:DB51"/>
    <mergeCell ref="DC51:DE51"/>
    <mergeCell ref="DF51:DH51"/>
    <mergeCell ref="DI51:DJ51"/>
    <mergeCell ref="DS50:DT50"/>
    <mergeCell ref="DU50:DV50"/>
    <mergeCell ref="DW50:DY50"/>
    <mergeCell ref="DZ50:EB50"/>
    <mergeCell ref="EC50:ED50"/>
    <mergeCell ref="EE50:EF50"/>
    <mergeCell ref="DW52:DY52"/>
    <mergeCell ref="EG51:EI51"/>
    <mergeCell ref="AX52:AZ52"/>
    <mergeCell ref="BA52:BB52"/>
    <mergeCell ref="BC52:BD52"/>
    <mergeCell ref="BE52:BG52"/>
    <mergeCell ref="BH52:BJ52"/>
    <mergeCell ref="BK52:BL52"/>
    <mergeCell ref="BM52:BN52"/>
    <mergeCell ref="BO52:BQ52"/>
    <mergeCell ref="BR52:BT52"/>
    <mergeCell ref="BU52:BV52"/>
    <mergeCell ref="BW52:BX52"/>
    <mergeCell ref="BY52:CA52"/>
    <mergeCell ref="CB52:CD52"/>
    <mergeCell ref="CE52:CF52"/>
    <mergeCell ref="CG52:CH52"/>
    <mergeCell ref="CI52:CK52"/>
    <mergeCell ref="CL52:CN52"/>
    <mergeCell ref="CO52:CP52"/>
    <mergeCell ref="CQ52:CR52"/>
    <mergeCell ref="CS52:CU52"/>
    <mergeCell ref="CV52:CX52"/>
    <mergeCell ref="CY52:CZ52"/>
    <mergeCell ref="DA52:DB52"/>
    <mergeCell ref="DK51:DL51"/>
    <mergeCell ref="DM51:DO51"/>
    <mergeCell ref="DP51:DR51"/>
    <mergeCell ref="DS51:DT51"/>
    <mergeCell ref="DU51:DV51"/>
    <mergeCell ref="DW51:DY51"/>
    <mergeCell ref="DZ51:EB51"/>
    <mergeCell ref="DZ52:EB52"/>
    <mergeCell ref="EC52:ED52"/>
    <mergeCell ref="EE52:EF52"/>
    <mergeCell ref="EG52:EI52"/>
    <mergeCell ref="AX53:AZ53"/>
    <mergeCell ref="BA53:BB53"/>
    <mergeCell ref="BC53:BD53"/>
    <mergeCell ref="BE53:BG53"/>
    <mergeCell ref="BH53:BJ53"/>
    <mergeCell ref="BK53:BL53"/>
    <mergeCell ref="BM53:BN53"/>
    <mergeCell ref="BO53:BQ53"/>
    <mergeCell ref="BR53:BT53"/>
    <mergeCell ref="BU53:BV53"/>
    <mergeCell ref="BW53:BX53"/>
    <mergeCell ref="BY53:CA53"/>
    <mergeCell ref="CB53:CD53"/>
    <mergeCell ref="CE53:CF53"/>
    <mergeCell ref="CG53:CH53"/>
    <mergeCell ref="CI53:CK53"/>
    <mergeCell ref="CL53:CN53"/>
    <mergeCell ref="CO53:CP53"/>
    <mergeCell ref="CQ53:CR53"/>
    <mergeCell ref="CS53:CU53"/>
    <mergeCell ref="DC52:DE52"/>
    <mergeCell ref="DF52:DH52"/>
    <mergeCell ref="DI52:DJ52"/>
    <mergeCell ref="DK52:DL52"/>
    <mergeCell ref="DM52:DO52"/>
    <mergeCell ref="DP52:DR52"/>
    <mergeCell ref="DS52:DT52"/>
    <mergeCell ref="DU52:DV52"/>
    <mergeCell ref="EG53:EI53"/>
    <mergeCell ref="AX54:AZ54"/>
    <mergeCell ref="BA54:BB54"/>
    <mergeCell ref="BC54:BD54"/>
    <mergeCell ref="BE54:BG54"/>
    <mergeCell ref="BH54:BJ54"/>
    <mergeCell ref="BK54:BL54"/>
    <mergeCell ref="BM54:BN54"/>
    <mergeCell ref="BO54:BQ54"/>
    <mergeCell ref="BR54:BT54"/>
    <mergeCell ref="BU54:BV54"/>
    <mergeCell ref="BW54:BX54"/>
    <mergeCell ref="BY54:CA54"/>
    <mergeCell ref="CB54:CD54"/>
    <mergeCell ref="CE54:CF54"/>
    <mergeCell ref="CG54:CH54"/>
    <mergeCell ref="CI54:CK54"/>
    <mergeCell ref="CL54:CN54"/>
    <mergeCell ref="CV53:CX53"/>
    <mergeCell ref="CY53:CZ53"/>
    <mergeCell ref="DA53:DB53"/>
    <mergeCell ref="DC53:DE53"/>
    <mergeCell ref="DF53:DH53"/>
    <mergeCell ref="DI53:DJ53"/>
    <mergeCell ref="DK53:DL53"/>
    <mergeCell ref="DM53:DO53"/>
    <mergeCell ref="DP53:DR53"/>
    <mergeCell ref="EC54:ED54"/>
    <mergeCell ref="EE54:EF54"/>
    <mergeCell ref="CO54:CP54"/>
    <mergeCell ref="CQ54:CR54"/>
    <mergeCell ref="CS54:CU54"/>
    <mergeCell ref="CV54:CX54"/>
    <mergeCell ref="CY54:CZ54"/>
    <mergeCell ref="DA54:DB54"/>
    <mergeCell ref="DC54:DE54"/>
    <mergeCell ref="DF54:DH54"/>
    <mergeCell ref="DI54:DJ54"/>
    <mergeCell ref="DS53:DT53"/>
    <mergeCell ref="DU53:DV53"/>
    <mergeCell ref="DW53:DY53"/>
    <mergeCell ref="DZ53:EB53"/>
    <mergeCell ref="EC53:ED53"/>
    <mergeCell ref="EE53:EF53"/>
    <mergeCell ref="DW55:DY55"/>
    <mergeCell ref="EG54:EI54"/>
    <mergeCell ref="AX55:AZ55"/>
    <mergeCell ref="BA55:BB55"/>
    <mergeCell ref="BC55:BD55"/>
    <mergeCell ref="BE55:BG55"/>
    <mergeCell ref="BH55:BJ55"/>
    <mergeCell ref="BK55:BL55"/>
    <mergeCell ref="BM55:BN55"/>
    <mergeCell ref="BO55:BQ55"/>
    <mergeCell ref="BR55:BT55"/>
    <mergeCell ref="BU55:BV55"/>
    <mergeCell ref="BW55:BX55"/>
    <mergeCell ref="BY55:CA55"/>
    <mergeCell ref="CB55:CD55"/>
    <mergeCell ref="CE55:CF55"/>
    <mergeCell ref="CG55:CH55"/>
    <mergeCell ref="CI55:CK55"/>
    <mergeCell ref="CL55:CN55"/>
    <mergeCell ref="CO55:CP55"/>
    <mergeCell ref="CQ55:CR55"/>
    <mergeCell ref="CS55:CU55"/>
    <mergeCell ref="CV55:CX55"/>
    <mergeCell ref="CY55:CZ55"/>
    <mergeCell ref="DA55:DB55"/>
    <mergeCell ref="DK54:DL54"/>
    <mergeCell ref="DM54:DO54"/>
    <mergeCell ref="DP54:DR54"/>
    <mergeCell ref="DS54:DT54"/>
    <mergeCell ref="DU54:DV54"/>
    <mergeCell ref="DW54:DY54"/>
    <mergeCell ref="DZ54:EB54"/>
    <mergeCell ref="DZ55:EB55"/>
    <mergeCell ref="EC55:ED55"/>
    <mergeCell ref="EE55:EF55"/>
    <mergeCell ref="EG55:EI55"/>
    <mergeCell ref="AX56:AZ56"/>
    <mergeCell ref="BA56:BB56"/>
    <mergeCell ref="BC56:BD56"/>
    <mergeCell ref="BE56:BG56"/>
    <mergeCell ref="BH56:BJ56"/>
    <mergeCell ref="BK56:BL56"/>
    <mergeCell ref="BM56:BN56"/>
    <mergeCell ref="BO56:BQ56"/>
    <mergeCell ref="BR56:BT56"/>
    <mergeCell ref="BU56:BV56"/>
    <mergeCell ref="BW56:BX56"/>
    <mergeCell ref="BY56:CA56"/>
    <mergeCell ref="CB56:CD56"/>
    <mergeCell ref="CE56:CF56"/>
    <mergeCell ref="CG56:CH56"/>
    <mergeCell ref="CI56:CK56"/>
    <mergeCell ref="CL56:CN56"/>
    <mergeCell ref="CO56:CP56"/>
    <mergeCell ref="CQ56:CR56"/>
    <mergeCell ref="CS56:CU56"/>
    <mergeCell ref="DC55:DE55"/>
    <mergeCell ref="DF55:DH55"/>
    <mergeCell ref="DI55:DJ55"/>
    <mergeCell ref="DK55:DL55"/>
    <mergeCell ref="DM55:DO55"/>
    <mergeCell ref="DP55:DR55"/>
    <mergeCell ref="DS55:DT55"/>
    <mergeCell ref="DU55:DV55"/>
    <mergeCell ref="EG56:EI56"/>
    <mergeCell ref="AX57:AZ57"/>
    <mergeCell ref="BA57:BB57"/>
    <mergeCell ref="BC57:BD57"/>
    <mergeCell ref="BE57:BG57"/>
    <mergeCell ref="BH57:BJ57"/>
    <mergeCell ref="BK57:BL57"/>
    <mergeCell ref="BM57:BN57"/>
    <mergeCell ref="BO57:BQ57"/>
    <mergeCell ref="BR57:BT57"/>
    <mergeCell ref="BU57:BV57"/>
    <mergeCell ref="BW57:BX57"/>
    <mergeCell ref="BY57:CA57"/>
    <mergeCell ref="CB57:CD57"/>
    <mergeCell ref="CE57:CF57"/>
    <mergeCell ref="CG57:CH57"/>
    <mergeCell ref="CI57:CK57"/>
    <mergeCell ref="CL57:CN57"/>
    <mergeCell ref="CV56:CX56"/>
    <mergeCell ref="CY56:CZ56"/>
    <mergeCell ref="DA56:DB56"/>
    <mergeCell ref="DC56:DE56"/>
    <mergeCell ref="DF56:DH56"/>
    <mergeCell ref="DI56:DJ56"/>
    <mergeCell ref="DK56:DL56"/>
    <mergeCell ref="DM56:DO56"/>
    <mergeCell ref="DP56:DR56"/>
    <mergeCell ref="EC57:ED57"/>
    <mergeCell ref="EE57:EF57"/>
    <mergeCell ref="CO57:CP57"/>
    <mergeCell ref="CQ57:CR57"/>
    <mergeCell ref="CS57:CU57"/>
    <mergeCell ref="CV57:CX57"/>
    <mergeCell ref="CY57:CZ57"/>
    <mergeCell ref="DA57:DB57"/>
    <mergeCell ref="DC57:DE57"/>
    <mergeCell ref="DF57:DH57"/>
    <mergeCell ref="DI57:DJ57"/>
    <mergeCell ref="DS56:DT56"/>
    <mergeCell ref="DU56:DV56"/>
    <mergeCell ref="DW56:DY56"/>
    <mergeCell ref="DZ56:EB56"/>
    <mergeCell ref="EC56:ED56"/>
    <mergeCell ref="EE56:EF56"/>
    <mergeCell ref="DW58:DY58"/>
    <mergeCell ref="EG57:EI57"/>
    <mergeCell ref="AX58:AZ58"/>
    <mergeCell ref="BA58:BB58"/>
    <mergeCell ref="BC58:BD58"/>
    <mergeCell ref="BE58:BG58"/>
    <mergeCell ref="BH58:BJ58"/>
    <mergeCell ref="BK58:BL58"/>
    <mergeCell ref="BM58:BN58"/>
    <mergeCell ref="BO58:BQ58"/>
    <mergeCell ref="BR58:BT58"/>
    <mergeCell ref="BU58:BV58"/>
    <mergeCell ref="BW58:BX58"/>
    <mergeCell ref="BY58:CA58"/>
    <mergeCell ref="CB58:CD58"/>
    <mergeCell ref="CE58:CF58"/>
    <mergeCell ref="CG58:CH58"/>
    <mergeCell ref="CI58:CK58"/>
    <mergeCell ref="CL58:CN58"/>
    <mergeCell ref="CO58:CP58"/>
    <mergeCell ref="CQ58:CR58"/>
    <mergeCell ref="CS58:CU58"/>
    <mergeCell ref="CV58:CX58"/>
    <mergeCell ref="CY58:CZ58"/>
    <mergeCell ref="DA58:DB58"/>
    <mergeCell ref="DK57:DL57"/>
    <mergeCell ref="DM57:DO57"/>
    <mergeCell ref="DP57:DR57"/>
    <mergeCell ref="DS57:DT57"/>
    <mergeCell ref="DU57:DV57"/>
    <mergeCell ref="DW57:DY57"/>
    <mergeCell ref="DZ57:EB57"/>
    <mergeCell ref="DZ58:EB58"/>
    <mergeCell ref="EC58:ED58"/>
    <mergeCell ref="EE58:EF58"/>
    <mergeCell ref="EG58:EI58"/>
    <mergeCell ref="AX59:AZ59"/>
    <mergeCell ref="BA59:BB59"/>
    <mergeCell ref="BC59:BD59"/>
    <mergeCell ref="BE59:BG59"/>
    <mergeCell ref="BH59:BJ59"/>
    <mergeCell ref="BK59:BL59"/>
    <mergeCell ref="BM59:BN59"/>
    <mergeCell ref="BO59:BQ59"/>
    <mergeCell ref="BR59:BT59"/>
    <mergeCell ref="BU59:BV59"/>
    <mergeCell ref="BW59:BX59"/>
    <mergeCell ref="BY59:CA59"/>
    <mergeCell ref="CB59:CD59"/>
    <mergeCell ref="CE59:CF59"/>
    <mergeCell ref="CG59:CH59"/>
    <mergeCell ref="CI59:CK59"/>
    <mergeCell ref="CL59:CN59"/>
    <mergeCell ref="CO59:CP59"/>
    <mergeCell ref="CQ59:CR59"/>
    <mergeCell ref="CS59:CU59"/>
    <mergeCell ref="DC58:DE58"/>
    <mergeCell ref="DF58:DH58"/>
    <mergeCell ref="DI58:DJ58"/>
    <mergeCell ref="DK58:DL58"/>
    <mergeCell ref="DM58:DO58"/>
    <mergeCell ref="DP58:DR58"/>
    <mergeCell ref="DS58:DT58"/>
    <mergeCell ref="DU58:DV58"/>
    <mergeCell ref="AX60:AZ60"/>
    <mergeCell ref="BA60:BB60"/>
    <mergeCell ref="BC60:BD60"/>
    <mergeCell ref="BE60:BG60"/>
    <mergeCell ref="BH60:BJ60"/>
    <mergeCell ref="BK60:BL60"/>
    <mergeCell ref="BM60:BN60"/>
    <mergeCell ref="BO60:BQ60"/>
    <mergeCell ref="BR60:BT60"/>
    <mergeCell ref="BU60:BV60"/>
    <mergeCell ref="BW60:BX60"/>
    <mergeCell ref="BY60:CA60"/>
    <mergeCell ref="CB60:CD60"/>
    <mergeCell ref="CE60:CF60"/>
    <mergeCell ref="CG60:CH60"/>
    <mergeCell ref="CI60:CK60"/>
    <mergeCell ref="CL60:CN60"/>
    <mergeCell ref="EE60:EF60"/>
    <mergeCell ref="CO60:CP60"/>
    <mergeCell ref="CQ60:CR60"/>
    <mergeCell ref="CS60:CU60"/>
    <mergeCell ref="CV60:CX60"/>
    <mergeCell ref="CY60:CZ60"/>
    <mergeCell ref="DA60:DB60"/>
    <mergeCell ref="DC60:DE60"/>
    <mergeCell ref="DF60:DH60"/>
    <mergeCell ref="DI60:DJ60"/>
    <mergeCell ref="DS59:DT59"/>
    <mergeCell ref="DU59:DV59"/>
    <mergeCell ref="DW59:DY59"/>
    <mergeCell ref="DZ59:EB59"/>
    <mergeCell ref="EC59:ED59"/>
    <mergeCell ref="EE59:EF59"/>
    <mergeCell ref="EG59:EI59"/>
    <mergeCell ref="CV59:CX59"/>
    <mergeCell ref="CY59:CZ59"/>
    <mergeCell ref="DA59:DB59"/>
    <mergeCell ref="DC59:DE59"/>
    <mergeCell ref="DF59:DH59"/>
    <mergeCell ref="DI59:DJ59"/>
    <mergeCell ref="DK59:DL59"/>
    <mergeCell ref="DM59:DO59"/>
    <mergeCell ref="DP59:DR59"/>
    <mergeCell ref="EG60:EI60"/>
    <mergeCell ref="DK60:DL60"/>
    <mergeCell ref="DM60:DO60"/>
    <mergeCell ref="DP60:DR60"/>
    <mergeCell ref="DS60:DT60"/>
    <mergeCell ref="DU60:DV60"/>
    <mergeCell ref="AN60:AP60"/>
    <mergeCell ref="AQ60:AR60"/>
    <mergeCell ref="AS60:AT60"/>
    <mergeCell ref="AU60:AW60"/>
    <mergeCell ref="Q12:S12"/>
    <mergeCell ref="J13:L13"/>
    <mergeCell ref="Q13:S13"/>
    <mergeCell ref="J11:L11"/>
    <mergeCell ref="J12:L12"/>
    <mergeCell ref="J14:L14"/>
    <mergeCell ref="J15:L15"/>
    <mergeCell ref="J16:L16"/>
    <mergeCell ref="J17:L17"/>
    <mergeCell ref="J18:L18"/>
    <mergeCell ref="J19:L19"/>
    <mergeCell ref="J20:L20"/>
    <mergeCell ref="J21:L21"/>
    <mergeCell ref="J22:L22"/>
    <mergeCell ref="J23:L23"/>
    <mergeCell ref="J24:L24"/>
    <mergeCell ref="J25:L25"/>
    <mergeCell ref="J26:L26"/>
    <mergeCell ref="J27:L27"/>
    <mergeCell ref="M11:N11"/>
    <mergeCell ref="O11:P11"/>
    <mergeCell ref="Q11:S11"/>
    <mergeCell ref="M12:N12"/>
    <mergeCell ref="O12:P12"/>
    <mergeCell ref="M13:N13"/>
    <mergeCell ref="O13:P13"/>
    <mergeCell ref="M14:N14"/>
    <mergeCell ref="O14:P14"/>
    <mergeCell ref="DW60:DY60"/>
    <mergeCell ref="DZ60:EB60"/>
    <mergeCell ref="EC60:ED60"/>
    <mergeCell ref="J54:L54"/>
    <mergeCell ref="J37:L37"/>
    <mergeCell ref="J38:L38"/>
    <mergeCell ref="J39:L39"/>
    <mergeCell ref="J40:L40"/>
    <mergeCell ref="J41:L41"/>
    <mergeCell ref="J42:L42"/>
    <mergeCell ref="J43:L43"/>
    <mergeCell ref="J44:L44"/>
    <mergeCell ref="J45:L45"/>
    <mergeCell ref="J28:L28"/>
    <mergeCell ref="J29:L29"/>
    <mergeCell ref="J30:L30"/>
    <mergeCell ref="J31:L31"/>
    <mergeCell ref="J32:L32"/>
    <mergeCell ref="J33:L33"/>
    <mergeCell ref="J34:L34"/>
    <mergeCell ref="J35:L35"/>
    <mergeCell ref="J36:L36"/>
    <mergeCell ref="J55:L55"/>
    <mergeCell ref="J56:L56"/>
    <mergeCell ref="J57:L57"/>
    <mergeCell ref="J58:L58"/>
    <mergeCell ref="J59:L59"/>
    <mergeCell ref="J60:L60"/>
    <mergeCell ref="O43:P43"/>
    <mergeCell ref="O44:P44"/>
    <mergeCell ref="O45:P45"/>
    <mergeCell ref="M47:N47"/>
    <mergeCell ref="J46:L46"/>
    <mergeCell ref="J47:L47"/>
    <mergeCell ref="J48:L48"/>
    <mergeCell ref="J49:L49"/>
    <mergeCell ref="J50:L50"/>
    <mergeCell ref="J51:L51"/>
    <mergeCell ref="J52:L52"/>
    <mergeCell ref="J53:L53"/>
    <mergeCell ref="M21:N21"/>
    <mergeCell ref="O21:P21"/>
    <mergeCell ref="Q21:S21"/>
    <mergeCell ref="M22:N22"/>
    <mergeCell ref="O22:P22"/>
    <mergeCell ref="Q22:S22"/>
    <mergeCell ref="M23:N23"/>
    <mergeCell ref="O23:P23"/>
    <mergeCell ref="Q23:S23"/>
    <mergeCell ref="O25:P25"/>
    <mergeCell ref="Q25:S25"/>
    <mergeCell ref="M26:N26"/>
    <mergeCell ref="M27:N27"/>
    <mergeCell ref="M28:N28"/>
    <mergeCell ref="Q26:S26"/>
    <mergeCell ref="Q27:S27"/>
    <mergeCell ref="Q28:S28"/>
    <mergeCell ref="Q29:S29"/>
    <mergeCell ref="Q30:S30"/>
    <mergeCell ref="Q31:S31"/>
    <mergeCell ref="Q32:S32"/>
    <mergeCell ref="Q33:S33"/>
    <mergeCell ref="Q34:S34"/>
    <mergeCell ref="Q35:S35"/>
    <mergeCell ref="Q14:S14"/>
    <mergeCell ref="M15:N15"/>
    <mergeCell ref="O15:P15"/>
    <mergeCell ref="Q15:S15"/>
    <mergeCell ref="M16:N16"/>
    <mergeCell ref="O16:P16"/>
    <mergeCell ref="Q16:S16"/>
    <mergeCell ref="M17:N17"/>
    <mergeCell ref="O17:P17"/>
    <mergeCell ref="Q17:S17"/>
    <mergeCell ref="M18:N18"/>
    <mergeCell ref="O18:P18"/>
    <mergeCell ref="Q18:S18"/>
    <mergeCell ref="M19:N19"/>
    <mergeCell ref="O19:P19"/>
    <mergeCell ref="M50:N50"/>
    <mergeCell ref="M51:N51"/>
    <mergeCell ref="O48:P48"/>
    <mergeCell ref="O49:P49"/>
    <mergeCell ref="O50:P50"/>
    <mergeCell ref="O51:P51"/>
    <mergeCell ref="Q36:S36"/>
    <mergeCell ref="Q37:S37"/>
    <mergeCell ref="Q38:S38"/>
    <mergeCell ref="Q39:S39"/>
    <mergeCell ref="Q40:S40"/>
    <mergeCell ref="Q41:S41"/>
    <mergeCell ref="Q42:S42"/>
    <mergeCell ref="Q43:S43"/>
    <mergeCell ref="Q44:S44"/>
    <mergeCell ref="O26:P26"/>
    <mergeCell ref="O27:P27"/>
    <mergeCell ref="M38:N38"/>
    <mergeCell ref="M39:N39"/>
    <mergeCell ref="M40:N40"/>
    <mergeCell ref="M41:N41"/>
    <mergeCell ref="M42:N42"/>
    <mergeCell ref="M43:N43"/>
    <mergeCell ref="M44:N44"/>
    <mergeCell ref="M45:N45"/>
    <mergeCell ref="M46:N46"/>
    <mergeCell ref="Q19:S19"/>
    <mergeCell ref="M20:N20"/>
    <mergeCell ref="O20:P20"/>
    <mergeCell ref="Q20:S20"/>
    <mergeCell ref="M29:N29"/>
    <mergeCell ref="M30:N30"/>
    <mergeCell ref="M31:N31"/>
    <mergeCell ref="M32:N32"/>
    <mergeCell ref="M33:N33"/>
    <mergeCell ref="M34:N34"/>
    <mergeCell ref="M35:N35"/>
    <mergeCell ref="M36:N36"/>
    <mergeCell ref="M37:N37"/>
    <mergeCell ref="M24:N24"/>
    <mergeCell ref="O24:P24"/>
    <mergeCell ref="Q24:S24"/>
    <mergeCell ref="M25:N25"/>
    <mergeCell ref="O46:P46"/>
    <mergeCell ref="O28:P28"/>
    <mergeCell ref="O29:P29"/>
    <mergeCell ref="O30:P30"/>
    <mergeCell ref="O31:P31"/>
    <mergeCell ref="O32:P32"/>
    <mergeCell ref="O33:P33"/>
    <mergeCell ref="O34:P34"/>
    <mergeCell ref="O35:P35"/>
    <mergeCell ref="O36:P36"/>
    <mergeCell ref="O37:P37"/>
    <mergeCell ref="O38:P38"/>
    <mergeCell ref="O39:P39"/>
    <mergeCell ref="O40:P40"/>
    <mergeCell ref="O41:P41"/>
    <mergeCell ref="O42:P42"/>
    <mergeCell ref="Q54:S54"/>
    <mergeCell ref="Q55:S55"/>
    <mergeCell ref="Q56:S56"/>
    <mergeCell ref="Q57:S57"/>
    <mergeCell ref="O47:P47"/>
    <mergeCell ref="Q58:S58"/>
    <mergeCell ref="Q59:S59"/>
    <mergeCell ref="M60:N60"/>
    <mergeCell ref="O60:P60"/>
    <mergeCell ref="Q60:S60"/>
    <mergeCell ref="Q45:S45"/>
    <mergeCell ref="Q46:S46"/>
    <mergeCell ref="Q47:S47"/>
    <mergeCell ref="Q48:S48"/>
    <mergeCell ref="Q49:S49"/>
    <mergeCell ref="Q50:S50"/>
    <mergeCell ref="Q51:S51"/>
    <mergeCell ref="Q52:S52"/>
    <mergeCell ref="Q53:S53"/>
    <mergeCell ref="O55:P55"/>
    <mergeCell ref="O56:P56"/>
    <mergeCell ref="O57:P57"/>
    <mergeCell ref="O58:P58"/>
    <mergeCell ref="O59:P59"/>
    <mergeCell ref="O52:P52"/>
    <mergeCell ref="O53:P53"/>
    <mergeCell ref="O54:P54"/>
    <mergeCell ref="M56:N56"/>
    <mergeCell ref="M57:N57"/>
    <mergeCell ref="M58:N58"/>
    <mergeCell ref="M59:N59"/>
    <mergeCell ref="M48:N48"/>
    <mergeCell ref="M49:N49"/>
    <mergeCell ref="M52:N52"/>
    <mergeCell ref="M53:N53"/>
    <mergeCell ref="M54:N54"/>
    <mergeCell ref="M55:N55"/>
  </mergeCells>
  <pageMargins left="0.2" right="0.2" top="0.5" bottom="0.25" header="0.3" footer="0.3"/>
  <pageSetup paperSize="9" scale="77" orientation="landscape" horizontalDpi="4294967293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9"/>
  <dimension ref="A1:J43"/>
  <sheetViews>
    <sheetView workbookViewId="0">
      <selection activeCell="H14" sqref="H14"/>
    </sheetView>
  </sheetViews>
  <sheetFormatPr defaultRowHeight="15"/>
  <cols>
    <col min="1" max="1" width="5.7109375" style="786" customWidth="1"/>
    <col min="2" max="2" width="5.5703125" style="786" customWidth="1"/>
    <col min="3" max="3" width="9.7109375" style="786" customWidth="1"/>
    <col min="4" max="4" width="11.42578125" style="786" customWidth="1"/>
    <col min="5" max="5" width="12.85546875" style="786" customWidth="1"/>
    <col min="6" max="6" width="8.85546875" style="786" customWidth="1"/>
    <col min="7" max="7" width="12.85546875" style="786" customWidth="1"/>
    <col min="8" max="8" width="8.85546875" style="786" customWidth="1"/>
    <col min="9" max="9" width="12.85546875" style="786" customWidth="1"/>
    <col min="10" max="10" width="8.85546875" style="786" customWidth="1"/>
    <col min="11" max="16384" width="9.140625" style="786"/>
  </cols>
  <sheetData>
    <row r="1" spans="1:10">
      <c r="A1" s="785" t="s">
        <v>626</v>
      </c>
      <c r="I1" s="1400" t="s">
        <v>660</v>
      </c>
      <c r="J1" s="1400"/>
    </row>
    <row r="2" spans="1:10" ht="25.5" customHeight="1">
      <c r="A2" s="807"/>
      <c r="B2" s="806"/>
      <c r="C2" s="1401" t="s">
        <v>537</v>
      </c>
      <c r="D2" s="1402"/>
      <c r="E2" s="1402"/>
      <c r="F2" s="1402"/>
      <c r="G2" s="1402"/>
      <c r="H2" s="1403"/>
      <c r="I2" s="797" t="s">
        <v>661</v>
      </c>
      <c r="J2" s="866"/>
    </row>
    <row r="3" spans="1:10" ht="25.5" customHeight="1">
      <c r="A3" s="809"/>
      <c r="B3" s="796"/>
      <c r="C3" s="1309"/>
      <c r="D3" s="1310"/>
      <c r="E3" s="1310"/>
      <c r="F3" s="1310"/>
      <c r="G3" s="1310"/>
      <c r="H3" s="1311"/>
      <c r="I3" s="797" t="s">
        <v>662</v>
      </c>
      <c r="J3" s="866"/>
    </row>
    <row r="4" spans="1:10" ht="17.25" customHeight="1">
      <c r="A4" s="1404" t="s">
        <v>539</v>
      </c>
      <c r="B4" s="1405"/>
      <c r="C4" s="1404" t="s">
        <v>663</v>
      </c>
      <c r="D4" s="1410"/>
      <c r="E4" s="1410"/>
      <c r="F4" s="1410"/>
      <c r="G4" s="1410"/>
      <c r="H4" s="1405"/>
      <c r="I4" s="1411" t="s">
        <v>664</v>
      </c>
      <c r="J4" s="1412"/>
    </row>
    <row r="5" spans="1:10" ht="17.25" customHeight="1">
      <c r="A5" s="1406"/>
      <c r="B5" s="1407"/>
      <c r="C5" s="1406" t="s">
        <v>665</v>
      </c>
      <c r="D5" s="1417"/>
      <c r="E5" s="1417"/>
      <c r="F5" s="1417"/>
      <c r="G5" s="1417"/>
      <c r="H5" s="1407"/>
      <c r="I5" s="1413"/>
      <c r="J5" s="1414"/>
    </row>
    <row r="6" spans="1:10" ht="17.25" customHeight="1">
      <c r="A6" s="1406"/>
      <c r="B6" s="1407"/>
      <c r="C6" s="867"/>
      <c r="D6" s="802"/>
      <c r="E6" s="802"/>
      <c r="F6" s="802"/>
      <c r="G6" s="802"/>
      <c r="H6" s="868"/>
      <c r="I6" s="1413"/>
      <c r="J6" s="1414"/>
    </row>
    <row r="7" spans="1:10" ht="17.25" customHeight="1">
      <c r="A7" s="1408"/>
      <c r="B7" s="1409"/>
      <c r="C7" s="1406" t="s">
        <v>666</v>
      </c>
      <c r="D7" s="1417"/>
      <c r="E7" s="1417"/>
      <c r="F7" s="1417"/>
      <c r="G7" s="1417"/>
      <c r="H7" s="1407"/>
      <c r="I7" s="1415"/>
      <c r="J7" s="1416"/>
    </row>
    <row r="8" spans="1:10" ht="18" customHeight="1">
      <c r="A8" s="1318" t="s">
        <v>112</v>
      </c>
      <c r="B8" s="1271" t="s">
        <v>113</v>
      </c>
      <c r="C8" s="1273"/>
      <c r="D8" s="1318" t="s">
        <v>114</v>
      </c>
      <c r="E8" s="869" t="s">
        <v>253</v>
      </c>
      <c r="F8" s="1318" t="s">
        <v>667</v>
      </c>
      <c r="G8" s="869" t="s">
        <v>621</v>
      </c>
      <c r="H8" s="1318" t="s">
        <v>667</v>
      </c>
      <c r="I8" s="869" t="s">
        <v>262</v>
      </c>
      <c r="J8" s="1318" t="s">
        <v>667</v>
      </c>
    </row>
    <row r="9" spans="1:10" ht="18" customHeight="1">
      <c r="A9" s="1296"/>
      <c r="B9" s="1277" t="s">
        <v>86</v>
      </c>
      <c r="C9" s="1279"/>
      <c r="D9" s="1296"/>
      <c r="E9" s="870" t="s">
        <v>668</v>
      </c>
      <c r="F9" s="1296"/>
      <c r="G9" s="870" t="s">
        <v>668</v>
      </c>
      <c r="H9" s="1296"/>
      <c r="I9" s="870" t="s">
        <v>668</v>
      </c>
      <c r="J9" s="1296"/>
    </row>
    <row r="10" spans="1:10" ht="19.5" customHeight="1">
      <c r="A10" s="871"/>
      <c r="B10" s="872"/>
      <c r="C10" s="873"/>
      <c r="D10" s="871"/>
      <c r="E10" s="871"/>
      <c r="F10" s="871"/>
      <c r="G10" s="871"/>
      <c r="H10" s="871"/>
      <c r="I10" s="871"/>
      <c r="J10" s="871"/>
    </row>
    <row r="11" spans="1:10" ht="19.5" customHeight="1">
      <c r="A11" s="874"/>
      <c r="B11" s="875"/>
      <c r="C11" s="876"/>
      <c r="D11" s="874"/>
      <c r="E11" s="874"/>
      <c r="F11" s="874"/>
      <c r="G11" s="874"/>
      <c r="H11" s="874"/>
      <c r="I11" s="874"/>
      <c r="J11" s="874"/>
    </row>
    <row r="12" spans="1:10" ht="19.5" customHeight="1">
      <c r="A12" s="874"/>
      <c r="B12" s="875"/>
      <c r="C12" s="876"/>
      <c r="D12" s="874"/>
      <c r="E12" s="874"/>
      <c r="F12" s="874"/>
      <c r="G12" s="874"/>
      <c r="H12" s="874"/>
      <c r="I12" s="874"/>
      <c r="J12" s="874"/>
    </row>
    <row r="13" spans="1:10" ht="19.5" customHeight="1">
      <c r="A13" s="874"/>
      <c r="B13" s="875"/>
      <c r="C13" s="876"/>
      <c r="D13" s="874"/>
      <c r="E13" s="874"/>
      <c r="F13" s="874"/>
      <c r="G13" s="874"/>
      <c r="H13" s="874"/>
      <c r="I13" s="874"/>
      <c r="J13" s="874"/>
    </row>
    <row r="14" spans="1:10" ht="19.5" customHeight="1">
      <c r="A14" s="874"/>
      <c r="B14" s="875"/>
      <c r="C14" s="876"/>
      <c r="D14" s="874"/>
      <c r="E14" s="874"/>
      <c r="F14" s="874"/>
      <c r="G14" s="874"/>
      <c r="H14" s="874"/>
      <c r="I14" s="874"/>
      <c r="J14" s="874"/>
    </row>
    <row r="15" spans="1:10" ht="19.5" customHeight="1">
      <c r="A15" s="874"/>
      <c r="B15" s="875"/>
      <c r="C15" s="876"/>
      <c r="D15" s="874"/>
      <c r="E15" s="874"/>
      <c r="F15" s="874"/>
      <c r="G15" s="874"/>
      <c r="H15" s="874"/>
      <c r="I15" s="874"/>
      <c r="J15" s="874"/>
    </row>
    <row r="16" spans="1:10" ht="19.5" customHeight="1">
      <c r="A16" s="874"/>
      <c r="B16" s="875"/>
      <c r="C16" s="876"/>
      <c r="D16" s="874"/>
      <c r="E16" s="874"/>
      <c r="F16" s="874"/>
      <c r="G16" s="874"/>
      <c r="H16" s="874"/>
      <c r="I16" s="874"/>
      <c r="J16" s="874"/>
    </row>
    <row r="17" spans="1:10" ht="19.5" customHeight="1">
      <c r="A17" s="874"/>
      <c r="B17" s="875"/>
      <c r="C17" s="876"/>
      <c r="D17" s="874"/>
      <c r="E17" s="874"/>
      <c r="F17" s="874"/>
      <c r="G17" s="874"/>
      <c r="H17" s="874"/>
      <c r="I17" s="874"/>
      <c r="J17" s="874"/>
    </row>
    <row r="18" spans="1:10" ht="19.5" customHeight="1">
      <c r="A18" s="874"/>
      <c r="B18" s="875"/>
      <c r="C18" s="876"/>
      <c r="D18" s="874"/>
      <c r="E18" s="874"/>
      <c r="F18" s="874"/>
      <c r="G18" s="874"/>
      <c r="H18" s="874"/>
      <c r="I18" s="874"/>
      <c r="J18" s="874"/>
    </row>
    <row r="19" spans="1:10" ht="19.5" customHeight="1">
      <c r="A19" s="874"/>
      <c r="B19" s="875"/>
      <c r="C19" s="876"/>
      <c r="D19" s="874"/>
      <c r="E19" s="874"/>
      <c r="F19" s="874"/>
      <c r="G19" s="874"/>
      <c r="H19" s="874"/>
      <c r="I19" s="874"/>
      <c r="J19" s="874"/>
    </row>
    <row r="20" spans="1:10" ht="19.5" customHeight="1">
      <c r="A20" s="874"/>
      <c r="B20" s="875"/>
      <c r="C20" s="876"/>
      <c r="D20" s="874"/>
      <c r="E20" s="874"/>
      <c r="F20" s="874"/>
      <c r="G20" s="874"/>
      <c r="H20" s="874"/>
      <c r="I20" s="874"/>
      <c r="J20" s="874"/>
    </row>
    <row r="21" spans="1:10" ht="19.5" customHeight="1">
      <c r="A21" s="874"/>
      <c r="B21" s="875"/>
      <c r="C21" s="876"/>
      <c r="D21" s="874"/>
      <c r="E21" s="874"/>
      <c r="F21" s="874"/>
      <c r="G21" s="874"/>
      <c r="H21" s="874"/>
      <c r="I21" s="874"/>
      <c r="J21" s="874"/>
    </row>
    <row r="22" spans="1:10" ht="19.5" customHeight="1">
      <c r="A22" s="874"/>
      <c r="B22" s="875"/>
      <c r="C22" s="876"/>
      <c r="D22" s="874"/>
      <c r="E22" s="874"/>
      <c r="F22" s="874"/>
      <c r="G22" s="874"/>
      <c r="H22" s="874"/>
      <c r="I22" s="874"/>
      <c r="J22" s="874"/>
    </row>
    <row r="23" spans="1:10" ht="19.5" customHeight="1">
      <c r="A23" s="877"/>
      <c r="B23" s="878"/>
      <c r="C23" s="879"/>
      <c r="D23" s="877"/>
      <c r="E23" s="877"/>
      <c r="F23" s="877"/>
      <c r="G23" s="877"/>
      <c r="H23" s="877"/>
      <c r="I23" s="877"/>
      <c r="J23" s="877"/>
    </row>
    <row r="24" spans="1:10" ht="19.5" customHeight="1">
      <c r="A24" s="877"/>
      <c r="B24" s="878"/>
      <c r="C24" s="879"/>
      <c r="D24" s="877"/>
      <c r="E24" s="877"/>
      <c r="F24" s="877"/>
      <c r="G24" s="877"/>
      <c r="H24" s="877"/>
      <c r="I24" s="877"/>
      <c r="J24" s="877"/>
    </row>
    <row r="25" spans="1:10" ht="19.5" customHeight="1">
      <c r="A25" s="877"/>
      <c r="B25" s="878"/>
      <c r="C25" s="879"/>
      <c r="D25" s="877"/>
      <c r="E25" s="877"/>
      <c r="F25" s="877"/>
      <c r="G25" s="877"/>
      <c r="H25" s="877"/>
      <c r="I25" s="877"/>
      <c r="J25" s="877"/>
    </row>
    <row r="26" spans="1:10" ht="19.5" customHeight="1">
      <c r="A26" s="877"/>
      <c r="B26" s="878"/>
      <c r="C26" s="879"/>
      <c r="D26" s="877"/>
      <c r="E26" s="877"/>
      <c r="F26" s="877"/>
      <c r="G26" s="877"/>
      <c r="H26" s="877"/>
      <c r="I26" s="877"/>
      <c r="J26" s="877"/>
    </row>
    <row r="27" spans="1:10" ht="19.5" customHeight="1">
      <c r="A27" s="877"/>
      <c r="B27" s="878"/>
      <c r="C27" s="879"/>
      <c r="D27" s="877"/>
      <c r="E27" s="877"/>
      <c r="F27" s="877"/>
      <c r="G27" s="877"/>
      <c r="H27" s="877"/>
      <c r="I27" s="877"/>
      <c r="J27" s="877"/>
    </row>
    <row r="28" spans="1:10" ht="19.5" customHeight="1">
      <c r="A28" s="877"/>
      <c r="B28" s="878"/>
      <c r="C28" s="879"/>
      <c r="D28" s="877"/>
      <c r="E28" s="877"/>
      <c r="F28" s="877"/>
      <c r="G28" s="877"/>
      <c r="H28" s="877"/>
      <c r="I28" s="877"/>
      <c r="J28" s="877"/>
    </row>
    <row r="29" spans="1:10" ht="19.5" customHeight="1">
      <c r="A29" s="877"/>
      <c r="B29" s="878"/>
      <c r="C29" s="879"/>
      <c r="D29" s="877"/>
      <c r="E29" s="877"/>
      <c r="F29" s="877"/>
      <c r="G29" s="877"/>
      <c r="H29" s="877"/>
      <c r="I29" s="877"/>
      <c r="J29" s="877"/>
    </row>
    <row r="30" spans="1:10" ht="19.5" customHeight="1">
      <c r="A30" s="877"/>
      <c r="B30" s="878"/>
      <c r="C30" s="879"/>
      <c r="D30" s="877"/>
      <c r="E30" s="877"/>
      <c r="F30" s="877"/>
      <c r="G30" s="877"/>
      <c r="H30" s="877"/>
      <c r="I30" s="877"/>
      <c r="J30" s="877"/>
    </row>
    <row r="31" spans="1:10" ht="19.5" customHeight="1">
      <c r="A31" s="877"/>
      <c r="B31" s="878"/>
      <c r="C31" s="879"/>
      <c r="D31" s="877"/>
      <c r="E31" s="877"/>
      <c r="F31" s="877"/>
      <c r="G31" s="877"/>
      <c r="H31" s="877"/>
      <c r="I31" s="877"/>
      <c r="J31" s="877"/>
    </row>
    <row r="32" spans="1:10" ht="19.5" customHeight="1">
      <c r="A32" s="880"/>
      <c r="B32" s="881"/>
      <c r="C32" s="882"/>
      <c r="D32" s="880"/>
      <c r="E32" s="880"/>
      <c r="F32" s="880"/>
      <c r="G32" s="880"/>
      <c r="H32" s="880"/>
      <c r="I32" s="880"/>
      <c r="J32" s="880"/>
    </row>
    <row r="33" spans="1:10">
      <c r="A33" s="867"/>
      <c r="B33" s="802"/>
      <c r="C33" s="802"/>
      <c r="D33" s="802"/>
      <c r="E33" s="802"/>
      <c r="F33" s="802"/>
      <c r="G33" s="802"/>
      <c r="H33" s="802"/>
      <c r="I33" s="802"/>
      <c r="J33" s="868"/>
    </row>
    <row r="34" spans="1:10">
      <c r="A34" s="867" t="s">
        <v>669</v>
      </c>
      <c r="B34" s="802"/>
      <c r="C34" s="802"/>
      <c r="D34" s="802"/>
      <c r="E34" s="802"/>
      <c r="F34" s="802"/>
      <c r="G34" s="802"/>
      <c r="H34" s="802"/>
      <c r="I34" s="802"/>
      <c r="J34" s="868"/>
    </row>
    <row r="35" spans="1:10">
      <c r="A35" s="867" t="s">
        <v>670</v>
      </c>
      <c r="B35" s="802"/>
      <c r="C35" s="802"/>
      <c r="D35" s="802"/>
      <c r="E35" s="802"/>
      <c r="F35" s="802"/>
      <c r="G35" s="802"/>
      <c r="H35" s="802"/>
      <c r="I35" s="802"/>
      <c r="J35" s="868"/>
    </row>
    <row r="36" spans="1:10">
      <c r="A36" s="867"/>
      <c r="B36" s="802"/>
      <c r="C36" s="802"/>
      <c r="D36" s="802"/>
      <c r="E36" s="802"/>
      <c r="F36" s="802"/>
      <c r="G36" s="802"/>
      <c r="H36" s="802"/>
      <c r="I36" s="802"/>
      <c r="J36" s="868"/>
    </row>
    <row r="37" spans="1:10">
      <c r="A37" s="867"/>
      <c r="B37" s="802"/>
      <c r="C37" s="1397" t="s">
        <v>671</v>
      </c>
      <c r="D37" s="1397"/>
      <c r="E37" s="802"/>
      <c r="F37" s="802"/>
      <c r="G37" s="802"/>
      <c r="H37" s="1397" t="s">
        <v>672</v>
      </c>
      <c r="I37" s="1397"/>
      <c r="J37" s="868"/>
    </row>
    <row r="38" spans="1:10">
      <c r="A38" s="867"/>
      <c r="B38" s="802"/>
      <c r="C38" s="802"/>
      <c r="D38" s="802"/>
      <c r="E38" s="802"/>
      <c r="F38" s="802"/>
      <c r="G38" s="802"/>
      <c r="H38" s="802"/>
      <c r="I38" s="802"/>
      <c r="J38" s="868"/>
    </row>
    <row r="39" spans="1:10">
      <c r="A39" s="867"/>
      <c r="B39" s="802"/>
      <c r="C39" s="802"/>
      <c r="D39" s="802"/>
      <c r="E39" s="802"/>
      <c r="F39" s="802"/>
      <c r="G39" s="802"/>
      <c r="H39" s="802"/>
      <c r="I39" s="802"/>
      <c r="J39" s="868"/>
    </row>
    <row r="40" spans="1:10">
      <c r="A40" s="867"/>
      <c r="B40" s="802"/>
      <c r="C40" s="1286" t="s">
        <v>603</v>
      </c>
      <c r="D40" s="1286"/>
      <c r="E40" s="802"/>
      <c r="F40" s="802"/>
      <c r="G40" s="802"/>
      <c r="H40" s="1286" t="s">
        <v>603</v>
      </c>
      <c r="I40" s="1286"/>
      <c r="J40" s="868"/>
    </row>
    <row r="41" spans="1:10">
      <c r="A41" s="867"/>
      <c r="B41" s="802"/>
      <c r="C41" s="802"/>
      <c r="D41" s="802"/>
      <c r="E41" s="802"/>
      <c r="F41" s="802"/>
      <c r="G41" s="802"/>
      <c r="H41" s="802"/>
      <c r="I41" s="802"/>
      <c r="J41" s="868"/>
    </row>
    <row r="42" spans="1:10">
      <c r="A42" s="867"/>
      <c r="B42" s="802"/>
      <c r="C42" s="802"/>
      <c r="D42" s="802"/>
      <c r="E42" s="802"/>
      <c r="F42" s="802"/>
      <c r="G42" s="802"/>
      <c r="H42" s="802"/>
      <c r="I42" s="802"/>
      <c r="J42" s="868"/>
    </row>
    <row r="43" spans="1:10">
      <c r="A43" s="883" t="s">
        <v>673</v>
      </c>
      <c r="B43" s="799"/>
      <c r="C43" s="799"/>
      <c r="D43" s="799"/>
      <c r="E43" s="799"/>
      <c r="F43" s="799"/>
      <c r="G43" s="799"/>
      <c r="H43" s="799"/>
      <c r="I43" s="1398" t="s">
        <v>674</v>
      </c>
      <c r="J43" s="1399"/>
    </row>
  </sheetData>
  <mergeCells count="19">
    <mergeCell ref="J8:J9"/>
    <mergeCell ref="B9:C9"/>
    <mergeCell ref="I1:J1"/>
    <mergeCell ref="C2:H3"/>
    <mergeCell ref="A4:B7"/>
    <mergeCell ref="C4:H4"/>
    <mergeCell ref="I4:J7"/>
    <mergeCell ref="C5:H5"/>
    <mergeCell ref="C7:H7"/>
    <mergeCell ref="A8:A9"/>
    <mergeCell ref="B8:C8"/>
    <mergeCell ref="D8:D9"/>
    <mergeCell ref="F8:F9"/>
    <mergeCell ref="H8:H9"/>
    <mergeCell ref="C37:D37"/>
    <mergeCell ref="H37:I37"/>
    <mergeCell ref="C40:D40"/>
    <mergeCell ref="H40:I40"/>
    <mergeCell ref="I43:J43"/>
  </mergeCells>
  <pageMargins left="0.2" right="0.2" top="0.5" bottom="0.25" header="0.3" footer="0.3"/>
  <pageSetup paperSize="9" orientation="portrait" horizontalDpi="4294967293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1">
    <tabColor rgb="FFFF0000"/>
  </sheetPr>
  <dimension ref="A1:AP422"/>
  <sheetViews>
    <sheetView topLeftCell="A139" zoomScale="85" zoomScaleNormal="85" workbookViewId="0">
      <selection activeCell="Y51" sqref="Y51"/>
    </sheetView>
  </sheetViews>
  <sheetFormatPr defaultRowHeight="15"/>
  <cols>
    <col min="1" max="1" width="4.140625" style="925" customWidth="1"/>
    <col min="2" max="2" width="1.7109375" style="925" customWidth="1"/>
    <col min="3" max="5" width="2.7109375" style="925" customWidth="1"/>
    <col min="6" max="6" width="3.28515625" style="925" customWidth="1"/>
    <col min="7" max="7" width="3" style="925" customWidth="1"/>
    <col min="8" max="9" width="3.140625" style="925" customWidth="1"/>
    <col min="10" max="10" width="3.7109375" style="925" customWidth="1"/>
    <col min="11" max="11" width="7" style="925" customWidth="1"/>
    <col min="12" max="12" width="5.7109375" style="925" customWidth="1"/>
    <col min="13" max="13" width="7.7109375" style="925" customWidth="1"/>
    <col min="14" max="14" width="5.42578125" style="925" customWidth="1"/>
    <col min="15" max="15" width="8.5703125" style="925" customWidth="1"/>
    <col min="16" max="16" width="6.5703125" style="1003" customWidth="1"/>
    <col min="17" max="17" width="7.7109375" style="925" customWidth="1"/>
    <col min="18" max="18" width="5.7109375" style="925" customWidth="1"/>
    <col min="19" max="19" width="6.42578125" style="925" customWidth="1"/>
    <col min="20" max="20" width="5.7109375" style="925" customWidth="1"/>
    <col min="21" max="21" width="7.140625" style="925" customWidth="1"/>
    <col min="22" max="22" width="5.7109375" style="925" customWidth="1"/>
    <col min="23" max="23" width="6.42578125" style="925" customWidth="1"/>
    <col min="24" max="24" width="5.7109375" style="925" customWidth="1"/>
    <col min="25" max="25" width="7" style="925" customWidth="1"/>
    <col min="26" max="26" width="5.7109375" style="925" customWidth="1"/>
    <col min="27" max="27" width="6.7109375" style="925" customWidth="1"/>
    <col min="28" max="28" width="5.7109375" style="925" customWidth="1"/>
    <col min="29" max="29" width="7.42578125" style="925" customWidth="1"/>
    <col min="30" max="30" width="5.7109375" style="925" customWidth="1"/>
    <col min="31" max="31" width="6.28515625" style="925" customWidth="1"/>
    <col min="32" max="32" width="5.42578125" style="925" customWidth="1"/>
    <col min="33" max="33" width="6.42578125" style="925" customWidth="1"/>
    <col min="34" max="34" width="5.140625" style="925" customWidth="1"/>
    <col min="35" max="35" width="6.42578125" style="925" customWidth="1"/>
    <col min="36" max="36" width="5.28515625" style="925" customWidth="1"/>
    <col min="37" max="37" width="7.85546875" style="925" customWidth="1"/>
    <col min="38" max="38" width="5.7109375" style="925" customWidth="1"/>
    <col min="39" max="39" width="1.28515625" style="925" customWidth="1"/>
    <col min="40" max="40" width="2.140625" style="925" customWidth="1"/>
    <col min="41" max="209" width="9.140625" style="925"/>
    <col min="210" max="210" width="4.140625" style="925" customWidth="1"/>
    <col min="211" max="211" width="1.7109375" style="925" customWidth="1"/>
    <col min="212" max="214" width="2.7109375" style="925" customWidth="1"/>
    <col min="215" max="215" width="3.28515625" style="925" customWidth="1"/>
    <col min="216" max="216" width="3" style="925" customWidth="1"/>
    <col min="217" max="218" width="3.140625" style="925" customWidth="1"/>
    <col min="219" max="219" width="3.7109375" style="925" customWidth="1"/>
    <col min="220" max="220" width="7" style="925" customWidth="1"/>
    <col min="221" max="221" width="5.7109375" style="925" customWidth="1"/>
    <col min="222" max="222" width="8.7109375" style="925" customWidth="1"/>
    <col min="223" max="223" width="4.7109375" style="925" customWidth="1"/>
    <col min="224" max="224" width="8.5703125" style="925" customWidth="1"/>
    <col min="225" max="225" width="6.5703125" style="925" customWidth="1"/>
    <col min="226" max="226" width="7.7109375" style="925" customWidth="1"/>
    <col min="227" max="227" width="5.7109375" style="925" customWidth="1"/>
    <col min="228" max="228" width="6.42578125" style="925" customWidth="1"/>
    <col min="229" max="229" width="5.7109375" style="925" customWidth="1"/>
    <col min="230" max="230" width="7.140625" style="925" customWidth="1"/>
    <col min="231" max="233" width="5.7109375" style="925" customWidth="1"/>
    <col min="234" max="234" width="7" style="925" customWidth="1"/>
    <col min="235" max="235" width="5.7109375" style="925" customWidth="1"/>
    <col min="236" max="236" width="6.7109375" style="925" customWidth="1"/>
    <col min="237" max="237" width="5.7109375" style="925" customWidth="1"/>
    <col min="238" max="238" width="7.42578125" style="925" customWidth="1"/>
    <col min="239" max="239" width="5.7109375" style="925" customWidth="1"/>
    <col min="240" max="240" width="6.28515625" style="925" customWidth="1"/>
    <col min="241" max="241" width="5" style="925" customWidth="1"/>
    <col min="242" max="242" width="6.42578125" style="925" customWidth="1"/>
    <col min="243" max="243" width="5.140625" style="925" customWidth="1"/>
    <col min="244" max="244" width="7" style="925" customWidth="1"/>
    <col min="245" max="245" width="5.28515625" style="925" customWidth="1"/>
    <col min="246" max="246" width="7.85546875" style="925" customWidth="1"/>
    <col min="247" max="247" width="5.7109375" style="925" customWidth="1"/>
    <col min="248" max="248" width="1.28515625" style="925" customWidth="1"/>
    <col min="249" max="249" width="2.140625" style="925" customWidth="1"/>
    <col min="250" max="465" width="9.140625" style="925"/>
    <col min="466" max="466" width="4.140625" style="925" customWidth="1"/>
    <col min="467" max="467" width="1.7109375" style="925" customWidth="1"/>
    <col min="468" max="470" width="2.7109375" style="925" customWidth="1"/>
    <col min="471" max="471" width="3.28515625" style="925" customWidth="1"/>
    <col min="472" max="472" width="3" style="925" customWidth="1"/>
    <col min="473" max="474" width="3.140625" style="925" customWidth="1"/>
    <col min="475" max="475" width="3.7109375" style="925" customWidth="1"/>
    <col min="476" max="476" width="7" style="925" customWidth="1"/>
    <col min="477" max="477" width="5.7109375" style="925" customWidth="1"/>
    <col min="478" max="478" width="8.7109375" style="925" customWidth="1"/>
    <col min="479" max="479" width="4.7109375" style="925" customWidth="1"/>
    <col min="480" max="480" width="8.5703125" style="925" customWidth="1"/>
    <col min="481" max="481" width="6.5703125" style="925" customWidth="1"/>
    <col min="482" max="482" width="7.7109375" style="925" customWidth="1"/>
    <col min="483" max="483" width="5.7109375" style="925" customWidth="1"/>
    <col min="484" max="484" width="6.42578125" style="925" customWidth="1"/>
    <col min="485" max="485" width="5.7109375" style="925" customWidth="1"/>
    <col min="486" max="486" width="7.140625" style="925" customWidth="1"/>
    <col min="487" max="489" width="5.7109375" style="925" customWidth="1"/>
    <col min="490" max="490" width="7" style="925" customWidth="1"/>
    <col min="491" max="491" width="5.7109375" style="925" customWidth="1"/>
    <col min="492" max="492" width="6.7109375" style="925" customWidth="1"/>
    <col min="493" max="493" width="5.7109375" style="925" customWidth="1"/>
    <col min="494" max="494" width="7.42578125" style="925" customWidth="1"/>
    <col min="495" max="495" width="5.7109375" style="925" customWidth="1"/>
    <col min="496" max="496" width="6.28515625" style="925" customWidth="1"/>
    <col min="497" max="497" width="5" style="925" customWidth="1"/>
    <col min="498" max="498" width="6.42578125" style="925" customWidth="1"/>
    <col min="499" max="499" width="5.140625" style="925" customWidth="1"/>
    <col min="500" max="500" width="7" style="925" customWidth="1"/>
    <col min="501" max="501" width="5.28515625" style="925" customWidth="1"/>
    <col min="502" max="502" width="7.85546875" style="925" customWidth="1"/>
    <col min="503" max="503" width="5.7109375" style="925" customWidth="1"/>
    <col min="504" max="504" width="1.28515625" style="925" customWidth="1"/>
    <col min="505" max="505" width="2.140625" style="925" customWidth="1"/>
    <col min="506" max="721" width="9.140625" style="925"/>
    <col min="722" max="722" width="4.140625" style="925" customWidth="1"/>
    <col min="723" max="723" width="1.7109375" style="925" customWidth="1"/>
    <col min="724" max="726" width="2.7109375" style="925" customWidth="1"/>
    <col min="727" max="727" width="3.28515625" style="925" customWidth="1"/>
    <col min="728" max="728" width="3" style="925" customWidth="1"/>
    <col min="729" max="730" width="3.140625" style="925" customWidth="1"/>
    <col min="731" max="731" width="3.7109375" style="925" customWidth="1"/>
    <col min="732" max="732" width="7" style="925" customWidth="1"/>
    <col min="733" max="733" width="5.7109375" style="925" customWidth="1"/>
    <col min="734" max="734" width="8.7109375" style="925" customWidth="1"/>
    <col min="735" max="735" width="4.7109375" style="925" customWidth="1"/>
    <col min="736" max="736" width="8.5703125" style="925" customWidth="1"/>
    <col min="737" max="737" width="6.5703125" style="925" customWidth="1"/>
    <col min="738" max="738" width="7.7109375" style="925" customWidth="1"/>
    <col min="739" max="739" width="5.7109375" style="925" customWidth="1"/>
    <col min="740" max="740" width="6.42578125" style="925" customWidth="1"/>
    <col min="741" max="741" width="5.7109375" style="925" customWidth="1"/>
    <col min="742" max="742" width="7.140625" style="925" customWidth="1"/>
    <col min="743" max="745" width="5.7109375" style="925" customWidth="1"/>
    <col min="746" max="746" width="7" style="925" customWidth="1"/>
    <col min="747" max="747" width="5.7109375" style="925" customWidth="1"/>
    <col min="748" max="748" width="6.7109375" style="925" customWidth="1"/>
    <col min="749" max="749" width="5.7109375" style="925" customWidth="1"/>
    <col min="750" max="750" width="7.42578125" style="925" customWidth="1"/>
    <col min="751" max="751" width="5.7109375" style="925" customWidth="1"/>
    <col min="752" max="752" width="6.28515625" style="925" customWidth="1"/>
    <col min="753" max="753" width="5" style="925" customWidth="1"/>
    <col min="754" max="754" width="6.42578125" style="925" customWidth="1"/>
    <col min="755" max="755" width="5.140625" style="925" customWidth="1"/>
    <col min="756" max="756" width="7" style="925" customWidth="1"/>
    <col min="757" max="757" width="5.28515625" style="925" customWidth="1"/>
    <col min="758" max="758" width="7.85546875" style="925" customWidth="1"/>
    <col min="759" max="759" width="5.7109375" style="925" customWidth="1"/>
    <col min="760" max="760" width="1.28515625" style="925" customWidth="1"/>
    <col min="761" max="761" width="2.140625" style="925" customWidth="1"/>
    <col min="762" max="977" width="9.140625" style="925"/>
    <col min="978" max="978" width="4.140625" style="925" customWidth="1"/>
    <col min="979" max="979" width="1.7109375" style="925" customWidth="1"/>
    <col min="980" max="982" width="2.7109375" style="925" customWidth="1"/>
    <col min="983" max="983" width="3.28515625" style="925" customWidth="1"/>
    <col min="984" max="984" width="3" style="925" customWidth="1"/>
    <col min="985" max="986" width="3.140625" style="925" customWidth="1"/>
    <col min="987" max="987" width="3.7109375" style="925" customWidth="1"/>
    <col min="988" max="988" width="7" style="925" customWidth="1"/>
    <col min="989" max="989" width="5.7109375" style="925" customWidth="1"/>
    <col min="990" max="990" width="8.7109375" style="925" customWidth="1"/>
    <col min="991" max="991" width="4.7109375" style="925" customWidth="1"/>
    <col min="992" max="992" width="8.5703125" style="925" customWidth="1"/>
    <col min="993" max="993" width="6.5703125" style="925" customWidth="1"/>
    <col min="994" max="994" width="7.7109375" style="925" customWidth="1"/>
    <col min="995" max="995" width="5.7109375" style="925" customWidth="1"/>
    <col min="996" max="996" width="6.42578125" style="925" customWidth="1"/>
    <col min="997" max="997" width="5.7109375" style="925" customWidth="1"/>
    <col min="998" max="998" width="7.140625" style="925" customWidth="1"/>
    <col min="999" max="1001" width="5.7109375" style="925" customWidth="1"/>
    <col min="1002" max="1002" width="7" style="925" customWidth="1"/>
    <col min="1003" max="1003" width="5.7109375" style="925" customWidth="1"/>
    <col min="1004" max="1004" width="6.7109375" style="925" customWidth="1"/>
    <col min="1005" max="1005" width="5.7109375" style="925" customWidth="1"/>
    <col min="1006" max="1006" width="7.42578125" style="925" customWidth="1"/>
    <col min="1007" max="1007" width="5.7109375" style="925" customWidth="1"/>
    <col min="1008" max="1008" width="6.28515625" style="925" customWidth="1"/>
    <col min="1009" max="1009" width="5" style="925" customWidth="1"/>
    <col min="1010" max="1010" width="6.42578125" style="925" customWidth="1"/>
    <col min="1011" max="1011" width="5.140625" style="925" customWidth="1"/>
    <col min="1012" max="1012" width="7" style="925" customWidth="1"/>
    <col min="1013" max="1013" width="5.28515625" style="925" customWidth="1"/>
    <col min="1014" max="1014" width="7.85546875" style="925" customWidth="1"/>
    <col min="1015" max="1015" width="5.7109375" style="925" customWidth="1"/>
    <col min="1016" max="1016" width="1.28515625" style="925" customWidth="1"/>
    <col min="1017" max="1017" width="2.140625" style="925" customWidth="1"/>
    <col min="1018" max="1233" width="9.140625" style="925"/>
    <col min="1234" max="1234" width="4.140625" style="925" customWidth="1"/>
    <col min="1235" max="1235" width="1.7109375" style="925" customWidth="1"/>
    <col min="1236" max="1238" width="2.7109375" style="925" customWidth="1"/>
    <col min="1239" max="1239" width="3.28515625" style="925" customWidth="1"/>
    <col min="1240" max="1240" width="3" style="925" customWidth="1"/>
    <col min="1241" max="1242" width="3.140625" style="925" customWidth="1"/>
    <col min="1243" max="1243" width="3.7109375" style="925" customWidth="1"/>
    <col min="1244" max="1244" width="7" style="925" customWidth="1"/>
    <col min="1245" max="1245" width="5.7109375" style="925" customWidth="1"/>
    <col min="1246" max="1246" width="8.7109375" style="925" customWidth="1"/>
    <col min="1247" max="1247" width="4.7109375" style="925" customWidth="1"/>
    <col min="1248" max="1248" width="8.5703125" style="925" customWidth="1"/>
    <col min="1249" max="1249" width="6.5703125" style="925" customWidth="1"/>
    <col min="1250" max="1250" width="7.7109375" style="925" customWidth="1"/>
    <col min="1251" max="1251" width="5.7109375" style="925" customWidth="1"/>
    <col min="1252" max="1252" width="6.42578125" style="925" customWidth="1"/>
    <col min="1253" max="1253" width="5.7109375" style="925" customWidth="1"/>
    <col min="1254" max="1254" width="7.140625" style="925" customWidth="1"/>
    <col min="1255" max="1257" width="5.7109375" style="925" customWidth="1"/>
    <col min="1258" max="1258" width="7" style="925" customWidth="1"/>
    <col min="1259" max="1259" width="5.7109375" style="925" customWidth="1"/>
    <col min="1260" max="1260" width="6.7109375" style="925" customWidth="1"/>
    <col min="1261" max="1261" width="5.7109375" style="925" customWidth="1"/>
    <col min="1262" max="1262" width="7.42578125" style="925" customWidth="1"/>
    <col min="1263" max="1263" width="5.7109375" style="925" customWidth="1"/>
    <col min="1264" max="1264" width="6.28515625" style="925" customWidth="1"/>
    <col min="1265" max="1265" width="5" style="925" customWidth="1"/>
    <col min="1266" max="1266" width="6.42578125" style="925" customWidth="1"/>
    <col min="1267" max="1267" width="5.140625" style="925" customWidth="1"/>
    <col min="1268" max="1268" width="7" style="925" customWidth="1"/>
    <col min="1269" max="1269" width="5.28515625" style="925" customWidth="1"/>
    <col min="1270" max="1270" width="7.85546875" style="925" customWidth="1"/>
    <col min="1271" max="1271" width="5.7109375" style="925" customWidth="1"/>
    <col min="1272" max="1272" width="1.28515625" style="925" customWidth="1"/>
    <col min="1273" max="1273" width="2.140625" style="925" customWidth="1"/>
    <col min="1274" max="1489" width="9.140625" style="925"/>
    <col min="1490" max="1490" width="4.140625" style="925" customWidth="1"/>
    <col min="1491" max="1491" width="1.7109375" style="925" customWidth="1"/>
    <col min="1492" max="1494" width="2.7109375" style="925" customWidth="1"/>
    <col min="1495" max="1495" width="3.28515625" style="925" customWidth="1"/>
    <col min="1496" max="1496" width="3" style="925" customWidth="1"/>
    <col min="1497" max="1498" width="3.140625" style="925" customWidth="1"/>
    <col min="1499" max="1499" width="3.7109375" style="925" customWidth="1"/>
    <col min="1500" max="1500" width="7" style="925" customWidth="1"/>
    <col min="1501" max="1501" width="5.7109375" style="925" customWidth="1"/>
    <col min="1502" max="1502" width="8.7109375" style="925" customWidth="1"/>
    <col min="1503" max="1503" width="4.7109375" style="925" customWidth="1"/>
    <col min="1504" max="1504" width="8.5703125" style="925" customWidth="1"/>
    <col min="1505" max="1505" width="6.5703125" style="925" customWidth="1"/>
    <col min="1506" max="1506" width="7.7109375" style="925" customWidth="1"/>
    <col min="1507" max="1507" width="5.7109375" style="925" customWidth="1"/>
    <col min="1508" max="1508" width="6.42578125" style="925" customWidth="1"/>
    <col min="1509" max="1509" width="5.7109375" style="925" customWidth="1"/>
    <col min="1510" max="1510" width="7.140625" style="925" customWidth="1"/>
    <col min="1511" max="1513" width="5.7109375" style="925" customWidth="1"/>
    <col min="1514" max="1514" width="7" style="925" customWidth="1"/>
    <col min="1515" max="1515" width="5.7109375" style="925" customWidth="1"/>
    <col min="1516" max="1516" width="6.7109375" style="925" customWidth="1"/>
    <col min="1517" max="1517" width="5.7109375" style="925" customWidth="1"/>
    <col min="1518" max="1518" width="7.42578125" style="925" customWidth="1"/>
    <col min="1519" max="1519" width="5.7109375" style="925" customWidth="1"/>
    <col min="1520" max="1520" width="6.28515625" style="925" customWidth="1"/>
    <col min="1521" max="1521" width="5" style="925" customWidth="1"/>
    <col min="1522" max="1522" width="6.42578125" style="925" customWidth="1"/>
    <col min="1523" max="1523" width="5.140625" style="925" customWidth="1"/>
    <col min="1524" max="1524" width="7" style="925" customWidth="1"/>
    <col min="1525" max="1525" width="5.28515625" style="925" customWidth="1"/>
    <col min="1526" max="1526" width="7.85546875" style="925" customWidth="1"/>
    <col min="1527" max="1527" width="5.7109375" style="925" customWidth="1"/>
    <col min="1528" max="1528" width="1.28515625" style="925" customWidth="1"/>
    <col min="1529" max="1529" width="2.140625" style="925" customWidth="1"/>
    <col min="1530" max="1745" width="9.140625" style="925"/>
    <col min="1746" max="1746" width="4.140625" style="925" customWidth="1"/>
    <col min="1747" max="1747" width="1.7109375" style="925" customWidth="1"/>
    <col min="1748" max="1750" width="2.7109375" style="925" customWidth="1"/>
    <col min="1751" max="1751" width="3.28515625" style="925" customWidth="1"/>
    <col min="1752" max="1752" width="3" style="925" customWidth="1"/>
    <col min="1753" max="1754" width="3.140625" style="925" customWidth="1"/>
    <col min="1755" max="1755" width="3.7109375" style="925" customWidth="1"/>
    <col min="1756" max="1756" width="7" style="925" customWidth="1"/>
    <col min="1757" max="1757" width="5.7109375" style="925" customWidth="1"/>
    <col min="1758" max="1758" width="8.7109375" style="925" customWidth="1"/>
    <col min="1759" max="1759" width="4.7109375" style="925" customWidth="1"/>
    <col min="1760" max="1760" width="8.5703125" style="925" customWidth="1"/>
    <col min="1761" max="1761" width="6.5703125" style="925" customWidth="1"/>
    <col min="1762" max="1762" width="7.7109375" style="925" customWidth="1"/>
    <col min="1763" max="1763" width="5.7109375" style="925" customWidth="1"/>
    <col min="1764" max="1764" width="6.42578125" style="925" customWidth="1"/>
    <col min="1765" max="1765" width="5.7109375" style="925" customWidth="1"/>
    <col min="1766" max="1766" width="7.140625" style="925" customWidth="1"/>
    <col min="1767" max="1769" width="5.7109375" style="925" customWidth="1"/>
    <col min="1770" max="1770" width="7" style="925" customWidth="1"/>
    <col min="1771" max="1771" width="5.7109375" style="925" customWidth="1"/>
    <col min="1772" max="1772" width="6.7109375" style="925" customWidth="1"/>
    <col min="1773" max="1773" width="5.7109375" style="925" customWidth="1"/>
    <col min="1774" max="1774" width="7.42578125" style="925" customWidth="1"/>
    <col min="1775" max="1775" width="5.7109375" style="925" customWidth="1"/>
    <col min="1776" max="1776" width="6.28515625" style="925" customWidth="1"/>
    <col min="1777" max="1777" width="5" style="925" customWidth="1"/>
    <col min="1778" max="1778" width="6.42578125" style="925" customWidth="1"/>
    <col min="1779" max="1779" width="5.140625" style="925" customWidth="1"/>
    <col min="1780" max="1780" width="7" style="925" customWidth="1"/>
    <col min="1781" max="1781" width="5.28515625" style="925" customWidth="1"/>
    <col min="1782" max="1782" width="7.85546875" style="925" customWidth="1"/>
    <col min="1783" max="1783" width="5.7109375" style="925" customWidth="1"/>
    <col min="1784" max="1784" width="1.28515625" style="925" customWidth="1"/>
    <col min="1785" max="1785" width="2.140625" style="925" customWidth="1"/>
    <col min="1786" max="2001" width="9.140625" style="925"/>
    <col min="2002" max="2002" width="4.140625" style="925" customWidth="1"/>
    <col min="2003" max="2003" width="1.7109375" style="925" customWidth="1"/>
    <col min="2004" max="2006" width="2.7109375" style="925" customWidth="1"/>
    <col min="2007" max="2007" width="3.28515625" style="925" customWidth="1"/>
    <col min="2008" max="2008" width="3" style="925" customWidth="1"/>
    <col min="2009" max="2010" width="3.140625" style="925" customWidth="1"/>
    <col min="2011" max="2011" width="3.7109375" style="925" customWidth="1"/>
    <col min="2012" max="2012" width="7" style="925" customWidth="1"/>
    <col min="2013" max="2013" width="5.7109375" style="925" customWidth="1"/>
    <col min="2014" max="2014" width="8.7109375" style="925" customWidth="1"/>
    <col min="2015" max="2015" width="4.7109375" style="925" customWidth="1"/>
    <col min="2016" max="2016" width="8.5703125" style="925" customWidth="1"/>
    <col min="2017" max="2017" width="6.5703125" style="925" customWidth="1"/>
    <col min="2018" max="2018" width="7.7109375" style="925" customWidth="1"/>
    <col min="2019" max="2019" width="5.7109375" style="925" customWidth="1"/>
    <col min="2020" max="2020" width="6.42578125" style="925" customWidth="1"/>
    <col min="2021" max="2021" width="5.7109375" style="925" customWidth="1"/>
    <col min="2022" max="2022" width="7.140625" style="925" customWidth="1"/>
    <col min="2023" max="2025" width="5.7109375" style="925" customWidth="1"/>
    <col min="2026" max="2026" width="7" style="925" customWidth="1"/>
    <col min="2027" max="2027" width="5.7109375" style="925" customWidth="1"/>
    <col min="2028" max="2028" width="6.7109375" style="925" customWidth="1"/>
    <col min="2029" max="2029" width="5.7109375" style="925" customWidth="1"/>
    <col min="2030" max="2030" width="7.42578125" style="925" customWidth="1"/>
    <col min="2031" max="2031" width="5.7109375" style="925" customWidth="1"/>
    <col min="2032" max="2032" width="6.28515625" style="925" customWidth="1"/>
    <col min="2033" max="2033" width="5" style="925" customWidth="1"/>
    <col min="2034" max="2034" width="6.42578125" style="925" customWidth="1"/>
    <col min="2035" max="2035" width="5.140625" style="925" customWidth="1"/>
    <col min="2036" max="2036" width="7" style="925" customWidth="1"/>
    <col min="2037" max="2037" width="5.28515625" style="925" customWidth="1"/>
    <col min="2038" max="2038" width="7.85546875" style="925" customWidth="1"/>
    <col min="2039" max="2039" width="5.7109375" style="925" customWidth="1"/>
    <col min="2040" max="2040" width="1.28515625" style="925" customWidth="1"/>
    <col min="2041" max="2041" width="2.140625" style="925" customWidth="1"/>
    <col min="2042" max="2257" width="9.140625" style="925"/>
    <col min="2258" max="2258" width="4.140625" style="925" customWidth="1"/>
    <col min="2259" max="2259" width="1.7109375" style="925" customWidth="1"/>
    <col min="2260" max="2262" width="2.7109375" style="925" customWidth="1"/>
    <col min="2263" max="2263" width="3.28515625" style="925" customWidth="1"/>
    <col min="2264" max="2264" width="3" style="925" customWidth="1"/>
    <col min="2265" max="2266" width="3.140625" style="925" customWidth="1"/>
    <col min="2267" max="2267" width="3.7109375" style="925" customWidth="1"/>
    <col min="2268" max="2268" width="7" style="925" customWidth="1"/>
    <col min="2269" max="2269" width="5.7109375" style="925" customWidth="1"/>
    <col min="2270" max="2270" width="8.7109375" style="925" customWidth="1"/>
    <col min="2271" max="2271" width="4.7109375" style="925" customWidth="1"/>
    <col min="2272" max="2272" width="8.5703125" style="925" customWidth="1"/>
    <col min="2273" max="2273" width="6.5703125" style="925" customWidth="1"/>
    <col min="2274" max="2274" width="7.7109375" style="925" customWidth="1"/>
    <col min="2275" max="2275" width="5.7109375" style="925" customWidth="1"/>
    <col min="2276" max="2276" width="6.42578125" style="925" customWidth="1"/>
    <col min="2277" max="2277" width="5.7109375" style="925" customWidth="1"/>
    <col min="2278" max="2278" width="7.140625" style="925" customWidth="1"/>
    <col min="2279" max="2281" width="5.7109375" style="925" customWidth="1"/>
    <col min="2282" max="2282" width="7" style="925" customWidth="1"/>
    <col min="2283" max="2283" width="5.7109375" style="925" customWidth="1"/>
    <col min="2284" max="2284" width="6.7109375" style="925" customWidth="1"/>
    <col min="2285" max="2285" width="5.7109375" style="925" customWidth="1"/>
    <col min="2286" max="2286" width="7.42578125" style="925" customWidth="1"/>
    <col min="2287" max="2287" width="5.7109375" style="925" customWidth="1"/>
    <col min="2288" max="2288" width="6.28515625" style="925" customWidth="1"/>
    <col min="2289" max="2289" width="5" style="925" customWidth="1"/>
    <col min="2290" max="2290" width="6.42578125" style="925" customWidth="1"/>
    <col min="2291" max="2291" width="5.140625" style="925" customWidth="1"/>
    <col min="2292" max="2292" width="7" style="925" customWidth="1"/>
    <col min="2293" max="2293" width="5.28515625" style="925" customWidth="1"/>
    <col min="2294" max="2294" width="7.85546875" style="925" customWidth="1"/>
    <col min="2295" max="2295" width="5.7109375" style="925" customWidth="1"/>
    <col min="2296" max="2296" width="1.28515625" style="925" customWidth="1"/>
    <col min="2297" max="2297" width="2.140625" style="925" customWidth="1"/>
    <col min="2298" max="2513" width="9.140625" style="925"/>
    <col min="2514" max="2514" width="4.140625" style="925" customWidth="1"/>
    <col min="2515" max="2515" width="1.7109375" style="925" customWidth="1"/>
    <col min="2516" max="2518" width="2.7109375" style="925" customWidth="1"/>
    <col min="2519" max="2519" width="3.28515625" style="925" customWidth="1"/>
    <col min="2520" max="2520" width="3" style="925" customWidth="1"/>
    <col min="2521" max="2522" width="3.140625" style="925" customWidth="1"/>
    <col min="2523" max="2523" width="3.7109375" style="925" customWidth="1"/>
    <col min="2524" max="2524" width="7" style="925" customWidth="1"/>
    <col min="2525" max="2525" width="5.7109375" style="925" customWidth="1"/>
    <col min="2526" max="2526" width="8.7109375" style="925" customWidth="1"/>
    <col min="2527" max="2527" width="4.7109375" style="925" customWidth="1"/>
    <col min="2528" max="2528" width="8.5703125" style="925" customWidth="1"/>
    <col min="2529" max="2529" width="6.5703125" style="925" customWidth="1"/>
    <col min="2530" max="2530" width="7.7109375" style="925" customWidth="1"/>
    <col min="2531" max="2531" width="5.7109375" style="925" customWidth="1"/>
    <col min="2532" max="2532" width="6.42578125" style="925" customWidth="1"/>
    <col min="2533" max="2533" width="5.7109375" style="925" customWidth="1"/>
    <col min="2534" max="2534" width="7.140625" style="925" customWidth="1"/>
    <col min="2535" max="2537" width="5.7109375" style="925" customWidth="1"/>
    <col min="2538" max="2538" width="7" style="925" customWidth="1"/>
    <col min="2539" max="2539" width="5.7109375" style="925" customWidth="1"/>
    <col min="2540" max="2540" width="6.7109375" style="925" customWidth="1"/>
    <col min="2541" max="2541" width="5.7109375" style="925" customWidth="1"/>
    <col min="2542" max="2542" width="7.42578125" style="925" customWidth="1"/>
    <col min="2543" max="2543" width="5.7109375" style="925" customWidth="1"/>
    <col min="2544" max="2544" width="6.28515625" style="925" customWidth="1"/>
    <col min="2545" max="2545" width="5" style="925" customWidth="1"/>
    <col min="2546" max="2546" width="6.42578125" style="925" customWidth="1"/>
    <col min="2547" max="2547" width="5.140625" style="925" customWidth="1"/>
    <col min="2548" max="2548" width="7" style="925" customWidth="1"/>
    <col min="2549" max="2549" width="5.28515625" style="925" customWidth="1"/>
    <col min="2550" max="2550" width="7.85546875" style="925" customWidth="1"/>
    <col min="2551" max="2551" width="5.7109375" style="925" customWidth="1"/>
    <col min="2552" max="2552" width="1.28515625" style="925" customWidth="1"/>
    <col min="2553" max="2553" width="2.140625" style="925" customWidth="1"/>
    <col min="2554" max="2769" width="9.140625" style="925"/>
    <col min="2770" max="2770" width="4.140625" style="925" customWidth="1"/>
    <col min="2771" max="2771" width="1.7109375" style="925" customWidth="1"/>
    <col min="2772" max="2774" width="2.7109375" style="925" customWidth="1"/>
    <col min="2775" max="2775" width="3.28515625" style="925" customWidth="1"/>
    <col min="2776" max="2776" width="3" style="925" customWidth="1"/>
    <col min="2777" max="2778" width="3.140625" style="925" customWidth="1"/>
    <col min="2779" max="2779" width="3.7109375" style="925" customWidth="1"/>
    <col min="2780" max="2780" width="7" style="925" customWidth="1"/>
    <col min="2781" max="2781" width="5.7109375" style="925" customWidth="1"/>
    <col min="2782" max="2782" width="8.7109375" style="925" customWidth="1"/>
    <col min="2783" max="2783" width="4.7109375" style="925" customWidth="1"/>
    <col min="2784" max="2784" width="8.5703125" style="925" customWidth="1"/>
    <col min="2785" max="2785" width="6.5703125" style="925" customWidth="1"/>
    <col min="2786" max="2786" width="7.7109375" style="925" customWidth="1"/>
    <col min="2787" max="2787" width="5.7109375" style="925" customWidth="1"/>
    <col min="2788" max="2788" width="6.42578125" style="925" customWidth="1"/>
    <col min="2789" max="2789" width="5.7109375" style="925" customWidth="1"/>
    <col min="2790" max="2790" width="7.140625" style="925" customWidth="1"/>
    <col min="2791" max="2793" width="5.7109375" style="925" customWidth="1"/>
    <col min="2794" max="2794" width="7" style="925" customWidth="1"/>
    <col min="2795" max="2795" width="5.7109375" style="925" customWidth="1"/>
    <col min="2796" max="2796" width="6.7109375" style="925" customWidth="1"/>
    <col min="2797" max="2797" width="5.7109375" style="925" customWidth="1"/>
    <col min="2798" max="2798" width="7.42578125" style="925" customWidth="1"/>
    <col min="2799" max="2799" width="5.7109375" style="925" customWidth="1"/>
    <col min="2800" max="2800" width="6.28515625" style="925" customWidth="1"/>
    <col min="2801" max="2801" width="5" style="925" customWidth="1"/>
    <col min="2802" max="2802" width="6.42578125" style="925" customWidth="1"/>
    <col min="2803" max="2803" width="5.140625" style="925" customWidth="1"/>
    <col min="2804" max="2804" width="7" style="925" customWidth="1"/>
    <col min="2805" max="2805" width="5.28515625" style="925" customWidth="1"/>
    <col min="2806" max="2806" width="7.85546875" style="925" customWidth="1"/>
    <col min="2807" max="2807" width="5.7109375" style="925" customWidth="1"/>
    <col min="2808" max="2808" width="1.28515625" style="925" customWidth="1"/>
    <col min="2809" max="2809" width="2.140625" style="925" customWidth="1"/>
    <col min="2810" max="3025" width="9.140625" style="925"/>
    <col min="3026" max="3026" width="4.140625" style="925" customWidth="1"/>
    <col min="3027" max="3027" width="1.7109375" style="925" customWidth="1"/>
    <col min="3028" max="3030" width="2.7109375" style="925" customWidth="1"/>
    <col min="3031" max="3031" width="3.28515625" style="925" customWidth="1"/>
    <col min="3032" max="3032" width="3" style="925" customWidth="1"/>
    <col min="3033" max="3034" width="3.140625" style="925" customWidth="1"/>
    <col min="3035" max="3035" width="3.7109375" style="925" customWidth="1"/>
    <col min="3036" max="3036" width="7" style="925" customWidth="1"/>
    <col min="3037" max="3037" width="5.7109375" style="925" customWidth="1"/>
    <col min="3038" max="3038" width="8.7109375" style="925" customWidth="1"/>
    <col min="3039" max="3039" width="4.7109375" style="925" customWidth="1"/>
    <col min="3040" max="3040" width="8.5703125" style="925" customWidth="1"/>
    <col min="3041" max="3041" width="6.5703125" style="925" customWidth="1"/>
    <col min="3042" max="3042" width="7.7109375" style="925" customWidth="1"/>
    <col min="3043" max="3043" width="5.7109375" style="925" customWidth="1"/>
    <col min="3044" max="3044" width="6.42578125" style="925" customWidth="1"/>
    <col min="3045" max="3045" width="5.7109375" style="925" customWidth="1"/>
    <col min="3046" max="3046" width="7.140625" style="925" customWidth="1"/>
    <col min="3047" max="3049" width="5.7109375" style="925" customWidth="1"/>
    <col min="3050" max="3050" width="7" style="925" customWidth="1"/>
    <col min="3051" max="3051" width="5.7109375" style="925" customWidth="1"/>
    <col min="3052" max="3052" width="6.7109375" style="925" customWidth="1"/>
    <col min="3053" max="3053" width="5.7109375" style="925" customWidth="1"/>
    <col min="3054" max="3054" width="7.42578125" style="925" customWidth="1"/>
    <col min="3055" max="3055" width="5.7109375" style="925" customWidth="1"/>
    <col min="3056" max="3056" width="6.28515625" style="925" customWidth="1"/>
    <col min="3057" max="3057" width="5" style="925" customWidth="1"/>
    <col min="3058" max="3058" width="6.42578125" style="925" customWidth="1"/>
    <col min="3059" max="3059" width="5.140625" style="925" customWidth="1"/>
    <col min="3060" max="3060" width="7" style="925" customWidth="1"/>
    <col min="3061" max="3061" width="5.28515625" style="925" customWidth="1"/>
    <col min="3062" max="3062" width="7.85546875" style="925" customWidth="1"/>
    <col min="3063" max="3063" width="5.7109375" style="925" customWidth="1"/>
    <col min="3064" max="3064" width="1.28515625" style="925" customWidth="1"/>
    <col min="3065" max="3065" width="2.140625" style="925" customWidth="1"/>
    <col min="3066" max="3281" width="9.140625" style="925"/>
    <col min="3282" max="3282" width="4.140625" style="925" customWidth="1"/>
    <col min="3283" max="3283" width="1.7109375" style="925" customWidth="1"/>
    <col min="3284" max="3286" width="2.7109375" style="925" customWidth="1"/>
    <col min="3287" max="3287" width="3.28515625" style="925" customWidth="1"/>
    <col min="3288" max="3288" width="3" style="925" customWidth="1"/>
    <col min="3289" max="3290" width="3.140625" style="925" customWidth="1"/>
    <col min="3291" max="3291" width="3.7109375" style="925" customWidth="1"/>
    <col min="3292" max="3292" width="7" style="925" customWidth="1"/>
    <col min="3293" max="3293" width="5.7109375" style="925" customWidth="1"/>
    <col min="3294" max="3294" width="8.7109375" style="925" customWidth="1"/>
    <col min="3295" max="3295" width="4.7109375" style="925" customWidth="1"/>
    <col min="3296" max="3296" width="8.5703125" style="925" customWidth="1"/>
    <col min="3297" max="3297" width="6.5703125" style="925" customWidth="1"/>
    <col min="3298" max="3298" width="7.7109375" style="925" customWidth="1"/>
    <col min="3299" max="3299" width="5.7109375" style="925" customWidth="1"/>
    <col min="3300" max="3300" width="6.42578125" style="925" customWidth="1"/>
    <col min="3301" max="3301" width="5.7109375" style="925" customWidth="1"/>
    <col min="3302" max="3302" width="7.140625" style="925" customWidth="1"/>
    <col min="3303" max="3305" width="5.7109375" style="925" customWidth="1"/>
    <col min="3306" max="3306" width="7" style="925" customWidth="1"/>
    <col min="3307" max="3307" width="5.7109375" style="925" customWidth="1"/>
    <col min="3308" max="3308" width="6.7109375" style="925" customWidth="1"/>
    <col min="3309" max="3309" width="5.7109375" style="925" customWidth="1"/>
    <col min="3310" max="3310" width="7.42578125" style="925" customWidth="1"/>
    <col min="3311" max="3311" width="5.7109375" style="925" customWidth="1"/>
    <col min="3312" max="3312" width="6.28515625" style="925" customWidth="1"/>
    <col min="3313" max="3313" width="5" style="925" customWidth="1"/>
    <col min="3314" max="3314" width="6.42578125" style="925" customWidth="1"/>
    <col min="3315" max="3315" width="5.140625" style="925" customWidth="1"/>
    <col min="3316" max="3316" width="7" style="925" customWidth="1"/>
    <col min="3317" max="3317" width="5.28515625" style="925" customWidth="1"/>
    <col min="3318" max="3318" width="7.85546875" style="925" customWidth="1"/>
    <col min="3319" max="3319" width="5.7109375" style="925" customWidth="1"/>
    <col min="3320" max="3320" width="1.28515625" style="925" customWidth="1"/>
    <col min="3321" max="3321" width="2.140625" style="925" customWidth="1"/>
    <col min="3322" max="3537" width="9.140625" style="925"/>
    <col min="3538" max="3538" width="4.140625" style="925" customWidth="1"/>
    <col min="3539" max="3539" width="1.7109375" style="925" customWidth="1"/>
    <col min="3540" max="3542" width="2.7109375" style="925" customWidth="1"/>
    <col min="3543" max="3543" width="3.28515625" style="925" customWidth="1"/>
    <col min="3544" max="3544" width="3" style="925" customWidth="1"/>
    <col min="3545" max="3546" width="3.140625" style="925" customWidth="1"/>
    <col min="3547" max="3547" width="3.7109375" style="925" customWidth="1"/>
    <col min="3548" max="3548" width="7" style="925" customWidth="1"/>
    <col min="3549" max="3549" width="5.7109375" style="925" customWidth="1"/>
    <col min="3550" max="3550" width="8.7109375" style="925" customWidth="1"/>
    <col min="3551" max="3551" width="4.7109375" style="925" customWidth="1"/>
    <col min="3552" max="3552" width="8.5703125" style="925" customWidth="1"/>
    <col min="3553" max="3553" width="6.5703125" style="925" customWidth="1"/>
    <col min="3554" max="3554" width="7.7109375" style="925" customWidth="1"/>
    <col min="3555" max="3555" width="5.7109375" style="925" customWidth="1"/>
    <col min="3556" max="3556" width="6.42578125" style="925" customWidth="1"/>
    <col min="3557" max="3557" width="5.7109375" style="925" customWidth="1"/>
    <col min="3558" max="3558" width="7.140625" style="925" customWidth="1"/>
    <col min="3559" max="3561" width="5.7109375" style="925" customWidth="1"/>
    <col min="3562" max="3562" width="7" style="925" customWidth="1"/>
    <col min="3563" max="3563" width="5.7109375" style="925" customWidth="1"/>
    <col min="3564" max="3564" width="6.7109375" style="925" customWidth="1"/>
    <col min="3565" max="3565" width="5.7109375" style="925" customWidth="1"/>
    <col min="3566" max="3566" width="7.42578125" style="925" customWidth="1"/>
    <col min="3567" max="3567" width="5.7109375" style="925" customWidth="1"/>
    <col min="3568" max="3568" width="6.28515625" style="925" customWidth="1"/>
    <col min="3569" max="3569" width="5" style="925" customWidth="1"/>
    <col min="3570" max="3570" width="6.42578125" style="925" customWidth="1"/>
    <col min="3571" max="3571" width="5.140625" style="925" customWidth="1"/>
    <col min="3572" max="3572" width="7" style="925" customWidth="1"/>
    <col min="3573" max="3573" width="5.28515625" style="925" customWidth="1"/>
    <col min="3574" max="3574" width="7.85546875" style="925" customWidth="1"/>
    <col min="3575" max="3575" width="5.7109375" style="925" customWidth="1"/>
    <col min="3576" max="3576" width="1.28515625" style="925" customWidth="1"/>
    <col min="3577" max="3577" width="2.140625" style="925" customWidth="1"/>
    <col min="3578" max="3793" width="9.140625" style="925"/>
    <col min="3794" max="3794" width="4.140625" style="925" customWidth="1"/>
    <col min="3795" max="3795" width="1.7109375" style="925" customWidth="1"/>
    <col min="3796" max="3798" width="2.7109375" style="925" customWidth="1"/>
    <col min="3799" max="3799" width="3.28515625" style="925" customWidth="1"/>
    <col min="3800" max="3800" width="3" style="925" customWidth="1"/>
    <col min="3801" max="3802" width="3.140625" style="925" customWidth="1"/>
    <col min="3803" max="3803" width="3.7109375" style="925" customWidth="1"/>
    <col min="3804" max="3804" width="7" style="925" customWidth="1"/>
    <col min="3805" max="3805" width="5.7109375" style="925" customWidth="1"/>
    <col min="3806" max="3806" width="8.7109375" style="925" customWidth="1"/>
    <col min="3807" max="3807" width="4.7109375" style="925" customWidth="1"/>
    <col min="3808" max="3808" width="8.5703125" style="925" customWidth="1"/>
    <col min="3809" max="3809" width="6.5703125" style="925" customWidth="1"/>
    <col min="3810" max="3810" width="7.7109375" style="925" customWidth="1"/>
    <col min="3811" max="3811" width="5.7109375" style="925" customWidth="1"/>
    <col min="3812" max="3812" width="6.42578125" style="925" customWidth="1"/>
    <col min="3813" max="3813" width="5.7109375" style="925" customWidth="1"/>
    <col min="3814" max="3814" width="7.140625" style="925" customWidth="1"/>
    <col min="3815" max="3817" width="5.7109375" style="925" customWidth="1"/>
    <col min="3818" max="3818" width="7" style="925" customWidth="1"/>
    <col min="3819" max="3819" width="5.7109375" style="925" customWidth="1"/>
    <col min="3820" max="3820" width="6.7109375" style="925" customWidth="1"/>
    <col min="3821" max="3821" width="5.7109375" style="925" customWidth="1"/>
    <col min="3822" max="3822" width="7.42578125" style="925" customWidth="1"/>
    <col min="3823" max="3823" width="5.7109375" style="925" customWidth="1"/>
    <col min="3824" max="3824" width="6.28515625" style="925" customWidth="1"/>
    <col min="3825" max="3825" width="5" style="925" customWidth="1"/>
    <col min="3826" max="3826" width="6.42578125" style="925" customWidth="1"/>
    <col min="3827" max="3827" width="5.140625" style="925" customWidth="1"/>
    <col min="3828" max="3828" width="7" style="925" customWidth="1"/>
    <col min="3829" max="3829" width="5.28515625" style="925" customWidth="1"/>
    <col min="3830" max="3830" width="7.85546875" style="925" customWidth="1"/>
    <col min="3831" max="3831" width="5.7109375" style="925" customWidth="1"/>
    <col min="3832" max="3832" width="1.28515625" style="925" customWidth="1"/>
    <col min="3833" max="3833" width="2.140625" style="925" customWidth="1"/>
    <col min="3834" max="4049" width="9.140625" style="925"/>
    <col min="4050" max="4050" width="4.140625" style="925" customWidth="1"/>
    <col min="4051" max="4051" width="1.7109375" style="925" customWidth="1"/>
    <col min="4052" max="4054" width="2.7109375" style="925" customWidth="1"/>
    <col min="4055" max="4055" width="3.28515625" style="925" customWidth="1"/>
    <col min="4056" max="4056" width="3" style="925" customWidth="1"/>
    <col min="4057" max="4058" width="3.140625" style="925" customWidth="1"/>
    <col min="4059" max="4059" width="3.7109375" style="925" customWidth="1"/>
    <col min="4060" max="4060" width="7" style="925" customWidth="1"/>
    <col min="4061" max="4061" width="5.7109375" style="925" customWidth="1"/>
    <col min="4062" max="4062" width="8.7109375" style="925" customWidth="1"/>
    <col min="4063" max="4063" width="4.7109375" style="925" customWidth="1"/>
    <col min="4064" max="4064" width="8.5703125" style="925" customWidth="1"/>
    <col min="4065" max="4065" width="6.5703125" style="925" customWidth="1"/>
    <col min="4066" max="4066" width="7.7109375" style="925" customWidth="1"/>
    <col min="4067" max="4067" width="5.7109375" style="925" customWidth="1"/>
    <col min="4068" max="4068" width="6.42578125" style="925" customWidth="1"/>
    <col min="4069" max="4069" width="5.7109375" style="925" customWidth="1"/>
    <col min="4070" max="4070" width="7.140625" style="925" customWidth="1"/>
    <col min="4071" max="4073" width="5.7109375" style="925" customWidth="1"/>
    <col min="4074" max="4074" width="7" style="925" customWidth="1"/>
    <col min="4075" max="4075" width="5.7109375" style="925" customWidth="1"/>
    <col min="4076" max="4076" width="6.7109375" style="925" customWidth="1"/>
    <col min="4077" max="4077" width="5.7109375" style="925" customWidth="1"/>
    <col min="4078" max="4078" width="7.42578125" style="925" customWidth="1"/>
    <col min="4079" max="4079" width="5.7109375" style="925" customWidth="1"/>
    <col min="4080" max="4080" width="6.28515625" style="925" customWidth="1"/>
    <col min="4081" max="4081" width="5" style="925" customWidth="1"/>
    <col min="4082" max="4082" width="6.42578125" style="925" customWidth="1"/>
    <col min="4083" max="4083" width="5.140625" style="925" customWidth="1"/>
    <col min="4084" max="4084" width="7" style="925" customWidth="1"/>
    <col min="4085" max="4085" width="5.28515625" style="925" customWidth="1"/>
    <col min="4086" max="4086" width="7.85546875" style="925" customWidth="1"/>
    <col min="4087" max="4087" width="5.7109375" style="925" customWidth="1"/>
    <col min="4088" max="4088" width="1.28515625" style="925" customWidth="1"/>
    <col min="4089" max="4089" width="2.140625" style="925" customWidth="1"/>
    <col min="4090" max="4305" width="9.140625" style="925"/>
    <col min="4306" max="4306" width="4.140625" style="925" customWidth="1"/>
    <col min="4307" max="4307" width="1.7109375" style="925" customWidth="1"/>
    <col min="4308" max="4310" width="2.7109375" style="925" customWidth="1"/>
    <col min="4311" max="4311" width="3.28515625" style="925" customWidth="1"/>
    <col min="4312" max="4312" width="3" style="925" customWidth="1"/>
    <col min="4313" max="4314" width="3.140625" style="925" customWidth="1"/>
    <col min="4315" max="4315" width="3.7109375" style="925" customWidth="1"/>
    <col min="4316" max="4316" width="7" style="925" customWidth="1"/>
    <col min="4317" max="4317" width="5.7109375" style="925" customWidth="1"/>
    <col min="4318" max="4318" width="8.7109375" style="925" customWidth="1"/>
    <col min="4319" max="4319" width="4.7109375" style="925" customWidth="1"/>
    <col min="4320" max="4320" width="8.5703125" style="925" customWidth="1"/>
    <col min="4321" max="4321" width="6.5703125" style="925" customWidth="1"/>
    <col min="4322" max="4322" width="7.7109375" style="925" customWidth="1"/>
    <col min="4323" max="4323" width="5.7109375" style="925" customWidth="1"/>
    <col min="4324" max="4324" width="6.42578125" style="925" customWidth="1"/>
    <col min="4325" max="4325" width="5.7109375" style="925" customWidth="1"/>
    <col min="4326" max="4326" width="7.140625" style="925" customWidth="1"/>
    <col min="4327" max="4329" width="5.7109375" style="925" customWidth="1"/>
    <col min="4330" max="4330" width="7" style="925" customWidth="1"/>
    <col min="4331" max="4331" width="5.7109375" style="925" customWidth="1"/>
    <col min="4332" max="4332" width="6.7109375" style="925" customWidth="1"/>
    <col min="4333" max="4333" width="5.7109375" style="925" customWidth="1"/>
    <col min="4334" max="4334" width="7.42578125" style="925" customWidth="1"/>
    <col min="4335" max="4335" width="5.7109375" style="925" customWidth="1"/>
    <col min="4336" max="4336" width="6.28515625" style="925" customWidth="1"/>
    <col min="4337" max="4337" width="5" style="925" customWidth="1"/>
    <col min="4338" max="4338" width="6.42578125" style="925" customWidth="1"/>
    <col min="4339" max="4339" width="5.140625" style="925" customWidth="1"/>
    <col min="4340" max="4340" width="7" style="925" customWidth="1"/>
    <col min="4341" max="4341" width="5.28515625" style="925" customWidth="1"/>
    <col min="4342" max="4342" width="7.85546875" style="925" customWidth="1"/>
    <col min="4343" max="4343" width="5.7109375" style="925" customWidth="1"/>
    <col min="4344" max="4344" width="1.28515625" style="925" customWidth="1"/>
    <col min="4345" max="4345" width="2.140625" style="925" customWidth="1"/>
    <col min="4346" max="4561" width="9.140625" style="925"/>
    <col min="4562" max="4562" width="4.140625" style="925" customWidth="1"/>
    <col min="4563" max="4563" width="1.7109375" style="925" customWidth="1"/>
    <col min="4564" max="4566" width="2.7109375" style="925" customWidth="1"/>
    <col min="4567" max="4567" width="3.28515625" style="925" customWidth="1"/>
    <col min="4568" max="4568" width="3" style="925" customWidth="1"/>
    <col min="4569" max="4570" width="3.140625" style="925" customWidth="1"/>
    <col min="4571" max="4571" width="3.7109375" style="925" customWidth="1"/>
    <col min="4572" max="4572" width="7" style="925" customWidth="1"/>
    <col min="4573" max="4573" width="5.7109375" style="925" customWidth="1"/>
    <col min="4574" max="4574" width="8.7109375" style="925" customWidth="1"/>
    <col min="4575" max="4575" width="4.7109375" style="925" customWidth="1"/>
    <col min="4576" max="4576" width="8.5703125" style="925" customWidth="1"/>
    <col min="4577" max="4577" width="6.5703125" style="925" customWidth="1"/>
    <col min="4578" max="4578" width="7.7109375" style="925" customWidth="1"/>
    <col min="4579" max="4579" width="5.7109375" style="925" customWidth="1"/>
    <col min="4580" max="4580" width="6.42578125" style="925" customWidth="1"/>
    <col min="4581" max="4581" width="5.7109375" style="925" customWidth="1"/>
    <col min="4582" max="4582" width="7.140625" style="925" customWidth="1"/>
    <col min="4583" max="4585" width="5.7109375" style="925" customWidth="1"/>
    <col min="4586" max="4586" width="7" style="925" customWidth="1"/>
    <col min="4587" max="4587" width="5.7109375" style="925" customWidth="1"/>
    <col min="4588" max="4588" width="6.7109375" style="925" customWidth="1"/>
    <col min="4589" max="4589" width="5.7109375" style="925" customWidth="1"/>
    <col min="4590" max="4590" width="7.42578125" style="925" customWidth="1"/>
    <col min="4591" max="4591" width="5.7109375" style="925" customWidth="1"/>
    <col min="4592" max="4592" width="6.28515625" style="925" customWidth="1"/>
    <col min="4593" max="4593" width="5" style="925" customWidth="1"/>
    <col min="4594" max="4594" width="6.42578125" style="925" customWidth="1"/>
    <col min="4595" max="4595" width="5.140625" style="925" customWidth="1"/>
    <col min="4596" max="4596" width="7" style="925" customWidth="1"/>
    <col min="4597" max="4597" width="5.28515625" style="925" customWidth="1"/>
    <col min="4598" max="4598" width="7.85546875" style="925" customWidth="1"/>
    <col min="4599" max="4599" width="5.7109375" style="925" customWidth="1"/>
    <col min="4600" max="4600" width="1.28515625" style="925" customWidth="1"/>
    <col min="4601" max="4601" width="2.140625" style="925" customWidth="1"/>
    <col min="4602" max="4817" width="9.140625" style="925"/>
    <col min="4818" max="4818" width="4.140625" style="925" customWidth="1"/>
    <col min="4819" max="4819" width="1.7109375" style="925" customWidth="1"/>
    <col min="4820" max="4822" width="2.7109375" style="925" customWidth="1"/>
    <col min="4823" max="4823" width="3.28515625" style="925" customWidth="1"/>
    <col min="4824" max="4824" width="3" style="925" customWidth="1"/>
    <col min="4825" max="4826" width="3.140625" style="925" customWidth="1"/>
    <col min="4827" max="4827" width="3.7109375" style="925" customWidth="1"/>
    <col min="4828" max="4828" width="7" style="925" customWidth="1"/>
    <col min="4829" max="4829" width="5.7109375" style="925" customWidth="1"/>
    <col min="4830" max="4830" width="8.7109375" style="925" customWidth="1"/>
    <col min="4831" max="4831" width="4.7109375" style="925" customWidth="1"/>
    <col min="4832" max="4832" width="8.5703125" style="925" customWidth="1"/>
    <col min="4833" max="4833" width="6.5703125" style="925" customWidth="1"/>
    <col min="4834" max="4834" width="7.7109375" style="925" customWidth="1"/>
    <col min="4835" max="4835" width="5.7109375" style="925" customWidth="1"/>
    <col min="4836" max="4836" width="6.42578125" style="925" customWidth="1"/>
    <col min="4837" max="4837" width="5.7109375" style="925" customWidth="1"/>
    <col min="4838" max="4838" width="7.140625" style="925" customWidth="1"/>
    <col min="4839" max="4841" width="5.7109375" style="925" customWidth="1"/>
    <col min="4842" max="4842" width="7" style="925" customWidth="1"/>
    <col min="4843" max="4843" width="5.7109375" style="925" customWidth="1"/>
    <col min="4844" max="4844" width="6.7109375" style="925" customWidth="1"/>
    <col min="4845" max="4845" width="5.7109375" style="925" customWidth="1"/>
    <col min="4846" max="4846" width="7.42578125" style="925" customWidth="1"/>
    <col min="4847" max="4847" width="5.7109375" style="925" customWidth="1"/>
    <col min="4848" max="4848" width="6.28515625" style="925" customWidth="1"/>
    <col min="4849" max="4849" width="5" style="925" customWidth="1"/>
    <col min="4850" max="4850" width="6.42578125" style="925" customWidth="1"/>
    <col min="4851" max="4851" width="5.140625" style="925" customWidth="1"/>
    <col min="4852" max="4852" width="7" style="925" customWidth="1"/>
    <col min="4853" max="4853" width="5.28515625" style="925" customWidth="1"/>
    <col min="4854" max="4854" width="7.85546875" style="925" customWidth="1"/>
    <col min="4855" max="4855" width="5.7109375" style="925" customWidth="1"/>
    <col min="4856" max="4856" width="1.28515625" style="925" customWidth="1"/>
    <col min="4857" max="4857" width="2.140625" style="925" customWidth="1"/>
    <col min="4858" max="5073" width="9.140625" style="925"/>
    <col min="5074" max="5074" width="4.140625" style="925" customWidth="1"/>
    <col min="5075" max="5075" width="1.7109375" style="925" customWidth="1"/>
    <col min="5076" max="5078" width="2.7109375" style="925" customWidth="1"/>
    <col min="5079" max="5079" width="3.28515625" style="925" customWidth="1"/>
    <col min="5080" max="5080" width="3" style="925" customWidth="1"/>
    <col min="5081" max="5082" width="3.140625" style="925" customWidth="1"/>
    <col min="5083" max="5083" width="3.7109375" style="925" customWidth="1"/>
    <col min="5084" max="5084" width="7" style="925" customWidth="1"/>
    <col min="5085" max="5085" width="5.7109375" style="925" customWidth="1"/>
    <col min="5086" max="5086" width="8.7109375" style="925" customWidth="1"/>
    <col min="5087" max="5087" width="4.7109375" style="925" customWidth="1"/>
    <col min="5088" max="5088" width="8.5703125" style="925" customWidth="1"/>
    <col min="5089" max="5089" width="6.5703125" style="925" customWidth="1"/>
    <col min="5090" max="5090" width="7.7109375" style="925" customWidth="1"/>
    <col min="5091" max="5091" width="5.7109375" style="925" customWidth="1"/>
    <col min="5092" max="5092" width="6.42578125" style="925" customWidth="1"/>
    <col min="5093" max="5093" width="5.7109375" style="925" customWidth="1"/>
    <col min="5094" max="5094" width="7.140625" style="925" customWidth="1"/>
    <col min="5095" max="5097" width="5.7109375" style="925" customWidth="1"/>
    <col min="5098" max="5098" width="7" style="925" customWidth="1"/>
    <col min="5099" max="5099" width="5.7109375" style="925" customWidth="1"/>
    <col min="5100" max="5100" width="6.7109375" style="925" customWidth="1"/>
    <col min="5101" max="5101" width="5.7109375" style="925" customWidth="1"/>
    <col min="5102" max="5102" width="7.42578125" style="925" customWidth="1"/>
    <col min="5103" max="5103" width="5.7109375" style="925" customWidth="1"/>
    <col min="5104" max="5104" width="6.28515625" style="925" customWidth="1"/>
    <col min="5105" max="5105" width="5" style="925" customWidth="1"/>
    <col min="5106" max="5106" width="6.42578125" style="925" customWidth="1"/>
    <col min="5107" max="5107" width="5.140625" style="925" customWidth="1"/>
    <col min="5108" max="5108" width="7" style="925" customWidth="1"/>
    <col min="5109" max="5109" width="5.28515625" style="925" customWidth="1"/>
    <col min="5110" max="5110" width="7.85546875" style="925" customWidth="1"/>
    <col min="5111" max="5111" width="5.7109375" style="925" customWidth="1"/>
    <col min="5112" max="5112" width="1.28515625" style="925" customWidth="1"/>
    <col min="5113" max="5113" width="2.140625" style="925" customWidth="1"/>
    <col min="5114" max="5329" width="9.140625" style="925"/>
    <col min="5330" max="5330" width="4.140625" style="925" customWidth="1"/>
    <col min="5331" max="5331" width="1.7109375" style="925" customWidth="1"/>
    <col min="5332" max="5334" width="2.7109375" style="925" customWidth="1"/>
    <col min="5335" max="5335" width="3.28515625" style="925" customWidth="1"/>
    <col min="5336" max="5336" width="3" style="925" customWidth="1"/>
    <col min="5337" max="5338" width="3.140625" style="925" customWidth="1"/>
    <col min="5339" max="5339" width="3.7109375" style="925" customWidth="1"/>
    <col min="5340" max="5340" width="7" style="925" customWidth="1"/>
    <col min="5341" max="5341" width="5.7109375" style="925" customWidth="1"/>
    <col min="5342" max="5342" width="8.7109375" style="925" customWidth="1"/>
    <col min="5343" max="5343" width="4.7109375" style="925" customWidth="1"/>
    <col min="5344" max="5344" width="8.5703125" style="925" customWidth="1"/>
    <col min="5345" max="5345" width="6.5703125" style="925" customWidth="1"/>
    <col min="5346" max="5346" width="7.7109375" style="925" customWidth="1"/>
    <col min="5347" max="5347" width="5.7109375" style="925" customWidth="1"/>
    <col min="5348" max="5348" width="6.42578125" style="925" customWidth="1"/>
    <col min="5349" max="5349" width="5.7109375" style="925" customWidth="1"/>
    <col min="5350" max="5350" width="7.140625" style="925" customWidth="1"/>
    <col min="5351" max="5353" width="5.7109375" style="925" customWidth="1"/>
    <col min="5354" max="5354" width="7" style="925" customWidth="1"/>
    <col min="5355" max="5355" width="5.7109375" style="925" customWidth="1"/>
    <col min="5356" max="5356" width="6.7109375" style="925" customWidth="1"/>
    <col min="5357" max="5357" width="5.7109375" style="925" customWidth="1"/>
    <col min="5358" max="5358" width="7.42578125" style="925" customWidth="1"/>
    <col min="5359" max="5359" width="5.7109375" style="925" customWidth="1"/>
    <col min="5360" max="5360" width="6.28515625" style="925" customWidth="1"/>
    <col min="5361" max="5361" width="5" style="925" customWidth="1"/>
    <col min="5362" max="5362" width="6.42578125" style="925" customWidth="1"/>
    <col min="5363" max="5363" width="5.140625" style="925" customWidth="1"/>
    <col min="5364" max="5364" width="7" style="925" customWidth="1"/>
    <col min="5365" max="5365" width="5.28515625" style="925" customWidth="1"/>
    <col min="5366" max="5366" width="7.85546875" style="925" customWidth="1"/>
    <col min="5367" max="5367" width="5.7109375" style="925" customWidth="1"/>
    <col min="5368" max="5368" width="1.28515625" style="925" customWidth="1"/>
    <col min="5369" max="5369" width="2.140625" style="925" customWidth="1"/>
    <col min="5370" max="5585" width="9.140625" style="925"/>
    <col min="5586" max="5586" width="4.140625" style="925" customWidth="1"/>
    <col min="5587" max="5587" width="1.7109375" style="925" customWidth="1"/>
    <col min="5588" max="5590" width="2.7109375" style="925" customWidth="1"/>
    <col min="5591" max="5591" width="3.28515625" style="925" customWidth="1"/>
    <col min="5592" max="5592" width="3" style="925" customWidth="1"/>
    <col min="5593" max="5594" width="3.140625" style="925" customWidth="1"/>
    <col min="5595" max="5595" width="3.7109375" style="925" customWidth="1"/>
    <col min="5596" max="5596" width="7" style="925" customWidth="1"/>
    <col min="5597" max="5597" width="5.7109375" style="925" customWidth="1"/>
    <col min="5598" max="5598" width="8.7109375" style="925" customWidth="1"/>
    <col min="5599" max="5599" width="4.7109375" style="925" customWidth="1"/>
    <col min="5600" max="5600" width="8.5703125" style="925" customWidth="1"/>
    <col min="5601" max="5601" width="6.5703125" style="925" customWidth="1"/>
    <col min="5602" max="5602" width="7.7109375" style="925" customWidth="1"/>
    <col min="5603" max="5603" width="5.7109375" style="925" customWidth="1"/>
    <col min="5604" max="5604" width="6.42578125" style="925" customWidth="1"/>
    <col min="5605" max="5605" width="5.7109375" style="925" customWidth="1"/>
    <col min="5606" max="5606" width="7.140625" style="925" customWidth="1"/>
    <col min="5607" max="5609" width="5.7109375" style="925" customWidth="1"/>
    <col min="5610" max="5610" width="7" style="925" customWidth="1"/>
    <col min="5611" max="5611" width="5.7109375" style="925" customWidth="1"/>
    <col min="5612" max="5612" width="6.7109375" style="925" customWidth="1"/>
    <col min="5613" max="5613" width="5.7109375" style="925" customWidth="1"/>
    <col min="5614" max="5614" width="7.42578125" style="925" customWidth="1"/>
    <col min="5615" max="5615" width="5.7109375" style="925" customWidth="1"/>
    <col min="5616" max="5616" width="6.28515625" style="925" customWidth="1"/>
    <col min="5617" max="5617" width="5" style="925" customWidth="1"/>
    <col min="5618" max="5618" width="6.42578125" style="925" customWidth="1"/>
    <col min="5619" max="5619" width="5.140625" style="925" customWidth="1"/>
    <col min="5620" max="5620" width="7" style="925" customWidth="1"/>
    <col min="5621" max="5621" width="5.28515625" style="925" customWidth="1"/>
    <col min="5622" max="5622" width="7.85546875" style="925" customWidth="1"/>
    <col min="5623" max="5623" width="5.7109375" style="925" customWidth="1"/>
    <col min="5624" max="5624" width="1.28515625" style="925" customWidth="1"/>
    <col min="5625" max="5625" width="2.140625" style="925" customWidth="1"/>
    <col min="5626" max="5841" width="9.140625" style="925"/>
    <col min="5842" max="5842" width="4.140625" style="925" customWidth="1"/>
    <col min="5843" max="5843" width="1.7109375" style="925" customWidth="1"/>
    <col min="5844" max="5846" width="2.7109375" style="925" customWidth="1"/>
    <col min="5847" max="5847" width="3.28515625" style="925" customWidth="1"/>
    <col min="5848" max="5848" width="3" style="925" customWidth="1"/>
    <col min="5849" max="5850" width="3.140625" style="925" customWidth="1"/>
    <col min="5851" max="5851" width="3.7109375" style="925" customWidth="1"/>
    <col min="5852" max="5852" width="7" style="925" customWidth="1"/>
    <col min="5853" max="5853" width="5.7109375" style="925" customWidth="1"/>
    <col min="5854" max="5854" width="8.7109375" style="925" customWidth="1"/>
    <col min="5855" max="5855" width="4.7109375" style="925" customWidth="1"/>
    <col min="5856" max="5856" width="8.5703125" style="925" customWidth="1"/>
    <col min="5857" max="5857" width="6.5703125" style="925" customWidth="1"/>
    <col min="5858" max="5858" width="7.7109375" style="925" customWidth="1"/>
    <col min="5859" max="5859" width="5.7109375" style="925" customWidth="1"/>
    <col min="5860" max="5860" width="6.42578125" style="925" customWidth="1"/>
    <col min="5861" max="5861" width="5.7109375" style="925" customWidth="1"/>
    <col min="5862" max="5862" width="7.140625" style="925" customWidth="1"/>
    <col min="5863" max="5865" width="5.7109375" style="925" customWidth="1"/>
    <col min="5866" max="5866" width="7" style="925" customWidth="1"/>
    <col min="5867" max="5867" width="5.7109375" style="925" customWidth="1"/>
    <col min="5868" max="5868" width="6.7109375" style="925" customWidth="1"/>
    <col min="5869" max="5869" width="5.7109375" style="925" customWidth="1"/>
    <col min="5870" max="5870" width="7.42578125" style="925" customWidth="1"/>
    <col min="5871" max="5871" width="5.7109375" style="925" customWidth="1"/>
    <col min="5872" max="5872" width="6.28515625" style="925" customWidth="1"/>
    <col min="5873" max="5873" width="5" style="925" customWidth="1"/>
    <col min="5874" max="5874" width="6.42578125" style="925" customWidth="1"/>
    <col min="5875" max="5875" width="5.140625" style="925" customWidth="1"/>
    <col min="5876" max="5876" width="7" style="925" customWidth="1"/>
    <col min="5877" max="5877" width="5.28515625" style="925" customWidth="1"/>
    <col min="5878" max="5878" width="7.85546875" style="925" customWidth="1"/>
    <col min="5879" max="5879" width="5.7109375" style="925" customWidth="1"/>
    <col min="5880" max="5880" width="1.28515625" style="925" customWidth="1"/>
    <col min="5881" max="5881" width="2.140625" style="925" customWidth="1"/>
    <col min="5882" max="6097" width="9.140625" style="925"/>
    <col min="6098" max="6098" width="4.140625" style="925" customWidth="1"/>
    <col min="6099" max="6099" width="1.7109375" style="925" customWidth="1"/>
    <col min="6100" max="6102" width="2.7109375" style="925" customWidth="1"/>
    <col min="6103" max="6103" width="3.28515625" style="925" customWidth="1"/>
    <col min="6104" max="6104" width="3" style="925" customWidth="1"/>
    <col min="6105" max="6106" width="3.140625" style="925" customWidth="1"/>
    <col min="6107" max="6107" width="3.7109375" style="925" customWidth="1"/>
    <col min="6108" max="6108" width="7" style="925" customWidth="1"/>
    <col min="6109" max="6109" width="5.7109375" style="925" customWidth="1"/>
    <col min="6110" max="6110" width="8.7109375" style="925" customWidth="1"/>
    <col min="6111" max="6111" width="4.7109375" style="925" customWidth="1"/>
    <col min="6112" max="6112" width="8.5703125" style="925" customWidth="1"/>
    <col min="6113" max="6113" width="6.5703125" style="925" customWidth="1"/>
    <col min="6114" max="6114" width="7.7109375" style="925" customWidth="1"/>
    <col min="6115" max="6115" width="5.7109375" style="925" customWidth="1"/>
    <col min="6116" max="6116" width="6.42578125" style="925" customWidth="1"/>
    <col min="6117" max="6117" width="5.7109375" style="925" customWidth="1"/>
    <col min="6118" max="6118" width="7.140625" style="925" customWidth="1"/>
    <col min="6119" max="6121" width="5.7109375" style="925" customWidth="1"/>
    <col min="6122" max="6122" width="7" style="925" customWidth="1"/>
    <col min="6123" max="6123" width="5.7109375" style="925" customWidth="1"/>
    <col min="6124" max="6124" width="6.7109375" style="925" customWidth="1"/>
    <col min="6125" max="6125" width="5.7109375" style="925" customWidth="1"/>
    <col min="6126" max="6126" width="7.42578125" style="925" customWidth="1"/>
    <col min="6127" max="6127" width="5.7109375" style="925" customWidth="1"/>
    <col min="6128" max="6128" width="6.28515625" style="925" customWidth="1"/>
    <col min="6129" max="6129" width="5" style="925" customWidth="1"/>
    <col min="6130" max="6130" width="6.42578125" style="925" customWidth="1"/>
    <col min="6131" max="6131" width="5.140625" style="925" customWidth="1"/>
    <col min="6132" max="6132" width="7" style="925" customWidth="1"/>
    <col min="6133" max="6133" width="5.28515625" style="925" customWidth="1"/>
    <col min="6134" max="6134" width="7.85546875" style="925" customWidth="1"/>
    <col min="6135" max="6135" width="5.7109375" style="925" customWidth="1"/>
    <col min="6136" max="6136" width="1.28515625" style="925" customWidth="1"/>
    <col min="6137" max="6137" width="2.140625" style="925" customWidth="1"/>
    <col min="6138" max="6353" width="9.140625" style="925"/>
    <col min="6354" max="6354" width="4.140625" style="925" customWidth="1"/>
    <col min="6355" max="6355" width="1.7109375" style="925" customWidth="1"/>
    <col min="6356" max="6358" width="2.7109375" style="925" customWidth="1"/>
    <col min="6359" max="6359" width="3.28515625" style="925" customWidth="1"/>
    <col min="6360" max="6360" width="3" style="925" customWidth="1"/>
    <col min="6361" max="6362" width="3.140625" style="925" customWidth="1"/>
    <col min="6363" max="6363" width="3.7109375" style="925" customWidth="1"/>
    <col min="6364" max="6364" width="7" style="925" customWidth="1"/>
    <col min="6365" max="6365" width="5.7109375" style="925" customWidth="1"/>
    <col min="6366" max="6366" width="8.7109375" style="925" customWidth="1"/>
    <col min="6367" max="6367" width="4.7109375" style="925" customWidth="1"/>
    <col min="6368" max="6368" width="8.5703125" style="925" customWidth="1"/>
    <col min="6369" max="6369" width="6.5703125" style="925" customWidth="1"/>
    <col min="6370" max="6370" width="7.7109375" style="925" customWidth="1"/>
    <col min="6371" max="6371" width="5.7109375" style="925" customWidth="1"/>
    <col min="6372" max="6372" width="6.42578125" style="925" customWidth="1"/>
    <col min="6373" max="6373" width="5.7109375" style="925" customWidth="1"/>
    <col min="6374" max="6374" width="7.140625" style="925" customWidth="1"/>
    <col min="6375" max="6377" width="5.7109375" style="925" customWidth="1"/>
    <col min="6378" max="6378" width="7" style="925" customWidth="1"/>
    <col min="6379" max="6379" width="5.7109375" style="925" customWidth="1"/>
    <col min="6380" max="6380" width="6.7109375" style="925" customWidth="1"/>
    <col min="6381" max="6381" width="5.7109375" style="925" customWidth="1"/>
    <col min="6382" max="6382" width="7.42578125" style="925" customWidth="1"/>
    <col min="6383" max="6383" width="5.7109375" style="925" customWidth="1"/>
    <col min="6384" max="6384" width="6.28515625" style="925" customWidth="1"/>
    <col min="6385" max="6385" width="5" style="925" customWidth="1"/>
    <col min="6386" max="6386" width="6.42578125" style="925" customWidth="1"/>
    <col min="6387" max="6387" width="5.140625" style="925" customWidth="1"/>
    <col min="6388" max="6388" width="7" style="925" customWidth="1"/>
    <col min="6389" max="6389" width="5.28515625" style="925" customWidth="1"/>
    <col min="6390" max="6390" width="7.85546875" style="925" customWidth="1"/>
    <col min="6391" max="6391" width="5.7109375" style="925" customWidth="1"/>
    <col min="6392" max="6392" width="1.28515625" style="925" customWidth="1"/>
    <col min="6393" max="6393" width="2.140625" style="925" customWidth="1"/>
    <col min="6394" max="6609" width="9.140625" style="925"/>
    <col min="6610" max="6610" width="4.140625" style="925" customWidth="1"/>
    <col min="6611" max="6611" width="1.7109375" style="925" customWidth="1"/>
    <col min="6612" max="6614" width="2.7109375" style="925" customWidth="1"/>
    <col min="6615" max="6615" width="3.28515625" style="925" customWidth="1"/>
    <col min="6616" max="6616" width="3" style="925" customWidth="1"/>
    <col min="6617" max="6618" width="3.140625" style="925" customWidth="1"/>
    <col min="6619" max="6619" width="3.7109375" style="925" customWidth="1"/>
    <col min="6620" max="6620" width="7" style="925" customWidth="1"/>
    <col min="6621" max="6621" width="5.7109375" style="925" customWidth="1"/>
    <col min="6622" max="6622" width="8.7109375" style="925" customWidth="1"/>
    <col min="6623" max="6623" width="4.7109375" style="925" customWidth="1"/>
    <col min="6624" max="6624" width="8.5703125" style="925" customWidth="1"/>
    <col min="6625" max="6625" width="6.5703125" style="925" customWidth="1"/>
    <col min="6626" max="6626" width="7.7109375" style="925" customWidth="1"/>
    <col min="6627" max="6627" width="5.7109375" style="925" customWidth="1"/>
    <col min="6628" max="6628" width="6.42578125" style="925" customWidth="1"/>
    <col min="6629" max="6629" width="5.7109375" style="925" customWidth="1"/>
    <col min="6630" max="6630" width="7.140625" style="925" customWidth="1"/>
    <col min="6631" max="6633" width="5.7109375" style="925" customWidth="1"/>
    <col min="6634" max="6634" width="7" style="925" customWidth="1"/>
    <col min="6635" max="6635" width="5.7109375" style="925" customWidth="1"/>
    <col min="6636" max="6636" width="6.7109375" style="925" customWidth="1"/>
    <col min="6637" max="6637" width="5.7109375" style="925" customWidth="1"/>
    <col min="6638" max="6638" width="7.42578125" style="925" customWidth="1"/>
    <col min="6639" max="6639" width="5.7109375" style="925" customWidth="1"/>
    <col min="6640" max="6640" width="6.28515625" style="925" customWidth="1"/>
    <col min="6641" max="6641" width="5" style="925" customWidth="1"/>
    <col min="6642" max="6642" width="6.42578125" style="925" customWidth="1"/>
    <col min="6643" max="6643" width="5.140625" style="925" customWidth="1"/>
    <col min="6644" max="6644" width="7" style="925" customWidth="1"/>
    <col min="6645" max="6645" width="5.28515625" style="925" customWidth="1"/>
    <col min="6646" max="6646" width="7.85546875" style="925" customWidth="1"/>
    <col min="6647" max="6647" width="5.7109375" style="925" customWidth="1"/>
    <col min="6648" max="6648" width="1.28515625" style="925" customWidth="1"/>
    <col min="6649" max="6649" width="2.140625" style="925" customWidth="1"/>
    <col min="6650" max="6865" width="9.140625" style="925"/>
    <col min="6866" max="6866" width="4.140625" style="925" customWidth="1"/>
    <col min="6867" max="6867" width="1.7109375" style="925" customWidth="1"/>
    <col min="6868" max="6870" width="2.7109375" style="925" customWidth="1"/>
    <col min="6871" max="6871" width="3.28515625" style="925" customWidth="1"/>
    <col min="6872" max="6872" width="3" style="925" customWidth="1"/>
    <col min="6873" max="6874" width="3.140625" style="925" customWidth="1"/>
    <col min="6875" max="6875" width="3.7109375" style="925" customWidth="1"/>
    <col min="6876" max="6876" width="7" style="925" customWidth="1"/>
    <col min="6877" max="6877" width="5.7109375" style="925" customWidth="1"/>
    <col min="6878" max="6878" width="8.7109375" style="925" customWidth="1"/>
    <col min="6879" max="6879" width="4.7109375" style="925" customWidth="1"/>
    <col min="6880" max="6880" width="8.5703125" style="925" customWidth="1"/>
    <col min="6881" max="6881" width="6.5703125" style="925" customWidth="1"/>
    <col min="6882" max="6882" width="7.7109375" style="925" customWidth="1"/>
    <col min="6883" max="6883" width="5.7109375" style="925" customWidth="1"/>
    <col min="6884" max="6884" width="6.42578125" style="925" customWidth="1"/>
    <col min="6885" max="6885" width="5.7109375" style="925" customWidth="1"/>
    <col min="6886" max="6886" width="7.140625" style="925" customWidth="1"/>
    <col min="6887" max="6889" width="5.7109375" style="925" customWidth="1"/>
    <col min="6890" max="6890" width="7" style="925" customWidth="1"/>
    <col min="6891" max="6891" width="5.7109375" style="925" customWidth="1"/>
    <col min="6892" max="6892" width="6.7109375" style="925" customWidth="1"/>
    <col min="6893" max="6893" width="5.7109375" style="925" customWidth="1"/>
    <col min="6894" max="6894" width="7.42578125" style="925" customWidth="1"/>
    <col min="6895" max="6895" width="5.7109375" style="925" customWidth="1"/>
    <col min="6896" max="6896" width="6.28515625" style="925" customWidth="1"/>
    <col min="6897" max="6897" width="5" style="925" customWidth="1"/>
    <col min="6898" max="6898" width="6.42578125" style="925" customWidth="1"/>
    <col min="6899" max="6899" width="5.140625" style="925" customWidth="1"/>
    <col min="6900" max="6900" width="7" style="925" customWidth="1"/>
    <col min="6901" max="6901" width="5.28515625" style="925" customWidth="1"/>
    <col min="6902" max="6902" width="7.85546875" style="925" customWidth="1"/>
    <col min="6903" max="6903" width="5.7109375" style="925" customWidth="1"/>
    <col min="6904" max="6904" width="1.28515625" style="925" customWidth="1"/>
    <col min="6905" max="6905" width="2.140625" style="925" customWidth="1"/>
    <col min="6906" max="7121" width="9.140625" style="925"/>
    <col min="7122" max="7122" width="4.140625" style="925" customWidth="1"/>
    <col min="7123" max="7123" width="1.7109375" style="925" customWidth="1"/>
    <col min="7124" max="7126" width="2.7109375" style="925" customWidth="1"/>
    <col min="7127" max="7127" width="3.28515625" style="925" customWidth="1"/>
    <col min="7128" max="7128" width="3" style="925" customWidth="1"/>
    <col min="7129" max="7130" width="3.140625" style="925" customWidth="1"/>
    <col min="7131" max="7131" width="3.7109375" style="925" customWidth="1"/>
    <col min="7132" max="7132" width="7" style="925" customWidth="1"/>
    <col min="7133" max="7133" width="5.7109375" style="925" customWidth="1"/>
    <col min="7134" max="7134" width="8.7109375" style="925" customWidth="1"/>
    <col min="7135" max="7135" width="4.7109375" style="925" customWidth="1"/>
    <col min="7136" max="7136" width="8.5703125" style="925" customWidth="1"/>
    <col min="7137" max="7137" width="6.5703125" style="925" customWidth="1"/>
    <col min="7138" max="7138" width="7.7109375" style="925" customWidth="1"/>
    <col min="7139" max="7139" width="5.7109375" style="925" customWidth="1"/>
    <col min="7140" max="7140" width="6.42578125" style="925" customWidth="1"/>
    <col min="7141" max="7141" width="5.7109375" style="925" customWidth="1"/>
    <col min="7142" max="7142" width="7.140625" style="925" customWidth="1"/>
    <col min="7143" max="7145" width="5.7109375" style="925" customWidth="1"/>
    <col min="7146" max="7146" width="7" style="925" customWidth="1"/>
    <col min="7147" max="7147" width="5.7109375" style="925" customWidth="1"/>
    <col min="7148" max="7148" width="6.7109375" style="925" customWidth="1"/>
    <col min="7149" max="7149" width="5.7109375" style="925" customWidth="1"/>
    <col min="7150" max="7150" width="7.42578125" style="925" customWidth="1"/>
    <col min="7151" max="7151" width="5.7109375" style="925" customWidth="1"/>
    <col min="7152" max="7152" width="6.28515625" style="925" customWidth="1"/>
    <col min="7153" max="7153" width="5" style="925" customWidth="1"/>
    <col min="7154" max="7154" width="6.42578125" style="925" customWidth="1"/>
    <col min="7155" max="7155" width="5.140625" style="925" customWidth="1"/>
    <col min="7156" max="7156" width="7" style="925" customWidth="1"/>
    <col min="7157" max="7157" width="5.28515625" style="925" customWidth="1"/>
    <col min="7158" max="7158" width="7.85546875" style="925" customWidth="1"/>
    <col min="7159" max="7159" width="5.7109375" style="925" customWidth="1"/>
    <col min="7160" max="7160" width="1.28515625" style="925" customWidth="1"/>
    <col min="7161" max="7161" width="2.140625" style="925" customWidth="1"/>
    <col min="7162" max="7377" width="9.140625" style="925"/>
    <col min="7378" max="7378" width="4.140625" style="925" customWidth="1"/>
    <col min="7379" max="7379" width="1.7109375" style="925" customWidth="1"/>
    <col min="7380" max="7382" width="2.7109375" style="925" customWidth="1"/>
    <col min="7383" max="7383" width="3.28515625" style="925" customWidth="1"/>
    <col min="7384" max="7384" width="3" style="925" customWidth="1"/>
    <col min="7385" max="7386" width="3.140625" style="925" customWidth="1"/>
    <col min="7387" max="7387" width="3.7109375" style="925" customWidth="1"/>
    <col min="7388" max="7388" width="7" style="925" customWidth="1"/>
    <col min="7389" max="7389" width="5.7109375" style="925" customWidth="1"/>
    <col min="7390" max="7390" width="8.7109375" style="925" customWidth="1"/>
    <col min="7391" max="7391" width="4.7109375" style="925" customWidth="1"/>
    <col min="7392" max="7392" width="8.5703125" style="925" customWidth="1"/>
    <col min="7393" max="7393" width="6.5703125" style="925" customWidth="1"/>
    <col min="7394" max="7394" width="7.7109375" style="925" customWidth="1"/>
    <col min="7395" max="7395" width="5.7109375" style="925" customWidth="1"/>
    <col min="7396" max="7396" width="6.42578125" style="925" customWidth="1"/>
    <col min="7397" max="7397" width="5.7109375" style="925" customWidth="1"/>
    <col min="7398" max="7398" width="7.140625" style="925" customWidth="1"/>
    <col min="7399" max="7401" width="5.7109375" style="925" customWidth="1"/>
    <col min="7402" max="7402" width="7" style="925" customWidth="1"/>
    <col min="7403" max="7403" width="5.7109375" style="925" customWidth="1"/>
    <col min="7404" max="7404" width="6.7109375" style="925" customWidth="1"/>
    <col min="7405" max="7405" width="5.7109375" style="925" customWidth="1"/>
    <col min="7406" max="7406" width="7.42578125" style="925" customWidth="1"/>
    <col min="7407" max="7407" width="5.7109375" style="925" customWidth="1"/>
    <col min="7408" max="7408" width="6.28515625" style="925" customWidth="1"/>
    <col min="7409" max="7409" width="5" style="925" customWidth="1"/>
    <col min="7410" max="7410" width="6.42578125" style="925" customWidth="1"/>
    <col min="7411" max="7411" width="5.140625" style="925" customWidth="1"/>
    <col min="7412" max="7412" width="7" style="925" customWidth="1"/>
    <col min="7413" max="7413" width="5.28515625" style="925" customWidth="1"/>
    <col min="7414" max="7414" width="7.85546875" style="925" customWidth="1"/>
    <col min="7415" max="7415" width="5.7109375" style="925" customWidth="1"/>
    <col min="7416" max="7416" width="1.28515625" style="925" customWidth="1"/>
    <col min="7417" max="7417" width="2.140625" style="925" customWidth="1"/>
    <col min="7418" max="7633" width="9.140625" style="925"/>
    <col min="7634" max="7634" width="4.140625" style="925" customWidth="1"/>
    <col min="7635" max="7635" width="1.7109375" style="925" customWidth="1"/>
    <col min="7636" max="7638" width="2.7109375" style="925" customWidth="1"/>
    <col min="7639" max="7639" width="3.28515625" style="925" customWidth="1"/>
    <col min="7640" max="7640" width="3" style="925" customWidth="1"/>
    <col min="7641" max="7642" width="3.140625" style="925" customWidth="1"/>
    <col min="7643" max="7643" width="3.7109375" style="925" customWidth="1"/>
    <col min="7644" max="7644" width="7" style="925" customWidth="1"/>
    <col min="7645" max="7645" width="5.7109375" style="925" customWidth="1"/>
    <col min="7646" max="7646" width="8.7109375" style="925" customWidth="1"/>
    <col min="7647" max="7647" width="4.7109375" style="925" customWidth="1"/>
    <col min="7648" max="7648" width="8.5703125" style="925" customWidth="1"/>
    <col min="7649" max="7649" width="6.5703125" style="925" customWidth="1"/>
    <col min="7650" max="7650" width="7.7109375" style="925" customWidth="1"/>
    <col min="7651" max="7651" width="5.7109375" style="925" customWidth="1"/>
    <col min="7652" max="7652" width="6.42578125" style="925" customWidth="1"/>
    <col min="7653" max="7653" width="5.7109375" style="925" customWidth="1"/>
    <col min="7654" max="7654" width="7.140625" style="925" customWidth="1"/>
    <col min="7655" max="7657" width="5.7109375" style="925" customWidth="1"/>
    <col min="7658" max="7658" width="7" style="925" customWidth="1"/>
    <col min="7659" max="7659" width="5.7109375" style="925" customWidth="1"/>
    <col min="7660" max="7660" width="6.7109375" style="925" customWidth="1"/>
    <col min="7661" max="7661" width="5.7109375" style="925" customWidth="1"/>
    <col min="7662" max="7662" width="7.42578125" style="925" customWidth="1"/>
    <col min="7663" max="7663" width="5.7109375" style="925" customWidth="1"/>
    <col min="7664" max="7664" width="6.28515625" style="925" customWidth="1"/>
    <col min="7665" max="7665" width="5" style="925" customWidth="1"/>
    <col min="7666" max="7666" width="6.42578125" style="925" customWidth="1"/>
    <col min="7667" max="7667" width="5.140625" style="925" customWidth="1"/>
    <col min="7668" max="7668" width="7" style="925" customWidth="1"/>
    <col min="7669" max="7669" width="5.28515625" style="925" customWidth="1"/>
    <col min="7670" max="7670" width="7.85546875" style="925" customWidth="1"/>
    <col min="7671" max="7671" width="5.7109375" style="925" customWidth="1"/>
    <col min="7672" max="7672" width="1.28515625" style="925" customWidth="1"/>
    <col min="7673" max="7673" width="2.140625" style="925" customWidth="1"/>
    <col min="7674" max="7889" width="9.140625" style="925"/>
    <col min="7890" max="7890" width="4.140625" style="925" customWidth="1"/>
    <col min="7891" max="7891" width="1.7109375" style="925" customWidth="1"/>
    <col min="7892" max="7894" width="2.7109375" style="925" customWidth="1"/>
    <col min="7895" max="7895" width="3.28515625" style="925" customWidth="1"/>
    <col min="7896" max="7896" width="3" style="925" customWidth="1"/>
    <col min="7897" max="7898" width="3.140625" style="925" customWidth="1"/>
    <col min="7899" max="7899" width="3.7109375" style="925" customWidth="1"/>
    <col min="7900" max="7900" width="7" style="925" customWidth="1"/>
    <col min="7901" max="7901" width="5.7109375" style="925" customWidth="1"/>
    <col min="7902" max="7902" width="8.7109375" style="925" customWidth="1"/>
    <col min="7903" max="7903" width="4.7109375" style="925" customWidth="1"/>
    <col min="7904" max="7904" width="8.5703125" style="925" customWidth="1"/>
    <col min="7905" max="7905" width="6.5703125" style="925" customWidth="1"/>
    <col min="7906" max="7906" width="7.7109375" style="925" customWidth="1"/>
    <col min="7907" max="7907" width="5.7109375" style="925" customWidth="1"/>
    <col min="7908" max="7908" width="6.42578125" style="925" customWidth="1"/>
    <col min="7909" max="7909" width="5.7109375" style="925" customWidth="1"/>
    <col min="7910" max="7910" width="7.140625" style="925" customWidth="1"/>
    <col min="7911" max="7913" width="5.7109375" style="925" customWidth="1"/>
    <col min="7914" max="7914" width="7" style="925" customWidth="1"/>
    <col min="7915" max="7915" width="5.7109375" style="925" customWidth="1"/>
    <col min="7916" max="7916" width="6.7109375" style="925" customWidth="1"/>
    <col min="7917" max="7917" width="5.7109375" style="925" customWidth="1"/>
    <col min="7918" max="7918" width="7.42578125" style="925" customWidth="1"/>
    <col min="7919" max="7919" width="5.7109375" style="925" customWidth="1"/>
    <col min="7920" max="7920" width="6.28515625" style="925" customWidth="1"/>
    <col min="7921" max="7921" width="5" style="925" customWidth="1"/>
    <col min="7922" max="7922" width="6.42578125" style="925" customWidth="1"/>
    <col min="7923" max="7923" width="5.140625" style="925" customWidth="1"/>
    <col min="7924" max="7924" width="7" style="925" customWidth="1"/>
    <col min="7925" max="7925" width="5.28515625" style="925" customWidth="1"/>
    <col min="7926" max="7926" width="7.85546875" style="925" customWidth="1"/>
    <col min="7927" max="7927" width="5.7109375" style="925" customWidth="1"/>
    <col min="7928" max="7928" width="1.28515625" style="925" customWidth="1"/>
    <col min="7929" max="7929" width="2.140625" style="925" customWidth="1"/>
    <col min="7930" max="8145" width="9.140625" style="925"/>
    <col min="8146" max="8146" width="4.140625" style="925" customWidth="1"/>
    <col min="8147" max="8147" width="1.7109375" style="925" customWidth="1"/>
    <col min="8148" max="8150" width="2.7109375" style="925" customWidth="1"/>
    <col min="8151" max="8151" width="3.28515625" style="925" customWidth="1"/>
    <col min="8152" max="8152" width="3" style="925" customWidth="1"/>
    <col min="8153" max="8154" width="3.140625" style="925" customWidth="1"/>
    <col min="8155" max="8155" width="3.7109375" style="925" customWidth="1"/>
    <col min="8156" max="8156" width="7" style="925" customWidth="1"/>
    <col min="8157" max="8157" width="5.7109375" style="925" customWidth="1"/>
    <col min="8158" max="8158" width="8.7109375" style="925" customWidth="1"/>
    <col min="8159" max="8159" width="4.7109375" style="925" customWidth="1"/>
    <col min="8160" max="8160" width="8.5703125" style="925" customWidth="1"/>
    <col min="8161" max="8161" width="6.5703125" style="925" customWidth="1"/>
    <col min="8162" max="8162" width="7.7109375" style="925" customWidth="1"/>
    <col min="8163" max="8163" width="5.7109375" style="925" customWidth="1"/>
    <col min="8164" max="8164" width="6.42578125" style="925" customWidth="1"/>
    <col min="8165" max="8165" width="5.7109375" style="925" customWidth="1"/>
    <col min="8166" max="8166" width="7.140625" style="925" customWidth="1"/>
    <col min="8167" max="8169" width="5.7109375" style="925" customWidth="1"/>
    <col min="8170" max="8170" width="7" style="925" customWidth="1"/>
    <col min="8171" max="8171" width="5.7109375" style="925" customWidth="1"/>
    <col min="8172" max="8172" width="6.7109375" style="925" customWidth="1"/>
    <col min="8173" max="8173" width="5.7109375" style="925" customWidth="1"/>
    <col min="8174" max="8174" width="7.42578125" style="925" customWidth="1"/>
    <col min="8175" max="8175" width="5.7109375" style="925" customWidth="1"/>
    <col min="8176" max="8176" width="6.28515625" style="925" customWidth="1"/>
    <col min="8177" max="8177" width="5" style="925" customWidth="1"/>
    <col min="8178" max="8178" width="6.42578125" style="925" customWidth="1"/>
    <col min="8179" max="8179" width="5.140625" style="925" customWidth="1"/>
    <col min="8180" max="8180" width="7" style="925" customWidth="1"/>
    <col min="8181" max="8181" width="5.28515625" style="925" customWidth="1"/>
    <col min="8182" max="8182" width="7.85546875" style="925" customWidth="1"/>
    <col min="8183" max="8183" width="5.7109375" style="925" customWidth="1"/>
    <col min="8184" max="8184" width="1.28515625" style="925" customWidth="1"/>
    <col min="8185" max="8185" width="2.140625" style="925" customWidth="1"/>
    <col min="8186" max="8401" width="9.140625" style="925"/>
    <col min="8402" max="8402" width="4.140625" style="925" customWidth="1"/>
    <col min="8403" max="8403" width="1.7109375" style="925" customWidth="1"/>
    <col min="8404" max="8406" width="2.7109375" style="925" customWidth="1"/>
    <col min="8407" max="8407" width="3.28515625" style="925" customWidth="1"/>
    <col min="8408" max="8408" width="3" style="925" customWidth="1"/>
    <col min="8409" max="8410" width="3.140625" style="925" customWidth="1"/>
    <col min="8411" max="8411" width="3.7109375" style="925" customWidth="1"/>
    <col min="8412" max="8412" width="7" style="925" customWidth="1"/>
    <col min="8413" max="8413" width="5.7109375" style="925" customWidth="1"/>
    <col min="8414" max="8414" width="8.7109375" style="925" customWidth="1"/>
    <col min="8415" max="8415" width="4.7109375" style="925" customWidth="1"/>
    <col min="8416" max="8416" width="8.5703125" style="925" customWidth="1"/>
    <col min="8417" max="8417" width="6.5703125" style="925" customWidth="1"/>
    <col min="8418" max="8418" width="7.7109375" style="925" customWidth="1"/>
    <col min="8419" max="8419" width="5.7109375" style="925" customWidth="1"/>
    <col min="8420" max="8420" width="6.42578125" style="925" customWidth="1"/>
    <col min="8421" max="8421" width="5.7109375" style="925" customWidth="1"/>
    <col min="8422" max="8422" width="7.140625" style="925" customWidth="1"/>
    <col min="8423" max="8425" width="5.7109375" style="925" customWidth="1"/>
    <col min="8426" max="8426" width="7" style="925" customWidth="1"/>
    <col min="8427" max="8427" width="5.7109375" style="925" customWidth="1"/>
    <col min="8428" max="8428" width="6.7109375" style="925" customWidth="1"/>
    <col min="8429" max="8429" width="5.7109375" style="925" customWidth="1"/>
    <col min="8430" max="8430" width="7.42578125" style="925" customWidth="1"/>
    <col min="8431" max="8431" width="5.7109375" style="925" customWidth="1"/>
    <col min="8432" max="8432" width="6.28515625" style="925" customWidth="1"/>
    <col min="8433" max="8433" width="5" style="925" customWidth="1"/>
    <col min="8434" max="8434" width="6.42578125" style="925" customWidth="1"/>
    <col min="8435" max="8435" width="5.140625" style="925" customWidth="1"/>
    <col min="8436" max="8436" width="7" style="925" customWidth="1"/>
    <col min="8437" max="8437" width="5.28515625" style="925" customWidth="1"/>
    <col min="8438" max="8438" width="7.85546875" style="925" customWidth="1"/>
    <col min="8439" max="8439" width="5.7109375" style="925" customWidth="1"/>
    <col min="8440" max="8440" width="1.28515625" style="925" customWidth="1"/>
    <col min="8441" max="8441" width="2.140625" style="925" customWidth="1"/>
    <col min="8442" max="8657" width="9.140625" style="925"/>
    <col min="8658" max="8658" width="4.140625" style="925" customWidth="1"/>
    <col min="8659" max="8659" width="1.7109375" style="925" customWidth="1"/>
    <col min="8660" max="8662" width="2.7109375" style="925" customWidth="1"/>
    <col min="8663" max="8663" width="3.28515625" style="925" customWidth="1"/>
    <col min="8664" max="8664" width="3" style="925" customWidth="1"/>
    <col min="8665" max="8666" width="3.140625" style="925" customWidth="1"/>
    <col min="8667" max="8667" width="3.7109375" style="925" customWidth="1"/>
    <col min="8668" max="8668" width="7" style="925" customWidth="1"/>
    <col min="8669" max="8669" width="5.7109375" style="925" customWidth="1"/>
    <col min="8670" max="8670" width="8.7109375" style="925" customWidth="1"/>
    <col min="8671" max="8671" width="4.7109375" style="925" customWidth="1"/>
    <col min="8672" max="8672" width="8.5703125" style="925" customWidth="1"/>
    <col min="8673" max="8673" width="6.5703125" style="925" customWidth="1"/>
    <col min="8674" max="8674" width="7.7109375" style="925" customWidth="1"/>
    <col min="8675" max="8675" width="5.7109375" style="925" customWidth="1"/>
    <col min="8676" max="8676" width="6.42578125" style="925" customWidth="1"/>
    <col min="8677" max="8677" width="5.7109375" style="925" customWidth="1"/>
    <col min="8678" max="8678" width="7.140625" style="925" customWidth="1"/>
    <col min="8679" max="8681" width="5.7109375" style="925" customWidth="1"/>
    <col min="8682" max="8682" width="7" style="925" customWidth="1"/>
    <col min="8683" max="8683" width="5.7109375" style="925" customWidth="1"/>
    <col min="8684" max="8684" width="6.7109375" style="925" customWidth="1"/>
    <col min="8685" max="8685" width="5.7109375" style="925" customWidth="1"/>
    <col min="8686" max="8686" width="7.42578125" style="925" customWidth="1"/>
    <col min="8687" max="8687" width="5.7109375" style="925" customWidth="1"/>
    <col min="8688" max="8688" width="6.28515625" style="925" customWidth="1"/>
    <col min="8689" max="8689" width="5" style="925" customWidth="1"/>
    <col min="8690" max="8690" width="6.42578125" style="925" customWidth="1"/>
    <col min="8691" max="8691" width="5.140625" style="925" customWidth="1"/>
    <col min="8692" max="8692" width="7" style="925" customWidth="1"/>
    <col min="8693" max="8693" width="5.28515625" style="925" customWidth="1"/>
    <col min="8694" max="8694" width="7.85546875" style="925" customWidth="1"/>
    <col min="8695" max="8695" width="5.7109375" style="925" customWidth="1"/>
    <col min="8696" max="8696" width="1.28515625" style="925" customWidth="1"/>
    <col min="8697" max="8697" width="2.140625" style="925" customWidth="1"/>
    <col min="8698" max="8913" width="9.140625" style="925"/>
    <col min="8914" max="8914" width="4.140625" style="925" customWidth="1"/>
    <col min="8915" max="8915" width="1.7109375" style="925" customWidth="1"/>
    <col min="8916" max="8918" width="2.7109375" style="925" customWidth="1"/>
    <col min="8919" max="8919" width="3.28515625" style="925" customWidth="1"/>
    <col min="8920" max="8920" width="3" style="925" customWidth="1"/>
    <col min="8921" max="8922" width="3.140625" style="925" customWidth="1"/>
    <col min="8923" max="8923" width="3.7109375" style="925" customWidth="1"/>
    <col min="8924" max="8924" width="7" style="925" customWidth="1"/>
    <col min="8925" max="8925" width="5.7109375" style="925" customWidth="1"/>
    <col min="8926" max="8926" width="8.7109375" style="925" customWidth="1"/>
    <col min="8927" max="8927" width="4.7109375" style="925" customWidth="1"/>
    <col min="8928" max="8928" width="8.5703125" style="925" customWidth="1"/>
    <col min="8929" max="8929" width="6.5703125" style="925" customWidth="1"/>
    <col min="8930" max="8930" width="7.7109375" style="925" customWidth="1"/>
    <col min="8931" max="8931" width="5.7109375" style="925" customWidth="1"/>
    <col min="8932" max="8932" width="6.42578125" style="925" customWidth="1"/>
    <col min="8933" max="8933" width="5.7109375" style="925" customWidth="1"/>
    <col min="8934" max="8934" width="7.140625" style="925" customWidth="1"/>
    <col min="8935" max="8937" width="5.7109375" style="925" customWidth="1"/>
    <col min="8938" max="8938" width="7" style="925" customWidth="1"/>
    <col min="8939" max="8939" width="5.7109375" style="925" customWidth="1"/>
    <col min="8940" max="8940" width="6.7109375" style="925" customWidth="1"/>
    <col min="8941" max="8941" width="5.7109375" style="925" customWidth="1"/>
    <col min="8942" max="8942" width="7.42578125" style="925" customWidth="1"/>
    <col min="8943" max="8943" width="5.7109375" style="925" customWidth="1"/>
    <col min="8944" max="8944" width="6.28515625" style="925" customWidth="1"/>
    <col min="8945" max="8945" width="5" style="925" customWidth="1"/>
    <col min="8946" max="8946" width="6.42578125" style="925" customWidth="1"/>
    <col min="8947" max="8947" width="5.140625" style="925" customWidth="1"/>
    <col min="8948" max="8948" width="7" style="925" customWidth="1"/>
    <col min="8949" max="8949" width="5.28515625" style="925" customWidth="1"/>
    <col min="8950" max="8950" width="7.85546875" style="925" customWidth="1"/>
    <col min="8951" max="8951" width="5.7109375" style="925" customWidth="1"/>
    <col min="8952" max="8952" width="1.28515625" style="925" customWidth="1"/>
    <col min="8953" max="8953" width="2.140625" style="925" customWidth="1"/>
    <col min="8954" max="9169" width="9.140625" style="925"/>
    <col min="9170" max="9170" width="4.140625" style="925" customWidth="1"/>
    <col min="9171" max="9171" width="1.7109375" style="925" customWidth="1"/>
    <col min="9172" max="9174" width="2.7109375" style="925" customWidth="1"/>
    <col min="9175" max="9175" width="3.28515625" style="925" customWidth="1"/>
    <col min="9176" max="9176" width="3" style="925" customWidth="1"/>
    <col min="9177" max="9178" width="3.140625" style="925" customWidth="1"/>
    <col min="9179" max="9179" width="3.7109375" style="925" customWidth="1"/>
    <col min="9180" max="9180" width="7" style="925" customWidth="1"/>
    <col min="9181" max="9181" width="5.7109375" style="925" customWidth="1"/>
    <col min="9182" max="9182" width="8.7109375" style="925" customWidth="1"/>
    <col min="9183" max="9183" width="4.7109375" style="925" customWidth="1"/>
    <col min="9184" max="9184" width="8.5703125" style="925" customWidth="1"/>
    <col min="9185" max="9185" width="6.5703125" style="925" customWidth="1"/>
    <col min="9186" max="9186" width="7.7109375" style="925" customWidth="1"/>
    <col min="9187" max="9187" width="5.7109375" style="925" customWidth="1"/>
    <col min="9188" max="9188" width="6.42578125" style="925" customWidth="1"/>
    <col min="9189" max="9189" width="5.7109375" style="925" customWidth="1"/>
    <col min="9190" max="9190" width="7.140625" style="925" customWidth="1"/>
    <col min="9191" max="9193" width="5.7109375" style="925" customWidth="1"/>
    <col min="9194" max="9194" width="7" style="925" customWidth="1"/>
    <col min="9195" max="9195" width="5.7109375" style="925" customWidth="1"/>
    <col min="9196" max="9196" width="6.7109375" style="925" customWidth="1"/>
    <col min="9197" max="9197" width="5.7109375" style="925" customWidth="1"/>
    <col min="9198" max="9198" width="7.42578125" style="925" customWidth="1"/>
    <col min="9199" max="9199" width="5.7109375" style="925" customWidth="1"/>
    <col min="9200" max="9200" width="6.28515625" style="925" customWidth="1"/>
    <col min="9201" max="9201" width="5" style="925" customWidth="1"/>
    <col min="9202" max="9202" width="6.42578125" style="925" customWidth="1"/>
    <col min="9203" max="9203" width="5.140625" style="925" customWidth="1"/>
    <col min="9204" max="9204" width="7" style="925" customWidth="1"/>
    <col min="9205" max="9205" width="5.28515625" style="925" customWidth="1"/>
    <col min="9206" max="9206" width="7.85546875" style="925" customWidth="1"/>
    <col min="9207" max="9207" width="5.7109375" style="925" customWidth="1"/>
    <col min="9208" max="9208" width="1.28515625" style="925" customWidth="1"/>
    <col min="9209" max="9209" width="2.140625" style="925" customWidth="1"/>
    <col min="9210" max="9425" width="9.140625" style="925"/>
    <col min="9426" max="9426" width="4.140625" style="925" customWidth="1"/>
    <col min="9427" max="9427" width="1.7109375" style="925" customWidth="1"/>
    <col min="9428" max="9430" width="2.7109375" style="925" customWidth="1"/>
    <col min="9431" max="9431" width="3.28515625" style="925" customWidth="1"/>
    <col min="9432" max="9432" width="3" style="925" customWidth="1"/>
    <col min="9433" max="9434" width="3.140625" style="925" customWidth="1"/>
    <col min="9435" max="9435" width="3.7109375" style="925" customWidth="1"/>
    <col min="9436" max="9436" width="7" style="925" customWidth="1"/>
    <col min="9437" max="9437" width="5.7109375" style="925" customWidth="1"/>
    <col min="9438" max="9438" width="8.7109375" style="925" customWidth="1"/>
    <col min="9439" max="9439" width="4.7109375" style="925" customWidth="1"/>
    <col min="9440" max="9440" width="8.5703125" style="925" customWidth="1"/>
    <col min="9441" max="9441" width="6.5703125" style="925" customWidth="1"/>
    <col min="9442" max="9442" width="7.7109375" style="925" customWidth="1"/>
    <col min="9443" max="9443" width="5.7109375" style="925" customWidth="1"/>
    <col min="9444" max="9444" width="6.42578125" style="925" customWidth="1"/>
    <col min="9445" max="9445" width="5.7109375" style="925" customWidth="1"/>
    <col min="9446" max="9446" width="7.140625" style="925" customWidth="1"/>
    <col min="9447" max="9449" width="5.7109375" style="925" customWidth="1"/>
    <col min="9450" max="9450" width="7" style="925" customWidth="1"/>
    <col min="9451" max="9451" width="5.7109375" style="925" customWidth="1"/>
    <col min="9452" max="9452" width="6.7109375" style="925" customWidth="1"/>
    <col min="9453" max="9453" width="5.7109375" style="925" customWidth="1"/>
    <col min="9454" max="9454" width="7.42578125" style="925" customWidth="1"/>
    <col min="9455" max="9455" width="5.7109375" style="925" customWidth="1"/>
    <col min="9456" max="9456" width="6.28515625" style="925" customWidth="1"/>
    <col min="9457" max="9457" width="5" style="925" customWidth="1"/>
    <col min="9458" max="9458" width="6.42578125" style="925" customWidth="1"/>
    <col min="9459" max="9459" width="5.140625" style="925" customWidth="1"/>
    <col min="9460" max="9460" width="7" style="925" customWidth="1"/>
    <col min="9461" max="9461" width="5.28515625" style="925" customWidth="1"/>
    <col min="9462" max="9462" width="7.85546875" style="925" customWidth="1"/>
    <col min="9463" max="9463" width="5.7109375" style="925" customWidth="1"/>
    <col min="9464" max="9464" width="1.28515625" style="925" customWidth="1"/>
    <col min="9465" max="9465" width="2.140625" style="925" customWidth="1"/>
    <col min="9466" max="9681" width="9.140625" style="925"/>
    <col min="9682" max="9682" width="4.140625" style="925" customWidth="1"/>
    <col min="9683" max="9683" width="1.7109375" style="925" customWidth="1"/>
    <col min="9684" max="9686" width="2.7109375" style="925" customWidth="1"/>
    <col min="9687" max="9687" width="3.28515625" style="925" customWidth="1"/>
    <col min="9688" max="9688" width="3" style="925" customWidth="1"/>
    <col min="9689" max="9690" width="3.140625" style="925" customWidth="1"/>
    <col min="9691" max="9691" width="3.7109375" style="925" customWidth="1"/>
    <col min="9692" max="9692" width="7" style="925" customWidth="1"/>
    <col min="9693" max="9693" width="5.7109375" style="925" customWidth="1"/>
    <col min="9694" max="9694" width="8.7109375" style="925" customWidth="1"/>
    <col min="9695" max="9695" width="4.7109375" style="925" customWidth="1"/>
    <col min="9696" max="9696" width="8.5703125" style="925" customWidth="1"/>
    <col min="9697" max="9697" width="6.5703125" style="925" customWidth="1"/>
    <col min="9698" max="9698" width="7.7109375" style="925" customWidth="1"/>
    <col min="9699" max="9699" width="5.7109375" style="925" customWidth="1"/>
    <col min="9700" max="9700" width="6.42578125" style="925" customWidth="1"/>
    <col min="9701" max="9701" width="5.7109375" style="925" customWidth="1"/>
    <col min="9702" max="9702" width="7.140625" style="925" customWidth="1"/>
    <col min="9703" max="9705" width="5.7109375" style="925" customWidth="1"/>
    <col min="9706" max="9706" width="7" style="925" customWidth="1"/>
    <col min="9707" max="9707" width="5.7109375" style="925" customWidth="1"/>
    <col min="9708" max="9708" width="6.7109375" style="925" customWidth="1"/>
    <col min="9709" max="9709" width="5.7109375" style="925" customWidth="1"/>
    <col min="9710" max="9710" width="7.42578125" style="925" customWidth="1"/>
    <col min="9711" max="9711" width="5.7109375" style="925" customWidth="1"/>
    <col min="9712" max="9712" width="6.28515625" style="925" customWidth="1"/>
    <col min="9713" max="9713" width="5" style="925" customWidth="1"/>
    <col min="9714" max="9714" width="6.42578125" style="925" customWidth="1"/>
    <col min="9715" max="9715" width="5.140625" style="925" customWidth="1"/>
    <col min="9716" max="9716" width="7" style="925" customWidth="1"/>
    <col min="9717" max="9717" width="5.28515625" style="925" customWidth="1"/>
    <col min="9718" max="9718" width="7.85546875" style="925" customWidth="1"/>
    <col min="9719" max="9719" width="5.7109375" style="925" customWidth="1"/>
    <col min="9720" max="9720" width="1.28515625" style="925" customWidth="1"/>
    <col min="9721" max="9721" width="2.140625" style="925" customWidth="1"/>
    <col min="9722" max="9937" width="9.140625" style="925"/>
    <col min="9938" max="9938" width="4.140625" style="925" customWidth="1"/>
    <col min="9939" max="9939" width="1.7109375" style="925" customWidth="1"/>
    <col min="9940" max="9942" width="2.7109375" style="925" customWidth="1"/>
    <col min="9943" max="9943" width="3.28515625" style="925" customWidth="1"/>
    <col min="9944" max="9944" width="3" style="925" customWidth="1"/>
    <col min="9945" max="9946" width="3.140625" style="925" customWidth="1"/>
    <col min="9947" max="9947" width="3.7109375" style="925" customWidth="1"/>
    <col min="9948" max="9948" width="7" style="925" customWidth="1"/>
    <col min="9949" max="9949" width="5.7109375" style="925" customWidth="1"/>
    <col min="9950" max="9950" width="8.7109375" style="925" customWidth="1"/>
    <col min="9951" max="9951" width="4.7109375" style="925" customWidth="1"/>
    <col min="9952" max="9952" width="8.5703125" style="925" customWidth="1"/>
    <col min="9953" max="9953" width="6.5703125" style="925" customWidth="1"/>
    <col min="9954" max="9954" width="7.7109375" style="925" customWidth="1"/>
    <col min="9955" max="9955" width="5.7109375" style="925" customWidth="1"/>
    <col min="9956" max="9956" width="6.42578125" style="925" customWidth="1"/>
    <col min="9957" max="9957" width="5.7109375" style="925" customWidth="1"/>
    <col min="9958" max="9958" width="7.140625" style="925" customWidth="1"/>
    <col min="9959" max="9961" width="5.7109375" style="925" customWidth="1"/>
    <col min="9962" max="9962" width="7" style="925" customWidth="1"/>
    <col min="9963" max="9963" width="5.7109375" style="925" customWidth="1"/>
    <col min="9964" max="9964" width="6.7109375" style="925" customWidth="1"/>
    <col min="9965" max="9965" width="5.7109375" style="925" customWidth="1"/>
    <col min="9966" max="9966" width="7.42578125" style="925" customWidth="1"/>
    <col min="9967" max="9967" width="5.7109375" style="925" customWidth="1"/>
    <col min="9968" max="9968" width="6.28515625" style="925" customWidth="1"/>
    <col min="9969" max="9969" width="5" style="925" customWidth="1"/>
    <col min="9970" max="9970" width="6.42578125" style="925" customWidth="1"/>
    <col min="9971" max="9971" width="5.140625" style="925" customWidth="1"/>
    <col min="9972" max="9972" width="7" style="925" customWidth="1"/>
    <col min="9973" max="9973" width="5.28515625" style="925" customWidth="1"/>
    <col min="9974" max="9974" width="7.85546875" style="925" customWidth="1"/>
    <col min="9975" max="9975" width="5.7109375" style="925" customWidth="1"/>
    <col min="9976" max="9976" width="1.28515625" style="925" customWidth="1"/>
    <col min="9977" max="9977" width="2.140625" style="925" customWidth="1"/>
    <col min="9978" max="10193" width="9.140625" style="925"/>
    <col min="10194" max="10194" width="4.140625" style="925" customWidth="1"/>
    <col min="10195" max="10195" width="1.7109375" style="925" customWidth="1"/>
    <col min="10196" max="10198" width="2.7109375" style="925" customWidth="1"/>
    <col min="10199" max="10199" width="3.28515625" style="925" customWidth="1"/>
    <col min="10200" max="10200" width="3" style="925" customWidth="1"/>
    <col min="10201" max="10202" width="3.140625" style="925" customWidth="1"/>
    <col min="10203" max="10203" width="3.7109375" style="925" customWidth="1"/>
    <col min="10204" max="10204" width="7" style="925" customWidth="1"/>
    <col min="10205" max="10205" width="5.7109375" style="925" customWidth="1"/>
    <col min="10206" max="10206" width="8.7109375" style="925" customWidth="1"/>
    <col min="10207" max="10207" width="4.7109375" style="925" customWidth="1"/>
    <col min="10208" max="10208" width="8.5703125" style="925" customWidth="1"/>
    <col min="10209" max="10209" width="6.5703125" style="925" customWidth="1"/>
    <col min="10210" max="10210" width="7.7109375" style="925" customWidth="1"/>
    <col min="10211" max="10211" width="5.7109375" style="925" customWidth="1"/>
    <col min="10212" max="10212" width="6.42578125" style="925" customWidth="1"/>
    <col min="10213" max="10213" width="5.7109375" style="925" customWidth="1"/>
    <col min="10214" max="10214" width="7.140625" style="925" customWidth="1"/>
    <col min="10215" max="10217" width="5.7109375" style="925" customWidth="1"/>
    <col min="10218" max="10218" width="7" style="925" customWidth="1"/>
    <col min="10219" max="10219" width="5.7109375" style="925" customWidth="1"/>
    <col min="10220" max="10220" width="6.7109375" style="925" customWidth="1"/>
    <col min="10221" max="10221" width="5.7109375" style="925" customWidth="1"/>
    <col min="10222" max="10222" width="7.42578125" style="925" customWidth="1"/>
    <col min="10223" max="10223" width="5.7109375" style="925" customWidth="1"/>
    <col min="10224" max="10224" width="6.28515625" style="925" customWidth="1"/>
    <col min="10225" max="10225" width="5" style="925" customWidth="1"/>
    <col min="10226" max="10226" width="6.42578125" style="925" customWidth="1"/>
    <col min="10227" max="10227" width="5.140625" style="925" customWidth="1"/>
    <col min="10228" max="10228" width="7" style="925" customWidth="1"/>
    <col min="10229" max="10229" width="5.28515625" style="925" customWidth="1"/>
    <col min="10230" max="10230" width="7.85546875" style="925" customWidth="1"/>
    <col min="10231" max="10231" width="5.7109375" style="925" customWidth="1"/>
    <col min="10232" max="10232" width="1.28515625" style="925" customWidth="1"/>
    <col min="10233" max="10233" width="2.140625" style="925" customWidth="1"/>
    <col min="10234" max="10449" width="9.140625" style="925"/>
    <col min="10450" max="10450" width="4.140625" style="925" customWidth="1"/>
    <col min="10451" max="10451" width="1.7109375" style="925" customWidth="1"/>
    <col min="10452" max="10454" width="2.7109375" style="925" customWidth="1"/>
    <col min="10455" max="10455" width="3.28515625" style="925" customWidth="1"/>
    <col min="10456" max="10456" width="3" style="925" customWidth="1"/>
    <col min="10457" max="10458" width="3.140625" style="925" customWidth="1"/>
    <col min="10459" max="10459" width="3.7109375" style="925" customWidth="1"/>
    <col min="10460" max="10460" width="7" style="925" customWidth="1"/>
    <col min="10461" max="10461" width="5.7109375" style="925" customWidth="1"/>
    <col min="10462" max="10462" width="8.7109375" style="925" customWidth="1"/>
    <col min="10463" max="10463" width="4.7109375" style="925" customWidth="1"/>
    <col min="10464" max="10464" width="8.5703125" style="925" customWidth="1"/>
    <col min="10465" max="10465" width="6.5703125" style="925" customWidth="1"/>
    <col min="10466" max="10466" width="7.7109375" style="925" customWidth="1"/>
    <col min="10467" max="10467" width="5.7109375" style="925" customWidth="1"/>
    <col min="10468" max="10468" width="6.42578125" style="925" customWidth="1"/>
    <col min="10469" max="10469" width="5.7109375" style="925" customWidth="1"/>
    <col min="10470" max="10470" width="7.140625" style="925" customWidth="1"/>
    <col min="10471" max="10473" width="5.7109375" style="925" customWidth="1"/>
    <col min="10474" max="10474" width="7" style="925" customWidth="1"/>
    <col min="10475" max="10475" width="5.7109375" style="925" customWidth="1"/>
    <col min="10476" max="10476" width="6.7109375" style="925" customWidth="1"/>
    <col min="10477" max="10477" width="5.7109375" style="925" customWidth="1"/>
    <col min="10478" max="10478" width="7.42578125" style="925" customWidth="1"/>
    <col min="10479" max="10479" width="5.7109375" style="925" customWidth="1"/>
    <col min="10480" max="10480" width="6.28515625" style="925" customWidth="1"/>
    <col min="10481" max="10481" width="5" style="925" customWidth="1"/>
    <col min="10482" max="10482" width="6.42578125" style="925" customWidth="1"/>
    <col min="10483" max="10483" width="5.140625" style="925" customWidth="1"/>
    <col min="10484" max="10484" width="7" style="925" customWidth="1"/>
    <col min="10485" max="10485" width="5.28515625" style="925" customWidth="1"/>
    <col min="10486" max="10486" width="7.85546875" style="925" customWidth="1"/>
    <col min="10487" max="10487" width="5.7109375" style="925" customWidth="1"/>
    <col min="10488" max="10488" width="1.28515625" style="925" customWidth="1"/>
    <col min="10489" max="10489" width="2.140625" style="925" customWidth="1"/>
    <col min="10490" max="10705" width="9.140625" style="925"/>
    <col min="10706" max="10706" width="4.140625" style="925" customWidth="1"/>
    <col min="10707" max="10707" width="1.7109375" style="925" customWidth="1"/>
    <col min="10708" max="10710" width="2.7109375" style="925" customWidth="1"/>
    <col min="10711" max="10711" width="3.28515625" style="925" customWidth="1"/>
    <col min="10712" max="10712" width="3" style="925" customWidth="1"/>
    <col min="10713" max="10714" width="3.140625" style="925" customWidth="1"/>
    <col min="10715" max="10715" width="3.7109375" style="925" customWidth="1"/>
    <col min="10716" max="10716" width="7" style="925" customWidth="1"/>
    <col min="10717" max="10717" width="5.7109375" style="925" customWidth="1"/>
    <col min="10718" max="10718" width="8.7109375" style="925" customWidth="1"/>
    <col min="10719" max="10719" width="4.7109375" style="925" customWidth="1"/>
    <col min="10720" max="10720" width="8.5703125" style="925" customWidth="1"/>
    <col min="10721" max="10721" width="6.5703125" style="925" customWidth="1"/>
    <col min="10722" max="10722" width="7.7109375" style="925" customWidth="1"/>
    <col min="10723" max="10723" width="5.7109375" style="925" customWidth="1"/>
    <col min="10724" max="10724" width="6.42578125" style="925" customWidth="1"/>
    <col min="10725" max="10725" width="5.7109375" style="925" customWidth="1"/>
    <col min="10726" max="10726" width="7.140625" style="925" customWidth="1"/>
    <col min="10727" max="10729" width="5.7109375" style="925" customWidth="1"/>
    <col min="10730" max="10730" width="7" style="925" customWidth="1"/>
    <col min="10731" max="10731" width="5.7109375" style="925" customWidth="1"/>
    <col min="10732" max="10732" width="6.7109375" style="925" customWidth="1"/>
    <col min="10733" max="10733" width="5.7109375" style="925" customWidth="1"/>
    <col min="10734" max="10734" width="7.42578125" style="925" customWidth="1"/>
    <col min="10735" max="10735" width="5.7109375" style="925" customWidth="1"/>
    <col min="10736" max="10736" width="6.28515625" style="925" customWidth="1"/>
    <col min="10737" max="10737" width="5" style="925" customWidth="1"/>
    <col min="10738" max="10738" width="6.42578125" style="925" customWidth="1"/>
    <col min="10739" max="10739" width="5.140625" style="925" customWidth="1"/>
    <col min="10740" max="10740" width="7" style="925" customWidth="1"/>
    <col min="10741" max="10741" width="5.28515625" style="925" customWidth="1"/>
    <col min="10742" max="10742" width="7.85546875" style="925" customWidth="1"/>
    <col min="10743" max="10743" width="5.7109375" style="925" customWidth="1"/>
    <col min="10744" max="10744" width="1.28515625" style="925" customWidth="1"/>
    <col min="10745" max="10745" width="2.140625" style="925" customWidth="1"/>
    <col min="10746" max="10961" width="9.140625" style="925"/>
    <col min="10962" max="10962" width="4.140625" style="925" customWidth="1"/>
    <col min="10963" max="10963" width="1.7109375" style="925" customWidth="1"/>
    <col min="10964" max="10966" width="2.7109375" style="925" customWidth="1"/>
    <col min="10967" max="10967" width="3.28515625" style="925" customWidth="1"/>
    <col min="10968" max="10968" width="3" style="925" customWidth="1"/>
    <col min="10969" max="10970" width="3.140625" style="925" customWidth="1"/>
    <col min="10971" max="10971" width="3.7109375" style="925" customWidth="1"/>
    <col min="10972" max="10972" width="7" style="925" customWidth="1"/>
    <col min="10973" max="10973" width="5.7109375" style="925" customWidth="1"/>
    <col min="10974" max="10974" width="8.7109375" style="925" customWidth="1"/>
    <col min="10975" max="10975" width="4.7109375" style="925" customWidth="1"/>
    <col min="10976" max="10976" width="8.5703125" style="925" customWidth="1"/>
    <col min="10977" max="10977" width="6.5703125" style="925" customWidth="1"/>
    <col min="10978" max="10978" width="7.7109375" style="925" customWidth="1"/>
    <col min="10979" max="10979" width="5.7109375" style="925" customWidth="1"/>
    <col min="10980" max="10980" width="6.42578125" style="925" customWidth="1"/>
    <col min="10981" max="10981" width="5.7109375" style="925" customWidth="1"/>
    <col min="10982" max="10982" width="7.140625" style="925" customWidth="1"/>
    <col min="10983" max="10985" width="5.7109375" style="925" customWidth="1"/>
    <col min="10986" max="10986" width="7" style="925" customWidth="1"/>
    <col min="10987" max="10987" width="5.7109375" style="925" customWidth="1"/>
    <col min="10988" max="10988" width="6.7109375" style="925" customWidth="1"/>
    <col min="10989" max="10989" width="5.7109375" style="925" customWidth="1"/>
    <col min="10990" max="10990" width="7.42578125" style="925" customWidth="1"/>
    <col min="10991" max="10991" width="5.7109375" style="925" customWidth="1"/>
    <col min="10992" max="10992" width="6.28515625" style="925" customWidth="1"/>
    <col min="10993" max="10993" width="5" style="925" customWidth="1"/>
    <col min="10994" max="10994" width="6.42578125" style="925" customWidth="1"/>
    <col min="10995" max="10995" width="5.140625" style="925" customWidth="1"/>
    <col min="10996" max="10996" width="7" style="925" customWidth="1"/>
    <col min="10997" max="10997" width="5.28515625" style="925" customWidth="1"/>
    <col min="10998" max="10998" width="7.85546875" style="925" customWidth="1"/>
    <col min="10999" max="10999" width="5.7109375" style="925" customWidth="1"/>
    <col min="11000" max="11000" width="1.28515625" style="925" customWidth="1"/>
    <col min="11001" max="11001" width="2.140625" style="925" customWidth="1"/>
    <col min="11002" max="11217" width="9.140625" style="925"/>
    <col min="11218" max="11218" width="4.140625" style="925" customWidth="1"/>
    <col min="11219" max="11219" width="1.7109375" style="925" customWidth="1"/>
    <col min="11220" max="11222" width="2.7109375" style="925" customWidth="1"/>
    <col min="11223" max="11223" width="3.28515625" style="925" customWidth="1"/>
    <col min="11224" max="11224" width="3" style="925" customWidth="1"/>
    <col min="11225" max="11226" width="3.140625" style="925" customWidth="1"/>
    <col min="11227" max="11227" width="3.7109375" style="925" customWidth="1"/>
    <col min="11228" max="11228" width="7" style="925" customWidth="1"/>
    <col min="11229" max="11229" width="5.7109375" style="925" customWidth="1"/>
    <col min="11230" max="11230" width="8.7109375" style="925" customWidth="1"/>
    <col min="11231" max="11231" width="4.7109375" style="925" customWidth="1"/>
    <col min="11232" max="11232" width="8.5703125" style="925" customWidth="1"/>
    <col min="11233" max="11233" width="6.5703125" style="925" customWidth="1"/>
    <col min="11234" max="11234" width="7.7109375" style="925" customWidth="1"/>
    <col min="11235" max="11235" width="5.7109375" style="925" customWidth="1"/>
    <col min="11236" max="11236" width="6.42578125" style="925" customWidth="1"/>
    <col min="11237" max="11237" width="5.7109375" style="925" customWidth="1"/>
    <col min="11238" max="11238" width="7.140625" style="925" customWidth="1"/>
    <col min="11239" max="11241" width="5.7109375" style="925" customWidth="1"/>
    <col min="11242" max="11242" width="7" style="925" customWidth="1"/>
    <col min="11243" max="11243" width="5.7109375" style="925" customWidth="1"/>
    <col min="11244" max="11244" width="6.7109375" style="925" customWidth="1"/>
    <col min="11245" max="11245" width="5.7109375" style="925" customWidth="1"/>
    <col min="11246" max="11246" width="7.42578125" style="925" customWidth="1"/>
    <col min="11247" max="11247" width="5.7109375" style="925" customWidth="1"/>
    <col min="11248" max="11248" width="6.28515625" style="925" customWidth="1"/>
    <col min="11249" max="11249" width="5" style="925" customWidth="1"/>
    <col min="11250" max="11250" width="6.42578125" style="925" customWidth="1"/>
    <col min="11251" max="11251" width="5.140625" style="925" customWidth="1"/>
    <col min="11252" max="11252" width="7" style="925" customWidth="1"/>
    <col min="11253" max="11253" width="5.28515625" style="925" customWidth="1"/>
    <col min="11254" max="11254" width="7.85546875" style="925" customWidth="1"/>
    <col min="11255" max="11255" width="5.7109375" style="925" customWidth="1"/>
    <col min="11256" max="11256" width="1.28515625" style="925" customWidth="1"/>
    <col min="11257" max="11257" width="2.140625" style="925" customWidth="1"/>
    <col min="11258" max="11473" width="9.140625" style="925"/>
    <col min="11474" max="11474" width="4.140625" style="925" customWidth="1"/>
    <col min="11475" max="11475" width="1.7109375" style="925" customWidth="1"/>
    <col min="11476" max="11478" width="2.7109375" style="925" customWidth="1"/>
    <col min="11479" max="11479" width="3.28515625" style="925" customWidth="1"/>
    <col min="11480" max="11480" width="3" style="925" customWidth="1"/>
    <col min="11481" max="11482" width="3.140625" style="925" customWidth="1"/>
    <col min="11483" max="11483" width="3.7109375" style="925" customWidth="1"/>
    <col min="11484" max="11484" width="7" style="925" customWidth="1"/>
    <col min="11485" max="11485" width="5.7109375" style="925" customWidth="1"/>
    <col min="11486" max="11486" width="8.7109375" style="925" customWidth="1"/>
    <col min="11487" max="11487" width="4.7109375" style="925" customWidth="1"/>
    <col min="11488" max="11488" width="8.5703125" style="925" customWidth="1"/>
    <col min="11489" max="11489" width="6.5703125" style="925" customWidth="1"/>
    <col min="11490" max="11490" width="7.7109375" style="925" customWidth="1"/>
    <col min="11491" max="11491" width="5.7109375" style="925" customWidth="1"/>
    <col min="11492" max="11492" width="6.42578125" style="925" customWidth="1"/>
    <col min="11493" max="11493" width="5.7109375" style="925" customWidth="1"/>
    <col min="11494" max="11494" width="7.140625" style="925" customWidth="1"/>
    <col min="11495" max="11497" width="5.7109375" style="925" customWidth="1"/>
    <col min="11498" max="11498" width="7" style="925" customWidth="1"/>
    <col min="11499" max="11499" width="5.7109375" style="925" customWidth="1"/>
    <col min="11500" max="11500" width="6.7109375" style="925" customWidth="1"/>
    <col min="11501" max="11501" width="5.7109375" style="925" customWidth="1"/>
    <col min="11502" max="11502" width="7.42578125" style="925" customWidth="1"/>
    <col min="11503" max="11503" width="5.7109375" style="925" customWidth="1"/>
    <col min="11504" max="11504" width="6.28515625" style="925" customWidth="1"/>
    <col min="11505" max="11505" width="5" style="925" customWidth="1"/>
    <col min="11506" max="11506" width="6.42578125" style="925" customWidth="1"/>
    <col min="11507" max="11507" width="5.140625" style="925" customWidth="1"/>
    <col min="11508" max="11508" width="7" style="925" customWidth="1"/>
    <col min="11509" max="11509" width="5.28515625" style="925" customWidth="1"/>
    <col min="11510" max="11510" width="7.85546875" style="925" customWidth="1"/>
    <col min="11511" max="11511" width="5.7109375" style="925" customWidth="1"/>
    <col min="11512" max="11512" width="1.28515625" style="925" customWidth="1"/>
    <col min="11513" max="11513" width="2.140625" style="925" customWidth="1"/>
    <col min="11514" max="11729" width="9.140625" style="925"/>
    <col min="11730" max="11730" width="4.140625" style="925" customWidth="1"/>
    <col min="11731" max="11731" width="1.7109375" style="925" customWidth="1"/>
    <col min="11732" max="11734" width="2.7109375" style="925" customWidth="1"/>
    <col min="11735" max="11735" width="3.28515625" style="925" customWidth="1"/>
    <col min="11736" max="11736" width="3" style="925" customWidth="1"/>
    <col min="11737" max="11738" width="3.140625" style="925" customWidth="1"/>
    <col min="11739" max="11739" width="3.7109375" style="925" customWidth="1"/>
    <col min="11740" max="11740" width="7" style="925" customWidth="1"/>
    <col min="11741" max="11741" width="5.7109375" style="925" customWidth="1"/>
    <col min="11742" max="11742" width="8.7109375" style="925" customWidth="1"/>
    <col min="11743" max="11743" width="4.7109375" style="925" customWidth="1"/>
    <col min="11744" max="11744" width="8.5703125" style="925" customWidth="1"/>
    <col min="11745" max="11745" width="6.5703125" style="925" customWidth="1"/>
    <col min="11746" max="11746" width="7.7109375" style="925" customWidth="1"/>
    <col min="11747" max="11747" width="5.7109375" style="925" customWidth="1"/>
    <col min="11748" max="11748" width="6.42578125" style="925" customWidth="1"/>
    <col min="11749" max="11749" width="5.7109375" style="925" customWidth="1"/>
    <col min="11750" max="11750" width="7.140625" style="925" customWidth="1"/>
    <col min="11751" max="11753" width="5.7109375" style="925" customWidth="1"/>
    <col min="11754" max="11754" width="7" style="925" customWidth="1"/>
    <col min="11755" max="11755" width="5.7109375" style="925" customWidth="1"/>
    <col min="11756" max="11756" width="6.7109375" style="925" customWidth="1"/>
    <col min="11757" max="11757" width="5.7109375" style="925" customWidth="1"/>
    <col min="11758" max="11758" width="7.42578125" style="925" customWidth="1"/>
    <col min="11759" max="11759" width="5.7109375" style="925" customWidth="1"/>
    <col min="11760" max="11760" width="6.28515625" style="925" customWidth="1"/>
    <col min="11761" max="11761" width="5" style="925" customWidth="1"/>
    <col min="11762" max="11762" width="6.42578125" style="925" customWidth="1"/>
    <col min="11763" max="11763" width="5.140625" style="925" customWidth="1"/>
    <col min="11764" max="11764" width="7" style="925" customWidth="1"/>
    <col min="11765" max="11765" width="5.28515625" style="925" customWidth="1"/>
    <col min="11766" max="11766" width="7.85546875" style="925" customWidth="1"/>
    <col min="11767" max="11767" width="5.7109375" style="925" customWidth="1"/>
    <col min="11768" max="11768" width="1.28515625" style="925" customWidth="1"/>
    <col min="11769" max="11769" width="2.140625" style="925" customWidth="1"/>
    <col min="11770" max="11985" width="9.140625" style="925"/>
    <col min="11986" max="11986" width="4.140625" style="925" customWidth="1"/>
    <col min="11987" max="11987" width="1.7109375" style="925" customWidth="1"/>
    <col min="11988" max="11990" width="2.7109375" style="925" customWidth="1"/>
    <col min="11991" max="11991" width="3.28515625" style="925" customWidth="1"/>
    <col min="11992" max="11992" width="3" style="925" customWidth="1"/>
    <col min="11993" max="11994" width="3.140625" style="925" customWidth="1"/>
    <col min="11995" max="11995" width="3.7109375" style="925" customWidth="1"/>
    <col min="11996" max="11996" width="7" style="925" customWidth="1"/>
    <col min="11997" max="11997" width="5.7109375" style="925" customWidth="1"/>
    <col min="11998" max="11998" width="8.7109375" style="925" customWidth="1"/>
    <col min="11999" max="11999" width="4.7109375" style="925" customWidth="1"/>
    <col min="12000" max="12000" width="8.5703125" style="925" customWidth="1"/>
    <col min="12001" max="12001" width="6.5703125" style="925" customWidth="1"/>
    <col min="12002" max="12002" width="7.7109375" style="925" customWidth="1"/>
    <col min="12003" max="12003" width="5.7109375" style="925" customWidth="1"/>
    <col min="12004" max="12004" width="6.42578125" style="925" customWidth="1"/>
    <col min="12005" max="12005" width="5.7109375" style="925" customWidth="1"/>
    <col min="12006" max="12006" width="7.140625" style="925" customWidth="1"/>
    <col min="12007" max="12009" width="5.7109375" style="925" customWidth="1"/>
    <col min="12010" max="12010" width="7" style="925" customWidth="1"/>
    <col min="12011" max="12011" width="5.7109375" style="925" customWidth="1"/>
    <col min="12012" max="12012" width="6.7109375" style="925" customWidth="1"/>
    <col min="12013" max="12013" width="5.7109375" style="925" customWidth="1"/>
    <col min="12014" max="12014" width="7.42578125" style="925" customWidth="1"/>
    <col min="12015" max="12015" width="5.7109375" style="925" customWidth="1"/>
    <col min="12016" max="12016" width="6.28515625" style="925" customWidth="1"/>
    <col min="12017" max="12017" width="5" style="925" customWidth="1"/>
    <col min="12018" max="12018" width="6.42578125" style="925" customWidth="1"/>
    <col min="12019" max="12019" width="5.140625" style="925" customWidth="1"/>
    <col min="12020" max="12020" width="7" style="925" customWidth="1"/>
    <col min="12021" max="12021" width="5.28515625" style="925" customWidth="1"/>
    <col min="12022" max="12022" width="7.85546875" style="925" customWidth="1"/>
    <col min="12023" max="12023" width="5.7109375" style="925" customWidth="1"/>
    <col min="12024" max="12024" width="1.28515625" style="925" customWidth="1"/>
    <col min="12025" max="12025" width="2.140625" style="925" customWidth="1"/>
    <col min="12026" max="12241" width="9.140625" style="925"/>
    <col min="12242" max="12242" width="4.140625" style="925" customWidth="1"/>
    <col min="12243" max="12243" width="1.7109375" style="925" customWidth="1"/>
    <col min="12244" max="12246" width="2.7109375" style="925" customWidth="1"/>
    <col min="12247" max="12247" width="3.28515625" style="925" customWidth="1"/>
    <col min="12248" max="12248" width="3" style="925" customWidth="1"/>
    <col min="12249" max="12250" width="3.140625" style="925" customWidth="1"/>
    <col min="12251" max="12251" width="3.7109375" style="925" customWidth="1"/>
    <col min="12252" max="12252" width="7" style="925" customWidth="1"/>
    <col min="12253" max="12253" width="5.7109375" style="925" customWidth="1"/>
    <col min="12254" max="12254" width="8.7109375" style="925" customWidth="1"/>
    <col min="12255" max="12255" width="4.7109375" style="925" customWidth="1"/>
    <col min="12256" max="12256" width="8.5703125" style="925" customWidth="1"/>
    <col min="12257" max="12257" width="6.5703125" style="925" customWidth="1"/>
    <col min="12258" max="12258" width="7.7109375" style="925" customWidth="1"/>
    <col min="12259" max="12259" width="5.7109375" style="925" customWidth="1"/>
    <col min="12260" max="12260" width="6.42578125" style="925" customWidth="1"/>
    <col min="12261" max="12261" width="5.7109375" style="925" customWidth="1"/>
    <col min="12262" max="12262" width="7.140625" style="925" customWidth="1"/>
    <col min="12263" max="12265" width="5.7109375" style="925" customWidth="1"/>
    <col min="12266" max="12266" width="7" style="925" customWidth="1"/>
    <col min="12267" max="12267" width="5.7109375" style="925" customWidth="1"/>
    <col min="12268" max="12268" width="6.7109375" style="925" customWidth="1"/>
    <col min="12269" max="12269" width="5.7109375" style="925" customWidth="1"/>
    <col min="12270" max="12270" width="7.42578125" style="925" customWidth="1"/>
    <col min="12271" max="12271" width="5.7109375" style="925" customWidth="1"/>
    <col min="12272" max="12272" width="6.28515625" style="925" customWidth="1"/>
    <col min="12273" max="12273" width="5" style="925" customWidth="1"/>
    <col min="12274" max="12274" width="6.42578125" style="925" customWidth="1"/>
    <col min="12275" max="12275" width="5.140625" style="925" customWidth="1"/>
    <col min="12276" max="12276" width="7" style="925" customWidth="1"/>
    <col min="12277" max="12277" width="5.28515625" style="925" customWidth="1"/>
    <col min="12278" max="12278" width="7.85546875" style="925" customWidth="1"/>
    <col min="12279" max="12279" width="5.7109375" style="925" customWidth="1"/>
    <col min="12280" max="12280" width="1.28515625" style="925" customWidth="1"/>
    <col min="12281" max="12281" width="2.140625" style="925" customWidth="1"/>
    <col min="12282" max="12497" width="9.140625" style="925"/>
    <col min="12498" max="12498" width="4.140625" style="925" customWidth="1"/>
    <col min="12499" max="12499" width="1.7109375" style="925" customWidth="1"/>
    <col min="12500" max="12502" width="2.7109375" style="925" customWidth="1"/>
    <col min="12503" max="12503" width="3.28515625" style="925" customWidth="1"/>
    <col min="12504" max="12504" width="3" style="925" customWidth="1"/>
    <col min="12505" max="12506" width="3.140625" style="925" customWidth="1"/>
    <col min="12507" max="12507" width="3.7109375" style="925" customWidth="1"/>
    <col min="12508" max="12508" width="7" style="925" customWidth="1"/>
    <col min="12509" max="12509" width="5.7109375" style="925" customWidth="1"/>
    <col min="12510" max="12510" width="8.7109375" style="925" customWidth="1"/>
    <col min="12511" max="12511" width="4.7109375" style="925" customWidth="1"/>
    <col min="12512" max="12512" width="8.5703125" style="925" customWidth="1"/>
    <col min="12513" max="12513" width="6.5703125" style="925" customWidth="1"/>
    <col min="12514" max="12514" width="7.7109375" style="925" customWidth="1"/>
    <col min="12515" max="12515" width="5.7109375" style="925" customWidth="1"/>
    <col min="12516" max="12516" width="6.42578125" style="925" customWidth="1"/>
    <col min="12517" max="12517" width="5.7109375" style="925" customWidth="1"/>
    <col min="12518" max="12518" width="7.140625" style="925" customWidth="1"/>
    <col min="12519" max="12521" width="5.7109375" style="925" customWidth="1"/>
    <col min="12522" max="12522" width="7" style="925" customWidth="1"/>
    <col min="12523" max="12523" width="5.7109375" style="925" customWidth="1"/>
    <col min="12524" max="12524" width="6.7109375" style="925" customWidth="1"/>
    <col min="12525" max="12525" width="5.7109375" style="925" customWidth="1"/>
    <col min="12526" max="12526" width="7.42578125" style="925" customWidth="1"/>
    <col min="12527" max="12527" width="5.7109375" style="925" customWidth="1"/>
    <col min="12528" max="12528" width="6.28515625" style="925" customWidth="1"/>
    <col min="12529" max="12529" width="5" style="925" customWidth="1"/>
    <col min="12530" max="12530" width="6.42578125" style="925" customWidth="1"/>
    <col min="12531" max="12531" width="5.140625" style="925" customWidth="1"/>
    <col min="12532" max="12532" width="7" style="925" customWidth="1"/>
    <col min="12533" max="12533" width="5.28515625" style="925" customWidth="1"/>
    <col min="12534" max="12534" width="7.85546875" style="925" customWidth="1"/>
    <col min="12535" max="12535" width="5.7109375" style="925" customWidth="1"/>
    <col min="12536" max="12536" width="1.28515625" style="925" customWidth="1"/>
    <col min="12537" max="12537" width="2.140625" style="925" customWidth="1"/>
    <col min="12538" max="12753" width="9.140625" style="925"/>
    <col min="12754" max="12754" width="4.140625" style="925" customWidth="1"/>
    <col min="12755" max="12755" width="1.7109375" style="925" customWidth="1"/>
    <col min="12756" max="12758" width="2.7109375" style="925" customWidth="1"/>
    <col min="12759" max="12759" width="3.28515625" style="925" customWidth="1"/>
    <col min="12760" max="12760" width="3" style="925" customWidth="1"/>
    <col min="12761" max="12762" width="3.140625" style="925" customWidth="1"/>
    <col min="12763" max="12763" width="3.7109375" style="925" customWidth="1"/>
    <col min="12764" max="12764" width="7" style="925" customWidth="1"/>
    <col min="12765" max="12765" width="5.7109375" style="925" customWidth="1"/>
    <col min="12766" max="12766" width="8.7109375" style="925" customWidth="1"/>
    <col min="12767" max="12767" width="4.7109375" style="925" customWidth="1"/>
    <col min="12768" max="12768" width="8.5703125" style="925" customWidth="1"/>
    <col min="12769" max="12769" width="6.5703125" style="925" customWidth="1"/>
    <col min="12770" max="12770" width="7.7109375" style="925" customWidth="1"/>
    <col min="12771" max="12771" width="5.7109375" style="925" customWidth="1"/>
    <col min="12772" max="12772" width="6.42578125" style="925" customWidth="1"/>
    <col min="12773" max="12773" width="5.7109375" style="925" customWidth="1"/>
    <col min="12774" max="12774" width="7.140625" style="925" customWidth="1"/>
    <col min="12775" max="12777" width="5.7109375" style="925" customWidth="1"/>
    <col min="12778" max="12778" width="7" style="925" customWidth="1"/>
    <col min="12779" max="12779" width="5.7109375" style="925" customWidth="1"/>
    <col min="12780" max="12780" width="6.7109375" style="925" customWidth="1"/>
    <col min="12781" max="12781" width="5.7109375" style="925" customWidth="1"/>
    <col min="12782" max="12782" width="7.42578125" style="925" customWidth="1"/>
    <col min="12783" max="12783" width="5.7109375" style="925" customWidth="1"/>
    <col min="12784" max="12784" width="6.28515625" style="925" customWidth="1"/>
    <col min="12785" max="12785" width="5" style="925" customWidth="1"/>
    <col min="12786" max="12786" width="6.42578125" style="925" customWidth="1"/>
    <col min="12787" max="12787" width="5.140625" style="925" customWidth="1"/>
    <col min="12788" max="12788" width="7" style="925" customWidth="1"/>
    <col min="12789" max="12789" width="5.28515625" style="925" customWidth="1"/>
    <col min="12790" max="12790" width="7.85546875" style="925" customWidth="1"/>
    <col min="12791" max="12791" width="5.7109375" style="925" customWidth="1"/>
    <col min="12792" max="12792" width="1.28515625" style="925" customWidth="1"/>
    <col min="12793" max="12793" width="2.140625" style="925" customWidth="1"/>
    <col min="12794" max="13009" width="9.140625" style="925"/>
    <col min="13010" max="13010" width="4.140625" style="925" customWidth="1"/>
    <col min="13011" max="13011" width="1.7109375" style="925" customWidth="1"/>
    <col min="13012" max="13014" width="2.7109375" style="925" customWidth="1"/>
    <col min="13015" max="13015" width="3.28515625" style="925" customWidth="1"/>
    <col min="13016" max="13016" width="3" style="925" customWidth="1"/>
    <col min="13017" max="13018" width="3.140625" style="925" customWidth="1"/>
    <col min="13019" max="13019" width="3.7109375" style="925" customWidth="1"/>
    <col min="13020" max="13020" width="7" style="925" customWidth="1"/>
    <col min="13021" max="13021" width="5.7109375" style="925" customWidth="1"/>
    <col min="13022" max="13022" width="8.7109375" style="925" customWidth="1"/>
    <col min="13023" max="13023" width="4.7109375" style="925" customWidth="1"/>
    <col min="13024" max="13024" width="8.5703125" style="925" customWidth="1"/>
    <col min="13025" max="13025" width="6.5703125" style="925" customWidth="1"/>
    <col min="13026" max="13026" width="7.7109375" style="925" customWidth="1"/>
    <col min="13027" max="13027" width="5.7109375" style="925" customWidth="1"/>
    <col min="13028" max="13028" width="6.42578125" style="925" customWidth="1"/>
    <col min="13029" max="13029" width="5.7109375" style="925" customWidth="1"/>
    <col min="13030" max="13030" width="7.140625" style="925" customWidth="1"/>
    <col min="13031" max="13033" width="5.7109375" style="925" customWidth="1"/>
    <col min="13034" max="13034" width="7" style="925" customWidth="1"/>
    <col min="13035" max="13035" width="5.7109375" style="925" customWidth="1"/>
    <col min="13036" max="13036" width="6.7109375" style="925" customWidth="1"/>
    <col min="13037" max="13037" width="5.7109375" style="925" customWidth="1"/>
    <col min="13038" max="13038" width="7.42578125" style="925" customWidth="1"/>
    <col min="13039" max="13039" width="5.7109375" style="925" customWidth="1"/>
    <col min="13040" max="13040" width="6.28515625" style="925" customWidth="1"/>
    <col min="13041" max="13041" width="5" style="925" customWidth="1"/>
    <col min="13042" max="13042" width="6.42578125" style="925" customWidth="1"/>
    <col min="13043" max="13043" width="5.140625" style="925" customWidth="1"/>
    <col min="13044" max="13044" width="7" style="925" customWidth="1"/>
    <col min="13045" max="13045" width="5.28515625" style="925" customWidth="1"/>
    <col min="13046" max="13046" width="7.85546875" style="925" customWidth="1"/>
    <col min="13047" max="13047" width="5.7109375" style="925" customWidth="1"/>
    <col min="13048" max="13048" width="1.28515625" style="925" customWidth="1"/>
    <col min="13049" max="13049" width="2.140625" style="925" customWidth="1"/>
    <col min="13050" max="13265" width="9.140625" style="925"/>
    <col min="13266" max="13266" width="4.140625" style="925" customWidth="1"/>
    <col min="13267" max="13267" width="1.7109375" style="925" customWidth="1"/>
    <col min="13268" max="13270" width="2.7109375" style="925" customWidth="1"/>
    <col min="13271" max="13271" width="3.28515625" style="925" customWidth="1"/>
    <col min="13272" max="13272" width="3" style="925" customWidth="1"/>
    <col min="13273" max="13274" width="3.140625" style="925" customWidth="1"/>
    <col min="13275" max="13275" width="3.7109375" style="925" customWidth="1"/>
    <col min="13276" max="13276" width="7" style="925" customWidth="1"/>
    <col min="13277" max="13277" width="5.7109375" style="925" customWidth="1"/>
    <col min="13278" max="13278" width="8.7109375" style="925" customWidth="1"/>
    <col min="13279" max="13279" width="4.7109375" style="925" customWidth="1"/>
    <col min="13280" max="13280" width="8.5703125" style="925" customWidth="1"/>
    <col min="13281" max="13281" width="6.5703125" style="925" customWidth="1"/>
    <col min="13282" max="13282" width="7.7109375" style="925" customWidth="1"/>
    <col min="13283" max="13283" width="5.7109375" style="925" customWidth="1"/>
    <col min="13284" max="13284" width="6.42578125" style="925" customWidth="1"/>
    <col min="13285" max="13285" width="5.7109375" style="925" customWidth="1"/>
    <col min="13286" max="13286" width="7.140625" style="925" customWidth="1"/>
    <col min="13287" max="13289" width="5.7109375" style="925" customWidth="1"/>
    <col min="13290" max="13290" width="7" style="925" customWidth="1"/>
    <col min="13291" max="13291" width="5.7109375" style="925" customWidth="1"/>
    <col min="13292" max="13292" width="6.7109375" style="925" customWidth="1"/>
    <col min="13293" max="13293" width="5.7109375" style="925" customWidth="1"/>
    <col min="13294" max="13294" width="7.42578125" style="925" customWidth="1"/>
    <col min="13295" max="13295" width="5.7109375" style="925" customWidth="1"/>
    <col min="13296" max="13296" width="6.28515625" style="925" customWidth="1"/>
    <col min="13297" max="13297" width="5" style="925" customWidth="1"/>
    <col min="13298" max="13298" width="6.42578125" style="925" customWidth="1"/>
    <col min="13299" max="13299" width="5.140625" style="925" customWidth="1"/>
    <col min="13300" max="13300" width="7" style="925" customWidth="1"/>
    <col min="13301" max="13301" width="5.28515625" style="925" customWidth="1"/>
    <col min="13302" max="13302" width="7.85546875" style="925" customWidth="1"/>
    <col min="13303" max="13303" width="5.7109375" style="925" customWidth="1"/>
    <col min="13304" max="13304" width="1.28515625" style="925" customWidth="1"/>
    <col min="13305" max="13305" width="2.140625" style="925" customWidth="1"/>
    <col min="13306" max="13521" width="9.140625" style="925"/>
    <col min="13522" max="13522" width="4.140625" style="925" customWidth="1"/>
    <col min="13523" max="13523" width="1.7109375" style="925" customWidth="1"/>
    <col min="13524" max="13526" width="2.7109375" style="925" customWidth="1"/>
    <col min="13527" max="13527" width="3.28515625" style="925" customWidth="1"/>
    <col min="13528" max="13528" width="3" style="925" customWidth="1"/>
    <col min="13529" max="13530" width="3.140625" style="925" customWidth="1"/>
    <col min="13531" max="13531" width="3.7109375" style="925" customWidth="1"/>
    <col min="13532" max="13532" width="7" style="925" customWidth="1"/>
    <col min="13533" max="13533" width="5.7109375" style="925" customWidth="1"/>
    <col min="13534" max="13534" width="8.7109375" style="925" customWidth="1"/>
    <col min="13535" max="13535" width="4.7109375" style="925" customWidth="1"/>
    <col min="13536" max="13536" width="8.5703125" style="925" customWidth="1"/>
    <col min="13537" max="13537" width="6.5703125" style="925" customWidth="1"/>
    <col min="13538" max="13538" width="7.7109375" style="925" customWidth="1"/>
    <col min="13539" max="13539" width="5.7109375" style="925" customWidth="1"/>
    <col min="13540" max="13540" width="6.42578125" style="925" customWidth="1"/>
    <col min="13541" max="13541" width="5.7109375" style="925" customWidth="1"/>
    <col min="13542" max="13542" width="7.140625" style="925" customWidth="1"/>
    <col min="13543" max="13545" width="5.7109375" style="925" customWidth="1"/>
    <col min="13546" max="13546" width="7" style="925" customWidth="1"/>
    <col min="13547" max="13547" width="5.7109375" style="925" customWidth="1"/>
    <col min="13548" max="13548" width="6.7109375" style="925" customWidth="1"/>
    <col min="13549" max="13549" width="5.7109375" style="925" customWidth="1"/>
    <col min="13550" max="13550" width="7.42578125" style="925" customWidth="1"/>
    <col min="13551" max="13551" width="5.7109375" style="925" customWidth="1"/>
    <col min="13552" max="13552" width="6.28515625" style="925" customWidth="1"/>
    <col min="13553" max="13553" width="5" style="925" customWidth="1"/>
    <col min="13554" max="13554" width="6.42578125" style="925" customWidth="1"/>
    <col min="13555" max="13555" width="5.140625" style="925" customWidth="1"/>
    <col min="13556" max="13556" width="7" style="925" customWidth="1"/>
    <col min="13557" max="13557" width="5.28515625" style="925" customWidth="1"/>
    <col min="13558" max="13558" width="7.85546875" style="925" customWidth="1"/>
    <col min="13559" max="13559" width="5.7109375" style="925" customWidth="1"/>
    <col min="13560" max="13560" width="1.28515625" style="925" customWidth="1"/>
    <col min="13561" max="13561" width="2.140625" style="925" customWidth="1"/>
    <col min="13562" max="13777" width="9.140625" style="925"/>
    <col min="13778" max="13778" width="4.140625" style="925" customWidth="1"/>
    <col min="13779" max="13779" width="1.7109375" style="925" customWidth="1"/>
    <col min="13780" max="13782" width="2.7109375" style="925" customWidth="1"/>
    <col min="13783" max="13783" width="3.28515625" style="925" customWidth="1"/>
    <col min="13784" max="13784" width="3" style="925" customWidth="1"/>
    <col min="13785" max="13786" width="3.140625" style="925" customWidth="1"/>
    <col min="13787" max="13787" width="3.7109375" style="925" customWidth="1"/>
    <col min="13788" max="13788" width="7" style="925" customWidth="1"/>
    <col min="13789" max="13789" width="5.7109375" style="925" customWidth="1"/>
    <col min="13790" max="13790" width="8.7109375" style="925" customWidth="1"/>
    <col min="13791" max="13791" width="4.7109375" style="925" customWidth="1"/>
    <col min="13792" max="13792" width="8.5703125" style="925" customWidth="1"/>
    <col min="13793" max="13793" width="6.5703125" style="925" customWidth="1"/>
    <col min="13794" max="13794" width="7.7109375" style="925" customWidth="1"/>
    <col min="13795" max="13795" width="5.7109375" style="925" customWidth="1"/>
    <col min="13796" max="13796" width="6.42578125" style="925" customWidth="1"/>
    <col min="13797" max="13797" width="5.7109375" style="925" customWidth="1"/>
    <col min="13798" max="13798" width="7.140625" style="925" customWidth="1"/>
    <col min="13799" max="13801" width="5.7109375" style="925" customWidth="1"/>
    <col min="13802" max="13802" width="7" style="925" customWidth="1"/>
    <col min="13803" max="13803" width="5.7109375" style="925" customWidth="1"/>
    <col min="13804" max="13804" width="6.7109375" style="925" customWidth="1"/>
    <col min="13805" max="13805" width="5.7109375" style="925" customWidth="1"/>
    <col min="13806" max="13806" width="7.42578125" style="925" customWidth="1"/>
    <col min="13807" max="13807" width="5.7109375" style="925" customWidth="1"/>
    <col min="13808" max="13808" width="6.28515625" style="925" customWidth="1"/>
    <col min="13809" max="13809" width="5" style="925" customWidth="1"/>
    <col min="13810" max="13810" width="6.42578125" style="925" customWidth="1"/>
    <col min="13811" max="13811" width="5.140625" style="925" customWidth="1"/>
    <col min="13812" max="13812" width="7" style="925" customWidth="1"/>
    <col min="13813" max="13813" width="5.28515625" style="925" customWidth="1"/>
    <col min="13814" max="13814" width="7.85546875" style="925" customWidth="1"/>
    <col min="13815" max="13815" width="5.7109375" style="925" customWidth="1"/>
    <col min="13816" max="13816" width="1.28515625" style="925" customWidth="1"/>
    <col min="13817" max="13817" width="2.140625" style="925" customWidth="1"/>
    <col min="13818" max="14033" width="9.140625" style="925"/>
    <col min="14034" max="14034" width="4.140625" style="925" customWidth="1"/>
    <col min="14035" max="14035" width="1.7109375" style="925" customWidth="1"/>
    <col min="14036" max="14038" width="2.7109375" style="925" customWidth="1"/>
    <col min="14039" max="14039" width="3.28515625" style="925" customWidth="1"/>
    <col min="14040" max="14040" width="3" style="925" customWidth="1"/>
    <col min="14041" max="14042" width="3.140625" style="925" customWidth="1"/>
    <col min="14043" max="14043" width="3.7109375" style="925" customWidth="1"/>
    <col min="14044" max="14044" width="7" style="925" customWidth="1"/>
    <col min="14045" max="14045" width="5.7109375" style="925" customWidth="1"/>
    <col min="14046" max="14046" width="8.7109375" style="925" customWidth="1"/>
    <col min="14047" max="14047" width="4.7109375" style="925" customWidth="1"/>
    <col min="14048" max="14048" width="8.5703125" style="925" customWidth="1"/>
    <col min="14049" max="14049" width="6.5703125" style="925" customWidth="1"/>
    <col min="14050" max="14050" width="7.7109375" style="925" customWidth="1"/>
    <col min="14051" max="14051" width="5.7109375" style="925" customWidth="1"/>
    <col min="14052" max="14052" width="6.42578125" style="925" customWidth="1"/>
    <col min="14053" max="14053" width="5.7109375" style="925" customWidth="1"/>
    <col min="14054" max="14054" width="7.140625" style="925" customWidth="1"/>
    <col min="14055" max="14057" width="5.7109375" style="925" customWidth="1"/>
    <col min="14058" max="14058" width="7" style="925" customWidth="1"/>
    <col min="14059" max="14059" width="5.7109375" style="925" customWidth="1"/>
    <col min="14060" max="14060" width="6.7109375" style="925" customWidth="1"/>
    <col min="14061" max="14061" width="5.7109375" style="925" customWidth="1"/>
    <col min="14062" max="14062" width="7.42578125" style="925" customWidth="1"/>
    <col min="14063" max="14063" width="5.7109375" style="925" customWidth="1"/>
    <col min="14064" max="14064" width="6.28515625" style="925" customWidth="1"/>
    <col min="14065" max="14065" width="5" style="925" customWidth="1"/>
    <col min="14066" max="14066" width="6.42578125" style="925" customWidth="1"/>
    <col min="14067" max="14067" width="5.140625" style="925" customWidth="1"/>
    <col min="14068" max="14068" width="7" style="925" customWidth="1"/>
    <col min="14069" max="14069" width="5.28515625" style="925" customWidth="1"/>
    <col min="14070" max="14070" width="7.85546875" style="925" customWidth="1"/>
    <col min="14071" max="14071" width="5.7109375" style="925" customWidth="1"/>
    <col min="14072" max="14072" width="1.28515625" style="925" customWidth="1"/>
    <col min="14073" max="14073" width="2.140625" style="925" customWidth="1"/>
    <col min="14074" max="14289" width="9.140625" style="925"/>
    <col min="14290" max="14290" width="4.140625" style="925" customWidth="1"/>
    <col min="14291" max="14291" width="1.7109375" style="925" customWidth="1"/>
    <col min="14292" max="14294" width="2.7109375" style="925" customWidth="1"/>
    <col min="14295" max="14295" width="3.28515625" style="925" customWidth="1"/>
    <col min="14296" max="14296" width="3" style="925" customWidth="1"/>
    <col min="14297" max="14298" width="3.140625" style="925" customWidth="1"/>
    <col min="14299" max="14299" width="3.7109375" style="925" customWidth="1"/>
    <col min="14300" max="14300" width="7" style="925" customWidth="1"/>
    <col min="14301" max="14301" width="5.7109375" style="925" customWidth="1"/>
    <col min="14302" max="14302" width="8.7109375" style="925" customWidth="1"/>
    <col min="14303" max="14303" width="4.7109375" style="925" customWidth="1"/>
    <col min="14304" max="14304" width="8.5703125" style="925" customWidth="1"/>
    <col min="14305" max="14305" width="6.5703125" style="925" customWidth="1"/>
    <col min="14306" max="14306" width="7.7109375" style="925" customWidth="1"/>
    <col min="14307" max="14307" width="5.7109375" style="925" customWidth="1"/>
    <col min="14308" max="14308" width="6.42578125" style="925" customWidth="1"/>
    <col min="14309" max="14309" width="5.7109375" style="925" customWidth="1"/>
    <col min="14310" max="14310" width="7.140625" style="925" customWidth="1"/>
    <col min="14311" max="14313" width="5.7109375" style="925" customWidth="1"/>
    <col min="14314" max="14314" width="7" style="925" customWidth="1"/>
    <col min="14315" max="14315" width="5.7109375" style="925" customWidth="1"/>
    <col min="14316" max="14316" width="6.7109375" style="925" customWidth="1"/>
    <col min="14317" max="14317" width="5.7109375" style="925" customWidth="1"/>
    <col min="14318" max="14318" width="7.42578125" style="925" customWidth="1"/>
    <col min="14319" max="14319" width="5.7109375" style="925" customWidth="1"/>
    <col min="14320" max="14320" width="6.28515625" style="925" customWidth="1"/>
    <col min="14321" max="14321" width="5" style="925" customWidth="1"/>
    <col min="14322" max="14322" width="6.42578125" style="925" customWidth="1"/>
    <col min="14323" max="14323" width="5.140625" style="925" customWidth="1"/>
    <col min="14324" max="14324" width="7" style="925" customWidth="1"/>
    <col min="14325" max="14325" width="5.28515625" style="925" customWidth="1"/>
    <col min="14326" max="14326" width="7.85546875" style="925" customWidth="1"/>
    <col min="14327" max="14327" width="5.7109375" style="925" customWidth="1"/>
    <col min="14328" max="14328" width="1.28515625" style="925" customWidth="1"/>
    <col min="14329" max="14329" width="2.140625" style="925" customWidth="1"/>
    <col min="14330" max="14545" width="9.140625" style="925"/>
    <col min="14546" max="14546" width="4.140625" style="925" customWidth="1"/>
    <col min="14547" max="14547" width="1.7109375" style="925" customWidth="1"/>
    <col min="14548" max="14550" width="2.7109375" style="925" customWidth="1"/>
    <col min="14551" max="14551" width="3.28515625" style="925" customWidth="1"/>
    <col min="14552" max="14552" width="3" style="925" customWidth="1"/>
    <col min="14553" max="14554" width="3.140625" style="925" customWidth="1"/>
    <col min="14555" max="14555" width="3.7109375" style="925" customWidth="1"/>
    <col min="14556" max="14556" width="7" style="925" customWidth="1"/>
    <col min="14557" max="14557" width="5.7109375" style="925" customWidth="1"/>
    <col min="14558" max="14558" width="8.7109375" style="925" customWidth="1"/>
    <col min="14559" max="14559" width="4.7109375" style="925" customWidth="1"/>
    <col min="14560" max="14560" width="8.5703125" style="925" customWidth="1"/>
    <col min="14561" max="14561" width="6.5703125" style="925" customWidth="1"/>
    <col min="14562" max="14562" width="7.7109375" style="925" customWidth="1"/>
    <col min="14563" max="14563" width="5.7109375" style="925" customWidth="1"/>
    <col min="14564" max="14564" width="6.42578125" style="925" customWidth="1"/>
    <col min="14565" max="14565" width="5.7109375" style="925" customWidth="1"/>
    <col min="14566" max="14566" width="7.140625" style="925" customWidth="1"/>
    <col min="14567" max="14569" width="5.7109375" style="925" customWidth="1"/>
    <col min="14570" max="14570" width="7" style="925" customWidth="1"/>
    <col min="14571" max="14571" width="5.7109375" style="925" customWidth="1"/>
    <col min="14572" max="14572" width="6.7109375" style="925" customWidth="1"/>
    <col min="14573" max="14573" width="5.7109375" style="925" customWidth="1"/>
    <col min="14574" max="14574" width="7.42578125" style="925" customWidth="1"/>
    <col min="14575" max="14575" width="5.7109375" style="925" customWidth="1"/>
    <col min="14576" max="14576" width="6.28515625" style="925" customWidth="1"/>
    <col min="14577" max="14577" width="5" style="925" customWidth="1"/>
    <col min="14578" max="14578" width="6.42578125" style="925" customWidth="1"/>
    <col min="14579" max="14579" width="5.140625" style="925" customWidth="1"/>
    <col min="14580" max="14580" width="7" style="925" customWidth="1"/>
    <col min="14581" max="14581" width="5.28515625" style="925" customWidth="1"/>
    <col min="14582" max="14582" width="7.85546875" style="925" customWidth="1"/>
    <col min="14583" max="14583" width="5.7109375" style="925" customWidth="1"/>
    <col min="14584" max="14584" width="1.28515625" style="925" customWidth="1"/>
    <col min="14585" max="14585" width="2.140625" style="925" customWidth="1"/>
    <col min="14586" max="14801" width="9.140625" style="925"/>
    <col min="14802" max="14802" width="4.140625" style="925" customWidth="1"/>
    <col min="14803" max="14803" width="1.7109375" style="925" customWidth="1"/>
    <col min="14804" max="14806" width="2.7109375" style="925" customWidth="1"/>
    <col min="14807" max="14807" width="3.28515625" style="925" customWidth="1"/>
    <col min="14808" max="14808" width="3" style="925" customWidth="1"/>
    <col min="14809" max="14810" width="3.140625" style="925" customWidth="1"/>
    <col min="14811" max="14811" width="3.7109375" style="925" customWidth="1"/>
    <col min="14812" max="14812" width="7" style="925" customWidth="1"/>
    <col min="14813" max="14813" width="5.7109375" style="925" customWidth="1"/>
    <col min="14814" max="14814" width="8.7109375" style="925" customWidth="1"/>
    <col min="14815" max="14815" width="4.7109375" style="925" customWidth="1"/>
    <col min="14816" max="14816" width="8.5703125" style="925" customWidth="1"/>
    <col min="14817" max="14817" width="6.5703125" style="925" customWidth="1"/>
    <col min="14818" max="14818" width="7.7109375" style="925" customWidth="1"/>
    <col min="14819" max="14819" width="5.7109375" style="925" customWidth="1"/>
    <col min="14820" max="14820" width="6.42578125" style="925" customWidth="1"/>
    <col min="14821" max="14821" width="5.7109375" style="925" customWidth="1"/>
    <col min="14822" max="14822" width="7.140625" style="925" customWidth="1"/>
    <col min="14823" max="14825" width="5.7109375" style="925" customWidth="1"/>
    <col min="14826" max="14826" width="7" style="925" customWidth="1"/>
    <col min="14827" max="14827" width="5.7109375" style="925" customWidth="1"/>
    <col min="14828" max="14828" width="6.7109375" style="925" customWidth="1"/>
    <col min="14829" max="14829" width="5.7109375" style="925" customWidth="1"/>
    <col min="14830" max="14830" width="7.42578125" style="925" customWidth="1"/>
    <col min="14831" max="14831" width="5.7109375" style="925" customWidth="1"/>
    <col min="14832" max="14832" width="6.28515625" style="925" customWidth="1"/>
    <col min="14833" max="14833" width="5" style="925" customWidth="1"/>
    <col min="14834" max="14834" width="6.42578125" style="925" customWidth="1"/>
    <col min="14835" max="14835" width="5.140625" style="925" customWidth="1"/>
    <col min="14836" max="14836" width="7" style="925" customWidth="1"/>
    <col min="14837" max="14837" width="5.28515625" style="925" customWidth="1"/>
    <col min="14838" max="14838" width="7.85546875" style="925" customWidth="1"/>
    <col min="14839" max="14839" width="5.7109375" style="925" customWidth="1"/>
    <col min="14840" max="14840" width="1.28515625" style="925" customWidth="1"/>
    <col min="14841" max="14841" width="2.140625" style="925" customWidth="1"/>
    <col min="14842" max="15057" width="9.140625" style="925"/>
    <col min="15058" max="15058" width="4.140625" style="925" customWidth="1"/>
    <col min="15059" max="15059" width="1.7109375" style="925" customWidth="1"/>
    <col min="15060" max="15062" width="2.7109375" style="925" customWidth="1"/>
    <col min="15063" max="15063" width="3.28515625" style="925" customWidth="1"/>
    <col min="15064" max="15064" width="3" style="925" customWidth="1"/>
    <col min="15065" max="15066" width="3.140625" style="925" customWidth="1"/>
    <col min="15067" max="15067" width="3.7109375" style="925" customWidth="1"/>
    <col min="15068" max="15068" width="7" style="925" customWidth="1"/>
    <col min="15069" max="15069" width="5.7109375" style="925" customWidth="1"/>
    <col min="15070" max="15070" width="8.7109375" style="925" customWidth="1"/>
    <col min="15071" max="15071" width="4.7109375" style="925" customWidth="1"/>
    <col min="15072" max="15072" width="8.5703125" style="925" customWidth="1"/>
    <col min="15073" max="15073" width="6.5703125" style="925" customWidth="1"/>
    <col min="15074" max="15074" width="7.7109375" style="925" customWidth="1"/>
    <col min="15075" max="15075" width="5.7109375" style="925" customWidth="1"/>
    <col min="15076" max="15076" width="6.42578125" style="925" customWidth="1"/>
    <col min="15077" max="15077" width="5.7109375" style="925" customWidth="1"/>
    <col min="15078" max="15078" width="7.140625" style="925" customWidth="1"/>
    <col min="15079" max="15081" width="5.7109375" style="925" customWidth="1"/>
    <col min="15082" max="15082" width="7" style="925" customWidth="1"/>
    <col min="15083" max="15083" width="5.7109375" style="925" customWidth="1"/>
    <col min="15084" max="15084" width="6.7109375" style="925" customWidth="1"/>
    <col min="15085" max="15085" width="5.7109375" style="925" customWidth="1"/>
    <col min="15086" max="15086" width="7.42578125" style="925" customWidth="1"/>
    <col min="15087" max="15087" width="5.7109375" style="925" customWidth="1"/>
    <col min="15088" max="15088" width="6.28515625" style="925" customWidth="1"/>
    <col min="15089" max="15089" width="5" style="925" customWidth="1"/>
    <col min="15090" max="15090" width="6.42578125" style="925" customWidth="1"/>
    <col min="15091" max="15091" width="5.140625" style="925" customWidth="1"/>
    <col min="15092" max="15092" width="7" style="925" customWidth="1"/>
    <col min="15093" max="15093" width="5.28515625" style="925" customWidth="1"/>
    <col min="15094" max="15094" width="7.85546875" style="925" customWidth="1"/>
    <col min="15095" max="15095" width="5.7109375" style="925" customWidth="1"/>
    <col min="15096" max="15096" width="1.28515625" style="925" customWidth="1"/>
    <col min="15097" max="15097" width="2.140625" style="925" customWidth="1"/>
    <col min="15098" max="15313" width="9.140625" style="925"/>
    <col min="15314" max="15314" width="4.140625" style="925" customWidth="1"/>
    <col min="15315" max="15315" width="1.7109375" style="925" customWidth="1"/>
    <col min="15316" max="15318" width="2.7109375" style="925" customWidth="1"/>
    <col min="15319" max="15319" width="3.28515625" style="925" customWidth="1"/>
    <col min="15320" max="15320" width="3" style="925" customWidth="1"/>
    <col min="15321" max="15322" width="3.140625" style="925" customWidth="1"/>
    <col min="15323" max="15323" width="3.7109375" style="925" customWidth="1"/>
    <col min="15324" max="15324" width="7" style="925" customWidth="1"/>
    <col min="15325" max="15325" width="5.7109375" style="925" customWidth="1"/>
    <col min="15326" max="15326" width="8.7109375" style="925" customWidth="1"/>
    <col min="15327" max="15327" width="4.7109375" style="925" customWidth="1"/>
    <col min="15328" max="15328" width="8.5703125" style="925" customWidth="1"/>
    <col min="15329" max="15329" width="6.5703125" style="925" customWidth="1"/>
    <col min="15330" max="15330" width="7.7109375" style="925" customWidth="1"/>
    <col min="15331" max="15331" width="5.7109375" style="925" customWidth="1"/>
    <col min="15332" max="15332" width="6.42578125" style="925" customWidth="1"/>
    <col min="15333" max="15333" width="5.7109375" style="925" customWidth="1"/>
    <col min="15334" max="15334" width="7.140625" style="925" customWidth="1"/>
    <col min="15335" max="15337" width="5.7109375" style="925" customWidth="1"/>
    <col min="15338" max="15338" width="7" style="925" customWidth="1"/>
    <col min="15339" max="15339" width="5.7109375" style="925" customWidth="1"/>
    <col min="15340" max="15340" width="6.7109375" style="925" customWidth="1"/>
    <col min="15341" max="15341" width="5.7109375" style="925" customWidth="1"/>
    <col min="15342" max="15342" width="7.42578125" style="925" customWidth="1"/>
    <col min="15343" max="15343" width="5.7109375" style="925" customWidth="1"/>
    <col min="15344" max="15344" width="6.28515625" style="925" customWidth="1"/>
    <col min="15345" max="15345" width="5" style="925" customWidth="1"/>
    <col min="15346" max="15346" width="6.42578125" style="925" customWidth="1"/>
    <col min="15347" max="15347" width="5.140625" style="925" customWidth="1"/>
    <col min="15348" max="15348" width="7" style="925" customWidth="1"/>
    <col min="15349" max="15349" width="5.28515625" style="925" customWidth="1"/>
    <col min="15350" max="15350" width="7.85546875" style="925" customWidth="1"/>
    <col min="15351" max="15351" width="5.7109375" style="925" customWidth="1"/>
    <col min="15352" max="15352" width="1.28515625" style="925" customWidth="1"/>
    <col min="15353" max="15353" width="2.140625" style="925" customWidth="1"/>
    <col min="15354" max="15569" width="9.140625" style="925"/>
    <col min="15570" max="15570" width="4.140625" style="925" customWidth="1"/>
    <col min="15571" max="15571" width="1.7109375" style="925" customWidth="1"/>
    <col min="15572" max="15574" width="2.7109375" style="925" customWidth="1"/>
    <col min="15575" max="15575" width="3.28515625" style="925" customWidth="1"/>
    <col min="15576" max="15576" width="3" style="925" customWidth="1"/>
    <col min="15577" max="15578" width="3.140625" style="925" customWidth="1"/>
    <col min="15579" max="15579" width="3.7109375" style="925" customWidth="1"/>
    <col min="15580" max="15580" width="7" style="925" customWidth="1"/>
    <col min="15581" max="15581" width="5.7109375" style="925" customWidth="1"/>
    <col min="15582" max="15582" width="8.7109375" style="925" customWidth="1"/>
    <col min="15583" max="15583" width="4.7109375" style="925" customWidth="1"/>
    <col min="15584" max="15584" width="8.5703125" style="925" customWidth="1"/>
    <col min="15585" max="15585" width="6.5703125" style="925" customWidth="1"/>
    <col min="15586" max="15586" width="7.7109375" style="925" customWidth="1"/>
    <col min="15587" max="15587" width="5.7109375" style="925" customWidth="1"/>
    <col min="15588" max="15588" width="6.42578125" style="925" customWidth="1"/>
    <col min="15589" max="15589" width="5.7109375" style="925" customWidth="1"/>
    <col min="15590" max="15590" width="7.140625" style="925" customWidth="1"/>
    <col min="15591" max="15593" width="5.7109375" style="925" customWidth="1"/>
    <col min="15594" max="15594" width="7" style="925" customWidth="1"/>
    <col min="15595" max="15595" width="5.7109375" style="925" customWidth="1"/>
    <col min="15596" max="15596" width="6.7109375" style="925" customWidth="1"/>
    <col min="15597" max="15597" width="5.7109375" style="925" customWidth="1"/>
    <col min="15598" max="15598" width="7.42578125" style="925" customWidth="1"/>
    <col min="15599" max="15599" width="5.7109375" style="925" customWidth="1"/>
    <col min="15600" max="15600" width="6.28515625" style="925" customWidth="1"/>
    <col min="15601" max="15601" width="5" style="925" customWidth="1"/>
    <col min="15602" max="15602" width="6.42578125" style="925" customWidth="1"/>
    <col min="15603" max="15603" width="5.140625" style="925" customWidth="1"/>
    <col min="15604" max="15604" width="7" style="925" customWidth="1"/>
    <col min="15605" max="15605" width="5.28515625" style="925" customWidth="1"/>
    <col min="15606" max="15606" width="7.85546875" style="925" customWidth="1"/>
    <col min="15607" max="15607" width="5.7109375" style="925" customWidth="1"/>
    <col min="15608" max="15608" width="1.28515625" style="925" customWidth="1"/>
    <col min="15609" max="15609" width="2.140625" style="925" customWidth="1"/>
    <col min="15610" max="15825" width="9.140625" style="925"/>
    <col min="15826" max="15826" width="4.140625" style="925" customWidth="1"/>
    <col min="15827" max="15827" width="1.7109375" style="925" customWidth="1"/>
    <col min="15828" max="15830" width="2.7109375" style="925" customWidth="1"/>
    <col min="15831" max="15831" width="3.28515625" style="925" customWidth="1"/>
    <col min="15832" max="15832" width="3" style="925" customWidth="1"/>
    <col min="15833" max="15834" width="3.140625" style="925" customWidth="1"/>
    <col min="15835" max="15835" width="3.7109375" style="925" customWidth="1"/>
    <col min="15836" max="15836" width="7" style="925" customWidth="1"/>
    <col min="15837" max="15837" width="5.7109375" style="925" customWidth="1"/>
    <col min="15838" max="15838" width="8.7109375" style="925" customWidth="1"/>
    <col min="15839" max="15839" width="4.7109375" style="925" customWidth="1"/>
    <col min="15840" max="15840" width="8.5703125" style="925" customWidth="1"/>
    <col min="15841" max="15841" width="6.5703125" style="925" customWidth="1"/>
    <col min="15842" max="15842" width="7.7109375" style="925" customWidth="1"/>
    <col min="15843" max="15843" width="5.7109375" style="925" customWidth="1"/>
    <col min="15844" max="15844" width="6.42578125" style="925" customWidth="1"/>
    <col min="15845" max="15845" width="5.7109375" style="925" customWidth="1"/>
    <col min="15846" max="15846" width="7.140625" style="925" customWidth="1"/>
    <col min="15847" max="15849" width="5.7109375" style="925" customWidth="1"/>
    <col min="15850" max="15850" width="7" style="925" customWidth="1"/>
    <col min="15851" max="15851" width="5.7109375" style="925" customWidth="1"/>
    <col min="15852" max="15852" width="6.7109375" style="925" customWidth="1"/>
    <col min="15853" max="15853" width="5.7109375" style="925" customWidth="1"/>
    <col min="15854" max="15854" width="7.42578125" style="925" customWidth="1"/>
    <col min="15855" max="15855" width="5.7109375" style="925" customWidth="1"/>
    <col min="15856" max="15856" width="6.28515625" style="925" customWidth="1"/>
    <col min="15857" max="15857" width="5" style="925" customWidth="1"/>
    <col min="15858" max="15858" width="6.42578125" style="925" customWidth="1"/>
    <col min="15859" max="15859" width="5.140625" style="925" customWidth="1"/>
    <col min="15860" max="15860" width="7" style="925" customWidth="1"/>
    <col min="15861" max="15861" width="5.28515625" style="925" customWidth="1"/>
    <col min="15862" max="15862" width="7.85546875" style="925" customWidth="1"/>
    <col min="15863" max="15863" width="5.7109375" style="925" customWidth="1"/>
    <col min="15864" max="15864" width="1.28515625" style="925" customWidth="1"/>
    <col min="15865" max="15865" width="2.140625" style="925" customWidth="1"/>
    <col min="15866" max="16081" width="9.140625" style="925"/>
    <col min="16082" max="16082" width="4.140625" style="925" customWidth="1"/>
    <col min="16083" max="16083" width="1.7109375" style="925" customWidth="1"/>
    <col min="16084" max="16086" width="2.7109375" style="925" customWidth="1"/>
    <col min="16087" max="16087" width="3.28515625" style="925" customWidth="1"/>
    <col min="16088" max="16088" width="3" style="925" customWidth="1"/>
    <col min="16089" max="16090" width="3.140625" style="925" customWidth="1"/>
    <col min="16091" max="16091" width="3.7109375" style="925" customWidth="1"/>
    <col min="16092" max="16092" width="7" style="925" customWidth="1"/>
    <col min="16093" max="16093" width="5.7109375" style="925" customWidth="1"/>
    <col min="16094" max="16094" width="8.7109375" style="925" customWidth="1"/>
    <col min="16095" max="16095" width="4.7109375" style="925" customWidth="1"/>
    <col min="16096" max="16096" width="8.5703125" style="925" customWidth="1"/>
    <col min="16097" max="16097" width="6.5703125" style="925" customWidth="1"/>
    <col min="16098" max="16098" width="7.7109375" style="925" customWidth="1"/>
    <col min="16099" max="16099" width="5.7109375" style="925" customWidth="1"/>
    <col min="16100" max="16100" width="6.42578125" style="925" customWidth="1"/>
    <col min="16101" max="16101" width="5.7109375" style="925" customWidth="1"/>
    <col min="16102" max="16102" width="7.140625" style="925" customWidth="1"/>
    <col min="16103" max="16105" width="5.7109375" style="925" customWidth="1"/>
    <col min="16106" max="16106" width="7" style="925" customWidth="1"/>
    <col min="16107" max="16107" width="5.7109375" style="925" customWidth="1"/>
    <col min="16108" max="16108" width="6.7109375" style="925" customWidth="1"/>
    <col min="16109" max="16109" width="5.7109375" style="925" customWidth="1"/>
    <col min="16110" max="16110" width="7.42578125" style="925" customWidth="1"/>
    <col min="16111" max="16111" width="5.7109375" style="925" customWidth="1"/>
    <col min="16112" max="16112" width="6.28515625" style="925" customWidth="1"/>
    <col min="16113" max="16113" width="5" style="925" customWidth="1"/>
    <col min="16114" max="16114" width="6.42578125" style="925" customWidth="1"/>
    <col min="16115" max="16115" width="5.140625" style="925" customWidth="1"/>
    <col min="16116" max="16116" width="7" style="925" customWidth="1"/>
    <col min="16117" max="16117" width="5.28515625" style="925" customWidth="1"/>
    <col min="16118" max="16118" width="7.85546875" style="925" customWidth="1"/>
    <col min="16119" max="16119" width="5.7109375" style="925" customWidth="1"/>
    <col min="16120" max="16120" width="1.28515625" style="925" customWidth="1"/>
    <col min="16121" max="16121" width="2.140625" style="925" customWidth="1"/>
    <col min="16122" max="16384" width="9.140625" style="925"/>
  </cols>
  <sheetData>
    <row r="1" spans="1:42">
      <c r="A1" s="1463"/>
      <c r="B1" s="1464"/>
      <c r="C1" s="1464"/>
      <c r="D1" s="1465"/>
      <c r="E1" s="1433" t="s">
        <v>537</v>
      </c>
      <c r="F1" s="1434"/>
      <c r="G1" s="1434"/>
      <c r="H1" s="1434"/>
      <c r="I1" s="1434"/>
      <c r="J1" s="1434"/>
      <c r="K1" s="1434"/>
      <c r="L1" s="1434"/>
      <c r="M1" s="1434"/>
      <c r="N1" s="1434"/>
      <c r="O1" s="1434"/>
      <c r="P1" s="1434"/>
      <c r="Q1" s="1434"/>
      <c r="R1" s="1434"/>
      <c r="S1" s="1434"/>
      <c r="T1" s="1434"/>
      <c r="U1" s="1434"/>
      <c r="V1" s="1434"/>
      <c r="W1" s="1434"/>
      <c r="X1" s="1434"/>
      <c r="Y1" s="1434"/>
      <c r="Z1" s="1434"/>
      <c r="AA1" s="1434"/>
      <c r="AB1" s="1434"/>
      <c r="AC1" s="1434"/>
      <c r="AD1" s="1434"/>
      <c r="AE1" s="1434"/>
      <c r="AF1" s="1435"/>
      <c r="AG1" s="1475" t="s">
        <v>691</v>
      </c>
      <c r="AH1" s="1476"/>
      <c r="AI1" s="1476"/>
      <c r="AJ1" s="1476"/>
      <c r="AK1" s="1476"/>
      <c r="AL1" s="1476"/>
      <c r="AM1" s="1477"/>
      <c r="AN1" s="924" t="s">
        <v>692</v>
      </c>
      <c r="AO1" s="924"/>
    </row>
    <row r="2" spans="1:42">
      <c r="A2" s="1466"/>
      <c r="B2" s="1467"/>
      <c r="C2" s="1467"/>
      <c r="D2" s="1468"/>
      <c r="E2" s="1472"/>
      <c r="F2" s="1473"/>
      <c r="G2" s="1473"/>
      <c r="H2" s="1473"/>
      <c r="I2" s="1473"/>
      <c r="J2" s="1473"/>
      <c r="K2" s="1473"/>
      <c r="L2" s="1473"/>
      <c r="M2" s="1473"/>
      <c r="N2" s="1473"/>
      <c r="O2" s="1473"/>
      <c r="P2" s="1473"/>
      <c r="Q2" s="1473"/>
      <c r="R2" s="1473"/>
      <c r="S2" s="1473"/>
      <c r="T2" s="1473"/>
      <c r="U2" s="1473"/>
      <c r="V2" s="1473"/>
      <c r="W2" s="1473"/>
      <c r="X2" s="1473"/>
      <c r="Y2" s="1473"/>
      <c r="Z2" s="1473"/>
      <c r="AA2" s="1473"/>
      <c r="AB2" s="1473"/>
      <c r="AC2" s="1473"/>
      <c r="AD2" s="1473"/>
      <c r="AE2" s="1473"/>
      <c r="AF2" s="1474"/>
      <c r="AG2" s="1478"/>
      <c r="AH2" s="1479"/>
      <c r="AI2" s="1479"/>
      <c r="AJ2" s="1479"/>
      <c r="AK2" s="1479"/>
      <c r="AL2" s="1479"/>
      <c r="AM2" s="1480"/>
    </row>
    <row r="3" spans="1:42">
      <c r="A3" s="1466"/>
      <c r="B3" s="1467"/>
      <c r="C3" s="1467"/>
      <c r="D3" s="1468"/>
      <c r="E3" s="1472"/>
      <c r="F3" s="1473"/>
      <c r="G3" s="1473"/>
      <c r="H3" s="1473"/>
      <c r="I3" s="1473"/>
      <c r="J3" s="1473"/>
      <c r="K3" s="1473"/>
      <c r="L3" s="1473"/>
      <c r="M3" s="1473"/>
      <c r="N3" s="1473"/>
      <c r="O3" s="1473"/>
      <c r="P3" s="1473"/>
      <c r="Q3" s="1473"/>
      <c r="R3" s="1473"/>
      <c r="S3" s="1473"/>
      <c r="T3" s="1473"/>
      <c r="U3" s="1473"/>
      <c r="V3" s="1473"/>
      <c r="W3" s="1473"/>
      <c r="X3" s="1473"/>
      <c r="Y3" s="1473"/>
      <c r="Z3" s="1473"/>
      <c r="AA3" s="1473"/>
      <c r="AB3" s="1473"/>
      <c r="AC3" s="1473"/>
      <c r="AD3" s="1473"/>
      <c r="AE3" s="1473"/>
      <c r="AF3" s="1474"/>
      <c r="AG3" s="1475" t="s">
        <v>693</v>
      </c>
      <c r="AH3" s="1476"/>
      <c r="AI3" s="1476"/>
      <c r="AJ3" s="1476"/>
      <c r="AK3" s="1476"/>
      <c r="AL3" s="1476"/>
      <c r="AM3" s="1477"/>
    </row>
    <row r="4" spans="1:42">
      <c r="A4" s="1469"/>
      <c r="B4" s="1470"/>
      <c r="C4" s="1470"/>
      <c r="D4" s="1471"/>
      <c r="E4" s="1436"/>
      <c r="F4" s="1437"/>
      <c r="G4" s="1437"/>
      <c r="H4" s="1437"/>
      <c r="I4" s="1437"/>
      <c r="J4" s="1437"/>
      <c r="K4" s="1437"/>
      <c r="L4" s="1437"/>
      <c r="M4" s="1437"/>
      <c r="N4" s="1437"/>
      <c r="O4" s="1437"/>
      <c r="P4" s="1437"/>
      <c r="Q4" s="1437"/>
      <c r="R4" s="1437"/>
      <c r="S4" s="1437"/>
      <c r="T4" s="1437"/>
      <c r="U4" s="1437"/>
      <c r="V4" s="1437"/>
      <c r="W4" s="1437"/>
      <c r="X4" s="1437"/>
      <c r="Y4" s="1437"/>
      <c r="Z4" s="1437"/>
      <c r="AA4" s="1437"/>
      <c r="AB4" s="1437"/>
      <c r="AC4" s="1437"/>
      <c r="AD4" s="1437"/>
      <c r="AE4" s="1437"/>
      <c r="AF4" s="1438"/>
      <c r="AG4" s="1478"/>
      <c r="AH4" s="1479"/>
      <c r="AI4" s="1479"/>
      <c r="AJ4" s="1479"/>
      <c r="AK4" s="1479"/>
      <c r="AL4" s="1479"/>
      <c r="AM4" s="1480"/>
    </row>
    <row r="5" spans="1:42" ht="18" customHeight="1">
      <c r="A5" s="1433" t="s">
        <v>539</v>
      </c>
      <c r="B5" s="1434"/>
      <c r="C5" s="1434"/>
      <c r="D5" s="1435"/>
      <c r="E5" s="1439" t="s">
        <v>694</v>
      </c>
      <c r="F5" s="1440"/>
      <c r="G5" s="1440"/>
      <c r="H5" s="1440"/>
      <c r="I5" s="1440"/>
      <c r="J5" s="1440"/>
      <c r="K5" s="1440"/>
      <c r="L5" s="1440"/>
      <c r="M5" s="1440"/>
      <c r="N5" s="1440"/>
      <c r="O5" s="1440"/>
      <c r="P5" s="1440"/>
      <c r="Q5" s="1440"/>
      <c r="R5" s="1440"/>
      <c r="S5" s="1440"/>
      <c r="T5" s="1440"/>
      <c r="U5" s="1440"/>
      <c r="V5" s="1440"/>
      <c r="W5" s="1440"/>
      <c r="X5" s="1440"/>
      <c r="Y5" s="1440"/>
      <c r="Z5" s="1440"/>
      <c r="AA5" s="1440"/>
      <c r="AB5" s="1440"/>
      <c r="AC5" s="1440"/>
      <c r="AD5" s="1440"/>
      <c r="AE5" s="1440"/>
      <c r="AF5" s="1441"/>
      <c r="AG5" s="1445" t="s">
        <v>695</v>
      </c>
      <c r="AH5" s="1446"/>
      <c r="AI5" s="1446"/>
      <c r="AJ5" s="1446"/>
      <c r="AK5" s="1446"/>
      <c r="AL5" s="1446"/>
      <c r="AM5" s="1447"/>
    </row>
    <row r="6" spans="1:42" ht="18" customHeight="1">
      <c r="A6" s="1436"/>
      <c r="B6" s="1437"/>
      <c r="C6" s="1437"/>
      <c r="D6" s="1438"/>
      <c r="E6" s="1442"/>
      <c r="F6" s="1443"/>
      <c r="G6" s="1443"/>
      <c r="H6" s="1443"/>
      <c r="I6" s="1443"/>
      <c r="J6" s="1443"/>
      <c r="K6" s="1443"/>
      <c r="L6" s="1443"/>
      <c r="M6" s="1443"/>
      <c r="N6" s="1443"/>
      <c r="O6" s="1443"/>
      <c r="P6" s="1443"/>
      <c r="Q6" s="1443"/>
      <c r="R6" s="1443"/>
      <c r="S6" s="1443"/>
      <c r="T6" s="1443"/>
      <c r="U6" s="1443"/>
      <c r="V6" s="1443"/>
      <c r="W6" s="1443"/>
      <c r="X6" s="1443"/>
      <c r="Y6" s="1443"/>
      <c r="Z6" s="1443"/>
      <c r="AA6" s="1443"/>
      <c r="AB6" s="1443"/>
      <c r="AC6" s="1443"/>
      <c r="AD6" s="1443"/>
      <c r="AE6" s="1443"/>
      <c r="AF6" s="1444"/>
      <c r="AG6" s="1448"/>
      <c r="AH6" s="1449"/>
      <c r="AI6" s="1449"/>
      <c r="AJ6" s="1449"/>
      <c r="AK6" s="1449"/>
      <c r="AL6" s="1449"/>
      <c r="AM6" s="1450"/>
    </row>
    <row r="7" spans="1:42" ht="12" customHeight="1">
      <c r="A7" s="926"/>
      <c r="B7" s="927"/>
      <c r="C7" s="928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P7" s="927"/>
      <c r="Q7" s="927"/>
      <c r="R7" s="927"/>
      <c r="S7" s="927"/>
      <c r="T7" s="927"/>
      <c r="U7" s="927"/>
      <c r="V7" s="927"/>
      <c r="W7" s="927"/>
      <c r="X7" s="927"/>
      <c r="Y7" s="927"/>
      <c r="Z7" s="927"/>
      <c r="AA7" s="927"/>
      <c r="AB7" s="927"/>
      <c r="AC7" s="927"/>
      <c r="AD7" s="927"/>
      <c r="AE7" s="927"/>
      <c r="AF7" s="927"/>
      <c r="AG7" s="927"/>
      <c r="AH7" s="927"/>
      <c r="AI7" s="927"/>
      <c r="AJ7" s="927"/>
      <c r="AK7" s="927"/>
      <c r="AL7" s="927"/>
      <c r="AM7" s="929"/>
    </row>
    <row r="8" spans="1:42" ht="24" customHeight="1">
      <c r="A8" s="930" t="s">
        <v>543</v>
      </c>
      <c r="B8" s="931"/>
      <c r="C8" s="932"/>
      <c r="D8" s="931"/>
      <c r="E8" s="931"/>
      <c r="F8" s="931"/>
      <c r="G8" s="931"/>
      <c r="H8" s="931" t="s">
        <v>3</v>
      </c>
      <c r="I8" s="933" t="s">
        <v>228</v>
      </c>
      <c r="J8" s="931"/>
      <c r="K8" s="931"/>
      <c r="L8" s="931"/>
      <c r="M8" s="931"/>
      <c r="N8" s="931"/>
      <c r="O8" s="931"/>
      <c r="P8" s="931"/>
      <c r="Q8" s="931"/>
      <c r="R8" s="931"/>
      <c r="S8" s="931"/>
      <c r="T8" s="931"/>
      <c r="U8" s="931"/>
      <c r="V8" s="931" t="s">
        <v>696</v>
      </c>
      <c r="W8" s="931"/>
      <c r="X8" s="931"/>
      <c r="Y8" s="934"/>
      <c r="Z8" s="931" t="s">
        <v>3</v>
      </c>
      <c r="AA8" s="935" t="s">
        <v>697</v>
      </c>
      <c r="AB8" s="927"/>
      <c r="AC8" s="927"/>
      <c r="AD8" s="927"/>
      <c r="AE8" s="927"/>
      <c r="AF8" s="927"/>
      <c r="AG8" s="927"/>
      <c r="AH8" s="927"/>
      <c r="AI8" s="927"/>
      <c r="AJ8" s="927"/>
      <c r="AK8" s="927"/>
      <c r="AL8" s="927"/>
      <c r="AM8" s="929"/>
      <c r="AO8" s="936" t="str">
        <f>I8</f>
        <v>WARTINI</v>
      </c>
      <c r="AP8" s="936"/>
    </row>
    <row r="9" spans="1:42" ht="24" customHeight="1">
      <c r="A9" s="930" t="s">
        <v>114</v>
      </c>
      <c r="B9" s="931"/>
      <c r="C9" s="932"/>
      <c r="D9" s="931"/>
      <c r="E9" s="931"/>
      <c r="F9" s="931"/>
      <c r="G9" s="931"/>
      <c r="H9" s="931" t="s">
        <v>3</v>
      </c>
      <c r="I9" s="933" t="s">
        <v>97</v>
      </c>
      <c r="J9" s="931"/>
      <c r="K9" s="931"/>
      <c r="L9" s="931"/>
      <c r="M9" s="931"/>
      <c r="N9" s="931"/>
      <c r="O9" s="931"/>
      <c r="P9" s="931"/>
      <c r="Q9" s="931"/>
      <c r="R9" s="931"/>
      <c r="S9" s="931"/>
      <c r="T9" s="931"/>
      <c r="U9" s="931"/>
      <c r="V9" s="931" t="s">
        <v>545</v>
      </c>
      <c r="W9" s="931"/>
      <c r="X9" s="931"/>
      <c r="Y9" s="934"/>
      <c r="Z9" s="931" t="s">
        <v>3</v>
      </c>
      <c r="AA9" s="932" t="s">
        <v>287</v>
      </c>
      <c r="AB9" s="927"/>
      <c r="AC9" s="927"/>
      <c r="AD9" s="927"/>
      <c r="AE9" s="927"/>
      <c r="AF9" s="927"/>
      <c r="AG9" s="927"/>
      <c r="AH9" s="927"/>
      <c r="AI9" s="927"/>
      <c r="AJ9" s="927"/>
      <c r="AK9" s="927"/>
      <c r="AL9" s="927"/>
      <c r="AM9" s="929"/>
      <c r="AO9" s="936" t="s">
        <v>698</v>
      </c>
      <c r="AP9" s="936"/>
    </row>
    <row r="10" spans="1:42" ht="12" customHeight="1">
      <c r="A10" s="926"/>
      <c r="B10" s="927"/>
      <c r="C10" s="928"/>
      <c r="D10" s="927"/>
      <c r="E10" s="927"/>
      <c r="F10" s="927"/>
      <c r="G10" s="927"/>
      <c r="H10" s="927"/>
      <c r="I10" s="927"/>
      <c r="J10" s="927"/>
      <c r="K10" s="927"/>
      <c r="L10" s="927"/>
      <c r="M10" s="927"/>
      <c r="N10" s="927"/>
      <c r="O10" s="927"/>
      <c r="P10" s="927"/>
      <c r="Q10" s="927"/>
      <c r="R10" s="927"/>
      <c r="S10" s="927"/>
      <c r="T10" s="927"/>
      <c r="U10" s="927"/>
      <c r="V10" s="927"/>
      <c r="W10" s="927"/>
      <c r="X10" s="927"/>
      <c r="Y10" s="927"/>
      <c r="Z10" s="927"/>
      <c r="AA10" s="927"/>
      <c r="AB10" s="927"/>
      <c r="AC10" s="927"/>
      <c r="AD10" s="927"/>
      <c r="AE10" s="927"/>
      <c r="AF10" s="927"/>
      <c r="AG10" s="927"/>
      <c r="AH10" s="927"/>
      <c r="AI10" s="927"/>
      <c r="AJ10" s="927"/>
      <c r="AK10" s="927"/>
      <c r="AL10" s="927"/>
      <c r="AM10" s="929"/>
    </row>
    <row r="11" spans="1:42" ht="24" customHeight="1">
      <c r="A11" s="1451" t="s">
        <v>549</v>
      </c>
      <c r="B11" s="1453" t="s">
        <v>550</v>
      </c>
      <c r="C11" s="1454"/>
      <c r="D11" s="1454"/>
      <c r="E11" s="1454"/>
      <c r="F11" s="1454"/>
      <c r="G11" s="1454"/>
      <c r="H11" s="1454"/>
      <c r="I11" s="1454"/>
      <c r="J11" s="1455"/>
      <c r="K11" s="1431" t="s">
        <v>699</v>
      </c>
      <c r="L11" s="1432"/>
      <c r="M11" s="1431" t="s">
        <v>700</v>
      </c>
      <c r="N11" s="1432"/>
      <c r="O11" s="1431" t="s">
        <v>701</v>
      </c>
      <c r="P11" s="1432"/>
      <c r="Q11" s="1431" t="s">
        <v>702</v>
      </c>
      <c r="R11" s="1432"/>
      <c r="S11" s="1431" t="s">
        <v>703</v>
      </c>
      <c r="T11" s="1432"/>
      <c r="U11" s="1431" t="s">
        <v>704</v>
      </c>
      <c r="V11" s="1432"/>
      <c r="W11" s="1431" t="s">
        <v>705</v>
      </c>
      <c r="X11" s="1432"/>
      <c r="Y11" s="1431" t="s">
        <v>706</v>
      </c>
      <c r="Z11" s="1432"/>
      <c r="AA11" s="1431" t="s">
        <v>707</v>
      </c>
      <c r="AB11" s="1432"/>
      <c r="AC11" s="1431" t="s">
        <v>708</v>
      </c>
      <c r="AD11" s="1432"/>
      <c r="AE11" s="1431" t="s">
        <v>709</v>
      </c>
      <c r="AF11" s="1432"/>
      <c r="AG11" s="1459" t="s">
        <v>710</v>
      </c>
      <c r="AH11" s="1460"/>
      <c r="AI11" s="1461" t="s">
        <v>711</v>
      </c>
      <c r="AJ11" s="1432"/>
      <c r="AK11" s="1462" t="s">
        <v>712</v>
      </c>
      <c r="AL11" s="1432"/>
      <c r="AM11" s="929"/>
    </row>
    <row r="12" spans="1:42" ht="24" customHeight="1">
      <c r="A12" s="1452"/>
      <c r="B12" s="1456"/>
      <c r="C12" s="1457"/>
      <c r="D12" s="1457"/>
      <c r="E12" s="1457"/>
      <c r="F12" s="1457"/>
      <c r="G12" s="1457"/>
      <c r="H12" s="1457"/>
      <c r="I12" s="1457"/>
      <c r="J12" s="1458"/>
      <c r="K12" s="937" t="s">
        <v>713</v>
      </c>
      <c r="L12" s="937" t="s">
        <v>714</v>
      </c>
      <c r="M12" s="937" t="s">
        <v>713</v>
      </c>
      <c r="N12" s="937" t="s">
        <v>714</v>
      </c>
      <c r="O12" s="937" t="s">
        <v>713</v>
      </c>
      <c r="P12" s="937" t="s">
        <v>714</v>
      </c>
      <c r="Q12" s="937" t="s">
        <v>713</v>
      </c>
      <c r="R12" s="937" t="s">
        <v>714</v>
      </c>
      <c r="S12" s="937" t="s">
        <v>713</v>
      </c>
      <c r="T12" s="937" t="s">
        <v>714</v>
      </c>
      <c r="U12" s="937" t="s">
        <v>713</v>
      </c>
      <c r="V12" s="938" t="s">
        <v>714</v>
      </c>
      <c r="W12" s="937" t="s">
        <v>713</v>
      </c>
      <c r="X12" s="937" t="s">
        <v>714</v>
      </c>
      <c r="Y12" s="937" t="s">
        <v>713</v>
      </c>
      <c r="Z12" s="937" t="s">
        <v>714</v>
      </c>
      <c r="AA12" s="937" t="s">
        <v>713</v>
      </c>
      <c r="AB12" s="937" t="s">
        <v>714</v>
      </c>
      <c r="AC12" s="937" t="s">
        <v>713</v>
      </c>
      <c r="AD12" s="937" t="s">
        <v>714</v>
      </c>
      <c r="AE12" s="937" t="s">
        <v>713</v>
      </c>
      <c r="AF12" s="937" t="s">
        <v>714</v>
      </c>
      <c r="AG12" s="937" t="s">
        <v>713</v>
      </c>
      <c r="AH12" s="939" t="s">
        <v>714</v>
      </c>
      <c r="AI12" s="940" t="s">
        <v>713</v>
      </c>
      <c r="AJ12" s="937" t="s">
        <v>714</v>
      </c>
      <c r="AK12" s="938" t="s">
        <v>713</v>
      </c>
      <c r="AL12" s="937" t="s">
        <v>714</v>
      </c>
      <c r="AM12" s="929"/>
    </row>
    <row r="13" spans="1:42" ht="27" customHeight="1">
      <c r="A13" s="941" t="s">
        <v>555</v>
      </c>
      <c r="B13" s="1427" t="s">
        <v>715</v>
      </c>
      <c r="C13" s="1428"/>
      <c r="D13" s="1428"/>
      <c r="E13" s="1428"/>
      <c r="F13" s="1428"/>
      <c r="G13" s="1428"/>
      <c r="H13" s="1428"/>
      <c r="I13" s="1428"/>
      <c r="J13" s="1429"/>
      <c r="K13" s="942">
        <v>6.2187112966018132</v>
      </c>
      <c r="L13" s="943">
        <v>9</v>
      </c>
      <c r="M13" s="942">
        <v>6.212793119666733</v>
      </c>
      <c r="N13" s="943">
        <v>9</v>
      </c>
      <c r="O13" s="942">
        <v>0</v>
      </c>
      <c r="P13" s="943">
        <v>0</v>
      </c>
      <c r="Q13" s="942">
        <v>0</v>
      </c>
      <c r="R13" s="943">
        <v>0</v>
      </c>
      <c r="S13" s="942">
        <v>6.9346167983826508</v>
      </c>
      <c r="T13" s="943">
        <v>8</v>
      </c>
      <c r="U13" s="942">
        <v>0</v>
      </c>
      <c r="V13" s="943">
        <v>0</v>
      </c>
      <c r="W13" s="942">
        <v>6.0260895345389853</v>
      </c>
      <c r="X13" s="943">
        <v>9</v>
      </c>
      <c r="Y13" s="942">
        <v>0</v>
      </c>
      <c r="Z13" s="943">
        <v>0</v>
      </c>
      <c r="AA13" s="942">
        <v>0</v>
      </c>
      <c r="AB13" s="943">
        <v>0</v>
      </c>
      <c r="AC13" s="942">
        <v>7.0000000000000009</v>
      </c>
      <c r="AD13" s="943">
        <v>8</v>
      </c>
      <c r="AE13" s="942">
        <v>7.0000000000000009</v>
      </c>
      <c r="AF13" s="943">
        <v>8</v>
      </c>
      <c r="AG13" s="942">
        <v>6</v>
      </c>
      <c r="AH13" s="943">
        <v>9</v>
      </c>
      <c r="AI13" s="944">
        <f>K13+M13+O13+Q13+S13+U13+W13+Y13+AA13+AC13+AE13+AG13</f>
        <v>45.392210749190184</v>
      </c>
      <c r="AJ13" s="945">
        <f>L13+N13+P13+R13+T13+V13+X13+Z13+AB13+AD13+AF13+AH13</f>
        <v>60</v>
      </c>
      <c r="AK13" s="945">
        <f>+AI13/7</f>
        <v>6.484601535598598</v>
      </c>
      <c r="AL13" s="946">
        <v>9</v>
      </c>
      <c r="AM13" s="947"/>
      <c r="AN13" s="948"/>
      <c r="AO13" s="925">
        <v>9</v>
      </c>
    </row>
    <row r="14" spans="1:42" ht="27" customHeight="1">
      <c r="A14" s="941" t="s">
        <v>560</v>
      </c>
      <c r="B14" s="1427" t="s">
        <v>716</v>
      </c>
      <c r="C14" s="1428"/>
      <c r="D14" s="1428"/>
      <c r="E14" s="1428"/>
      <c r="F14" s="1428"/>
      <c r="G14" s="1428"/>
      <c r="H14" s="1428"/>
      <c r="I14" s="1428"/>
      <c r="J14" s="1429"/>
      <c r="K14" s="942">
        <v>2006.6100999999994</v>
      </c>
      <c r="L14" s="942">
        <v>15</v>
      </c>
      <c r="M14" s="942">
        <v>1116.6680000000001</v>
      </c>
      <c r="N14" s="942">
        <v>15</v>
      </c>
      <c r="O14" s="942">
        <v>0</v>
      </c>
      <c r="P14" s="942">
        <v>0</v>
      </c>
      <c r="Q14" s="942">
        <v>0</v>
      </c>
      <c r="R14" s="942">
        <v>0</v>
      </c>
      <c r="S14" s="942">
        <v>202.54750000000007</v>
      </c>
      <c r="T14" s="942">
        <v>10</v>
      </c>
      <c r="U14" s="942">
        <v>0</v>
      </c>
      <c r="V14" s="942">
        <v>0</v>
      </c>
      <c r="W14" s="942">
        <v>63.394800000000011</v>
      </c>
      <c r="X14" s="942">
        <v>4</v>
      </c>
      <c r="Y14" s="942">
        <v>0</v>
      </c>
      <c r="Z14" s="942">
        <v>0</v>
      </c>
      <c r="AA14" s="942">
        <v>0</v>
      </c>
      <c r="AB14" s="942">
        <v>0</v>
      </c>
      <c r="AC14" s="942">
        <v>23.966099999999997</v>
      </c>
      <c r="AD14" s="942">
        <v>3</v>
      </c>
      <c r="AE14" s="942">
        <v>11.373899999999999</v>
      </c>
      <c r="AF14" s="942">
        <v>2</v>
      </c>
      <c r="AG14" s="942">
        <v>69.992399999999989</v>
      </c>
      <c r="AH14" s="942">
        <v>4</v>
      </c>
      <c r="AI14" s="949">
        <f>K14+M14+O14+Q14+S14+U14+W14+Y14+AA14+AC14+AE14+AG14</f>
        <v>3494.5527999999999</v>
      </c>
      <c r="AJ14" s="945">
        <f t="shared" ref="AJ14:AJ20" si="0">+L14+N14+P14+R14+T14+V14+X14+Z14+AB14+AD14+AF14+AH14</f>
        <v>53</v>
      </c>
      <c r="AK14" s="945">
        <f>+AI14/12</f>
        <v>291.21273333333335</v>
      </c>
      <c r="AL14" s="946">
        <v>14</v>
      </c>
      <c r="AM14" s="947"/>
      <c r="AN14" s="948"/>
      <c r="AO14" s="925">
        <v>14</v>
      </c>
    </row>
    <row r="15" spans="1:42" ht="27" customHeight="1">
      <c r="A15" s="941" t="s">
        <v>563</v>
      </c>
      <c r="B15" s="1427" t="s">
        <v>717</v>
      </c>
      <c r="C15" s="1428"/>
      <c r="D15" s="1428"/>
      <c r="E15" s="1428"/>
      <c r="F15" s="1428"/>
      <c r="G15" s="1428"/>
      <c r="H15" s="1428"/>
      <c r="I15" s="1428"/>
      <c r="J15" s="1429"/>
      <c r="K15" s="942">
        <v>31</v>
      </c>
      <c r="L15" s="942">
        <v>15</v>
      </c>
      <c r="M15" s="942">
        <v>24</v>
      </c>
      <c r="N15" s="942">
        <v>13</v>
      </c>
      <c r="O15" s="942">
        <v>0</v>
      </c>
      <c r="P15" s="942">
        <v>5</v>
      </c>
      <c r="Q15" s="942">
        <v>0</v>
      </c>
      <c r="R15" s="942">
        <v>5</v>
      </c>
      <c r="S15" s="942">
        <v>3</v>
      </c>
      <c r="T15" s="942">
        <v>5</v>
      </c>
      <c r="U15" s="942">
        <v>0</v>
      </c>
      <c r="V15" s="942">
        <v>5</v>
      </c>
      <c r="W15" s="942">
        <v>1</v>
      </c>
      <c r="X15" s="942">
        <v>5</v>
      </c>
      <c r="Y15" s="942">
        <v>0</v>
      </c>
      <c r="Z15" s="942">
        <v>5</v>
      </c>
      <c r="AA15" s="942">
        <v>0</v>
      </c>
      <c r="AB15" s="942">
        <v>5</v>
      </c>
      <c r="AC15" s="942">
        <v>1</v>
      </c>
      <c r="AD15" s="942">
        <v>5</v>
      </c>
      <c r="AE15" s="942">
        <v>1</v>
      </c>
      <c r="AF15" s="942">
        <v>5</v>
      </c>
      <c r="AG15" s="942">
        <v>4</v>
      </c>
      <c r="AH15" s="942">
        <v>6</v>
      </c>
      <c r="AI15" s="944">
        <f>K15+M15+O15+Q15+S15+U15+W15+Y15+AA15+AC15+AE15+AG15</f>
        <v>65</v>
      </c>
      <c r="AJ15" s="950">
        <f t="shared" si="0"/>
        <v>79</v>
      </c>
      <c r="AK15" s="945">
        <f>+AI15/12</f>
        <v>5.416666666666667</v>
      </c>
      <c r="AL15" s="946">
        <v>6</v>
      </c>
      <c r="AM15" s="947"/>
      <c r="AN15" s="948"/>
      <c r="AO15" s="925">
        <v>6</v>
      </c>
    </row>
    <row r="16" spans="1:42" ht="31.5" customHeight="1">
      <c r="A16" s="941" t="s">
        <v>567</v>
      </c>
      <c r="B16" s="1427" t="s">
        <v>718</v>
      </c>
      <c r="C16" s="1428"/>
      <c r="D16" s="1428"/>
      <c r="E16" s="1428"/>
      <c r="F16" s="1428"/>
      <c r="G16" s="1428"/>
      <c r="H16" s="1428"/>
      <c r="I16" s="1428"/>
      <c r="J16" s="1429"/>
      <c r="K16" s="950" t="s">
        <v>698</v>
      </c>
      <c r="L16" s="950">
        <v>9</v>
      </c>
      <c r="M16" s="950" t="s">
        <v>698</v>
      </c>
      <c r="N16" s="950">
        <v>9</v>
      </c>
      <c r="O16" s="950" t="s">
        <v>698</v>
      </c>
      <c r="P16" s="950">
        <v>8</v>
      </c>
      <c r="Q16" s="950" t="s">
        <v>698</v>
      </c>
      <c r="R16" s="950">
        <v>8</v>
      </c>
      <c r="S16" s="950" t="s">
        <v>698</v>
      </c>
      <c r="T16" s="950">
        <v>9</v>
      </c>
      <c r="U16" s="950" t="s">
        <v>698</v>
      </c>
      <c r="V16" s="950">
        <v>8</v>
      </c>
      <c r="W16" s="950" t="s">
        <v>698</v>
      </c>
      <c r="X16" s="950">
        <v>9</v>
      </c>
      <c r="Y16" s="950" t="s">
        <v>698</v>
      </c>
      <c r="Z16" s="950">
        <v>8</v>
      </c>
      <c r="AA16" s="950" t="s">
        <v>698</v>
      </c>
      <c r="AB16" s="950">
        <v>8</v>
      </c>
      <c r="AC16" s="950" t="s">
        <v>698</v>
      </c>
      <c r="AD16" s="950">
        <v>9</v>
      </c>
      <c r="AE16" s="950" t="s">
        <v>698</v>
      </c>
      <c r="AF16" s="950">
        <v>9</v>
      </c>
      <c r="AG16" s="950" t="s">
        <v>698</v>
      </c>
      <c r="AH16" s="950">
        <v>9</v>
      </c>
      <c r="AI16" s="951" t="s">
        <v>698</v>
      </c>
      <c r="AJ16" s="950">
        <f t="shared" si="0"/>
        <v>103</v>
      </c>
      <c r="AK16" s="950" t="s">
        <v>698</v>
      </c>
      <c r="AL16" s="946">
        <f t="shared" ref="AL16:AL20" si="1">+AJ16/12</f>
        <v>8.5833333333333339</v>
      </c>
      <c r="AM16" s="947"/>
      <c r="AN16" s="948"/>
      <c r="AO16" s="925">
        <v>9</v>
      </c>
    </row>
    <row r="17" spans="1:41" ht="27" customHeight="1">
      <c r="A17" s="941" t="s">
        <v>571</v>
      </c>
      <c r="B17" s="1427" t="s">
        <v>719</v>
      </c>
      <c r="C17" s="1428"/>
      <c r="D17" s="1428"/>
      <c r="E17" s="1428"/>
      <c r="F17" s="1428"/>
      <c r="G17" s="1428"/>
      <c r="H17" s="1428"/>
      <c r="I17" s="1428"/>
      <c r="J17" s="1429"/>
      <c r="K17" s="950" t="s">
        <v>698</v>
      </c>
      <c r="L17" s="950">
        <v>9</v>
      </c>
      <c r="M17" s="950" t="s">
        <v>698</v>
      </c>
      <c r="N17" s="950">
        <v>9</v>
      </c>
      <c r="O17" s="950" t="s">
        <v>112</v>
      </c>
      <c r="P17" s="950">
        <v>8</v>
      </c>
      <c r="Q17" s="950" t="s">
        <v>112</v>
      </c>
      <c r="R17" s="950">
        <v>8</v>
      </c>
      <c r="S17" s="950" t="s">
        <v>698</v>
      </c>
      <c r="T17" s="950">
        <v>9</v>
      </c>
      <c r="U17" s="950" t="s">
        <v>112</v>
      </c>
      <c r="V17" s="950">
        <v>8</v>
      </c>
      <c r="W17" s="950" t="s">
        <v>698</v>
      </c>
      <c r="X17" s="950">
        <v>9</v>
      </c>
      <c r="Y17" s="950" t="s">
        <v>112</v>
      </c>
      <c r="Z17" s="950">
        <v>8</v>
      </c>
      <c r="AA17" s="950" t="s">
        <v>112</v>
      </c>
      <c r="AB17" s="950">
        <v>8</v>
      </c>
      <c r="AC17" s="950" t="s">
        <v>698</v>
      </c>
      <c r="AD17" s="950">
        <v>9</v>
      </c>
      <c r="AE17" s="950" t="s">
        <v>698</v>
      </c>
      <c r="AF17" s="950">
        <v>9</v>
      </c>
      <c r="AG17" s="950" t="s">
        <v>698</v>
      </c>
      <c r="AH17" s="950">
        <v>9</v>
      </c>
      <c r="AI17" s="951" t="s">
        <v>698</v>
      </c>
      <c r="AJ17" s="950">
        <f t="shared" si="0"/>
        <v>103</v>
      </c>
      <c r="AK17" s="950" t="s">
        <v>698</v>
      </c>
      <c r="AL17" s="946">
        <f t="shared" si="1"/>
        <v>8.5833333333333339</v>
      </c>
      <c r="AM17" s="947"/>
      <c r="AN17" s="948"/>
      <c r="AO17" s="925">
        <v>9</v>
      </c>
    </row>
    <row r="18" spans="1:41" ht="33" customHeight="1">
      <c r="A18" s="941" t="s">
        <v>575</v>
      </c>
      <c r="B18" s="1427" t="s">
        <v>720</v>
      </c>
      <c r="C18" s="1428"/>
      <c r="D18" s="1428"/>
      <c r="E18" s="1428"/>
      <c r="F18" s="1428"/>
      <c r="G18" s="1428"/>
      <c r="H18" s="1428"/>
      <c r="I18" s="1428"/>
      <c r="J18" s="1429"/>
      <c r="K18" s="950" t="s">
        <v>698</v>
      </c>
      <c r="L18" s="950">
        <v>9</v>
      </c>
      <c r="M18" s="950" t="s">
        <v>698</v>
      </c>
      <c r="N18" s="950">
        <v>9</v>
      </c>
      <c r="O18" s="950" t="s">
        <v>112</v>
      </c>
      <c r="P18" s="950">
        <v>7</v>
      </c>
      <c r="Q18" s="950" t="s">
        <v>112</v>
      </c>
      <c r="R18" s="950">
        <v>7</v>
      </c>
      <c r="S18" s="950" t="s">
        <v>698</v>
      </c>
      <c r="T18" s="950">
        <v>9</v>
      </c>
      <c r="U18" s="950" t="s">
        <v>112</v>
      </c>
      <c r="V18" s="950">
        <v>7</v>
      </c>
      <c r="W18" s="950" t="s">
        <v>698</v>
      </c>
      <c r="X18" s="950">
        <v>9</v>
      </c>
      <c r="Y18" s="950" t="s">
        <v>112</v>
      </c>
      <c r="Z18" s="950">
        <v>7</v>
      </c>
      <c r="AA18" s="950" t="s">
        <v>112</v>
      </c>
      <c r="AB18" s="950">
        <v>7</v>
      </c>
      <c r="AC18" s="950" t="s">
        <v>698</v>
      </c>
      <c r="AD18" s="950">
        <v>9</v>
      </c>
      <c r="AE18" s="950" t="s">
        <v>698</v>
      </c>
      <c r="AF18" s="950">
        <v>9</v>
      </c>
      <c r="AG18" s="950" t="s">
        <v>698</v>
      </c>
      <c r="AH18" s="950">
        <v>9</v>
      </c>
      <c r="AI18" s="951" t="s">
        <v>698</v>
      </c>
      <c r="AJ18" s="950">
        <f t="shared" si="0"/>
        <v>98</v>
      </c>
      <c r="AK18" s="950" t="s">
        <v>698</v>
      </c>
      <c r="AL18" s="946">
        <f t="shared" si="1"/>
        <v>8.1666666666666661</v>
      </c>
      <c r="AM18" s="947"/>
      <c r="AN18" s="948"/>
      <c r="AO18" s="925">
        <v>8</v>
      </c>
    </row>
    <row r="19" spans="1:41" ht="27" customHeight="1">
      <c r="A19" s="941" t="s">
        <v>578</v>
      </c>
      <c r="B19" s="1427" t="s">
        <v>721</v>
      </c>
      <c r="C19" s="1428"/>
      <c r="D19" s="1428"/>
      <c r="E19" s="1428"/>
      <c r="F19" s="1428"/>
      <c r="G19" s="1428"/>
      <c r="H19" s="1428"/>
      <c r="I19" s="1428"/>
      <c r="J19" s="1429"/>
      <c r="K19" s="950" t="s">
        <v>112</v>
      </c>
      <c r="L19" s="950">
        <v>7</v>
      </c>
      <c r="M19" s="950" t="s">
        <v>112</v>
      </c>
      <c r="N19" s="950">
        <v>7</v>
      </c>
      <c r="O19" s="950" t="s">
        <v>112</v>
      </c>
      <c r="P19" s="950">
        <v>7</v>
      </c>
      <c r="Q19" s="950" t="s">
        <v>112</v>
      </c>
      <c r="R19" s="950">
        <v>7</v>
      </c>
      <c r="S19" s="950" t="s">
        <v>112</v>
      </c>
      <c r="T19" s="950">
        <v>7</v>
      </c>
      <c r="U19" s="950" t="s">
        <v>112</v>
      </c>
      <c r="V19" s="950">
        <v>7</v>
      </c>
      <c r="W19" s="950" t="s">
        <v>112</v>
      </c>
      <c r="X19" s="950">
        <v>7</v>
      </c>
      <c r="Y19" s="950" t="s">
        <v>112</v>
      </c>
      <c r="Z19" s="950">
        <v>7</v>
      </c>
      <c r="AA19" s="950" t="s">
        <v>112</v>
      </c>
      <c r="AB19" s="950">
        <v>7</v>
      </c>
      <c r="AC19" s="950" t="s">
        <v>112</v>
      </c>
      <c r="AD19" s="950">
        <v>7</v>
      </c>
      <c r="AE19" s="950" t="s">
        <v>112</v>
      </c>
      <c r="AF19" s="950">
        <v>7</v>
      </c>
      <c r="AG19" s="950" t="s">
        <v>112</v>
      </c>
      <c r="AH19" s="950">
        <v>7</v>
      </c>
      <c r="AI19" s="950" t="s">
        <v>112</v>
      </c>
      <c r="AJ19" s="950">
        <f t="shared" si="0"/>
        <v>84</v>
      </c>
      <c r="AK19" s="950" t="s">
        <v>112</v>
      </c>
      <c r="AL19" s="946">
        <f t="shared" si="1"/>
        <v>7</v>
      </c>
      <c r="AM19" s="947"/>
      <c r="AN19" s="948"/>
      <c r="AO19" s="925">
        <v>7</v>
      </c>
    </row>
    <row r="20" spans="1:41" ht="32.25" customHeight="1">
      <c r="A20" s="941" t="s">
        <v>581</v>
      </c>
      <c r="B20" s="1427" t="s">
        <v>722</v>
      </c>
      <c r="C20" s="1428"/>
      <c r="D20" s="1428"/>
      <c r="E20" s="1428"/>
      <c r="F20" s="1428"/>
      <c r="G20" s="1428"/>
      <c r="H20" s="1428"/>
      <c r="I20" s="1428"/>
      <c r="J20" s="1429"/>
      <c r="K20" s="950" t="s">
        <v>698</v>
      </c>
      <c r="L20" s="950">
        <v>9</v>
      </c>
      <c r="M20" s="950" t="s">
        <v>698</v>
      </c>
      <c r="N20" s="950">
        <v>9</v>
      </c>
      <c r="O20" s="950" t="s">
        <v>112</v>
      </c>
      <c r="P20" s="950">
        <v>7</v>
      </c>
      <c r="Q20" s="950" t="s">
        <v>112</v>
      </c>
      <c r="R20" s="950">
        <v>7</v>
      </c>
      <c r="S20" s="950" t="s">
        <v>698</v>
      </c>
      <c r="T20" s="950">
        <v>9</v>
      </c>
      <c r="U20" s="950" t="s">
        <v>112</v>
      </c>
      <c r="V20" s="950">
        <v>7</v>
      </c>
      <c r="W20" s="950" t="s">
        <v>698</v>
      </c>
      <c r="X20" s="950">
        <v>9</v>
      </c>
      <c r="Y20" s="950" t="s">
        <v>112</v>
      </c>
      <c r="Z20" s="950">
        <v>7</v>
      </c>
      <c r="AA20" s="950" t="s">
        <v>112</v>
      </c>
      <c r="AB20" s="950">
        <v>7</v>
      </c>
      <c r="AC20" s="950" t="s">
        <v>698</v>
      </c>
      <c r="AD20" s="950">
        <v>9</v>
      </c>
      <c r="AE20" s="950" t="s">
        <v>698</v>
      </c>
      <c r="AF20" s="950">
        <v>9</v>
      </c>
      <c r="AG20" s="950" t="s">
        <v>698</v>
      </c>
      <c r="AH20" s="950">
        <v>9</v>
      </c>
      <c r="AI20" s="951" t="s">
        <v>698</v>
      </c>
      <c r="AJ20" s="950">
        <f t="shared" si="0"/>
        <v>98</v>
      </c>
      <c r="AK20" s="950" t="s">
        <v>698</v>
      </c>
      <c r="AL20" s="946">
        <f t="shared" si="1"/>
        <v>8.1666666666666661</v>
      </c>
      <c r="AM20" s="947"/>
      <c r="AN20" s="948"/>
      <c r="AO20" s="925">
        <v>8</v>
      </c>
    </row>
    <row r="21" spans="1:41" ht="27" customHeight="1">
      <c r="A21" s="952"/>
      <c r="B21" s="1430" t="s">
        <v>68</v>
      </c>
      <c r="C21" s="1430"/>
      <c r="D21" s="1430"/>
      <c r="E21" s="1430"/>
      <c r="F21" s="1430"/>
      <c r="G21" s="1430"/>
      <c r="H21" s="1430"/>
      <c r="I21" s="1430"/>
      <c r="J21" s="1430"/>
      <c r="K21" s="1419">
        <f>SUM(L13:L20)</f>
        <v>82</v>
      </c>
      <c r="L21" s="1426"/>
      <c r="M21" s="1425">
        <f>SUM(N13:N20)</f>
        <v>80</v>
      </c>
      <c r="N21" s="1426"/>
      <c r="O21" s="1425">
        <f>SUM(P13:P20)</f>
        <v>42</v>
      </c>
      <c r="P21" s="1426"/>
      <c r="Q21" s="1425">
        <f>SUM(R13:R20)</f>
        <v>42</v>
      </c>
      <c r="R21" s="1426"/>
      <c r="S21" s="1425">
        <f>SUM(T13:T20)</f>
        <v>66</v>
      </c>
      <c r="T21" s="1426"/>
      <c r="U21" s="1425">
        <f>SUM(V13:V20)</f>
        <v>42</v>
      </c>
      <c r="V21" s="1426"/>
      <c r="W21" s="1425">
        <f>SUM(X13:X20)</f>
        <v>61</v>
      </c>
      <c r="X21" s="1426"/>
      <c r="Y21" s="1425">
        <f>SUM(Z13:Z20)</f>
        <v>42</v>
      </c>
      <c r="Z21" s="1426"/>
      <c r="AA21" s="1425">
        <f>SUM(AB13:AB20)</f>
        <v>42</v>
      </c>
      <c r="AB21" s="1426"/>
      <c r="AC21" s="1425">
        <f>SUM(AD13:AD20)</f>
        <v>59</v>
      </c>
      <c r="AD21" s="1426"/>
      <c r="AE21" s="1425">
        <f>SUM(AF13:AF20)</f>
        <v>58</v>
      </c>
      <c r="AF21" s="1426"/>
      <c r="AG21" s="1425">
        <f>SUM(AH13:AH20)</f>
        <v>62</v>
      </c>
      <c r="AH21" s="1426"/>
      <c r="AI21" s="1418">
        <f>SUM(K21:AG21)</f>
        <v>678</v>
      </c>
      <c r="AJ21" s="1419"/>
      <c r="AK21" s="1420">
        <f>SUM(AL13:AL20)</f>
        <v>69.5</v>
      </c>
      <c r="AL21" s="1420"/>
      <c r="AM21" s="947"/>
      <c r="AN21" s="948"/>
      <c r="AO21" s="925">
        <f>SUM(AO13:AO20)</f>
        <v>70</v>
      </c>
    </row>
    <row r="22" spans="1:41" ht="21.75" customHeight="1">
      <c r="A22" s="953"/>
      <c r="B22" s="927"/>
      <c r="C22" s="928"/>
      <c r="D22" s="927"/>
      <c r="E22" s="927"/>
      <c r="F22" s="927"/>
      <c r="G22" s="927"/>
      <c r="H22" s="927"/>
      <c r="I22" s="927"/>
      <c r="J22" s="927"/>
      <c r="K22" s="954"/>
      <c r="L22" s="955"/>
      <c r="M22" s="955"/>
      <c r="N22" s="955"/>
      <c r="O22" s="955"/>
      <c r="P22" s="955"/>
      <c r="Q22" s="955"/>
      <c r="R22" s="955"/>
      <c r="S22" s="955"/>
      <c r="T22" s="955"/>
      <c r="U22" s="955"/>
      <c r="V22" s="955"/>
      <c r="W22" s="955"/>
      <c r="X22" s="955"/>
      <c r="Y22" s="955"/>
      <c r="Z22" s="955"/>
      <c r="AA22" s="955"/>
      <c r="AB22" s="955"/>
      <c r="AC22" s="954"/>
      <c r="AD22" s="955"/>
      <c r="AE22" s="954"/>
      <c r="AF22" s="955"/>
      <c r="AG22" s="954"/>
      <c r="AH22" s="955"/>
      <c r="AI22" s="955"/>
      <c r="AJ22" s="955"/>
      <c r="AK22" s="956"/>
      <c r="AL22" s="956"/>
      <c r="AM22" s="947"/>
      <c r="AN22" s="948"/>
    </row>
    <row r="23" spans="1:41" ht="27.75" customHeight="1">
      <c r="A23" s="953"/>
      <c r="B23" s="927"/>
      <c r="C23" s="928"/>
      <c r="D23" s="927"/>
      <c r="E23" s="927"/>
      <c r="F23" s="927"/>
      <c r="G23" s="927"/>
      <c r="H23" s="927"/>
      <c r="I23" s="927"/>
      <c r="J23" s="927"/>
      <c r="K23" s="927"/>
      <c r="L23" s="927"/>
      <c r="M23" s="927"/>
      <c r="N23" s="927"/>
      <c r="O23" s="927"/>
      <c r="P23" s="927"/>
      <c r="Q23" s="927"/>
      <c r="R23" s="927"/>
      <c r="S23" s="927"/>
      <c r="T23" s="927"/>
      <c r="U23" s="927"/>
      <c r="V23" s="927"/>
      <c r="W23" s="927"/>
      <c r="X23" s="927"/>
      <c r="Y23" s="927"/>
      <c r="Z23" s="927"/>
      <c r="AA23" s="927"/>
      <c r="AB23" s="927"/>
      <c r="AC23" s="927"/>
      <c r="AD23" s="927"/>
      <c r="AE23" s="927"/>
      <c r="AF23" s="927"/>
      <c r="AG23" s="927"/>
      <c r="AH23" s="927"/>
      <c r="AI23" s="927"/>
      <c r="AJ23" s="927"/>
      <c r="AK23" s="927"/>
      <c r="AL23" s="927"/>
      <c r="AM23" s="929"/>
    </row>
    <row r="24" spans="1:41" ht="17.25" customHeight="1">
      <c r="A24" s="953"/>
      <c r="B24" s="927"/>
      <c r="C24" s="928"/>
      <c r="D24" s="927"/>
      <c r="E24" s="927"/>
      <c r="F24" s="927"/>
      <c r="G24" s="927"/>
      <c r="H24" s="927"/>
      <c r="I24" s="927"/>
      <c r="J24" s="927"/>
      <c r="K24" s="927"/>
      <c r="L24" s="927"/>
      <c r="M24" s="927"/>
      <c r="N24" s="927"/>
      <c r="O24" s="927"/>
      <c r="P24" s="927"/>
      <c r="Q24" s="927"/>
      <c r="R24" s="927" t="s">
        <v>11</v>
      </c>
      <c r="S24" s="927"/>
      <c r="T24" s="927"/>
      <c r="U24" s="927"/>
      <c r="V24" s="927"/>
      <c r="W24" s="927"/>
      <c r="X24" s="927"/>
      <c r="Y24" s="927"/>
      <c r="Z24" s="927"/>
      <c r="AA24" s="927"/>
      <c r="AB24" s="927"/>
      <c r="AC24" s="927" t="s">
        <v>11</v>
      </c>
      <c r="AD24" s="927"/>
      <c r="AE24" s="927"/>
      <c r="AF24" s="927"/>
      <c r="AG24" s="927"/>
      <c r="AH24" s="927"/>
      <c r="AI24" s="927"/>
      <c r="AJ24" s="927"/>
      <c r="AK24" s="927"/>
      <c r="AL24" s="927"/>
      <c r="AM24" s="929"/>
    </row>
    <row r="25" spans="1:41" ht="14.25" customHeight="1">
      <c r="A25" s="953"/>
      <c r="B25" s="927"/>
      <c r="C25" s="928"/>
      <c r="D25" s="927"/>
      <c r="E25" s="927"/>
      <c r="F25" s="927"/>
      <c r="G25" s="927"/>
      <c r="H25" s="927"/>
      <c r="I25" s="927"/>
      <c r="J25" s="927"/>
      <c r="K25" s="927"/>
      <c r="L25" s="927"/>
      <c r="M25" s="927"/>
      <c r="N25" s="927"/>
      <c r="O25" s="927"/>
      <c r="P25" s="927"/>
      <c r="Q25" s="927"/>
      <c r="R25" s="927"/>
      <c r="S25" s="927"/>
      <c r="T25" s="927"/>
      <c r="U25" s="927"/>
      <c r="V25" s="927"/>
      <c r="W25" s="927"/>
      <c r="X25" s="927"/>
      <c r="Y25" s="927"/>
      <c r="Z25" s="927"/>
      <c r="AA25" s="927"/>
      <c r="AB25" s="927"/>
      <c r="AC25" s="927"/>
      <c r="AD25" s="927"/>
      <c r="AE25" s="927"/>
      <c r="AF25" s="927"/>
      <c r="AG25" s="927"/>
      <c r="AH25" s="927"/>
      <c r="AI25" s="927"/>
      <c r="AJ25" s="927"/>
      <c r="AK25" s="927"/>
      <c r="AL25" s="927"/>
      <c r="AM25" s="929"/>
    </row>
    <row r="26" spans="1:41" ht="21.75" customHeight="1">
      <c r="A26" s="953"/>
      <c r="B26" s="927"/>
      <c r="C26" s="928"/>
      <c r="D26" s="927"/>
      <c r="E26" s="927"/>
      <c r="F26" s="927"/>
      <c r="G26" s="927"/>
      <c r="H26" s="927"/>
      <c r="I26" s="927"/>
      <c r="J26" s="927"/>
      <c r="K26" s="927"/>
      <c r="L26" s="927"/>
      <c r="M26" s="927"/>
      <c r="N26" s="927"/>
      <c r="O26" s="1421"/>
      <c r="P26" s="1421"/>
      <c r="Q26" s="927"/>
      <c r="R26" s="927"/>
      <c r="S26" s="927"/>
      <c r="T26" s="927"/>
      <c r="U26" s="927"/>
      <c r="V26" s="927"/>
      <c r="W26" s="927"/>
      <c r="X26" s="927"/>
      <c r="Y26" s="927"/>
      <c r="Z26" s="927"/>
      <c r="AA26" s="927"/>
      <c r="AB26" s="927"/>
      <c r="AC26" s="927"/>
      <c r="AD26" s="927"/>
      <c r="AE26" s="927"/>
      <c r="AF26" s="927"/>
      <c r="AG26" s="927"/>
      <c r="AH26" s="927"/>
      <c r="AI26" s="927"/>
      <c r="AJ26" s="927"/>
      <c r="AK26" s="927"/>
      <c r="AL26" s="927"/>
      <c r="AM26" s="929"/>
    </row>
    <row r="27" spans="1:41" ht="21.75" customHeight="1">
      <c r="A27" s="957"/>
      <c r="B27" s="958"/>
      <c r="C27" s="934"/>
      <c r="D27" s="927"/>
      <c r="E27" s="959"/>
      <c r="F27" s="927"/>
      <c r="G27" s="927"/>
      <c r="H27" s="927"/>
      <c r="I27" s="927"/>
      <c r="J27" s="927"/>
      <c r="K27" s="927"/>
      <c r="L27" s="927"/>
      <c r="M27" s="927"/>
      <c r="N27" s="927"/>
      <c r="O27" s="927"/>
      <c r="P27" s="958"/>
      <c r="Q27" s="958"/>
      <c r="R27" s="958"/>
      <c r="S27" s="958"/>
      <c r="T27" s="958"/>
      <c r="U27" s="958"/>
      <c r="V27" s="958"/>
      <c r="W27" s="927"/>
      <c r="X27" s="927"/>
      <c r="Y27" s="934"/>
      <c r="Z27" s="927"/>
      <c r="AA27" s="927"/>
      <c r="AB27" s="934"/>
      <c r="AC27" s="934"/>
      <c r="AD27" s="960"/>
      <c r="AE27" s="1422" t="s">
        <v>634</v>
      </c>
      <c r="AF27" s="1423"/>
      <c r="AG27" s="1423"/>
      <c r="AH27" s="1423"/>
      <c r="AI27" s="1423"/>
      <c r="AJ27" s="1423"/>
      <c r="AK27" s="1423"/>
      <c r="AL27" s="1424"/>
      <c r="AM27" s="929"/>
    </row>
    <row r="28" spans="1:41" ht="21.75" customHeight="1">
      <c r="A28" s="957"/>
      <c r="B28" s="958"/>
      <c r="C28" s="934"/>
      <c r="D28" s="927"/>
      <c r="E28" s="959"/>
      <c r="F28" s="927"/>
      <c r="G28" s="927"/>
      <c r="H28" s="927"/>
      <c r="I28" s="927"/>
      <c r="J28" s="927"/>
      <c r="K28" s="927"/>
      <c r="L28" s="927"/>
      <c r="M28" s="927"/>
      <c r="N28" s="927"/>
      <c r="O28" s="927"/>
      <c r="P28" s="927"/>
      <c r="Q28" s="927"/>
      <c r="R28" s="958"/>
      <c r="S28" s="927"/>
      <c r="T28" s="927"/>
      <c r="U28" s="927"/>
      <c r="V28" s="927"/>
      <c r="W28" s="927"/>
      <c r="X28" s="927"/>
      <c r="Y28" s="934"/>
      <c r="Z28" s="927"/>
      <c r="AA28" s="927"/>
      <c r="AB28" s="934"/>
      <c r="AC28" s="934"/>
      <c r="AD28" s="960"/>
      <c r="AE28" s="953"/>
      <c r="AF28" s="927"/>
      <c r="AG28" s="934"/>
      <c r="AH28" s="927"/>
      <c r="AI28" s="927"/>
      <c r="AJ28" s="927"/>
      <c r="AK28" s="927"/>
      <c r="AL28" s="929"/>
      <c r="AM28" s="929"/>
    </row>
    <row r="29" spans="1:41" ht="21.75" customHeight="1">
      <c r="A29" s="957"/>
      <c r="B29" s="958"/>
      <c r="C29" s="934"/>
      <c r="D29" s="927"/>
      <c r="E29" s="959"/>
      <c r="F29" s="927"/>
      <c r="G29" s="927"/>
      <c r="H29" s="927"/>
      <c r="I29" s="927"/>
      <c r="J29" s="927"/>
      <c r="K29" s="927"/>
      <c r="L29" s="927"/>
      <c r="M29" s="927"/>
      <c r="N29" s="927"/>
      <c r="O29" s="927"/>
      <c r="P29" s="934"/>
      <c r="Q29" s="934"/>
      <c r="R29" s="934"/>
      <c r="S29" s="934"/>
      <c r="T29" s="927"/>
      <c r="U29" s="927"/>
      <c r="V29" s="958"/>
      <c r="W29" s="927"/>
      <c r="X29" s="927"/>
      <c r="Y29" s="934"/>
      <c r="Z29" s="927"/>
      <c r="AA29" s="961"/>
      <c r="AB29" s="934"/>
      <c r="AC29" s="934"/>
      <c r="AD29" s="960"/>
      <c r="AE29" s="953"/>
      <c r="AF29" s="927"/>
      <c r="AG29" s="934"/>
      <c r="AH29" s="927"/>
      <c r="AI29" s="927"/>
      <c r="AJ29" s="927"/>
      <c r="AK29" s="961"/>
      <c r="AL29" s="929"/>
      <c r="AM29" s="929"/>
    </row>
    <row r="30" spans="1:41" ht="21.75" customHeight="1">
      <c r="A30" s="957"/>
      <c r="B30" s="958"/>
      <c r="C30" s="934"/>
      <c r="D30" s="927"/>
      <c r="E30" s="959"/>
      <c r="F30" s="927"/>
      <c r="G30" s="962"/>
      <c r="H30" s="927"/>
      <c r="I30" s="927"/>
      <c r="J30" s="927"/>
      <c r="K30" s="927"/>
      <c r="L30" s="927"/>
      <c r="M30" s="927"/>
      <c r="N30" s="927"/>
      <c r="O30" s="927"/>
      <c r="P30" s="934"/>
      <c r="Q30" s="934"/>
      <c r="R30" s="934"/>
      <c r="S30" s="934"/>
      <c r="T30" s="928"/>
      <c r="U30" s="927"/>
      <c r="V30" s="958"/>
      <c r="W30" s="927"/>
      <c r="X30" s="927"/>
      <c r="Y30" s="934"/>
      <c r="Z30" s="927"/>
      <c r="AA30" s="927"/>
      <c r="AB30" s="934"/>
      <c r="AC30" s="934"/>
      <c r="AD30" s="960"/>
      <c r="AE30" s="963"/>
      <c r="AF30" s="964"/>
      <c r="AG30" s="965"/>
      <c r="AH30" s="964"/>
      <c r="AI30" s="964"/>
      <c r="AJ30" s="964"/>
      <c r="AK30" s="964"/>
      <c r="AL30" s="966"/>
      <c r="AM30" s="929"/>
    </row>
    <row r="31" spans="1:41" ht="21.75" customHeight="1">
      <c r="A31" s="953"/>
      <c r="B31" s="927"/>
      <c r="C31" s="928"/>
      <c r="D31" s="927"/>
      <c r="E31" s="958"/>
      <c r="F31" s="927"/>
      <c r="G31" s="958"/>
      <c r="H31" s="927"/>
      <c r="I31" s="927"/>
      <c r="J31" s="927"/>
      <c r="K31" s="927"/>
      <c r="L31" s="927"/>
      <c r="M31" s="927"/>
      <c r="N31" s="927"/>
      <c r="O31" s="927"/>
      <c r="P31" s="934"/>
      <c r="Q31" s="934"/>
      <c r="R31" s="934"/>
      <c r="S31" s="934"/>
      <c r="T31" s="927"/>
      <c r="U31" s="927"/>
      <c r="V31" s="958"/>
      <c r="W31" s="927"/>
      <c r="X31" s="927"/>
      <c r="Y31" s="934"/>
      <c r="Z31" s="927"/>
      <c r="AA31" s="927"/>
      <c r="AB31" s="934"/>
      <c r="AC31" s="934"/>
      <c r="AD31" s="960"/>
      <c r="AE31" s="953" t="s">
        <v>723</v>
      </c>
      <c r="AF31" s="927"/>
      <c r="AG31" s="934" t="s">
        <v>3</v>
      </c>
      <c r="AH31" s="928" t="s">
        <v>724</v>
      </c>
      <c r="AI31" s="927"/>
      <c r="AJ31" s="927"/>
      <c r="AK31" s="927"/>
      <c r="AL31" s="929"/>
      <c r="AM31" s="929"/>
    </row>
    <row r="32" spans="1:41" ht="21.75" customHeight="1">
      <c r="A32" s="953"/>
      <c r="B32" s="927"/>
      <c r="C32" s="934"/>
      <c r="D32" s="934"/>
      <c r="E32" s="934"/>
      <c r="F32" s="934"/>
      <c r="G32" s="934"/>
      <c r="H32" s="934"/>
      <c r="I32" s="934"/>
      <c r="J32" s="934"/>
      <c r="K32" s="934"/>
      <c r="L32" s="934"/>
      <c r="M32" s="934"/>
      <c r="N32" s="934"/>
      <c r="O32" s="934"/>
      <c r="P32" s="934"/>
      <c r="Q32" s="934"/>
      <c r="R32" s="934"/>
      <c r="S32" s="934"/>
      <c r="T32" s="927"/>
      <c r="U32" s="958"/>
      <c r="V32" s="958"/>
      <c r="W32" s="927"/>
      <c r="X32" s="927"/>
      <c r="Y32" s="934"/>
      <c r="Z32" s="927"/>
      <c r="AA32" s="927"/>
      <c r="AB32" s="934"/>
      <c r="AC32" s="934"/>
      <c r="AD32" s="960"/>
      <c r="AE32" s="953" t="s">
        <v>725</v>
      </c>
      <c r="AF32" s="927"/>
      <c r="AG32" s="934" t="s">
        <v>3</v>
      </c>
      <c r="AH32" s="927" t="s">
        <v>726</v>
      </c>
      <c r="AI32" s="927"/>
      <c r="AJ32" s="927"/>
      <c r="AK32" s="927"/>
      <c r="AL32" s="929"/>
      <c r="AM32" s="929"/>
    </row>
    <row r="33" spans="1:41" ht="21.75" customHeight="1">
      <c r="A33" s="953"/>
      <c r="B33" s="927"/>
      <c r="C33" s="934"/>
      <c r="D33" s="934"/>
      <c r="E33" s="934"/>
      <c r="F33" s="934"/>
      <c r="G33" s="934"/>
      <c r="H33" s="934"/>
      <c r="I33" s="934"/>
      <c r="J33" s="934"/>
      <c r="K33" s="934"/>
      <c r="L33" s="934"/>
      <c r="M33" s="934"/>
      <c r="N33" s="934"/>
      <c r="O33" s="934"/>
      <c r="P33" s="934"/>
      <c r="Q33" s="934"/>
      <c r="R33" s="934"/>
      <c r="S33" s="934"/>
      <c r="T33" s="958"/>
      <c r="U33" s="958"/>
      <c r="V33" s="958"/>
      <c r="W33" s="927"/>
      <c r="X33" s="927"/>
      <c r="Y33" s="934"/>
      <c r="Z33" s="928"/>
      <c r="AA33" s="927"/>
      <c r="AB33" s="934"/>
      <c r="AC33" s="934"/>
      <c r="AD33" s="960"/>
      <c r="AE33" s="963" t="s">
        <v>727</v>
      </c>
      <c r="AF33" s="964"/>
      <c r="AG33" s="965" t="s">
        <v>3</v>
      </c>
      <c r="AH33" s="967" t="str">
        <f>AH421</f>
        <v>02 Januari 2020</v>
      </c>
      <c r="AI33" s="967"/>
      <c r="AJ33" s="967"/>
      <c r="AK33" s="964"/>
      <c r="AL33" s="966"/>
      <c r="AM33" s="929"/>
    </row>
    <row r="34" spans="1:41" ht="18" customHeight="1">
      <c r="A34" s="963"/>
      <c r="B34" s="964"/>
      <c r="C34" s="968"/>
      <c r="D34" s="964"/>
      <c r="E34" s="964"/>
      <c r="F34" s="964"/>
      <c r="G34" s="965"/>
      <c r="H34" s="965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C34" s="964"/>
      <c r="AD34" s="964"/>
      <c r="AE34" s="964"/>
      <c r="AF34" s="964"/>
      <c r="AG34" s="964"/>
      <c r="AH34" s="964"/>
      <c r="AI34" s="964"/>
      <c r="AJ34" s="964"/>
      <c r="AK34" s="964"/>
      <c r="AL34" s="964"/>
      <c r="AM34" s="966"/>
    </row>
    <row r="35" spans="1:41" ht="37.5" customHeight="1">
      <c r="A35" s="969"/>
      <c r="B35" s="969"/>
      <c r="C35" s="970"/>
      <c r="D35" s="969"/>
      <c r="E35" s="969"/>
      <c r="F35" s="969"/>
      <c r="G35" s="971"/>
      <c r="H35" s="971"/>
      <c r="I35" s="969"/>
      <c r="J35" s="969"/>
      <c r="K35" s="969"/>
      <c r="L35" s="969"/>
      <c r="M35" s="969"/>
      <c r="N35" s="969"/>
      <c r="O35" s="969"/>
      <c r="P35" s="969"/>
      <c r="Q35" s="969"/>
      <c r="R35" s="969"/>
      <c r="S35" s="969"/>
      <c r="T35" s="969"/>
      <c r="U35" s="969"/>
      <c r="V35" s="969"/>
      <c r="W35" s="969"/>
      <c r="X35" s="969"/>
      <c r="Y35" s="969"/>
      <c r="Z35" s="969"/>
      <c r="AA35" s="969"/>
      <c r="AB35" s="969"/>
      <c r="AC35" s="969"/>
      <c r="AD35" s="969"/>
      <c r="AE35" s="969"/>
      <c r="AF35" s="969"/>
      <c r="AG35" s="969"/>
      <c r="AH35" s="969"/>
      <c r="AI35" s="969"/>
      <c r="AJ35" s="969"/>
      <c r="AK35" s="969"/>
      <c r="AL35" s="969"/>
      <c r="AM35" s="969"/>
    </row>
    <row r="36" spans="1:41" ht="15" customHeight="1">
      <c r="A36" s="972"/>
      <c r="B36" s="972"/>
      <c r="C36" s="973"/>
      <c r="D36" s="973"/>
      <c r="E36" s="973"/>
      <c r="F36" s="973"/>
      <c r="G36" s="973"/>
      <c r="H36" s="973"/>
      <c r="I36" s="974"/>
      <c r="J36" s="975"/>
      <c r="K36" s="973"/>
      <c r="L36" s="973"/>
      <c r="M36" s="973"/>
      <c r="N36" s="973"/>
      <c r="O36" s="973"/>
      <c r="P36" s="973"/>
      <c r="Q36" s="973"/>
      <c r="R36" s="973"/>
      <c r="S36" s="973"/>
      <c r="T36" s="973"/>
      <c r="U36" s="973"/>
      <c r="V36" s="973"/>
      <c r="W36" s="973"/>
      <c r="X36" s="973"/>
      <c r="Y36" s="976"/>
      <c r="Z36" s="973"/>
      <c r="AA36" s="973"/>
      <c r="AB36" s="973"/>
      <c r="AC36" s="973"/>
      <c r="AD36" s="973"/>
      <c r="AE36" s="973"/>
      <c r="AF36" s="973"/>
      <c r="AG36" s="973"/>
      <c r="AH36" s="973"/>
      <c r="AI36" s="973"/>
      <c r="AJ36" s="973"/>
      <c r="AK36" s="973"/>
      <c r="AL36" s="973"/>
      <c r="AM36" s="973"/>
      <c r="AN36" s="977"/>
    </row>
    <row r="37" spans="1:41" ht="15.75" customHeight="1">
      <c r="A37" s="1463"/>
      <c r="B37" s="1464"/>
      <c r="C37" s="1464"/>
      <c r="D37" s="1465"/>
      <c r="E37" s="1486" t="s">
        <v>537</v>
      </c>
      <c r="F37" s="1487"/>
      <c r="G37" s="1487"/>
      <c r="H37" s="1487"/>
      <c r="I37" s="1487"/>
      <c r="J37" s="1487"/>
      <c r="K37" s="1487"/>
      <c r="L37" s="1487"/>
      <c r="M37" s="1487"/>
      <c r="N37" s="1487"/>
      <c r="O37" s="1487"/>
      <c r="P37" s="1487"/>
      <c r="Q37" s="1487"/>
      <c r="R37" s="1487"/>
      <c r="S37" s="1487"/>
      <c r="T37" s="1487"/>
      <c r="U37" s="1487"/>
      <c r="V37" s="1487"/>
      <c r="W37" s="1487"/>
      <c r="X37" s="1487"/>
      <c r="Y37" s="1487"/>
      <c r="Z37" s="1487"/>
      <c r="AA37" s="1487"/>
      <c r="AB37" s="1487"/>
      <c r="AC37" s="1487"/>
      <c r="AD37" s="1487"/>
      <c r="AE37" s="1487"/>
      <c r="AF37" s="1488"/>
      <c r="AG37" s="1475" t="s">
        <v>728</v>
      </c>
      <c r="AH37" s="1476"/>
      <c r="AI37" s="1476"/>
      <c r="AJ37" s="1476"/>
      <c r="AK37" s="1476"/>
      <c r="AL37" s="1476"/>
      <c r="AM37" s="1477"/>
    </row>
    <row r="38" spans="1:41" ht="15" customHeight="1">
      <c r="A38" s="1466"/>
      <c r="B38" s="1467"/>
      <c r="C38" s="1467"/>
      <c r="D38" s="1468"/>
      <c r="E38" s="1489"/>
      <c r="F38" s="1490"/>
      <c r="G38" s="1490"/>
      <c r="H38" s="1490"/>
      <c r="I38" s="1490"/>
      <c r="J38" s="1490"/>
      <c r="K38" s="1490"/>
      <c r="L38" s="1490"/>
      <c r="M38" s="1490"/>
      <c r="N38" s="1490"/>
      <c r="O38" s="1490"/>
      <c r="P38" s="1490"/>
      <c r="Q38" s="1490"/>
      <c r="R38" s="1490"/>
      <c r="S38" s="1490"/>
      <c r="T38" s="1490"/>
      <c r="U38" s="1490"/>
      <c r="V38" s="1490"/>
      <c r="W38" s="1490"/>
      <c r="X38" s="1490"/>
      <c r="Y38" s="1490"/>
      <c r="Z38" s="1490"/>
      <c r="AA38" s="1490"/>
      <c r="AB38" s="1490"/>
      <c r="AC38" s="1490"/>
      <c r="AD38" s="1490"/>
      <c r="AE38" s="1490"/>
      <c r="AF38" s="1491"/>
      <c r="AG38" s="1478"/>
      <c r="AH38" s="1479"/>
      <c r="AI38" s="1479"/>
      <c r="AJ38" s="1479"/>
      <c r="AK38" s="1479"/>
      <c r="AL38" s="1479"/>
      <c r="AM38" s="1480"/>
    </row>
    <row r="39" spans="1:41" ht="15" customHeight="1">
      <c r="A39" s="1466"/>
      <c r="B39" s="1467"/>
      <c r="C39" s="1467"/>
      <c r="D39" s="1468"/>
      <c r="E39" s="1489"/>
      <c r="F39" s="1490"/>
      <c r="G39" s="1490"/>
      <c r="H39" s="1490"/>
      <c r="I39" s="1490"/>
      <c r="J39" s="1490"/>
      <c r="K39" s="1490"/>
      <c r="L39" s="1490"/>
      <c r="M39" s="1490"/>
      <c r="N39" s="1490"/>
      <c r="O39" s="1490"/>
      <c r="P39" s="1490"/>
      <c r="Q39" s="1490"/>
      <c r="R39" s="1490"/>
      <c r="S39" s="1490"/>
      <c r="T39" s="1490"/>
      <c r="U39" s="1490"/>
      <c r="V39" s="1490"/>
      <c r="W39" s="1490"/>
      <c r="X39" s="1490"/>
      <c r="Y39" s="1490"/>
      <c r="Z39" s="1490"/>
      <c r="AA39" s="1490"/>
      <c r="AB39" s="1490"/>
      <c r="AC39" s="1490"/>
      <c r="AD39" s="1490"/>
      <c r="AE39" s="1490"/>
      <c r="AF39" s="1491"/>
      <c r="AG39" s="1475" t="str">
        <f>AG3</f>
        <v>TGL  : 01 Januari - 31 Desember 2019</v>
      </c>
      <c r="AH39" s="1476"/>
      <c r="AI39" s="1476"/>
      <c r="AJ39" s="1476"/>
      <c r="AK39" s="1476"/>
      <c r="AL39" s="1476"/>
      <c r="AM39" s="1477"/>
    </row>
    <row r="40" spans="1:41" ht="15" customHeight="1">
      <c r="A40" s="1469"/>
      <c r="B40" s="1470"/>
      <c r="C40" s="1470"/>
      <c r="D40" s="1471"/>
      <c r="E40" s="1492"/>
      <c r="F40" s="1493"/>
      <c r="G40" s="1493"/>
      <c r="H40" s="1493"/>
      <c r="I40" s="1493"/>
      <c r="J40" s="1493"/>
      <c r="K40" s="1493"/>
      <c r="L40" s="1493"/>
      <c r="M40" s="1493"/>
      <c r="N40" s="1493"/>
      <c r="O40" s="1493"/>
      <c r="P40" s="1493"/>
      <c r="Q40" s="1493"/>
      <c r="R40" s="1493"/>
      <c r="S40" s="1493"/>
      <c r="T40" s="1493"/>
      <c r="U40" s="1493"/>
      <c r="V40" s="1493"/>
      <c r="W40" s="1493"/>
      <c r="X40" s="1493"/>
      <c r="Y40" s="1493"/>
      <c r="Z40" s="1493"/>
      <c r="AA40" s="1493"/>
      <c r="AB40" s="1493"/>
      <c r="AC40" s="1493"/>
      <c r="AD40" s="1493"/>
      <c r="AE40" s="1493"/>
      <c r="AF40" s="1494"/>
      <c r="AG40" s="1478"/>
      <c r="AH40" s="1479"/>
      <c r="AI40" s="1479"/>
      <c r="AJ40" s="1479"/>
      <c r="AK40" s="1479"/>
      <c r="AL40" s="1479"/>
      <c r="AM40" s="1480"/>
      <c r="AN40" s="978" t="s">
        <v>692</v>
      </c>
    </row>
    <row r="41" spans="1:41" ht="18" customHeight="1">
      <c r="A41" s="1433" t="s">
        <v>539</v>
      </c>
      <c r="B41" s="1434"/>
      <c r="C41" s="1434"/>
      <c r="D41" s="1435"/>
      <c r="E41" s="1439" t="s">
        <v>729</v>
      </c>
      <c r="F41" s="1440"/>
      <c r="G41" s="1440"/>
      <c r="H41" s="1440"/>
      <c r="I41" s="1440"/>
      <c r="J41" s="1440"/>
      <c r="K41" s="1440"/>
      <c r="L41" s="1440"/>
      <c r="M41" s="1440"/>
      <c r="N41" s="1440"/>
      <c r="O41" s="1440"/>
      <c r="P41" s="1440"/>
      <c r="Q41" s="1440"/>
      <c r="R41" s="1440"/>
      <c r="S41" s="1440"/>
      <c r="T41" s="1440"/>
      <c r="U41" s="1440"/>
      <c r="V41" s="1440"/>
      <c r="W41" s="1440"/>
      <c r="X41" s="1440"/>
      <c r="Y41" s="1440"/>
      <c r="Z41" s="1440"/>
      <c r="AA41" s="1440"/>
      <c r="AB41" s="1440"/>
      <c r="AC41" s="1440"/>
      <c r="AD41" s="1440"/>
      <c r="AE41" s="1440"/>
      <c r="AF41" s="1441"/>
      <c r="AG41" s="1445" t="s">
        <v>695</v>
      </c>
      <c r="AH41" s="1446"/>
      <c r="AI41" s="1446"/>
      <c r="AJ41" s="1446"/>
      <c r="AK41" s="1446"/>
      <c r="AL41" s="1446"/>
      <c r="AM41" s="1447"/>
    </row>
    <row r="42" spans="1:41" ht="18" customHeight="1">
      <c r="A42" s="1436"/>
      <c r="B42" s="1437"/>
      <c r="C42" s="1437"/>
      <c r="D42" s="1438"/>
      <c r="E42" s="1442"/>
      <c r="F42" s="1443"/>
      <c r="G42" s="1443"/>
      <c r="H42" s="1443"/>
      <c r="I42" s="1443"/>
      <c r="J42" s="1443"/>
      <c r="K42" s="1443"/>
      <c r="L42" s="1443"/>
      <c r="M42" s="1443"/>
      <c r="N42" s="1443"/>
      <c r="O42" s="1443"/>
      <c r="P42" s="1443"/>
      <c r="Q42" s="1443"/>
      <c r="R42" s="1443"/>
      <c r="S42" s="1443"/>
      <c r="T42" s="1443"/>
      <c r="U42" s="1443"/>
      <c r="V42" s="1443"/>
      <c r="W42" s="1443"/>
      <c r="X42" s="1443"/>
      <c r="Y42" s="1443"/>
      <c r="Z42" s="1443"/>
      <c r="AA42" s="1443"/>
      <c r="AB42" s="1443"/>
      <c r="AC42" s="1443"/>
      <c r="AD42" s="1443"/>
      <c r="AE42" s="1443"/>
      <c r="AF42" s="1444"/>
      <c r="AG42" s="1448"/>
      <c r="AH42" s="1449"/>
      <c r="AI42" s="1449"/>
      <c r="AJ42" s="1449"/>
      <c r="AK42" s="1449"/>
      <c r="AL42" s="1449"/>
      <c r="AM42" s="1450"/>
    </row>
    <row r="43" spans="1:41" ht="12" customHeight="1">
      <c r="A43" s="926"/>
      <c r="B43" s="927"/>
      <c r="C43" s="928"/>
      <c r="D43" s="927"/>
      <c r="E43" s="927"/>
      <c r="F43" s="927"/>
      <c r="G43" s="927"/>
      <c r="H43" s="927"/>
      <c r="I43" s="927"/>
      <c r="J43" s="927"/>
      <c r="K43" s="927"/>
      <c r="L43" s="927"/>
      <c r="M43" s="927"/>
      <c r="N43" s="927"/>
      <c r="O43" s="927"/>
      <c r="P43" s="927"/>
      <c r="Q43" s="927"/>
      <c r="R43" s="927"/>
      <c r="S43" s="927"/>
      <c r="T43" s="927"/>
      <c r="U43" s="927"/>
      <c r="V43" s="927"/>
      <c r="W43" s="927"/>
      <c r="X43" s="927"/>
      <c r="Y43" s="927"/>
      <c r="Z43" s="927"/>
      <c r="AA43" s="927"/>
      <c r="AB43" s="927"/>
      <c r="AC43" s="927"/>
      <c r="AD43" s="927"/>
      <c r="AE43" s="927"/>
      <c r="AF43" s="927"/>
      <c r="AG43" s="927"/>
      <c r="AH43" s="927"/>
      <c r="AI43" s="927"/>
      <c r="AJ43" s="927"/>
      <c r="AK43" s="927"/>
      <c r="AL43" s="927"/>
      <c r="AM43" s="929"/>
    </row>
    <row r="44" spans="1:41" ht="24" customHeight="1">
      <c r="A44" s="930" t="s">
        <v>543</v>
      </c>
      <c r="B44" s="931"/>
      <c r="C44" s="932"/>
      <c r="D44" s="931"/>
      <c r="E44" s="931"/>
      <c r="F44" s="931"/>
      <c r="G44" s="931"/>
      <c r="H44" s="931" t="s">
        <v>3</v>
      </c>
      <c r="I44" s="933" t="s">
        <v>213</v>
      </c>
      <c r="J44" s="979"/>
      <c r="K44" s="979"/>
      <c r="L44" s="931"/>
      <c r="M44" s="931"/>
      <c r="N44" s="931"/>
      <c r="O44" s="931"/>
      <c r="P44" s="931"/>
      <c r="Q44" s="931"/>
      <c r="R44" s="931"/>
      <c r="S44" s="931"/>
      <c r="T44" s="931"/>
      <c r="U44" s="931"/>
      <c r="V44" s="931" t="s">
        <v>696</v>
      </c>
      <c r="W44" s="931"/>
      <c r="X44" s="931"/>
      <c r="Y44" s="934"/>
      <c r="Z44" s="931" t="s">
        <v>3</v>
      </c>
      <c r="AA44" s="932" t="s">
        <v>730</v>
      </c>
      <c r="AB44" s="927"/>
      <c r="AC44" s="927"/>
      <c r="AD44" s="927"/>
      <c r="AE44" s="927"/>
      <c r="AF44" s="927"/>
      <c r="AG44" s="927"/>
      <c r="AH44" s="927"/>
      <c r="AI44" s="927"/>
      <c r="AJ44" s="927"/>
      <c r="AK44" s="927"/>
      <c r="AL44" s="927"/>
      <c r="AM44" s="929"/>
      <c r="AO44" s="924" t="str">
        <f>I44</f>
        <v>MASRI</v>
      </c>
    </row>
    <row r="45" spans="1:41" ht="24" customHeight="1">
      <c r="A45" s="930" t="s">
        <v>114</v>
      </c>
      <c r="B45" s="931"/>
      <c r="C45" s="932"/>
      <c r="D45" s="931"/>
      <c r="E45" s="931"/>
      <c r="F45" s="931"/>
      <c r="G45" s="931"/>
      <c r="H45" s="931" t="s">
        <v>3</v>
      </c>
      <c r="I45" s="933" t="s">
        <v>511</v>
      </c>
      <c r="J45" s="931"/>
      <c r="K45" s="931"/>
      <c r="L45" s="931"/>
      <c r="M45" s="931"/>
      <c r="N45" s="931"/>
      <c r="O45" s="931"/>
      <c r="P45" s="931"/>
      <c r="Q45" s="931"/>
      <c r="R45" s="931"/>
      <c r="S45" s="931"/>
      <c r="T45" s="931"/>
      <c r="U45" s="931"/>
      <c r="V45" s="931" t="s">
        <v>545</v>
      </c>
      <c r="W45" s="931"/>
      <c r="X45" s="931"/>
      <c r="Y45" s="934"/>
      <c r="Z45" s="931" t="s">
        <v>3</v>
      </c>
      <c r="AA45" s="1485"/>
      <c r="AB45" s="1485"/>
      <c r="AC45" s="1485"/>
      <c r="AD45" s="1485"/>
      <c r="AE45" s="1485"/>
      <c r="AF45" s="927"/>
      <c r="AG45" s="927"/>
      <c r="AH45" s="927"/>
      <c r="AI45" s="927"/>
      <c r="AJ45" s="927"/>
      <c r="AK45" s="927"/>
      <c r="AL45" s="927"/>
      <c r="AM45" s="929"/>
      <c r="AO45" s="924" t="s">
        <v>698</v>
      </c>
    </row>
    <row r="46" spans="1:41" ht="12" customHeight="1">
      <c r="A46" s="926"/>
      <c r="B46" s="927"/>
      <c r="C46" s="928"/>
      <c r="D46" s="927"/>
      <c r="E46" s="927"/>
      <c r="F46" s="927"/>
      <c r="G46" s="927"/>
      <c r="H46" s="927"/>
      <c r="I46" s="927"/>
      <c r="J46" s="927"/>
      <c r="K46" s="927"/>
      <c r="L46" s="927"/>
      <c r="M46" s="927"/>
      <c r="N46" s="927"/>
      <c r="O46" s="927"/>
      <c r="P46" s="927"/>
      <c r="Q46" s="927"/>
      <c r="R46" s="927"/>
      <c r="S46" s="927"/>
      <c r="T46" s="927"/>
      <c r="U46" s="927"/>
      <c r="V46" s="927"/>
      <c r="W46" s="927"/>
      <c r="X46" s="927"/>
      <c r="Y46" s="927"/>
      <c r="Z46" s="927"/>
      <c r="AA46" s="927"/>
      <c r="AB46" s="927"/>
      <c r="AC46" s="927"/>
      <c r="AD46" s="927"/>
      <c r="AE46" s="927"/>
      <c r="AF46" s="927"/>
      <c r="AG46" s="927"/>
      <c r="AH46" s="927"/>
      <c r="AI46" s="927"/>
      <c r="AJ46" s="927"/>
      <c r="AK46" s="927"/>
      <c r="AL46" s="927"/>
      <c r="AM46" s="929"/>
    </row>
    <row r="47" spans="1:41" ht="24" customHeight="1">
      <c r="A47" s="1451" t="s">
        <v>549</v>
      </c>
      <c r="B47" s="1453" t="s">
        <v>550</v>
      </c>
      <c r="C47" s="1454"/>
      <c r="D47" s="1454"/>
      <c r="E47" s="1454"/>
      <c r="F47" s="1454"/>
      <c r="G47" s="1454"/>
      <c r="H47" s="1454"/>
      <c r="I47" s="1454"/>
      <c r="J47" s="1455"/>
      <c r="K47" s="1431" t="s">
        <v>699</v>
      </c>
      <c r="L47" s="1432"/>
      <c r="M47" s="1431" t="s">
        <v>700</v>
      </c>
      <c r="N47" s="1432"/>
      <c r="O47" s="1431" t="s">
        <v>701</v>
      </c>
      <c r="P47" s="1432"/>
      <c r="Q47" s="1431" t="s">
        <v>702</v>
      </c>
      <c r="R47" s="1432"/>
      <c r="S47" s="1431" t="s">
        <v>703</v>
      </c>
      <c r="T47" s="1432"/>
      <c r="U47" s="1431" t="s">
        <v>704</v>
      </c>
      <c r="V47" s="1432"/>
      <c r="W47" s="1431" t="s">
        <v>705</v>
      </c>
      <c r="X47" s="1432"/>
      <c r="Y47" s="1431" t="s">
        <v>706</v>
      </c>
      <c r="Z47" s="1432"/>
      <c r="AA47" s="1431" t="s">
        <v>707</v>
      </c>
      <c r="AB47" s="1432"/>
      <c r="AC47" s="1431" t="s">
        <v>708</v>
      </c>
      <c r="AD47" s="1432"/>
      <c r="AE47" s="1431" t="s">
        <v>709</v>
      </c>
      <c r="AF47" s="1432"/>
      <c r="AG47" s="1459" t="s">
        <v>710</v>
      </c>
      <c r="AH47" s="1460"/>
      <c r="AI47" s="1461" t="s">
        <v>711</v>
      </c>
      <c r="AJ47" s="1432"/>
      <c r="AK47" s="1462" t="s">
        <v>712</v>
      </c>
      <c r="AL47" s="1432"/>
      <c r="AM47" s="929"/>
    </row>
    <row r="48" spans="1:41" ht="24" customHeight="1">
      <c r="A48" s="1452"/>
      <c r="B48" s="1456"/>
      <c r="C48" s="1457"/>
      <c r="D48" s="1457"/>
      <c r="E48" s="1457"/>
      <c r="F48" s="1457"/>
      <c r="G48" s="1457"/>
      <c r="H48" s="1457"/>
      <c r="I48" s="1457"/>
      <c r="J48" s="1458"/>
      <c r="K48" s="937" t="s">
        <v>713</v>
      </c>
      <c r="L48" s="937" t="s">
        <v>714</v>
      </c>
      <c r="M48" s="937" t="s">
        <v>713</v>
      </c>
      <c r="N48" s="937" t="s">
        <v>714</v>
      </c>
      <c r="O48" s="937" t="s">
        <v>713</v>
      </c>
      <c r="P48" s="937" t="s">
        <v>714</v>
      </c>
      <c r="Q48" s="937" t="s">
        <v>713</v>
      </c>
      <c r="R48" s="937" t="s">
        <v>714</v>
      </c>
      <c r="S48" s="937" t="s">
        <v>713</v>
      </c>
      <c r="T48" s="937" t="s">
        <v>714</v>
      </c>
      <c r="U48" s="937" t="s">
        <v>713</v>
      </c>
      <c r="V48" s="938" t="s">
        <v>714</v>
      </c>
      <c r="W48" s="937" t="s">
        <v>713</v>
      </c>
      <c r="X48" s="937" t="s">
        <v>714</v>
      </c>
      <c r="Y48" s="937" t="s">
        <v>713</v>
      </c>
      <c r="Z48" s="937" t="s">
        <v>714</v>
      </c>
      <c r="AA48" s="937" t="s">
        <v>713</v>
      </c>
      <c r="AB48" s="937" t="s">
        <v>714</v>
      </c>
      <c r="AC48" s="937" t="s">
        <v>713</v>
      </c>
      <c r="AD48" s="937" t="s">
        <v>714</v>
      </c>
      <c r="AE48" s="937" t="s">
        <v>713</v>
      </c>
      <c r="AF48" s="937" t="s">
        <v>714</v>
      </c>
      <c r="AG48" s="937" t="s">
        <v>713</v>
      </c>
      <c r="AH48" s="939" t="s">
        <v>714</v>
      </c>
      <c r="AI48" s="940" t="s">
        <v>713</v>
      </c>
      <c r="AJ48" s="937" t="s">
        <v>714</v>
      </c>
      <c r="AK48" s="937" t="s">
        <v>713</v>
      </c>
      <c r="AL48" s="937" t="s">
        <v>714</v>
      </c>
      <c r="AM48" s="929"/>
    </row>
    <row r="49" spans="1:42" ht="27" customHeight="1">
      <c r="A49" s="941" t="s">
        <v>555</v>
      </c>
      <c r="B49" s="1427" t="s">
        <v>715</v>
      </c>
      <c r="C49" s="1428"/>
      <c r="D49" s="1428"/>
      <c r="E49" s="1428"/>
      <c r="F49" s="1428"/>
      <c r="G49" s="1428"/>
      <c r="H49" s="1428"/>
      <c r="I49" s="1428"/>
      <c r="J49" s="1429"/>
      <c r="K49" s="945">
        <v>6.3823235059175678</v>
      </c>
      <c r="L49" s="945">
        <v>9</v>
      </c>
      <c r="M49" s="945">
        <v>6.1538353805722403</v>
      </c>
      <c r="N49" s="945">
        <v>9</v>
      </c>
      <c r="O49" s="945">
        <v>4.90658334231225</v>
      </c>
      <c r="P49" s="945">
        <v>10</v>
      </c>
      <c r="Q49" s="945">
        <v>0</v>
      </c>
      <c r="R49" s="945">
        <v>0</v>
      </c>
      <c r="S49" s="945">
        <v>6.1051173509902137</v>
      </c>
      <c r="T49" s="945">
        <v>9</v>
      </c>
      <c r="U49" s="945">
        <v>6.0000000000000009</v>
      </c>
      <c r="V49" s="945">
        <v>9</v>
      </c>
      <c r="W49" s="945">
        <v>6.1657108109838044</v>
      </c>
      <c r="X49" s="945">
        <v>9</v>
      </c>
      <c r="Y49" s="945">
        <v>6.347900968783641</v>
      </c>
      <c r="Z49" s="945">
        <v>9</v>
      </c>
      <c r="AA49" s="945">
        <v>6.1942097389325532</v>
      </c>
      <c r="AB49" s="945">
        <v>9</v>
      </c>
      <c r="AC49" s="945">
        <v>6.3684658918030799</v>
      </c>
      <c r="AD49" s="945">
        <v>9</v>
      </c>
      <c r="AE49" s="945">
        <v>6.4835660732686646</v>
      </c>
      <c r="AF49" s="945">
        <v>9</v>
      </c>
      <c r="AG49" s="945">
        <v>6.1534772441865515</v>
      </c>
      <c r="AH49" s="945">
        <v>9</v>
      </c>
      <c r="AI49" s="980">
        <f>K49+M49+O49+Q49+S49+U49+W49+Y49+AA49+AC49+AE49+AG49</f>
        <v>67.261190307750567</v>
      </c>
      <c r="AJ49" s="950">
        <f>L49+N49+P49+R49+T49+V49+X49+Z49+AB49+AD49+AF49+AH49</f>
        <v>100</v>
      </c>
      <c r="AK49" s="945">
        <f>+AI49/11</f>
        <v>6.1146536643409606</v>
      </c>
      <c r="AL49" s="946">
        <v>9</v>
      </c>
      <c r="AM49" s="929"/>
      <c r="AO49" s="925">
        <v>9</v>
      </c>
      <c r="AP49" s="981">
        <f>AO49-AL49</f>
        <v>0</v>
      </c>
    </row>
    <row r="50" spans="1:42" ht="27" customHeight="1">
      <c r="A50" s="941" t="s">
        <v>560</v>
      </c>
      <c r="B50" s="1427" t="s">
        <v>716</v>
      </c>
      <c r="C50" s="1428"/>
      <c r="D50" s="1428"/>
      <c r="E50" s="1428"/>
      <c r="F50" s="1428"/>
      <c r="G50" s="1428"/>
      <c r="H50" s="1428"/>
      <c r="I50" s="1428"/>
      <c r="J50" s="1429"/>
      <c r="K50" s="945">
        <v>1019.6182000000002</v>
      </c>
      <c r="L50" s="945">
        <v>15</v>
      </c>
      <c r="M50" s="945">
        <v>1139.1328999999998</v>
      </c>
      <c r="N50" s="945">
        <v>15</v>
      </c>
      <c r="O50" s="945">
        <v>353.02480000000003</v>
      </c>
      <c r="P50" s="945">
        <v>15</v>
      </c>
      <c r="Q50" s="945">
        <v>0</v>
      </c>
      <c r="R50" s="945">
        <v>0</v>
      </c>
      <c r="S50" s="945">
        <v>1572.636</v>
      </c>
      <c r="T50" s="945">
        <v>15</v>
      </c>
      <c r="U50" s="945">
        <v>133.01939999999999</v>
      </c>
      <c r="V50" s="945">
        <v>6</v>
      </c>
      <c r="W50" s="945">
        <v>1465.9731000000002</v>
      </c>
      <c r="X50" s="945">
        <v>15</v>
      </c>
      <c r="Y50" s="945">
        <v>1261.5405999999998</v>
      </c>
      <c r="Z50" s="945">
        <v>15</v>
      </c>
      <c r="AA50" s="945">
        <v>1335.5787</v>
      </c>
      <c r="AB50" s="945">
        <v>15</v>
      </c>
      <c r="AC50" s="945">
        <v>1230.9175999999998</v>
      </c>
      <c r="AD50" s="945">
        <v>15</v>
      </c>
      <c r="AE50" s="945">
        <v>789.54989999999998</v>
      </c>
      <c r="AF50" s="945">
        <v>15</v>
      </c>
      <c r="AG50" s="945">
        <v>1733.7581999999995</v>
      </c>
      <c r="AH50" s="945">
        <v>15</v>
      </c>
      <c r="AI50" s="982">
        <f>K50+M50+O50+Q50+S50+U50+W50+Y50+AA50+AC50+AE50+AG50</f>
        <v>12034.749399999999</v>
      </c>
      <c r="AJ50" s="983">
        <f t="shared" ref="AJ50:AJ56" si="2">+L50+N50+P50+R50+T50+V50+X50+Z50+AB50+AD50+AF50+AH50</f>
        <v>156</v>
      </c>
      <c r="AK50" s="984">
        <f t="shared" ref="AK50:AK51" si="3">+AI50/12</f>
        <v>1002.8957833333333</v>
      </c>
      <c r="AL50" s="946">
        <v>15</v>
      </c>
      <c r="AM50" s="929"/>
      <c r="AO50" s="925">
        <v>15</v>
      </c>
      <c r="AP50" s="981">
        <f t="shared" ref="AP50:AP56" si="4">AO50-AL50</f>
        <v>0</v>
      </c>
    </row>
    <row r="51" spans="1:42" ht="27" customHeight="1">
      <c r="A51" s="941" t="s">
        <v>563</v>
      </c>
      <c r="B51" s="1427" t="s">
        <v>717</v>
      </c>
      <c r="C51" s="1428"/>
      <c r="D51" s="1428"/>
      <c r="E51" s="1428"/>
      <c r="F51" s="1428"/>
      <c r="G51" s="1428"/>
      <c r="H51" s="1428"/>
      <c r="I51" s="1428"/>
      <c r="J51" s="1429"/>
      <c r="K51" s="950">
        <v>34</v>
      </c>
      <c r="L51" s="950">
        <v>15</v>
      </c>
      <c r="M51" s="950">
        <v>34</v>
      </c>
      <c r="N51" s="950">
        <v>15</v>
      </c>
      <c r="O51" s="950">
        <v>19</v>
      </c>
      <c r="P51" s="950">
        <v>11</v>
      </c>
      <c r="Q51" s="950">
        <v>0</v>
      </c>
      <c r="R51" s="950">
        <v>5</v>
      </c>
      <c r="S51" s="950">
        <v>33</v>
      </c>
      <c r="T51" s="950">
        <v>15</v>
      </c>
      <c r="U51" s="950">
        <v>4</v>
      </c>
      <c r="V51" s="950">
        <v>5</v>
      </c>
      <c r="W51" s="950">
        <v>41</v>
      </c>
      <c r="X51" s="950">
        <v>15</v>
      </c>
      <c r="Y51" s="950">
        <v>34</v>
      </c>
      <c r="Z51" s="950">
        <v>15</v>
      </c>
      <c r="AA51" s="950">
        <v>36</v>
      </c>
      <c r="AB51" s="950">
        <v>15</v>
      </c>
      <c r="AC51" s="950">
        <v>26</v>
      </c>
      <c r="AD51" s="950">
        <v>13</v>
      </c>
      <c r="AE51" s="950">
        <v>23</v>
      </c>
      <c r="AF51" s="950">
        <v>12</v>
      </c>
      <c r="AG51" s="950">
        <v>35</v>
      </c>
      <c r="AH51" s="950">
        <v>15</v>
      </c>
      <c r="AI51" s="944">
        <f>K51+M51+O51+Q51+S51+U51+W51+Y51+AA51+AC51+AE51+AG51</f>
        <v>319</v>
      </c>
      <c r="AJ51" s="950">
        <f t="shared" si="2"/>
        <v>151</v>
      </c>
      <c r="AK51" s="945">
        <f t="shared" si="3"/>
        <v>26.583333333333332</v>
      </c>
      <c r="AL51" s="946">
        <v>14</v>
      </c>
      <c r="AM51" s="929"/>
      <c r="AO51" s="925">
        <v>14</v>
      </c>
      <c r="AP51" s="981">
        <f t="shared" si="4"/>
        <v>0</v>
      </c>
    </row>
    <row r="52" spans="1:42" ht="27" customHeight="1">
      <c r="A52" s="941" t="s">
        <v>567</v>
      </c>
      <c r="B52" s="1427" t="s">
        <v>718</v>
      </c>
      <c r="C52" s="1428"/>
      <c r="D52" s="1428"/>
      <c r="E52" s="1428"/>
      <c r="F52" s="1428"/>
      <c r="G52" s="1428"/>
      <c r="H52" s="1428"/>
      <c r="I52" s="1428"/>
      <c r="J52" s="1429"/>
      <c r="K52" s="950" t="s">
        <v>698</v>
      </c>
      <c r="L52" s="950">
        <v>10</v>
      </c>
      <c r="M52" s="950" t="s">
        <v>698</v>
      </c>
      <c r="N52" s="950">
        <v>10</v>
      </c>
      <c r="O52" s="950" t="s">
        <v>698</v>
      </c>
      <c r="P52" s="950">
        <v>10</v>
      </c>
      <c r="Q52" s="950" t="s">
        <v>698</v>
      </c>
      <c r="R52" s="950">
        <v>10</v>
      </c>
      <c r="S52" s="950" t="s">
        <v>698</v>
      </c>
      <c r="T52" s="950">
        <v>10</v>
      </c>
      <c r="U52" s="950" t="s">
        <v>698</v>
      </c>
      <c r="V52" s="950">
        <v>10</v>
      </c>
      <c r="W52" s="950" t="s">
        <v>698</v>
      </c>
      <c r="X52" s="950">
        <v>10</v>
      </c>
      <c r="Y52" s="950" t="s">
        <v>698</v>
      </c>
      <c r="Z52" s="950">
        <v>10</v>
      </c>
      <c r="AA52" s="950" t="s">
        <v>698</v>
      </c>
      <c r="AB52" s="950">
        <v>10</v>
      </c>
      <c r="AC52" s="950" t="s">
        <v>698</v>
      </c>
      <c r="AD52" s="950">
        <v>10</v>
      </c>
      <c r="AE52" s="950" t="s">
        <v>698</v>
      </c>
      <c r="AF52" s="950">
        <v>10</v>
      </c>
      <c r="AG52" s="950" t="s">
        <v>698</v>
      </c>
      <c r="AH52" s="950">
        <v>10</v>
      </c>
      <c r="AI52" s="950" t="s">
        <v>698</v>
      </c>
      <c r="AJ52" s="950">
        <f t="shared" si="2"/>
        <v>120</v>
      </c>
      <c r="AK52" s="950" t="s">
        <v>698</v>
      </c>
      <c r="AL52" s="946">
        <f>AJ52/12</f>
        <v>10</v>
      </c>
      <c r="AM52" s="929"/>
      <c r="AO52" s="925">
        <v>10</v>
      </c>
      <c r="AP52" s="981">
        <f t="shared" si="4"/>
        <v>0</v>
      </c>
    </row>
    <row r="53" spans="1:42" ht="27" customHeight="1">
      <c r="A53" s="941" t="s">
        <v>571</v>
      </c>
      <c r="B53" s="1427" t="s">
        <v>719</v>
      </c>
      <c r="C53" s="1428"/>
      <c r="D53" s="1428"/>
      <c r="E53" s="1428"/>
      <c r="F53" s="1428"/>
      <c r="G53" s="1428"/>
      <c r="H53" s="1428"/>
      <c r="I53" s="1428"/>
      <c r="J53" s="1429"/>
      <c r="K53" s="950" t="s">
        <v>698</v>
      </c>
      <c r="L53" s="950">
        <v>10</v>
      </c>
      <c r="M53" s="950" t="s">
        <v>698</v>
      </c>
      <c r="N53" s="950">
        <v>10</v>
      </c>
      <c r="O53" s="950" t="s">
        <v>698</v>
      </c>
      <c r="P53" s="950">
        <v>10</v>
      </c>
      <c r="Q53" s="950" t="s">
        <v>698</v>
      </c>
      <c r="R53" s="950">
        <v>8</v>
      </c>
      <c r="S53" s="950" t="s">
        <v>698</v>
      </c>
      <c r="T53" s="950">
        <v>10</v>
      </c>
      <c r="U53" s="950" t="s">
        <v>698</v>
      </c>
      <c r="V53" s="950">
        <v>10</v>
      </c>
      <c r="W53" s="950" t="s">
        <v>698</v>
      </c>
      <c r="X53" s="950">
        <v>10</v>
      </c>
      <c r="Y53" s="950" t="s">
        <v>698</v>
      </c>
      <c r="Z53" s="950">
        <v>10</v>
      </c>
      <c r="AA53" s="950" t="s">
        <v>698</v>
      </c>
      <c r="AB53" s="950">
        <v>10</v>
      </c>
      <c r="AC53" s="950" t="s">
        <v>698</v>
      </c>
      <c r="AD53" s="950">
        <v>10</v>
      </c>
      <c r="AE53" s="950" t="s">
        <v>698</v>
      </c>
      <c r="AF53" s="950">
        <v>10</v>
      </c>
      <c r="AG53" s="950" t="s">
        <v>698</v>
      </c>
      <c r="AH53" s="950">
        <v>9</v>
      </c>
      <c r="AI53" s="950" t="s">
        <v>698</v>
      </c>
      <c r="AJ53" s="950">
        <f t="shared" si="2"/>
        <v>117</v>
      </c>
      <c r="AK53" s="950" t="s">
        <v>698</v>
      </c>
      <c r="AL53" s="946">
        <f t="shared" ref="AL53:AL56" si="5">AJ53/12</f>
        <v>9.75</v>
      </c>
      <c r="AM53" s="929"/>
      <c r="AO53" s="925">
        <v>10</v>
      </c>
      <c r="AP53" s="981">
        <f t="shared" si="4"/>
        <v>0.25</v>
      </c>
    </row>
    <row r="54" spans="1:42" ht="27" customHeight="1">
      <c r="A54" s="941" t="s">
        <v>575</v>
      </c>
      <c r="B54" s="1427" t="s">
        <v>720</v>
      </c>
      <c r="C54" s="1496"/>
      <c r="D54" s="1496"/>
      <c r="E54" s="1496"/>
      <c r="F54" s="1496"/>
      <c r="G54" s="1496"/>
      <c r="H54" s="1496"/>
      <c r="I54" s="1496"/>
      <c r="J54" s="1497"/>
      <c r="K54" s="950" t="s">
        <v>698</v>
      </c>
      <c r="L54" s="950">
        <v>9</v>
      </c>
      <c r="M54" s="950" t="s">
        <v>698</v>
      </c>
      <c r="N54" s="950">
        <v>9</v>
      </c>
      <c r="O54" s="950" t="s">
        <v>698</v>
      </c>
      <c r="P54" s="950">
        <v>9</v>
      </c>
      <c r="Q54" s="950" t="s">
        <v>698</v>
      </c>
      <c r="R54" s="950">
        <v>9</v>
      </c>
      <c r="S54" s="950" t="s">
        <v>698</v>
      </c>
      <c r="T54" s="950">
        <v>9</v>
      </c>
      <c r="U54" s="950" t="s">
        <v>698</v>
      </c>
      <c r="V54" s="950">
        <v>9</v>
      </c>
      <c r="W54" s="950" t="s">
        <v>698</v>
      </c>
      <c r="X54" s="950">
        <v>9</v>
      </c>
      <c r="Y54" s="950" t="s">
        <v>698</v>
      </c>
      <c r="Z54" s="950">
        <v>9</v>
      </c>
      <c r="AA54" s="950" t="s">
        <v>698</v>
      </c>
      <c r="AB54" s="950">
        <v>9</v>
      </c>
      <c r="AC54" s="950" t="s">
        <v>698</v>
      </c>
      <c r="AD54" s="950">
        <v>9</v>
      </c>
      <c r="AE54" s="950" t="s">
        <v>698</v>
      </c>
      <c r="AF54" s="950">
        <v>9</v>
      </c>
      <c r="AG54" s="950" t="s">
        <v>698</v>
      </c>
      <c r="AH54" s="950">
        <v>9</v>
      </c>
      <c r="AI54" s="950" t="s">
        <v>698</v>
      </c>
      <c r="AJ54" s="950">
        <f t="shared" si="2"/>
        <v>108</v>
      </c>
      <c r="AK54" s="950" t="s">
        <v>698</v>
      </c>
      <c r="AL54" s="946">
        <f t="shared" si="5"/>
        <v>9</v>
      </c>
      <c r="AM54" s="929"/>
      <c r="AO54" s="925">
        <v>9</v>
      </c>
      <c r="AP54" s="981">
        <f t="shared" si="4"/>
        <v>0</v>
      </c>
    </row>
    <row r="55" spans="1:42" ht="27" customHeight="1">
      <c r="A55" s="941" t="s">
        <v>578</v>
      </c>
      <c r="B55" s="1427" t="s">
        <v>721</v>
      </c>
      <c r="C55" s="1428"/>
      <c r="D55" s="1428"/>
      <c r="E55" s="1428"/>
      <c r="F55" s="1428"/>
      <c r="G55" s="1428"/>
      <c r="H55" s="1428"/>
      <c r="I55" s="1428"/>
      <c r="J55" s="1429"/>
      <c r="K55" s="950" t="s">
        <v>112</v>
      </c>
      <c r="L55" s="950">
        <v>7</v>
      </c>
      <c r="M55" s="950" t="s">
        <v>112</v>
      </c>
      <c r="N55" s="950">
        <v>7</v>
      </c>
      <c r="O55" s="950" t="s">
        <v>112</v>
      </c>
      <c r="P55" s="950">
        <v>7</v>
      </c>
      <c r="Q55" s="950" t="s">
        <v>112</v>
      </c>
      <c r="R55" s="950">
        <v>7</v>
      </c>
      <c r="S55" s="950" t="s">
        <v>112</v>
      </c>
      <c r="T55" s="950">
        <v>7</v>
      </c>
      <c r="U55" s="950" t="s">
        <v>112</v>
      </c>
      <c r="V55" s="950">
        <v>7</v>
      </c>
      <c r="W55" s="950" t="s">
        <v>112</v>
      </c>
      <c r="X55" s="950">
        <v>7</v>
      </c>
      <c r="Y55" s="950" t="s">
        <v>112</v>
      </c>
      <c r="Z55" s="950">
        <v>7</v>
      </c>
      <c r="AA55" s="950" t="s">
        <v>112</v>
      </c>
      <c r="AB55" s="950">
        <v>7</v>
      </c>
      <c r="AC55" s="950" t="s">
        <v>112</v>
      </c>
      <c r="AD55" s="950">
        <v>7</v>
      </c>
      <c r="AE55" s="950" t="s">
        <v>112</v>
      </c>
      <c r="AF55" s="950">
        <v>7</v>
      </c>
      <c r="AG55" s="950" t="s">
        <v>112</v>
      </c>
      <c r="AH55" s="950">
        <v>7</v>
      </c>
      <c r="AI55" s="950" t="s">
        <v>112</v>
      </c>
      <c r="AJ55" s="950">
        <f t="shared" si="2"/>
        <v>84</v>
      </c>
      <c r="AK55" s="950" t="s">
        <v>112</v>
      </c>
      <c r="AL55" s="946">
        <f t="shared" si="5"/>
        <v>7</v>
      </c>
      <c r="AM55" s="929"/>
      <c r="AO55" s="925">
        <v>7</v>
      </c>
      <c r="AP55" s="981">
        <f t="shared" si="4"/>
        <v>0</v>
      </c>
    </row>
    <row r="56" spans="1:42" ht="27" customHeight="1">
      <c r="A56" s="941" t="s">
        <v>581</v>
      </c>
      <c r="B56" s="1427" t="s">
        <v>722</v>
      </c>
      <c r="C56" s="1428"/>
      <c r="D56" s="1428"/>
      <c r="E56" s="1428"/>
      <c r="F56" s="1428"/>
      <c r="G56" s="1428"/>
      <c r="H56" s="1428"/>
      <c r="I56" s="1428"/>
      <c r="J56" s="1429"/>
      <c r="K56" s="950" t="s">
        <v>698</v>
      </c>
      <c r="L56" s="950">
        <v>10</v>
      </c>
      <c r="M56" s="950" t="s">
        <v>698</v>
      </c>
      <c r="N56" s="950">
        <v>10</v>
      </c>
      <c r="O56" s="950" t="s">
        <v>698</v>
      </c>
      <c r="P56" s="950">
        <v>10</v>
      </c>
      <c r="Q56" s="950" t="s">
        <v>112</v>
      </c>
      <c r="R56" s="950">
        <v>7</v>
      </c>
      <c r="S56" s="950" t="s">
        <v>698</v>
      </c>
      <c r="T56" s="950">
        <v>10</v>
      </c>
      <c r="U56" s="950" t="s">
        <v>698</v>
      </c>
      <c r="V56" s="950">
        <v>10</v>
      </c>
      <c r="W56" s="950" t="s">
        <v>698</v>
      </c>
      <c r="X56" s="950">
        <v>9</v>
      </c>
      <c r="Y56" s="950" t="s">
        <v>698</v>
      </c>
      <c r="Z56" s="950">
        <v>10</v>
      </c>
      <c r="AA56" s="950" t="s">
        <v>698</v>
      </c>
      <c r="AB56" s="950">
        <v>10</v>
      </c>
      <c r="AC56" s="950" t="s">
        <v>698</v>
      </c>
      <c r="AD56" s="950">
        <v>10</v>
      </c>
      <c r="AE56" s="950" t="s">
        <v>698</v>
      </c>
      <c r="AF56" s="950">
        <v>10</v>
      </c>
      <c r="AG56" s="950" t="s">
        <v>698</v>
      </c>
      <c r="AH56" s="950">
        <v>10</v>
      </c>
      <c r="AI56" s="950" t="s">
        <v>698</v>
      </c>
      <c r="AJ56" s="950">
        <f t="shared" si="2"/>
        <v>116</v>
      </c>
      <c r="AK56" s="950" t="s">
        <v>698</v>
      </c>
      <c r="AL56" s="946">
        <f t="shared" si="5"/>
        <v>9.6666666666666661</v>
      </c>
      <c r="AM56" s="929"/>
      <c r="AO56" s="925">
        <v>10</v>
      </c>
      <c r="AP56" s="981">
        <f t="shared" si="4"/>
        <v>0.33333333333333393</v>
      </c>
    </row>
    <row r="57" spans="1:42" ht="27" customHeight="1">
      <c r="A57" s="952"/>
      <c r="B57" s="1430" t="s">
        <v>68</v>
      </c>
      <c r="C57" s="1430"/>
      <c r="D57" s="1430"/>
      <c r="E57" s="1430"/>
      <c r="F57" s="1430"/>
      <c r="G57" s="1430"/>
      <c r="H57" s="1430"/>
      <c r="I57" s="1430"/>
      <c r="J57" s="1430"/>
      <c r="K57" s="1425">
        <f>SUM(L49:L56)</f>
        <v>85</v>
      </c>
      <c r="L57" s="1426"/>
      <c r="M57" s="1425">
        <f>SUM(N49:N56)</f>
        <v>85</v>
      </c>
      <c r="N57" s="1426"/>
      <c r="O57" s="1425">
        <f>SUM(P49:P56)</f>
        <v>82</v>
      </c>
      <c r="P57" s="1426"/>
      <c r="Q57" s="1425">
        <f>SUM(R49:R56)</f>
        <v>46</v>
      </c>
      <c r="R57" s="1426"/>
      <c r="S57" s="1425">
        <f>SUM(T49:T56)</f>
        <v>85</v>
      </c>
      <c r="T57" s="1426"/>
      <c r="U57" s="1425">
        <f>SUM(V49:V56)</f>
        <v>66</v>
      </c>
      <c r="V57" s="1426"/>
      <c r="W57" s="1425">
        <f>SUM(X49:X56)</f>
        <v>84</v>
      </c>
      <c r="X57" s="1426"/>
      <c r="Y57" s="1425">
        <f>SUM(Z49:Z56)</f>
        <v>85</v>
      </c>
      <c r="Z57" s="1426"/>
      <c r="AA57" s="1425">
        <f>SUM(AB49:AB56)</f>
        <v>85</v>
      </c>
      <c r="AB57" s="1426"/>
      <c r="AC57" s="1425">
        <f>SUM(AD49:AD56)</f>
        <v>83</v>
      </c>
      <c r="AD57" s="1426"/>
      <c r="AE57" s="1425">
        <f>SUM(AF49:AF56)</f>
        <v>82</v>
      </c>
      <c r="AF57" s="1426"/>
      <c r="AG57" s="1425">
        <f>SUM(AH49:AH56)</f>
        <v>84</v>
      </c>
      <c r="AH57" s="1426"/>
      <c r="AI57" s="1418">
        <f>SUM(K57:AG57)</f>
        <v>952</v>
      </c>
      <c r="AJ57" s="1498"/>
      <c r="AK57" s="1484">
        <v>84</v>
      </c>
      <c r="AL57" s="1420"/>
      <c r="AM57" s="929"/>
      <c r="AO57" s="925">
        <f>SUM(AO49:AO56)</f>
        <v>84</v>
      </c>
      <c r="AP57" s="981">
        <f>AO57-AK57</f>
        <v>0</v>
      </c>
    </row>
    <row r="58" spans="1:42" ht="21.75" customHeight="1">
      <c r="A58" s="953"/>
      <c r="B58" s="927"/>
      <c r="C58" s="928"/>
      <c r="D58" s="927"/>
      <c r="E58" s="927"/>
      <c r="F58" s="927"/>
      <c r="G58" s="927"/>
      <c r="H58" s="927"/>
      <c r="I58" s="927"/>
      <c r="J58" s="927"/>
      <c r="K58" s="954"/>
      <c r="L58" s="955"/>
      <c r="M58" s="955"/>
      <c r="N58" s="955"/>
      <c r="O58" s="955"/>
      <c r="P58" s="955"/>
      <c r="Q58" s="955"/>
      <c r="R58" s="955"/>
      <c r="S58" s="955"/>
      <c r="T58" s="955"/>
      <c r="U58" s="955"/>
      <c r="V58" s="955"/>
      <c r="W58" s="955"/>
      <c r="X58" s="955"/>
      <c r="Y58" s="955"/>
      <c r="Z58" s="955"/>
      <c r="AA58" s="955"/>
      <c r="AB58" s="955"/>
      <c r="AC58" s="955"/>
      <c r="AD58" s="955"/>
      <c r="AE58" s="955"/>
      <c r="AF58" s="955"/>
      <c r="AG58" s="955"/>
      <c r="AH58" s="955"/>
      <c r="AI58" s="955"/>
      <c r="AJ58" s="955"/>
      <c r="AK58" s="955"/>
      <c r="AL58" s="955"/>
      <c r="AM58" s="929"/>
    </row>
    <row r="59" spans="1:42" ht="21.75" customHeight="1">
      <c r="A59" s="953"/>
      <c r="B59" s="927"/>
      <c r="C59" s="928"/>
      <c r="D59" s="927"/>
      <c r="E59" s="927"/>
      <c r="F59" s="927"/>
      <c r="G59" s="927"/>
      <c r="H59" s="927"/>
      <c r="I59" s="927"/>
      <c r="J59" s="927"/>
      <c r="K59" s="927"/>
      <c r="L59" s="927"/>
      <c r="M59" s="927"/>
      <c r="N59" s="927"/>
      <c r="O59" s="927"/>
      <c r="P59" s="927"/>
      <c r="Q59" s="927"/>
      <c r="R59" s="927"/>
      <c r="S59" s="927"/>
      <c r="T59" s="927"/>
      <c r="U59" s="927"/>
      <c r="V59" s="927"/>
      <c r="W59" s="927"/>
      <c r="X59" s="927"/>
      <c r="Y59" s="927"/>
      <c r="Z59" s="927"/>
      <c r="AA59" s="927"/>
      <c r="AB59" s="927"/>
      <c r="AC59" s="927"/>
      <c r="AD59" s="927"/>
      <c r="AE59" s="927"/>
      <c r="AF59" s="927"/>
      <c r="AG59" s="927"/>
      <c r="AH59" s="927"/>
      <c r="AI59" s="927"/>
      <c r="AJ59" s="927"/>
      <c r="AK59" s="927"/>
      <c r="AL59" s="927"/>
      <c r="AM59" s="929"/>
    </row>
    <row r="60" spans="1:42" ht="21.75" customHeight="1">
      <c r="A60" s="953"/>
      <c r="B60" s="927"/>
      <c r="C60" s="928"/>
      <c r="D60" s="927"/>
      <c r="E60" s="927"/>
      <c r="F60" s="927"/>
      <c r="G60" s="927"/>
      <c r="H60" s="927"/>
      <c r="I60" s="927"/>
      <c r="J60" s="927"/>
      <c r="K60" s="927"/>
      <c r="L60" s="927"/>
      <c r="M60" s="927"/>
      <c r="N60" s="927"/>
      <c r="O60" s="927"/>
      <c r="P60" s="927"/>
      <c r="Q60" s="927"/>
      <c r="R60" s="927"/>
      <c r="S60" s="927"/>
      <c r="T60" s="927"/>
      <c r="U60" s="927"/>
      <c r="V60" s="927"/>
      <c r="W60" s="927"/>
      <c r="X60" s="927"/>
      <c r="Y60" s="927"/>
      <c r="Z60" s="927"/>
      <c r="AA60" s="927"/>
      <c r="AB60" s="927"/>
      <c r="AC60" s="927"/>
      <c r="AD60" s="927"/>
      <c r="AE60" s="927"/>
      <c r="AF60" s="927"/>
      <c r="AG60" s="927"/>
      <c r="AH60" s="927"/>
      <c r="AI60" s="927"/>
      <c r="AJ60" s="927"/>
      <c r="AK60" s="927"/>
      <c r="AL60" s="927"/>
      <c r="AM60" s="929"/>
    </row>
    <row r="61" spans="1:42" ht="21.75" customHeight="1">
      <c r="A61" s="953"/>
      <c r="B61" s="927"/>
      <c r="C61" s="928"/>
      <c r="D61" s="927"/>
      <c r="E61" s="927"/>
      <c r="F61" s="927"/>
      <c r="G61" s="927"/>
      <c r="H61" s="927"/>
      <c r="I61" s="927"/>
      <c r="J61" s="927"/>
      <c r="K61" s="927"/>
      <c r="L61" s="927"/>
      <c r="M61" s="927"/>
      <c r="N61" s="927"/>
      <c r="O61" s="927"/>
      <c r="P61" s="927"/>
      <c r="Q61" s="927"/>
      <c r="R61" s="927"/>
      <c r="S61" s="927"/>
      <c r="T61" s="927"/>
      <c r="U61" s="927"/>
      <c r="V61" s="927"/>
      <c r="W61" s="927"/>
      <c r="X61" s="927"/>
      <c r="Y61" s="927"/>
      <c r="Z61" s="927"/>
      <c r="AA61" s="927"/>
      <c r="AB61" s="927"/>
      <c r="AC61" s="927"/>
      <c r="AD61" s="927"/>
      <c r="AE61" s="927"/>
      <c r="AF61" s="927"/>
      <c r="AG61" s="927"/>
      <c r="AH61" s="927"/>
      <c r="AI61" s="927"/>
      <c r="AJ61" s="927"/>
      <c r="AK61" s="927"/>
      <c r="AL61" s="927"/>
      <c r="AM61" s="929"/>
    </row>
    <row r="62" spans="1:42" ht="21.75" customHeight="1">
      <c r="A62" s="957"/>
      <c r="B62" s="958"/>
      <c r="C62" s="934"/>
      <c r="D62" s="927"/>
      <c r="E62" s="959"/>
      <c r="F62" s="927"/>
      <c r="G62" s="927"/>
      <c r="H62" s="927"/>
      <c r="I62" s="927"/>
      <c r="J62" s="927"/>
      <c r="K62" s="927"/>
      <c r="L62" s="927"/>
      <c r="M62" s="927"/>
      <c r="N62" s="927"/>
      <c r="O62" s="927"/>
      <c r="P62" s="958"/>
      <c r="Q62" s="958"/>
      <c r="R62" s="958"/>
      <c r="S62" s="958"/>
      <c r="T62" s="958"/>
      <c r="U62" s="958"/>
      <c r="V62" s="958"/>
      <c r="W62" s="927"/>
      <c r="X62" s="927"/>
      <c r="Y62" s="934"/>
      <c r="Z62" s="927"/>
      <c r="AA62" s="927"/>
      <c r="AB62" s="934"/>
      <c r="AC62" s="934"/>
      <c r="AD62" s="960"/>
      <c r="AE62" s="1422" t="s">
        <v>634</v>
      </c>
      <c r="AF62" s="1423"/>
      <c r="AG62" s="1423"/>
      <c r="AH62" s="1423"/>
      <c r="AI62" s="1423"/>
      <c r="AJ62" s="1423"/>
      <c r="AK62" s="1423"/>
      <c r="AL62" s="1424"/>
      <c r="AM62" s="929"/>
    </row>
    <row r="63" spans="1:42" ht="21.75" customHeight="1">
      <c r="A63" s="957"/>
      <c r="B63" s="958"/>
      <c r="C63" s="934"/>
      <c r="D63" s="927"/>
      <c r="E63" s="959"/>
      <c r="F63" s="927"/>
      <c r="G63" s="927"/>
      <c r="H63" s="927"/>
      <c r="I63" s="927"/>
      <c r="J63" s="927"/>
      <c r="K63" s="927"/>
      <c r="L63" s="927"/>
      <c r="M63" s="927"/>
      <c r="N63" s="927"/>
      <c r="O63" s="927"/>
      <c r="P63" s="927"/>
      <c r="Q63" s="927"/>
      <c r="R63" s="958"/>
      <c r="S63" s="927"/>
      <c r="T63" s="927"/>
      <c r="U63" s="927"/>
      <c r="V63" s="927"/>
      <c r="W63" s="927"/>
      <c r="X63" s="927"/>
      <c r="Y63" s="934"/>
      <c r="Z63" s="927"/>
      <c r="AA63" s="927"/>
      <c r="AB63" s="934"/>
      <c r="AC63" s="934"/>
      <c r="AD63" s="960"/>
      <c r="AE63" s="953"/>
      <c r="AF63" s="927"/>
      <c r="AG63" s="934"/>
      <c r="AH63" s="927"/>
      <c r="AI63" s="927"/>
      <c r="AJ63" s="927"/>
      <c r="AK63" s="927"/>
      <c r="AL63" s="929"/>
      <c r="AM63" s="929"/>
    </row>
    <row r="64" spans="1:42" ht="21.75" customHeight="1">
      <c r="A64" s="957"/>
      <c r="B64" s="958"/>
      <c r="C64" s="934"/>
      <c r="D64" s="927"/>
      <c r="E64" s="959"/>
      <c r="F64" s="927"/>
      <c r="G64" s="927"/>
      <c r="H64" s="927"/>
      <c r="I64" s="927"/>
      <c r="J64" s="927"/>
      <c r="K64" s="927"/>
      <c r="L64" s="927"/>
      <c r="M64" s="927"/>
      <c r="N64" s="927"/>
      <c r="O64" s="927"/>
      <c r="P64" s="934"/>
      <c r="Q64" s="934"/>
      <c r="R64" s="934"/>
      <c r="S64" s="934"/>
      <c r="T64" s="927"/>
      <c r="U64" s="927"/>
      <c r="V64" s="958"/>
      <c r="W64" s="927"/>
      <c r="X64" s="927"/>
      <c r="Y64" s="934"/>
      <c r="Z64" s="927"/>
      <c r="AA64" s="961"/>
      <c r="AB64" s="934"/>
      <c r="AC64" s="934"/>
      <c r="AD64" s="960"/>
      <c r="AE64" s="953"/>
      <c r="AF64" s="927"/>
      <c r="AG64" s="934"/>
      <c r="AH64" s="927"/>
      <c r="AI64" s="927"/>
      <c r="AJ64" s="927"/>
      <c r="AK64" s="961"/>
      <c r="AL64" s="929"/>
      <c r="AM64" s="929"/>
    </row>
    <row r="65" spans="1:42" ht="21.75" customHeight="1">
      <c r="A65" s="957"/>
      <c r="B65" s="958"/>
      <c r="C65" s="934"/>
      <c r="D65" s="927"/>
      <c r="E65" s="959"/>
      <c r="F65" s="927"/>
      <c r="G65" s="962"/>
      <c r="H65" s="927"/>
      <c r="I65" s="927"/>
      <c r="J65" s="927"/>
      <c r="K65" s="927"/>
      <c r="L65" s="927"/>
      <c r="M65" s="927"/>
      <c r="N65" s="927"/>
      <c r="O65" s="927"/>
      <c r="P65" s="934"/>
      <c r="Q65" s="934"/>
      <c r="R65" s="934"/>
      <c r="S65" s="934"/>
      <c r="T65" s="928"/>
      <c r="U65" s="927"/>
      <c r="V65" s="958"/>
      <c r="W65" s="927"/>
      <c r="X65" s="927"/>
      <c r="Y65" s="934"/>
      <c r="Z65" s="927"/>
      <c r="AA65" s="927"/>
      <c r="AB65" s="934"/>
      <c r="AC65" s="934"/>
      <c r="AD65" s="960"/>
      <c r="AE65" s="963"/>
      <c r="AF65" s="964"/>
      <c r="AG65" s="965"/>
      <c r="AH65" s="964"/>
      <c r="AI65" s="964"/>
      <c r="AJ65" s="964"/>
      <c r="AK65" s="964"/>
      <c r="AL65" s="966"/>
      <c r="AM65" s="929"/>
    </row>
    <row r="66" spans="1:42" ht="21.75" customHeight="1">
      <c r="A66" s="953"/>
      <c r="B66" s="927"/>
      <c r="C66" s="928"/>
      <c r="D66" s="927"/>
      <c r="E66" s="958"/>
      <c r="F66" s="927"/>
      <c r="G66" s="958"/>
      <c r="H66" s="927"/>
      <c r="I66" s="927"/>
      <c r="J66" s="927"/>
      <c r="K66" s="927"/>
      <c r="L66" s="927"/>
      <c r="M66" s="927"/>
      <c r="N66" s="927"/>
      <c r="O66" s="927"/>
      <c r="P66" s="934"/>
      <c r="Q66" s="934"/>
      <c r="R66" s="934"/>
      <c r="S66" s="934"/>
      <c r="T66" s="927"/>
      <c r="U66" s="927"/>
      <c r="V66" s="958"/>
      <c r="W66" s="927"/>
      <c r="X66" s="927"/>
      <c r="Y66" s="934"/>
      <c r="Z66" s="927"/>
      <c r="AA66" s="927"/>
      <c r="AB66" s="934"/>
      <c r="AC66" s="934"/>
      <c r="AD66" s="960"/>
      <c r="AE66" s="953" t="s">
        <v>723</v>
      </c>
      <c r="AF66" s="927"/>
      <c r="AG66" s="934" t="s">
        <v>3</v>
      </c>
      <c r="AH66" s="928" t="s">
        <v>724</v>
      </c>
      <c r="AI66" s="927"/>
      <c r="AJ66" s="927"/>
      <c r="AK66" s="927"/>
      <c r="AL66" s="929"/>
      <c r="AM66" s="929"/>
    </row>
    <row r="67" spans="1:42" ht="21.75" customHeight="1">
      <c r="A67" s="953"/>
      <c r="B67" s="927"/>
      <c r="C67" s="934"/>
      <c r="D67" s="934"/>
      <c r="E67" s="934"/>
      <c r="F67" s="934"/>
      <c r="G67" s="934"/>
      <c r="H67" s="934"/>
      <c r="I67" s="934"/>
      <c r="J67" s="934"/>
      <c r="K67" s="934"/>
      <c r="L67" s="934"/>
      <c r="M67" s="934"/>
      <c r="N67" s="934"/>
      <c r="O67" s="934"/>
      <c r="P67" s="934"/>
      <c r="Q67" s="934"/>
      <c r="R67" s="934"/>
      <c r="S67" s="934"/>
      <c r="T67" s="927"/>
      <c r="U67" s="958"/>
      <c r="V67" s="958"/>
      <c r="W67" s="927"/>
      <c r="X67" s="927"/>
      <c r="Y67" s="934"/>
      <c r="Z67" s="927"/>
      <c r="AA67" s="927"/>
      <c r="AB67" s="934"/>
      <c r="AC67" s="934"/>
      <c r="AD67" s="960"/>
      <c r="AE67" s="953" t="s">
        <v>725</v>
      </c>
      <c r="AF67" s="927"/>
      <c r="AG67" s="934" t="s">
        <v>3</v>
      </c>
      <c r="AH67" s="927" t="s">
        <v>726</v>
      </c>
      <c r="AI67" s="927"/>
      <c r="AJ67" s="927"/>
      <c r="AK67" s="927"/>
      <c r="AL67" s="929"/>
      <c r="AM67" s="929"/>
    </row>
    <row r="68" spans="1:42" ht="21.75" customHeight="1">
      <c r="A68" s="953"/>
      <c r="B68" s="927"/>
      <c r="C68" s="934"/>
      <c r="D68" s="934"/>
      <c r="E68" s="934"/>
      <c r="F68" s="934"/>
      <c r="G68" s="934"/>
      <c r="H68" s="934"/>
      <c r="I68" s="934"/>
      <c r="J68" s="934"/>
      <c r="K68" s="934"/>
      <c r="L68" s="934"/>
      <c r="M68" s="934"/>
      <c r="N68" s="934"/>
      <c r="O68" s="934"/>
      <c r="P68" s="934"/>
      <c r="Q68" s="934"/>
      <c r="R68" s="934"/>
      <c r="S68" s="934"/>
      <c r="T68" s="958"/>
      <c r="U68" s="958"/>
      <c r="V68" s="958"/>
      <c r="W68" s="927"/>
      <c r="X68" s="927"/>
      <c r="Y68" s="934"/>
      <c r="Z68" s="928"/>
      <c r="AA68" s="927"/>
      <c r="AB68" s="934"/>
      <c r="AC68" s="934"/>
      <c r="AD68" s="960"/>
      <c r="AE68" s="963" t="s">
        <v>727</v>
      </c>
      <c r="AF68" s="964"/>
      <c r="AG68" s="965" t="s">
        <v>3</v>
      </c>
      <c r="AH68" s="967" t="str">
        <f>AH421</f>
        <v>02 Januari 2020</v>
      </c>
      <c r="AI68" s="967"/>
      <c r="AJ68" s="967"/>
      <c r="AK68" s="964"/>
      <c r="AL68" s="966"/>
      <c r="AM68" s="929"/>
    </row>
    <row r="69" spans="1:42" ht="18" customHeight="1">
      <c r="A69" s="963"/>
      <c r="B69" s="964"/>
      <c r="C69" s="968"/>
      <c r="D69" s="964"/>
      <c r="E69" s="964"/>
      <c r="F69" s="964"/>
      <c r="G69" s="965"/>
      <c r="H69" s="965"/>
      <c r="I69" s="964"/>
      <c r="J69" s="964"/>
      <c r="K69" s="964"/>
      <c r="L69" s="964"/>
      <c r="M69" s="964"/>
      <c r="N69" s="964"/>
      <c r="O69" s="964"/>
      <c r="P69" s="964"/>
      <c r="Q69" s="964"/>
      <c r="R69" s="964"/>
      <c r="S69" s="964"/>
      <c r="T69" s="964"/>
      <c r="U69" s="964"/>
      <c r="V69" s="964"/>
      <c r="W69" s="964"/>
      <c r="X69" s="964"/>
      <c r="Y69" s="964"/>
      <c r="Z69" s="964"/>
      <c r="AA69" s="964"/>
      <c r="AB69" s="964"/>
      <c r="AC69" s="964"/>
      <c r="AD69" s="964"/>
      <c r="AE69" s="964"/>
      <c r="AF69" s="964"/>
      <c r="AG69" s="964"/>
      <c r="AH69" s="964"/>
      <c r="AI69" s="964"/>
      <c r="AJ69" s="964"/>
      <c r="AK69" s="964"/>
      <c r="AL69" s="964"/>
      <c r="AM69" s="966"/>
    </row>
    <row r="70" spans="1:42" ht="29.25" customHeight="1">
      <c r="A70" s="969"/>
      <c r="B70" s="969"/>
      <c r="C70" s="970"/>
      <c r="D70" s="969"/>
      <c r="E70" s="969"/>
      <c r="F70" s="969"/>
      <c r="G70" s="971"/>
      <c r="H70" s="971"/>
      <c r="I70" s="969"/>
      <c r="J70" s="969"/>
      <c r="K70" s="969"/>
      <c r="L70" s="969"/>
      <c r="M70" s="969"/>
      <c r="N70" s="969"/>
      <c r="O70" s="969"/>
      <c r="P70" s="969"/>
      <c r="Q70" s="969"/>
      <c r="R70" s="969"/>
      <c r="S70" s="969"/>
      <c r="T70" s="969"/>
      <c r="U70" s="969"/>
      <c r="V70" s="969"/>
      <c r="W70" s="969"/>
      <c r="X70" s="969"/>
      <c r="Y70" s="969"/>
      <c r="Z70" s="969"/>
      <c r="AA70" s="969"/>
      <c r="AB70" s="969"/>
      <c r="AC70" s="969"/>
      <c r="AD70" s="969"/>
      <c r="AE70" s="969"/>
      <c r="AF70" s="969"/>
      <c r="AG70" s="969"/>
      <c r="AH70" s="969"/>
      <c r="AI70" s="969"/>
      <c r="AJ70" s="969"/>
      <c r="AK70" s="969"/>
      <c r="AL70" s="969"/>
      <c r="AM70" s="969"/>
    </row>
    <row r="71" spans="1:42" ht="15" customHeight="1">
      <c r="A71" s="972"/>
      <c r="B71" s="972"/>
      <c r="C71" s="973"/>
      <c r="D71" s="973"/>
      <c r="E71" s="973"/>
      <c r="F71" s="973"/>
      <c r="G71" s="973"/>
      <c r="H71" s="973"/>
      <c r="I71" s="974"/>
      <c r="J71" s="975"/>
      <c r="K71" s="973"/>
      <c r="L71" s="973"/>
      <c r="M71" s="973"/>
      <c r="N71" s="973"/>
      <c r="O71" s="973"/>
      <c r="P71" s="973"/>
      <c r="Q71" s="973"/>
      <c r="R71" s="973"/>
      <c r="S71" s="973"/>
      <c r="T71" s="973"/>
      <c r="U71" s="973"/>
      <c r="V71" s="973"/>
      <c r="W71" s="973"/>
      <c r="X71" s="973"/>
      <c r="Y71" s="976"/>
      <c r="Z71" s="973"/>
      <c r="AA71" s="973"/>
      <c r="AB71" s="973"/>
      <c r="AC71" s="973"/>
      <c r="AD71" s="973"/>
      <c r="AE71" s="973"/>
      <c r="AF71" s="973"/>
      <c r="AG71" s="973"/>
      <c r="AH71" s="973"/>
      <c r="AI71" s="973"/>
      <c r="AJ71" s="973"/>
      <c r="AK71" s="973"/>
      <c r="AL71" s="973"/>
      <c r="AM71" s="976"/>
      <c r="AN71" s="985"/>
      <c r="AO71" s="934"/>
      <c r="AP71" s="934"/>
    </row>
    <row r="72" spans="1:42" ht="15.75" customHeight="1">
      <c r="A72" s="1463"/>
      <c r="B72" s="1464"/>
      <c r="C72" s="1464"/>
      <c r="D72" s="1465"/>
      <c r="E72" s="1486" t="s">
        <v>537</v>
      </c>
      <c r="F72" s="1487"/>
      <c r="G72" s="1487"/>
      <c r="H72" s="1487"/>
      <c r="I72" s="1487"/>
      <c r="J72" s="1487"/>
      <c r="K72" s="1487"/>
      <c r="L72" s="1487"/>
      <c r="M72" s="1487"/>
      <c r="N72" s="1487"/>
      <c r="O72" s="1487"/>
      <c r="P72" s="1487"/>
      <c r="Q72" s="1487"/>
      <c r="R72" s="1487"/>
      <c r="S72" s="1487"/>
      <c r="T72" s="1487"/>
      <c r="U72" s="1487"/>
      <c r="V72" s="1487"/>
      <c r="W72" s="1487"/>
      <c r="X72" s="1487"/>
      <c r="Y72" s="1487"/>
      <c r="Z72" s="1487"/>
      <c r="AA72" s="1487"/>
      <c r="AB72" s="1487"/>
      <c r="AC72" s="1487"/>
      <c r="AD72" s="1487"/>
      <c r="AE72" s="1487"/>
      <c r="AF72" s="1488"/>
      <c r="AG72" s="1475" t="s">
        <v>731</v>
      </c>
      <c r="AH72" s="1476"/>
      <c r="AI72" s="1476"/>
      <c r="AJ72" s="1476"/>
      <c r="AK72" s="1476"/>
      <c r="AL72" s="1476"/>
      <c r="AM72" s="1477"/>
      <c r="AN72" s="977"/>
    </row>
    <row r="73" spans="1:42" ht="12" customHeight="1">
      <c r="A73" s="1466"/>
      <c r="B73" s="1467"/>
      <c r="C73" s="1467"/>
      <c r="D73" s="1468"/>
      <c r="E73" s="1489"/>
      <c r="F73" s="1490"/>
      <c r="G73" s="1490"/>
      <c r="H73" s="1490"/>
      <c r="I73" s="1490"/>
      <c r="J73" s="1490"/>
      <c r="K73" s="1490"/>
      <c r="L73" s="1490"/>
      <c r="M73" s="1490"/>
      <c r="N73" s="1490"/>
      <c r="O73" s="1490"/>
      <c r="P73" s="1490"/>
      <c r="Q73" s="1490"/>
      <c r="R73" s="1490"/>
      <c r="S73" s="1490"/>
      <c r="T73" s="1490"/>
      <c r="U73" s="1490"/>
      <c r="V73" s="1490"/>
      <c r="W73" s="1490"/>
      <c r="X73" s="1490"/>
      <c r="Y73" s="1490"/>
      <c r="Z73" s="1490"/>
      <c r="AA73" s="1490"/>
      <c r="AB73" s="1490"/>
      <c r="AC73" s="1490"/>
      <c r="AD73" s="1490"/>
      <c r="AE73" s="1490"/>
      <c r="AF73" s="1491"/>
      <c r="AG73" s="1478"/>
      <c r="AH73" s="1479"/>
      <c r="AI73" s="1479"/>
      <c r="AJ73" s="1479"/>
      <c r="AK73" s="1479"/>
      <c r="AL73" s="1479"/>
      <c r="AM73" s="1480"/>
      <c r="AN73" s="977"/>
    </row>
    <row r="74" spans="1:42" ht="11.25" customHeight="1">
      <c r="A74" s="1466"/>
      <c r="B74" s="1467"/>
      <c r="C74" s="1467"/>
      <c r="D74" s="1468"/>
      <c r="E74" s="1489"/>
      <c r="F74" s="1490"/>
      <c r="G74" s="1490"/>
      <c r="H74" s="1490"/>
      <c r="I74" s="1490"/>
      <c r="J74" s="1490"/>
      <c r="K74" s="1490"/>
      <c r="L74" s="1490"/>
      <c r="M74" s="1490"/>
      <c r="N74" s="1490"/>
      <c r="O74" s="1490"/>
      <c r="P74" s="1490"/>
      <c r="Q74" s="1490"/>
      <c r="R74" s="1490"/>
      <c r="S74" s="1490"/>
      <c r="T74" s="1490"/>
      <c r="U74" s="1490"/>
      <c r="V74" s="1490"/>
      <c r="W74" s="1490"/>
      <c r="X74" s="1490"/>
      <c r="Y74" s="1490"/>
      <c r="Z74" s="1490"/>
      <c r="AA74" s="1490"/>
      <c r="AB74" s="1490"/>
      <c r="AC74" s="1490"/>
      <c r="AD74" s="1490"/>
      <c r="AE74" s="1490"/>
      <c r="AF74" s="1491"/>
      <c r="AG74" s="1475" t="str">
        <f>AG3</f>
        <v>TGL  : 01 Januari - 31 Desember 2019</v>
      </c>
      <c r="AH74" s="1476"/>
      <c r="AI74" s="1476"/>
      <c r="AJ74" s="1476"/>
      <c r="AK74" s="1476"/>
      <c r="AL74" s="1476"/>
      <c r="AM74" s="1477"/>
    </row>
    <row r="75" spans="1:42" ht="8.25" customHeight="1">
      <c r="A75" s="1469"/>
      <c r="B75" s="1470"/>
      <c r="C75" s="1470"/>
      <c r="D75" s="1471"/>
      <c r="E75" s="1492"/>
      <c r="F75" s="1493"/>
      <c r="G75" s="1493"/>
      <c r="H75" s="1493"/>
      <c r="I75" s="1493"/>
      <c r="J75" s="1493"/>
      <c r="K75" s="1493"/>
      <c r="L75" s="1493"/>
      <c r="M75" s="1493"/>
      <c r="N75" s="1493"/>
      <c r="O75" s="1493"/>
      <c r="P75" s="1493"/>
      <c r="Q75" s="1493"/>
      <c r="R75" s="1493"/>
      <c r="S75" s="1493"/>
      <c r="T75" s="1493"/>
      <c r="U75" s="1493"/>
      <c r="V75" s="1493"/>
      <c r="W75" s="1493"/>
      <c r="X75" s="1493"/>
      <c r="Y75" s="1493"/>
      <c r="Z75" s="1493"/>
      <c r="AA75" s="1493"/>
      <c r="AB75" s="1493"/>
      <c r="AC75" s="1493"/>
      <c r="AD75" s="1493"/>
      <c r="AE75" s="1493"/>
      <c r="AF75" s="1494"/>
      <c r="AG75" s="1478"/>
      <c r="AH75" s="1479"/>
      <c r="AI75" s="1479"/>
      <c r="AJ75" s="1479"/>
      <c r="AK75" s="1479"/>
      <c r="AL75" s="1479"/>
      <c r="AM75" s="1480"/>
    </row>
    <row r="76" spans="1:42" ht="18" customHeight="1">
      <c r="A76" s="1433" t="s">
        <v>539</v>
      </c>
      <c r="B76" s="1434"/>
      <c r="C76" s="1434"/>
      <c r="D76" s="1435"/>
      <c r="E76" s="1439" t="s">
        <v>729</v>
      </c>
      <c r="F76" s="1440"/>
      <c r="G76" s="1440"/>
      <c r="H76" s="1440"/>
      <c r="I76" s="1440"/>
      <c r="J76" s="1440"/>
      <c r="K76" s="1440"/>
      <c r="L76" s="1440"/>
      <c r="M76" s="1440"/>
      <c r="N76" s="1440"/>
      <c r="O76" s="1440"/>
      <c r="P76" s="1440"/>
      <c r="Q76" s="1440"/>
      <c r="R76" s="1440"/>
      <c r="S76" s="1440"/>
      <c r="T76" s="1440"/>
      <c r="U76" s="1440"/>
      <c r="V76" s="1440"/>
      <c r="W76" s="1440"/>
      <c r="X76" s="1440"/>
      <c r="Y76" s="1440"/>
      <c r="Z76" s="1440"/>
      <c r="AA76" s="1440"/>
      <c r="AB76" s="1440"/>
      <c r="AC76" s="1440"/>
      <c r="AD76" s="1440"/>
      <c r="AE76" s="1440"/>
      <c r="AF76" s="1441"/>
      <c r="AG76" s="1445" t="s">
        <v>695</v>
      </c>
      <c r="AH76" s="1446"/>
      <c r="AI76" s="1446"/>
      <c r="AJ76" s="1446"/>
      <c r="AK76" s="1446"/>
      <c r="AL76" s="1446"/>
      <c r="AM76" s="1447"/>
    </row>
    <row r="77" spans="1:42" ht="18" customHeight="1">
      <c r="A77" s="1436"/>
      <c r="B77" s="1437"/>
      <c r="C77" s="1437"/>
      <c r="D77" s="1438"/>
      <c r="E77" s="1442"/>
      <c r="F77" s="1443"/>
      <c r="G77" s="1443"/>
      <c r="H77" s="1443"/>
      <c r="I77" s="1443"/>
      <c r="J77" s="1443"/>
      <c r="K77" s="1443"/>
      <c r="L77" s="1443"/>
      <c r="M77" s="1443"/>
      <c r="N77" s="1443"/>
      <c r="O77" s="1443"/>
      <c r="P77" s="1443"/>
      <c r="Q77" s="1443"/>
      <c r="R77" s="1443"/>
      <c r="S77" s="1443"/>
      <c r="T77" s="1443"/>
      <c r="U77" s="1443"/>
      <c r="V77" s="1443"/>
      <c r="W77" s="1443"/>
      <c r="X77" s="1443"/>
      <c r="Y77" s="1443"/>
      <c r="Z77" s="1443"/>
      <c r="AA77" s="1443"/>
      <c r="AB77" s="1443"/>
      <c r="AC77" s="1443"/>
      <c r="AD77" s="1443"/>
      <c r="AE77" s="1443"/>
      <c r="AF77" s="1444"/>
      <c r="AG77" s="1448"/>
      <c r="AH77" s="1449"/>
      <c r="AI77" s="1449"/>
      <c r="AJ77" s="1449"/>
      <c r="AK77" s="1449"/>
      <c r="AL77" s="1449"/>
      <c r="AM77" s="1450"/>
    </row>
    <row r="78" spans="1:42" ht="12" customHeight="1">
      <c r="A78" s="926"/>
      <c r="B78" s="927"/>
      <c r="C78" s="928"/>
      <c r="D78" s="927"/>
      <c r="E78" s="927"/>
      <c r="F78" s="927"/>
      <c r="G78" s="927"/>
      <c r="H78" s="927"/>
      <c r="I78" s="927"/>
      <c r="J78" s="927"/>
      <c r="K78" s="927"/>
      <c r="L78" s="927"/>
      <c r="M78" s="927"/>
      <c r="N78" s="927"/>
      <c r="O78" s="927"/>
      <c r="P78" s="927"/>
      <c r="Q78" s="927"/>
      <c r="R78" s="927"/>
      <c r="S78" s="927"/>
      <c r="T78" s="927"/>
      <c r="U78" s="927"/>
      <c r="V78" s="927"/>
      <c r="W78" s="927"/>
      <c r="X78" s="927"/>
      <c r="Y78" s="927"/>
      <c r="Z78" s="927"/>
      <c r="AA78" s="927"/>
      <c r="AB78" s="927"/>
      <c r="AC78" s="927"/>
      <c r="AD78" s="927"/>
      <c r="AE78" s="927"/>
      <c r="AF78" s="927"/>
      <c r="AG78" s="927"/>
      <c r="AH78" s="927"/>
      <c r="AI78" s="927"/>
      <c r="AJ78" s="927"/>
      <c r="AK78" s="927"/>
      <c r="AL78" s="927"/>
      <c r="AM78" s="929"/>
    </row>
    <row r="79" spans="1:42" ht="24" customHeight="1">
      <c r="A79" s="930" t="s">
        <v>543</v>
      </c>
      <c r="B79" s="931"/>
      <c r="C79" s="932"/>
      <c r="D79" s="931"/>
      <c r="E79" s="931"/>
      <c r="F79" s="931"/>
      <c r="G79" s="931"/>
      <c r="H79" s="931" t="s">
        <v>3</v>
      </c>
      <c r="I79" s="933" t="s">
        <v>170</v>
      </c>
      <c r="J79" s="931"/>
      <c r="K79" s="931"/>
      <c r="L79" s="931"/>
      <c r="M79" s="931"/>
      <c r="N79" s="931"/>
      <c r="O79" s="931"/>
      <c r="P79" s="931"/>
      <c r="Q79" s="931"/>
      <c r="R79" s="931"/>
      <c r="S79" s="931"/>
      <c r="T79" s="931"/>
      <c r="U79" s="931"/>
      <c r="V79" s="931"/>
      <c r="W79" s="931" t="s">
        <v>696</v>
      </c>
      <c r="X79" s="931"/>
      <c r="Y79" s="931"/>
      <c r="Z79" s="934"/>
      <c r="AA79" s="931" t="s">
        <v>3</v>
      </c>
      <c r="AB79" s="986" t="s">
        <v>732</v>
      </c>
      <c r="AC79" s="959"/>
      <c r="AD79" s="959"/>
      <c r="AE79" s="959"/>
      <c r="AF79" s="927"/>
      <c r="AG79" s="927"/>
      <c r="AH79" s="927"/>
      <c r="AI79" s="927"/>
      <c r="AJ79" s="927"/>
      <c r="AK79" s="927"/>
      <c r="AL79" s="927"/>
      <c r="AM79" s="929"/>
      <c r="AO79" s="924" t="str">
        <f>I79</f>
        <v>H.HARIS</v>
      </c>
    </row>
    <row r="80" spans="1:42" ht="24" customHeight="1">
      <c r="A80" s="930" t="s">
        <v>114</v>
      </c>
      <c r="B80" s="931"/>
      <c r="C80" s="932"/>
      <c r="D80" s="931"/>
      <c r="E80" s="931"/>
      <c r="F80" s="931"/>
      <c r="G80" s="931"/>
      <c r="H80" s="931" t="s">
        <v>3</v>
      </c>
      <c r="I80" s="933" t="s">
        <v>733</v>
      </c>
      <c r="J80" s="931"/>
      <c r="K80" s="931"/>
      <c r="L80" s="931"/>
      <c r="M80" s="931"/>
      <c r="N80" s="931"/>
      <c r="O80" s="931"/>
      <c r="P80" s="931"/>
      <c r="Q80" s="931"/>
      <c r="R80" s="931"/>
      <c r="S80" s="931"/>
      <c r="T80" s="931"/>
      <c r="U80" s="931"/>
      <c r="V80" s="931"/>
      <c r="W80" s="931" t="s">
        <v>545</v>
      </c>
      <c r="X80" s="931"/>
      <c r="Y80" s="931"/>
      <c r="Z80" s="934"/>
      <c r="AA80" s="931" t="s">
        <v>3</v>
      </c>
      <c r="AB80" s="1485"/>
      <c r="AC80" s="1485"/>
      <c r="AD80" s="1485"/>
      <c r="AE80" s="1485"/>
      <c r="AF80" s="1485"/>
      <c r="AG80" s="927"/>
      <c r="AH80" s="927"/>
      <c r="AI80" s="927"/>
      <c r="AJ80" s="927"/>
      <c r="AK80" s="927"/>
      <c r="AL80" s="927"/>
      <c r="AM80" s="929"/>
      <c r="AO80" s="924" t="s">
        <v>698</v>
      </c>
    </row>
    <row r="81" spans="1:41" ht="12" customHeight="1">
      <c r="A81" s="926"/>
      <c r="B81" s="927"/>
      <c r="C81" s="928"/>
      <c r="D81" s="927"/>
      <c r="E81" s="927"/>
      <c r="F81" s="927"/>
      <c r="G81" s="927"/>
      <c r="H81" s="927"/>
      <c r="I81" s="927"/>
      <c r="J81" s="927"/>
      <c r="K81" s="927"/>
      <c r="L81" s="927"/>
      <c r="M81" s="927"/>
      <c r="N81" s="927"/>
      <c r="O81" s="927"/>
      <c r="P81" s="927"/>
      <c r="Q81" s="927"/>
      <c r="R81" s="927"/>
      <c r="S81" s="927"/>
      <c r="T81" s="927"/>
      <c r="U81" s="987"/>
      <c r="V81" s="987"/>
      <c r="W81" s="987"/>
      <c r="X81" s="987"/>
      <c r="Y81" s="987"/>
      <c r="Z81" s="987"/>
      <c r="AA81" s="987"/>
      <c r="AB81" s="987"/>
      <c r="AC81" s="987"/>
      <c r="AD81" s="987"/>
      <c r="AE81" s="987"/>
      <c r="AF81" s="927"/>
      <c r="AG81" s="927"/>
      <c r="AH81" s="927"/>
      <c r="AI81" s="927"/>
      <c r="AJ81" s="927"/>
      <c r="AK81" s="927"/>
      <c r="AL81" s="927"/>
      <c r="AM81" s="929"/>
    </row>
    <row r="82" spans="1:41" ht="24" customHeight="1">
      <c r="A82" s="1451" t="s">
        <v>549</v>
      </c>
      <c r="B82" s="1453" t="s">
        <v>550</v>
      </c>
      <c r="C82" s="1454"/>
      <c r="D82" s="1454"/>
      <c r="E82" s="1454"/>
      <c r="F82" s="1454"/>
      <c r="G82" s="1454"/>
      <c r="H82" s="1454"/>
      <c r="I82" s="1454"/>
      <c r="J82" s="1455"/>
      <c r="K82" s="1431" t="s">
        <v>699</v>
      </c>
      <c r="L82" s="1432"/>
      <c r="M82" s="1431" t="s">
        <v>700</v>
      </c>
      <c r="N82" s="1432"/>
      <c r="O82" s="1431" t="s">
        <v>701</v>
      </c>
      <c r="P82" s="1432"/>
      <c r="Q82" s="1431" t="s">
        <v>702</v>
      </c>
      <c r="R82" s="1432"/>
      <c r="S82" s="1431" t="s">
        <v>703</v>
      </c>
      <c r="T82" s="1432"/>
      <c r="U82" s="1431" t="s">
        <v>704</v>
      </c>
      <c r="V82" s="1432"/>
      <c r="W82" s="1431" t="s">
        <v>705</v>
      </c>
      <c r="X82" s="1432"/>
      <c r="Y82" s="1431" t="s">
        <v>706</v>
      </c>
      <c r="Z82" s="1432"/>
      <c r="AA82" s="1431" t="s">
        <v>707</v>
      </c>
      <c r="AB82" s="1432"/>
      <c r="AC82" s="1431" t="s">
        <v>708</v>
      </c>
      <c r="AD82" s="1432"/>
      <c r="AE82" s="1431" t="s">
        <v>709</v>
      </c>
      <c r="AF82" s="1432"/>
      <c r="AG82" s="1459" t="s">
        <v>710</v>
      </c>
      <c r="AH82" s="1460"/>
      <c r="AI82" s="1461" t="s">
        <v>711</v>
      </c>
      <c r="AJ82" s="1432"/>
      <c r="AK82" s="1462" t="s">
        <v>712</v>
      </c>
      <c r="AL82" s="1432"/>
      <c r="AM82" s="929"/>
    </row>
    <row r="83" spans="1:41" ht="24" customHeight="1">
      <c r="A83" s="1452"/>
      <c r="B83" s="1456"/>
      <c r="C83" s="1457"/>
      <c r="D83" s="1457"/>
      <c r="E83" s="1457"/>
      <c r="F83" s="1457"/>
      <c r="G83" s="1457"/>
      <c r="H83" s="1457"/>
      <c r="I83" s="1457"/>
      <c r="J83" s="1458"/>
      <c r="K83" s="937" t="s">
        <v>713</v>
      </c>
      <c r="L83" s="937" t="s">
        <v>714</v>
      </c>
      <c r="M83" s="937" t="s">
        <v>713</v>
      </c>
      <c r="N83" s="937" t="s">
        <v>714</v>
      </c>
      <c r="O83" s="937" t="s">
        <v>713</v>
      </c>
      <c r="P83" s="937" t="s">
        <v>714</v>
      </c>
      <c r="Q83" s="937" t="s">
        <v>713</v>
      </c>
      <c r="R83" s="937" t="s">
        <v>714</v>
      </c>
      <c r="S83" s="937" t="s">
        <v>713</v>
      </c>
      <c r="T83" s="937" t="s">
        <v>714</v>
      </c>
      <c r="U83" s="937" t="s">
        <v>713</v>
      </c>
      <c r="V83" s="938" t="s">
        <v>714</v>
      </c>
      <c r="W83" s="937" t="s">
        <v>713</v>
      </c>
      <c r="X83" s="937" t="s">
        <v>714</v>
      </c>
      <c r="Y83" s="937" t="s">
        <v>713</v>
      </c>
      <c r="Z83" s="937" t="s">
        <v>714</v>
      </c>
      <c r="AA83" s="937" t="s">
        <v>713</v>
      </c>
      <c r="AB83" s="937" t="s">
        <v>714</v>
      </c>
      <c r="AC83" s="937" t="s">
        <v>713</v>
      </c>
      <c r="AD83" s="937" t="s">
        <v>714</v>
      </c>
      <c r="AE83" s="937" t="s">
        <v>713</v>
      </c>
      <c r="AF83" s="937" t="s">
        <v>714</v>
      </c>
      <c r="AG83" s="937" t="s">
        <v>713</v>
      </c>
      <c r="AH83" s="939" t="s">
        <v>714</v>
      </c>
      <c r="AI83" s="940" t="s">
        <v>713</v>
      </c>
      <c r="AJ83" s="937" t="s">
        <v>714</v>
      </c>
      <c r="AK83" s="938" t="s">
        <v>713</v>
      </c>
      <c r="AL83" s="937" t="s">
        <v>714</v>
      </c>
      <c r="AM83" s="929"/>
    </row>
    <row r="84" spans="1:41" ht="27" customHeight="1">
      <c r="A84" s="941" t="s">
        <v>555</v>
      </c>
      <c r="B84" s="1427" t="s">
        <v>715</v>
      </c>
      <c r="C84" s="1428"/>
      <c r="D84" s="1428"/>
      <c r="E84" s="1428"/>
      <c r="F84" s="1428"/>
      <c r="G84" s="1428"/>
      <c r="H84" s="1428"/>
      <c r="I84" s="1428"/>
      <c r="J84" s="1429"/>
      <c r="K84" s="943">
        <v>0</v>
      </c>
      <c r="L84" s="942">
        <v>0</v>
      </c>
      <c r="M84" s="943">
        <v>0</v>
      </c>
      <c r="N84" s="942">
        <v>0</v>
      </c>
      <c r="O84" s="943">
        <v>0</v>
      </c>
      <c r="P84" s="942">
        <v>0</v>
      </c>
      <c r="Q84" s="943">
        <v>0</v>
      </c>
      <c r="R84" s="942">
        <v>0</v>
      </c>
      <c r="S84" s="943">
        <v>0</v>
      </c>
      <c r="T84" s="942">
        <v>0</v>
      </c>
      <c r="U84" s="943">
        <v>0</v>
      </c>
      <c r="V84" s="942">
        <v>0</v>
      </c>
      <c r="W84" s="943">
        <v>0</v>
      </c>
      <c r="X84" s="942">
        <v>0</v>
      </c>
      <c r="Y84" s="943">
        <v>0</v>
      </c>
      <c r="Z84" s="942">
        <v>0</v>
      </c>
      <c r="AA84" s="943">
        <v>0</v>
      </c>
      <c r="AB84" s="942">
        <v>0</v>
      </c>
      <c r="AC84" s="943">
        <v>0</v>
      </c>
      <c r="AD84" s="942">
        <v>0</v>
      </c>
      <c r="AE84" s="943">
        <v>0</v>
      </c>
      <c r="AF84" s="942">
        <v>0</v>
      </c>
      <c r="AG84" s="943">
        <v>0</v>
      </c>
      <c r="AH84" s="942">
        <v>0</v>
      </c>
      <c r="AI84" s="944">
        <f>K84+M84+O84+Q84+S84+U84+W84+Y84+AA84+AC84+AE84+AG84</f>
        <v>0</v>
      </c>
      <c r="AJ84" s="945">
        <f>L84+N84+P84+R84+T84+V84+X84+Z84+AB84+AD84+AF84+AH84</f>
        <v>0</v>
      </c>
      <c r="AK84" s="945">
        <f>+AI84/1</f>
        <v>0</v>
      </c>
      <c r="AL84" s="945">
        <v>0</v>
      </c>
      <c r="AM84" s="929"/>
      <c r="AO84" s="925">
        <v>8</v>
      </c>
    </row>
    <row r="85" spans="1:41" ht="27" customHeight="1">
      <c r="A85" s="941" t="s">
        <v>560</v>
      </c>
      <c r="B85" s="1427" t="s">
        <v>716</v>
      </c>
      <c r="C85" s="1428"/>
      <c r="D85" s="1428"/>
      <c r="E85" s="1428"/>
      <c r="F85" s="1428"/>
      <c r="G85" s="1428"/>
      <c r="H85" s="1428"/>
      <c r="I85" s="1428"/>
      <c r="J85" s="1429"/>
      <c r="K85" s="942">
        <v>0</v>
      </c>
      <c r="L85" s="942">
        <v>0</v>
      </c>
      <c r="M85" s="942">
        <v>0</v>
      </c>
      <c r="N85" s="942">
        <v>0</v>
      </c>
      <c r="O85" s="942">
        <v>0</v>
      </c>
      <c r="P85" s="942">
        <v>0</v>
      </c>
      <c r="Q85" s="942">
        <v>0</v>
      </c>
      <c r="R85" s="942">
        <v>0</v>
      </c>
      <c r="S85" s="942">
        <v>0</v>
      </c>
      <c r="T85" s="942">
        <v>0</v>
      </c>
      <c r="U85" s="942">
        <v>0</v>
      </c>
      <c r="V85" s="942">
        <v>0</v>
      </c>
      <c r="W85" s="942">
        <v>0</v>
      </c>
      <c r="X85" s="942">
        <v>0</v>
      </c>
      <c r="Y85" s="942">
        <v>0</v>
      </c>
      <c r="Z85" s="942">
        <v>0</v>
      </c>
      <c r="AA85" s="942">
        <v>0</v>
      </c>
      <c r="AB85" s="942">
        <v>0</v>
      </c>
      <c r="AC85" s="942">
        <v>0</v>
      </c>
      <c r="AD85" s="942">
        <v>0</v>
      </c>
      <c r="AE85" s="942">
        <v>0</v>
      </c>
      <c r="AF85" s="942">
        <v>0</v>
      </c>
      <c r="AG85" s="942">
        <v>0</v>
      </c>
      <c r="AH85" s="942">
        <v>0</v>
      </c>
      <c r="AI85" s="944">
        <f>K85+M85+O85+Q85+S85+U85+W85+Y85+AA85+AC85+AE85+AG85</f>
        <v>0</v>
      </c>
      <c r="AJ85" s="945">
        <f t="shared" ref="AJ85:AJ86" si="6">+L85+N85+P85+R85+T85+V85+X85+Z85+AB85+AD85+AF85+AH85</f>
        <v>0</v>
      </c>
      <c r="AK85" s="945">
        <f>+AI85/12</f>
        <v>0</v>
      </c>
      <c r="AL85" s="945">
        <v>0</v>
      </c>
      <c r="AM85" s="929"/>
      <c r="AO85" s="925">
        <v>1</v>
      </c>
    </row>
    <row r="86" spans="1:41" ht="27" customHeight="1">
      <c r="A86" s="941" t="s">
        <v>563</v>
      </c>
      <c r="B86" s="1427" t="s">
        <v>717</v>
      </c>
      <c r="C86" s="1428"/>
      <c r="D86" s="1428"/>
      <c r="E86" s="1428"/>
      <c r="F86" s="1428"/>
      <c r="G86" s="1428"/>
      <c r="H86" s="1428"/>
      <c r="I86" s="1428"/>
      <c r="J86" s="1429"/>
      <c r="K86" s="943">
        <v>0</v>
      </c>
      <c r="L86" s="942">
        <v>5</v>
      </c>
      <c r="M86" s="943">
        <v>0</v>
      </c>
      <c r="N86" s="942">
        <v>5</v>
      </c>
      <c r="O86" s="943">
        <v>0</v>
      </c>
      <c r="P86" s="942">
        <v>5</v>
      </c>
      <c r="Q86" s="943">
        <v>0</v>
      </c>
      <c r="R86" s="942">
        <v>5</v>
      </c>
      <c r="S86" s="943">
        <v>0</v>
      </c>
      <c r="T86" s="942">
        <v>5</v>
      </c>
      <c r="U86" s="943">
        <v>0</v>
      </c>
      <c r="V86" s="942">
        <v>5</v>
      </c>
      <c r="W86" s="943">
        <v>0</v>
      </c>
      <c r="X86" s="942">
        <v>5</v>
      </c>
      <c r="Y86" s="943">
        <v>0</v>
      </c>
      <c r="Z86" s="942">
        <v>5</v>
      </c>
      <c r="AA86" s="943">
        <v>0</v>
      </c>
      <c r="AB86" s="942">
        <v>5</v>
      </c>
      <c r="AC86" s="943">
        <v>0</v>
      </c>
      <c r="AD86" s="942">
        <v>5</v>
      </c>
      <c r="AE86" s="943">
        <v>0</v>
      </c>
      <c r="AF86" s="942">
        <v>5</v>
      </c>
      <c r="AG86" s="943">
        <v>0</v>
      </c>
      <c r="AH86" s="942">
        <v>5</v>
      </c>
      <c r="AI86" s="944">
        <f>K86+M86+O86+Q86+S86+U86+W86+Y86+AA86+AC86+AE86+AG86</f>
        <v>0</v>
      </c>
      <c r="AJ86" s="950">
        <f t="shared" si="6"/>
        <v>60</v>
      </c>
      <c r="AK86" s="945">
        <f>+AI86/12</f>
        <v>0</v>
      </c>
      <c r="AL86" s="946">
        <v>5</v>
      </c>
      <c r="AM86" s="929"/>
      <c r="AO86" s="925">
        <v>5</v>
      </c>
    </row>
    <row r="87" spans="1:41" ht="27" customHeight="1">
      <c r="A87" s="941" t="s">
        <v>567</v>
      </c>
      <c r="B87" s="1427" t="s">
        <v>718</v>
      </c>
      <c r="C87" s="1428"/>
      <c r="D87" s="1428"/>
      <c r="E87" s="1428"/>
      <c r="F87" s="1428"/>
      <c r="G87" s="1428"/>
      <c r="H87" s="1428"/>
      <c r="I87" s="1428"/>
      <c r="J87" s="1429"/>
      <c r="K87" s="950" t="s">
        <v>112</v>
      </c>
      <c r="L87" s="988">
        <v>7</v>
      </c>
      <c r="M87" s="950" t="s">
        <v>112</v>
      </c>
      <c r="N87" s="988">
        <v>7</v>
      </c>
      <c r="O87" s="950" t="s">
        <v>112</v>
      </c>
      <c r="P87" s="988">
        <v>7</v>
      </c>
      <c r="Q87" s="950" t="s">
        <v>112</v>
      </c>
      <c r="R87" s="988">
        <v>7</v>
      </c>
      <c r="S87" s="950" t="s">
        <v>112</v>
      </c>
      <c r="T87" s="988">
        <v>7</v>
      </c>
      <c r="U87" s="950" t="s">
        <v>112</v>
      </c>
      <c r="V87" s="988">
        <v>7</v>
      </c>
      <c r="W87" s="950" t="s">
        <v>112</v>
      </c>
      <c r="X87" s="988">
        <v>7</v>
      </c>
      <c r="Y87" s="950" t="s">
        <v>112</v>
      </c>
      <c r="Z87" s="988">
        <v>7</v>
      </c>
      <c r="AA87" s="950" t="s">
        <v>112</v>
      </c>
      <c r="AB87" s="988">
        <v>7</v>
      </c>
      <c r="AC87" s="950" t="s">
        <v>112</v>
      </c>
      <c r="AD87" s="988">
        <v>7</v>
      </c>
      <c r="AE87" s="950" t="s">
        <v>112</v>
      </c>
      <c r="AF87" s="988">
        <v>7</v>
      </c>
      <c r="AG87" s="950" t="s">
        <v>112</v>
      </c>
      <c r="AH87" s="988">
        <v>7</v>
      </c>
      <c r="AI87" s="950" t="s">
        <v>112</v>
      </c>
      <c r="AJ87" s="950">
        <f>+L87+N87+P87+R87+T87+V87+X87+Z87+AB87+AD87+AF87+AH87</f>
        <v>84</v>
      </c>
      <c r="AK87" s="950" t="s">
        <v>112</v>
      </c>
      <c r="AL87" s="946">
        <f>+AJ87/12</f>
        <v>7</v>
      </c>
      <c r="AM87" s="929"/>
      <c r="AO87" s="925">
        <v>8</v>
      </c>
    </row>
    <row r="88" spans="1:41" ht="27" customHeight="1">
      <c r="A88" s="941" t="s">
        <v>571</v>
      </c>
      <c r="B88" s="1427" t="s">
        <v>719</v>
      </c>
      <c r="C88" s="1428"/>
      <c r="D88" s="1428"/>
      <c r="E88" s="1428"/>
      <c r="F88" s="1428"/>
      <c r="G88" s="1428"/>
      <c r="H88" s="1428"/>
      <c r="I88" s="1428"/>
      <c r="J88" s="1429"/>
      <c r="K88" s="950" t="s">
        <v>112</v>
      </c>
      <c r="L88" s="950">
        <v>7</v>
      </c>
      <c r="M88" s="950" t="s">
        <v>112</v>
      </c>
      <c r="N88" s="950">
        <v>7</v>
      </c>
      <c r="O88" s="950" t="s">
        <v>112</v>
      </c>
      <c r="P88" s="950">
        <v>7</v>
      </c>
      <c r="Q88" s="950" t="s">
        <v>112</v>
      </c>
      <c r="R88" s="950">
        <v>7</v>
      </c>
      <c r="S88" s="950" t="s">
        <v>112</v>
      </c>
      <c r="T88" s="950">
        <v>7</v>
      </c>
      <c r="U88" s="950" t="s">
        <v>112</v>
      </c>
      <c r="V88" s="950">
        <v>7</v>
      </c>
      <c r="W88" s="950" t="s">
        <v>112</v>
      </c>
      <c r="X88" s="950">
        <v>7</v>
      </c>
      <c r="Y88" s="950" t="s">
        <v>112</v>
      </c>
      <c r="Z88" s="950">
        <v>7</v>
      </c>
      <c r="AA88" s="950" t="s">
        <v>112</v>
      </c>
      <c r="AB88" s="950">
        <v>7</v>
      </c>
      <c r="AC88" s="950" t="s">
        <v>112</v>
      </c>
      <c r="AD88" s="950">
        <v>7</v>
      </c>
      <c r="AE88" s="950" t="s">
        <v>112</v>
      </c>
      <c r="AF88" s="950">
        <v>7</v>
      </c>
      <c r="AG88" s="950" t="s">
        <v>112</v>
      </c>
      <c r="AH88" s="950">
        <v>7</v>
      </c>
      <c r="AI88" s="950" t="s">
        <v>112</v>
      </c>
      <c r="AJ88" s="950">
        <f>+L88+N88+P88+R88+T88+V88+X88+Z88+AB88+AD88+AF88+AH88</f>
        <v>84</v>
      </c>
      <c r="AK88" s="950" t="s">
        <v>112</v>
      </c>
      <c r="AL88" s="946">
        <f>+AJ88/12</f>
        <v>7</v>
      </c>
      <c r="AM88" s="929"/>
      <c r="AO88" s="925">
        <v>8</v>
      </c>
    </row>
    <row r="89" spans="1:41" ht="27" customHeight="1">
      <c r="A89" s="941" t="s">
        <v>575</v>
      </c>
      <c r="B89" s="1427" t="s">
        <v>720</v>
      </c>
      <c r="C89" s="1428"/>
      <c r="D89" s="1428"/>
      <c r="E89" s="1428"/>
      <c r="F89" s="1428"/>
      <c r="G89" s="1428"/>
      <c r="H89" s="1428"/>
      <c r="I89" s="1428"/>
      <c r="J89" s="1429"/>
      <c r="K89" s="950" t="s">
        <v>112</v>
      </c>
      <c r="L89" s="950">
        <v>7</v>
      </c>
      <c r="M89" s="950" t="s">
        <v>112</v>
      </c>
      <c r="N89" s="950">
        <v>7</v>
      </c>
      <c r="O89" s="950" t="s">
        <v>112</v>
      </c>
      <c r="P89" s="950">
        <v>7</v>
      </c>
      <c r="Q89" s="950" t="s">
        <v>112</v>
      </c>
      <c r="R89" s="950">
        <v>7</v>
      </c>
      <c r="S89" s="950" t="s">
        <v>112</v>
      </c>
      <c r="T89" s="950">
        <v>7</v>
      </c>
      <c r="U89" s="950" t="s">
        <v>112</v>
      </c>
      <c r="V89" s="950">
        <v>7</v>
      </c>
      <c r="W89" s="950" t="s">
        <v>112</v>
      </c>
      <c r="X89" s="950">
        <v>7</v>
      </c>
      <c r="Y89" s="950" t="s">
        <v>112</v>
      </c>
      <c r="Z89" s="950">
        <v>7</v>
      </c>
      <c r="AA89" s="950" t="s">
        <v>112</v>
      </c>
      <c r="AB89" s="950">
        <v>7</v>
      </c>
      <c r="AC89" s="950" t="s">
        <v>112</v>
      </c>
      <c r="AD89" s="950">
        <v>7</v>
      </c>
      <c r="AE89" s="950" t="s">
        <v>112</v>
      </c>
      <c r="AF89" s="950">
        <v>7</v>
      </c>
      <c r="AG89" s="950" t="s">
        <v>112</v>
      </c>
      <c r="AH89" s="950">
        <v>7</v>
      </c>
      <c r="AI89" s="950" t="s">
        <v>112</v>
      </c>
      <c r="AJ89" s="950">
        <f>+L89+N89+P89+R89+T89+V89+X89+Z89+AB89+AD89+AF89+AH89</f>
        <v>84</v>
      </c>
      <c r="AK89" s="950" t="s">
        <v>112</v>
      </c>
      <c r="AL89" s="946">
        <f>+AJ89/12</f>
        <v>7</v>
      </c>
      <c r="AM89" s="929"/>
      <c r="AO89" s="925">
        <v>7</v>
      </c>
    </row>
    <row r="90" spans="1:41" ht="27" customHeight="1">
      <c r="A90" s="941" t="s">
        <v>578</v>
      </c>
      <c r="B90" s="1427" t="s">
        <v>721</v>
      </c>
      <c r="C90" s="1428"/>
      <c r="D90" s="1428"/>
      <c r="E90" s="1428"/>
      <c r="F90" s="1428"/>
      <c r="G90" s="1428"/>
      <c r="H90" s="1428"/>
      <c r="I90" s="1428"/>
      <c r="J90" s="1429"/>
      <c r="K90" s="950" t="s">
        <v>112</v>
      </c>
      <c r="L90" s="950">
        <v>7</v>
      </c>
      <c r="M90" s="950" t="s">
        <v>112</v>
      </c>
      <c r="N90" s="950">
        <v>7</v>
      </c>
      <c r="O90" s="950" t="s">
        <v>112</v>
      </c>
      <c r="P90" s="950">
        <v>7</v>
      </c>
      <c r="Q90" s="950" t="s">
        <v>112</v>
      </c>
      <c r="R90" s="950">
        <v>7</v>
      </c>
      <c r="S90" s="950" t="s">
        <v>112</v>
      </c>
      <c r="T90" s="950">
        <v>7</v>
      </c>
      <c r="U90" s="950" t="s">
        <v>112</v>
      </c>
      <c r="V90" s="950">
        <v>7</v>
      </c>
      <c r="W90" s="950" t="s">
        <v>112</v>
      </c>
      <c r="X90" s="950">
        <v>7</v>
      </c>
      <c r="Y90" s="950" t="s">
        <v>112</v>
      </c>
      <c r="Z90" s="950">
        <v>7</v>
      </c>
      <c r="AA90" s="950" t="s">
        <v>112</v>
      </c>
      <c r="AB90" s="950">
        <v>7</v>
      </c>
      <c r="AC90" s="950" t="s">
        <v>112</v>
      </c>
      <c r="AD90" s="950">
        <v>7</v>
      </c>
      <c r="AE90" s="950" t="s">
        <v>112</v>
      </c>
      <c r="AF90" s="950">
        <v>7</v>
      </c>
      <c r="AG90" s="950" t="s">
        <v>112</v>
      </c>
      <c r="AH90" s="950">
        <v>7</v>
      </c>
      <c r="AI90" s="950" t="s">
        <v>112</v>
      </c>
      <c r="AJ90" s="950">
        <f>+L90+N90+P90+R90+T90+V90+X90+Z90+AB90+AD90+AF90+AH90</f>
        <v>84</v>
      </c>
      <c r="AK90" s="950" t="s">
        <v>112</v>
      </c>
      <c r="AL90" s="946">
        <f>+AJ90/12</f>
        <v>7</v>
      </c>
      <c r="AM90" s="929"/>
      <c r="AO90" s="925">
        <v>7</v>
      </c>
    </row>
    <row r="91" spans="1:41" ht="27" customHeight="1">
      <c r="A91" s="941" t="s">
        <v>581</v>
      </c>
      <c r="B91" s="1427" t="s">
        <v>722</v>
      </c>
      <c r="C91" s="1428"/>
      <c r="D91" s="1428"/>
      <c r="E91" s="1428"/>
      <c r="F91" s="1428"/>
      <c r="G91" s="1428"/>
      <c r="H91" s="1428"/>
      <c r="I91" s="1428"/>
      <c r="J91" s="1429"/>
      <c r="K91" s="950" t="s">
        <v>112</v>
      </c>
      <c r="L91" s="950">
        <v>7</v>
      </c>
      <c r="M91" s="950" t="s">
        <v>112</v>
      </c>
      <c r="N91" s="950">
        <v>7</v>
      </c>
      <c r="O91" s="950" t="s">
        <v>112</v>
      </c>
      <c r="P91" s="950">
        <v>7</v>
      </c>
      <c r="Q91" s="950" t="s">
        <v>112</v>
      </c>
      <c r="R91" s="950">
        <v>7</v>
      </c>
      <c r="S91" s="950" t="s">
        <v>112</v>
      </c>
      <c r="T91" s="950">
        <v>7</v>
      </c>
      <c r="U91" s="950" t="s">
        <v>112</v>
      </c>
      <c r="V91" s="950">
        <v>7</v>
      </c>
      <c r="W91" s="950" t="s">
        <v>112</v>
      </c>
      <c r="X91" s="950">
        <v>7</v>
      </c>
      <c r="Y91" s="950" t="s">
        <v>112</v>
      </c>
      <c r="Z91" s="950">
        <v>7</v>
      </c>
      <c r="AA91" s="950" t="s">
        <v>112</v>
      </c>
      <c r="AB91" s="950">
        <v>7</v>
      </c>
      <c r="AC91" s="950" t="s">
        <v>112</v>
      </c>
      <c r="AD91" s="950">
        <v>7</v>
      </c>
      <c r="AE91" s="950" t="s">
        <v>112</v>
      </c>
      <c r="AF91" s="950">
        <v>7</v>
      </c>
      <c r="AG91" s="950" t="s">
        <v>112</v>
      </c>
      <c r="AH91" s="950">
        <v>7</v>
      </c>
      <c r="AI91" s="950" t="s">
        <v>112</v>
      </c>
      <c r="AJ91" s="950">
        <f>+L91+N91+P91+R91+T91+V91+X91+Z91+AB91+AD91+AF91+AH91</f>
        <v>84</v>
      </c>
      <c r="AK91" s="950" t="s">
        <v>112</v>
      </c>
      <c r="AL91" s="946">
        <f>+AJ91/12</f>
        <v>7</v>
      </c>
      <c r="AM91" s="929"/>
      <c r="AO91" s="925">
        <v>7</v>
      </c>
    </row>
    <row r="92" spans="1:41" ht="27" customHeight="1">
      <c r="A92" s="952"/>
      <c r="B92" s="1430" t="s">
        <v>68</v>
      </c>
      <c r="C92" s="1430"/>
      <c r="D92" s="1430"/>
      <c r="E92" s="1430"/>
      <c r="F92" s="1430"/>
      <c r="G92" s="1430"/>
      <c r="H92" s="1430"/>
      <c r="I92" s="1430"/>
      <c r="J92" s="1430"/>
      <c r="K92" s="1419">
        <f>SUM(L84:L91)</f>
        <v>40</v>
      </c>
      <c r="L92" s="1495"/>
      <c r="M92" s="1425">
        <f>SUM(N84:N91)</f>
        <v>40</v>
      </c>
      <c r="N92" s="1426"/>
      <c r="O92" s="1425">
        <f>SUM(P84:P91)</f>
        <v>40</v>
      </c>
      <c r="P92" s="1426"/>
      <c r="Q92" s="1425">
        <f>SUM(R84:R91)</f>
        <v>40</v>
      </c>
      <c r="R92" s="1426"/>
      <c r="S92" s="1425">
        <f>SUM(T84:T91)</f>
        <v>40</v>
      </c>
      <c r="T92" s="1426"/>
      <c r="U92" s="1425">
        <f>SUM(V84:V91)</f>
        <v>40</v>
      </c>
      <c r="V92" s="1426"/>
      <c r="W92" s="1425">
        <f>SUM(X84:X91)</f>
        <v>40</v>
      </c>
      <c r="X92" s="1426"/>
      <c r="Y92" s="1425">
        <f>SUM(Z84:Z91)</f>
        <v>40</v>
      </c>
      <c r="Z92" s="1426"/>
      <c r="AA92" s="1425">
        <f>SUM(AB84:AB91)</f>
        <v>40</v>
      </c>
      <c r="AB92" s="1426"/>
      <c r="AC92" s="1425">
        <f>SUM(AD84:AD91)</f>
        <v>40</v>
      </c>
      <c r="AD92" s="1426"/>
      <c r="AE92" s="1425">
        <f>SUM(AF84:AF91)</f>
        <v>40</v>
      </c>
      <c r="AF92" s="1426"/>
      <c r="AG92" s="1425">
        <f>SUM(AH84:AH91)</f>
        <v>40</v>
      </c>
      <c r="AH92" s="1426"/>
      <c r="AI92" s="1484">
        <f>SUM(K92:AG92)</f>
        <v>480</v>
      </c>
      <c r="AJ92" s="1420"/>
      <c r="AK92" s="1420">
        <f>SUM(AL84:AL91)</f>
        <v>40</v>
      </c>
      <c r="AL92" s="1420"/>
      <c r="AM92" s="929"/>
      <c r="AO92" s="925">
        <f>SUM(AO84:AO91)</f>
        <v>51</v>
      </c>
    </row>
    <row r="93" spans="1:41" ht="21.75" customHeight="1">
      <c r="A93" s="953"/>
      <c r="B93" s="927"/>
      <c r="C93" s="928"/>
      <c r="D93" s="927"/>
      <c r="E93" s="927"/>
      <c r="F93" s="927"/>
      <c r="G93" s="927"/>
      <c r="H93" s="927"/>
      <c r="I93" s="927"/>
      <c r="J93" s="927"/>
      <c r="K93" s="954"/>
      <c r="L93" s="955"/>
      <c r="M93" s="955"/>
      <c r="N93" s="955"/>
      <c r="O93" s="955"/>
      <c r="P93" s="955"/>
      <c r="Q93" s="955"/>
      <c r="R93" s="955"/>
      <c r="S93" s="955"/>
      <c r="T93" s="955"/>
      <c r="U93" s="955"/>
      <c r="V93" s="955"/>
      <c r="W93" s="955"/>
      <c r="X93" s="955"/>
      <c r="Y93" s="955"/>
      <c r="Z93" s="955"/>
      <c r="AA93" s="955"/>
      <c r="AB93" s="955"/>
      <c r="AC93" s="955"/>
      <c r="AD93" s="955"/>
      <c r="AE93" s="955"/>
      <c r="AF93" s="955"/>
      <c r="AG93" s="955"/>
      <c r="AH93" s="955"/>
      <c r="AI93" s="955"/>
      <c r="AJ93" s="955"/>
      <c r="AK93" s="955"/>
      <c r="AL93" s="955"/>
      <c r="AM93" s="929"/>
    </row>
    <row r="94" spans="1:41" ht="21.75" customHeight="1">
      <c r="A94" s="953"/>
      <c r="B94" s="927"/>
      <c r="C94" s="928"/>
      <c r="D94" s="927"/>
      <c r="E94" s="927"/>
      <c r="F94" s="927"/>
      <c r="G94" s="927"/>
      <c r="H94" s="927"/>
      <c r="I94" s="927"/>
      <c r="J94" s="927"/>
      <c r="K94" s="927"/>
      <c r="L94" s="927"/>
      <c r="M94" s="927"/>
      <c r="N94" s="927"/>
      <c r="O94" s="927"/>
      <c r="P94" s="927"/>
      <c r="Q94" s="927"/>
      <c r="R94" s="927"/>
      <c r="S94" s="927"/>
      <c r="T94" s="927"/>
      <c r="U94" s="927"/>
      <c r="V94" s="927"/>
      <c r="W94" s="927"/>
      <c r="X94" s="927"/>
      <c r="Y94" s="927"/>
      <c r="Z94" s="927"/>
      <c r="AA94" s="927"/>
      <c r="AB94" s="927"/>
      <c r="AC94" s="927"/>
      <c r="AD94" s="927"/>
      <c r="AE94" s="927"/>
      <c r="AF94" s="927"/>
      <c r="AG94" s="927"/>
      <c r="AH94" s="927"/>
      <c r="AI94" s="927"/>
      <c r="AJ94" s="927"/>
      <c r="AK94" s="927"/>
      <c r="AL94" s="927"/>
      <c r="AM94" s="929"/>
    </row>
    <row r="95" spans="1:41" ht="21.75" customHeight="1">
      <c r="A95" s="953"/>
      <c r="B95" s="927"/>
      <c r="C95" s="928"/>
      <c r="D95" s="927"/>
      <c r="E95" s="927"/>
      <c r="F95" s="927"/>
      <c r="G95" s="927"/>
      <c r="H95" s="927"/>
      <c r="I95" s="927"/>
      <c r="J95" s="927"/>
      <c r="K95" s="927"/>
      <c r="L95" s="927"/>
      <c r="M95" s="927"/>
      <c r="N95" s="927"/>
      <c r="O95" s="927"/>
      <c r="P95" s="927"/>
      <c r="Q95" s="927"/>
      <c r="R95" s="927"/>
      <c r="S95" s="927"/>
      <c r="T95" s="927"/>
      <c r="U95" s="927"/>
      <c r="V95" s="927"/>
      <c r="W95" s="927"/>
      <c r="X95" s="927"/>
      <c r="Y95" s="927"/>
      <c r="Z95" s="927"/>
      <c r="AA95" s="927"/>
      <c r="AB95" s="927"/>
      <c r="AC95" s="927"/>
      <c r="AD95" s="927"/>
      <c r="AE95" s="927"/>
      <c r="AF95" s="927"/>
      <c r="AG95" s="927"/>
      <c r="AH95" s="927"/>
      <c r="AI95" s="927"/>
      <c r="AJ95" s="927"/>
      <c r="AK95" s="927"/>
      <c r="AL95" s="927"/>
      <c r="AM95" s="929"/>
    </row>
    <row r="96" spans="1:41" ht="21.75" customHeight="1">
      <c r="A96" s="957"/>
      <c r="B96" s="958"/>
      <c r="C96" s="934"/>
      <c r="D96" s="927"/>
      <c r="E96" s="959"/>
      <c r="F96" s="927"/>
      <c r="G96" s="927"/>
      <c r="H96" s="927"/>
      <c r="I96" s="927"/>
      <c r="J96" s="927"/>
      <c r="K96" s="927"/>
      <c r="L96" s="927"/>
      <c r="M96" s="927"/>
      <c r="N96" s="927"/>
      <c r="O96" s="927"/>
      <c r="P96" s="958"/>
      <c r="Q96" s="958"/>
      <c r="R96" s="958"/>
      <c r="S96" s="958"/>
      <c r="T96" s="958"/>
      <c r="U96" s="958"/>
      <c r="V96" s="958"/>
      <c r="W96" s="927"/>
      <c r="X96" s="927"/>
      <c r="Y96" s="934"/>
      <c r="Z96" s="927"/>
      <c r="AA96" s="927"/>
      <c r="AB96" s="934"/>
      <c r="AC96" s="934"/>
      <c r="AD96" s="960"/>
      <c r="AE96" s="1422" t="s">
        <v>634</v>
      </c>
      <c r="AF96" s="1423"/>
      <c r="AG96" s="1423"/>
      <c r="AH96" s="1423"/>
      <c r="AI96" s="1423"/>
      <c r="AJ96" s="1423"/>
      <c r="AK96" s="1423"/>
      <c r="AL96" s="1424"/>
      <c r="AM96" s="929"/>
    </row>
    <row r="97" spans="1:40" ht="21.75" customHeight="1">
      <c r="A97" s="957"/>
      <c r="B97" s="958"/>
      <c r="C97" s="934"/>
      <c r="D97" s="927"/>
      <c r="E97" s="959"/>
      <c r="F97" s="927"/>
      <c r="G97" s="927"/>
      <c r="H97" s="927"/>
      <c r="I97" s="927"/>
      <c r="J97" s="927"/>
      <c r="K97" s="927"/>
      <c r="L97" s="927"/>
      <c r="M97" s="927"/>
      <c r="N97" s="927"/>
      <c r="O97" s="927"/>
      <c r="P97" s="927"/>
      <c r="Q97" s="927"/>
      <c r="R97" s="958"/>
      <c r="S97" s="927"/>
      <c r="T97" s="927"/>
      <c r="U97" s="927"/>
      <c r="V97" s="927"/>
      <c r="W97" s="927"/>
      <c r="X97" s="927"/>
      <c r="Y97" s="934"/>
      <c r="Z97" s="927"/>
      <c r="AA97" s="927"/>
      <c r="AB97" s="934"/>
      <c r="AC97" s="934"/>
      <c r="AD97" s="960"/>
      <c r="AE97" s="953"/>
      <c r="AF97" s="927"/>
      <c r="AG97" s="934"/>
      <c r="AH97" s="927"/>
      <c r="AI97" s="927"/>
      <c r="AJ97" s="927"/>
      <c r="AK97" s="927"/>
      <c r="AL97" s="929"/>
      <c r="AM97" s="929"/>
    </row>
    <row r="98" spans="1:40" ht="21.75" customHeight="1">
      <c r="A98" s="957"/>
      <c r="B98" s="958"/>
      <c r="C98" s="934"/>
      <c r="D98" s="927"/>
      <c r="E98" s="959"/>
      <c r="F98" s="927"/>
      <c r="G98" s="927"/>
      <c r="H98" s="927"/>
      <c r="I98" s="927"/>
      <c r="J98" s="927"/>
      <c r="K98" s="927"/>
      <c r="L98" s="927"/>
      <c r="M98" s="927"/>
      <c r="N98" s="927"/>
      <c r="O98" s="927"/>
      <c r="P98" s="934"/>
      <c r="Q98" s="934"/>
      <c r="R98" s="934"/>
      <c r="S98" s="934"/>
      <c r="T98" s="927"/>
      <c r="U98" s="927"/>
      <c r="V98" s="958"/>
      <c r="W98" s="927"/>
      <c r="X98" s="927"/>
      <c r="Y98" s="934"/>
      <c r="Z98" s="927"/>
      <c r="AA98" s="961"/>
      <c r="AB98" s="934"/>
      <c r="AC98" s="934"/>
      <c r="AD98" s="960"/>
      <c r="AE98" s="953"/>
      <c r="AF98" s="927"/>
      <c r="AG98" s="934"/>
      <c r="AH98" s="927"/>
      <c r="AI98" s="927"/>
      <c r="AJ98" s="927"/>
      <c r="AK98" s="961"/>
      <c r="AL98" s="929"/>
      <c r="AM98" s="929"/>
    </row>
    <row r="99" spans="1:40" ht="21.75" customHeight="1">
      <c r="A99" s="957"/>
      <c r="B99" s="958"/>
      <c r="C99" s="934"/>
      <c r="D99" s="927"/>
      <c r="E99" s="959"/>
      <c r="F99" s="927"/>
      <c r="G99" s="962"/>
      <c r="H99" s="927"/>
      <c r="I99" s="927"/>
      <c r="J99" s="927"/>
      <c r="K99" s="927"/>
      <c r="L99" s="927"/>
      <c r="M99" s="927"/>
      <c r="N99" s="927"/>
      <c r="O99" s="927"/>
      <c r="P99" s="934"/>
      <c r="Q99" s="934"/>
      <c r="R99" s="934"/>
      <c r="S99" s="934"/>
      <c r="T99" s="928"/>
      <c r="U99" s="927"/>
      <c r="V99" s="958"/>
      <c r="W99" s="927"/>
      <c r="X99" s="927"/>
      <c r="Y99" s="934"/>
      <c r="Z99" s="927"/>
      <c r="AA99" s="927"/>
      <c r="AB99" s="934"/>
      <c r="AC99" s="934"/>
      <c r="AD99" s="960"/>
      <c r="AE99" s="963"/>
      <c r="AF99" s="964"/>
      <c r="AG99" s="965"/>
      <c r="AH99" s="964"/>
      <c r="AI99" s="964"/>
      <c r="AJ99" s="964"/>
      <c r="AK99" s="964"/>
      <c r="AL99" s="966"/>
      <c r="AM99" s="929"/>
    </row>
    <row r="100" spans="1:40" ht="21.75" customHeight="1">
      <c r="A100" s="953"/>
      <c r="B100" s="927"/>
      <c r="C100" s="928"/>
      <c r="D100" s="927"/>
      <c r="E100" s="958"/>
      <c r="F100" s="927"/>
      <c r="G100" s="958"/>
      <c r="H100" s="927"/>
      <c r="I100" s="927"/>
      <c r="J100" s="927"/>
      <c r="K100" s="927"/>
      <c r="L100" s="927"/>
      <c r="M100" s="927"/>
      <c r="N100" s="927"/>
      <c r="O100" s="927"/>
      <c r="P100" s="934"/>
      <c r="Q100" s="934"/>
      <c r="R100" s="934"/>
      <c r="S100" s="934"/>
      <c r="T100" s="927"/>
      <c r="U100" s="927"/>
      <c r="V100" s="958"/>
      <c r="W100" s="927"/>
      <c r="X100" s="927"/>
      <c r="Y100" s="934"/>
      <c r="Z100" s="927"/>
      <c r="AA100" s="927"/>
      <c r="AB100" s="934"/>
      <c r="AC100" s="934"/>
      <c r="AD100" s="960"/>
      <c r="AE100" s="953" t="s">
        <v>723</v>
      </c>
      <c r="AF100" s="927"/>
      <c r="AG100" s="934" t="s">
        <v>3</v>
      </c>
      <c r="AH100" s="928" t="s">
        <v>724</v>
      </c>
      <c r="AI100" s="927"/>
      <c r="AJ100" s="927"/>
      <c r="AK100" s="927"/>
      <c r="AL100" s="929"/>
      <c r="AM100" s="929"/>
    </row>
    <row r="101" spans="1:40" ht="21.75" customHeight="1">
      <c r="A101" s="953"/>
      <c r="B101" s="927"/>
      <c r="C101" s="934"/>
      <c r="D101" s="934"/>
      <c r="E101" s="934"/>
      <c r="F101" s="934"/>
      <c r="G101" s="934"/>
      <c r="H101" s="934"/>
      <c r="I101" s="934"/>
      <c r="J101" s="934"/>
      <c r="K101" s="934"/>
      <c r="L101" s="934"/>
      <c r="M101" s="934"/>
      <c r="N101" s="934"/>
      <c r="O101" s="934"/>
      <c r="P101" s="934"/>
      <c r="Q101" s="934"/>
      <c r="R101" s="934"/>
      <c r="S101" s="934"/>
      <c r="T101" s="927"/>
      <c r="U101" s="958"/>
      <c r="V101" s="958"/>
      <c r="W101" s="927"/>
      <c r="X101" s="927"/>
      <c r="Y101" s="934"/>
      <c r="Z101" s="927"/>
      <c r="AA101" s="927"/>
      <c r="AB101" s="934"/>
      <c r="AC101" s="934"/>
      <c r="AD101" s="960"/>
      <c r="AE101" s="953" t="s">
        <v>725</v>
      </c>
      <c r="AF101" s="927"/>
      <c r="AG101" s="934" t="s">
        <v>3</v>
      </c>
      <c r="AH101" s="927" t="s">
        <v>726</v>
      </c>
      <c r="AI101" s="927"/>
      <c r="AJ101" s="927"/>
      <c r="AK101" s="927"/>
      <c r="AL101" s="929"/>
      <c r="AM101" s="929"/>
    </row>
    <row r="102" spans="1:40" ht="21.75" customHeight="1">
      <c r="A102" s="953"/>
      <c r="B102" s="927"/>
      <c r="C102" s="934"/>
      <c r="D102" s="934"/>
      <c r="E102" s="934"/>
      <c r="F102" s="934"/>
      <c r="G102" s="934"/>
      <c r="H102" s="934"/>
      <c r="I102" s="934"/>
      <c r="J102" s="934"/>
      <c r="K102" s="934"/>
      <c r="L102" s="934"/>
      <c r="M102" s="934"/>
      <c r="N102" s="934"/>
      <c r="O102" s="934"/>
      <c r="P102" s="934"/>
      <c r="Q102" s="934"/>
      <c r="R102" s="934"/>
      <c r="S102" s="934"/>
      <c r="T102" s="958"/>
      <c r="U102" s="958"/>
      <c r="V102" s="958"/>
      <c r="W102" s="927"/>
      <c r="X102" s="927"/>
      <c r="Y102" s="934"/>
      <c r="Z102" s="928"/>
      <c r="AA102" s="927"/>
      <c r="AB102" s="934"/>
      <c r="AC102" s="934"/>
      <c r="AD102" s="960"/>
      <c r="AE102" s="963" t="s">
        <v>727</v>
      </c>
      <c r="AF102" s="964"/>
      <c r="AG102" s="965" t="s">
        <v>3</v>
      </c>
      <c r="AH102" s="967" t="str">
        <f>AH421</f>
        <v>02 Januari 2020</v>
      </c>
      <c r="AI102" s="967"/>
      <c r="AJ102" s="967"/>
      <c r="AK102" s="964"/>
      <c r="AL102" s="966"/>
      <c r="AM102" s="929"/>
    </row>
    <row r="103" spans="1:40" ht="11.25" customHeight="1">
      <c r="A103" s="963"/>
      <c r="B103" s="964"/>
      <c r="C103" s="968"/>
      <c r="D103" s="964"/>
      <c r="E103" s="964"/>
      <c r="F103" s="964"/>
      <c r="G103" s="965"/>
      <c r="H103" s="965"/>
      <c r="I103" s="964"/>
      <c r="J103" s="964"/>
      <c r="K103" s="964"/>
      <c r="L103" s="964"/>
      <c r="M103" s="964"/>
      <c r="N103" s="964"/>
      <c r="O103" s="964"/>
      <c r="P103" s="964"/>
      <c r="Q103" s="964"/>
      <c r="R103" s="964"/>
      <c r="S103" s="964"/>
      <c r="T103" s="964"/>
      <c r="U103" s="964"/>
      <c r="V103" s="964"/>
      <c r="W103" s="964"/>
      <c r="X103" s="964"/>
      <c r="Y103" s="964"/>
      <c r="Z103" s="964"/>
      <c r="AA103" s="964"/>
      <c r="AB103" s="964"/>
      <c r="AC103" s="964"/>
      <c r="AD103" s="964"/>
      <c r="AE103" s="964"/>
      <c r="AF103" s="964"/>
      <c r="AG103" s="964"/>
      <c r="AH103" s="964"/>
      <c r="AI103" s="964"/>
      <c r="AJ103" s="964"/>
      <c r="AK103" s="964"/>
      <c r="AL103" s="964"/>
      <c r="AM103" s="966"/>
    </row>
    <row r="104" spans="1:40" ht="15" customHeight="1">
      <c r="A104" s="989"/>
      <c r="B104" s="989"/>
      <c r="C104" s="990"/>
      <c r="D104" s="990"/>
      <c r="E104" s="990"/>
      <c r="F104" s="990"/>
      <c r="G104" s="990"/>
      <c r="H104" s="990"/>
      <c r="I104" s="991"/>
      <c r="J104" s="992"/>
      <c r="K104" s="990"/>
      <c r="L104" s="990"/>
      <c r="M104" s="990"/>
      <c r="N104" s="990"/>
      <c r="O104" s="990"/>
      <c r="P104" s="990"/>
      <c r="Q104" s="990"/>
      <c r="R104" s="990"/>
      <c r="S104" s="990"/>
      <c r="T104" s="990"/>
      <c r="U104" s="990"/>
      <c r="V104" s="990"/>
      <c r="W104" s="990"/>
      <c r="X104" s="990"/>
      <c r="Y104" s="993"/>
      <c r="Z104" s="990"/>
      <c r="AA104" s="990"/>
      <c r="AB104" s="990"/>
      <c r="AC104" s="990"/>
      <c r="AD104" s="990"/>
      <c r="AE104" s="990"/>
      <c r="AF104" s="990"/>
      <c r="AG104" s="990"/>
      <c r="AH104" s="990"/>
      <c r="AI104" s="990"/>
      <c r="AJ104" s="990"/>
      <c r="AK104" s="990"/>
      <c r="AL104" s="990"/>
      <c r="AM104" s="993"/>
      <c r="AN104" s="977"/>
    </row>
    <row r="105" spans="1:40" ht="39.75" customHeight="1">
      <c r="A105" s="994"/>
      <c r="B105" s="994"/>
      <c r="C105" s="985"/>
      <c r="D105" s="985"/>
      <c r="E105" s="985"/>
      <c r="F105" s="985"/>
      <c r="G105" s="985"/>
      <c r="H105" s="985"/>
      <c r="I105" s="995"/>
      <c r="J105" s="996"/>
      <c r="K105" s="985"/>
      <c r="L105" s="985"/>
      <c r="M105" s="985"/>
      <c r="N105" s="985"/>
      <c r="O105" s="985"/>
      <c r="P105" s="985"/>
      <c r="Q105" s="985"/>
      <c r="R105" s="985"/>
      <c r="S105" s="985"/>
      <c r="T105" s="985"/>
      <c r="U105" s="985"/>
      <c r="V105" s="985"/>
      <c r="W105" s="985"/>
      <c r="X105" s="985"/>
      <c r="Y105" s="997"/>
      <c r="Z105" s="985"/>
      <c r="AA105" s="985"/>
      <c r="AB105" s="985"/>
      <c r="AC105" s="985"/>
      <c r="AD105" s="985"/>
      <c r="AE105" s="985"/>
      <c r="AF105" s="985"/>
      <c r="AG105" s="985"/>
      <c r="AH105" s="985"/>
      <c r="AI105" s="985"/>
      <c r="AJ105" s="985"/>
      <c r="AK105" s="985"/>
      <c r="AL105" s="985"/>
      <c r="AM105" s="997"/>
      <c r="AN105" s="977"/>
    </row>
    <row r="106" spans="1:40" ht="15" customHeight="1">
      <c r="A106" s="994"/>
      <c r="B106" s="994"/>
      <c r="C106" s="985"/>
      <c r="D106" s="985"/>
      <c r="E106" s="985"/>
      <c r="F106" s="985"/>
      <c r="G106" s="985"/>
      <c r="H106" s="985"/>
      <c r="I106" s="995"/>
      <c r="J106" s="996"/>
      <c r="K106" s="985"/>
      <c r="L106" s="985"/>
      <c r="M106" s="985"/>
      <c r="N106" s="985"/>
      <c r="O106" s="985"/>
      <c r="P106" s="985"/>
      <c r="Q106" s="985"/>
      <c r="R106" s="985"/>
      <c r="S106" s="985"/>
      <c r="T106" s="985"/>
      <c r="U106" s="985"/>
      <c r="V106" s="985"/>
      <c r="W106" s="985"/>
      <c r="X106" s="985"/>
      <c r="Y106" s="997"/>
      <c r="Z106" s="985"/>
      <c r="AA106" s="985"/>
      <c r="AB106" s="985"/>
      <c r="AC106" s="985"/>
      <c r="AD106" s="985"/>
      <c r="AE106" s="985"/>
      <c r="AF106" s="985"/>
      <c r="AG106" s="985"/>
      <c r="AH106" s="985"/>
      <c r="AI106" s="985"/>
      <c r="AJ106" s="985"/>
      <c r="AK106" s="985"/>
      <c r="AL106" s="985"/>
      <c r="AM106" s="997"/>
      <c r="AN106" s="977"/>
    </row>
    <row r="107" spans="1:40" ht="15" customHeight="1">
      <c r="A107" s="972"/>
      <c r="B107" s="972"/>
      <c r="C107" s="973"/>
      <c r="D107" s="973"/>
      <c r="E107" s="973"/>
      <c r="F107" s="973"/>
      <c r="G107" s="973"/>
      <c r="H107" s="973"/>
      <c r="I107" s="974"/>
      <c r="J107" s="975"/>
      <c r="K107" s="973"/>
      <c r="L107" s="973"/>
      <c r="M107" s="973"/>
      <c r="N107" s="973"/>
      <c r="O107" s="973"/>
      <c r="P107" s="973"/>
      <c r="Q107" s="973"/>
      <c r="R107" s="973"/>
      <c r="S107" s="973"/>
      <c r="T107" s="973"/>
      <c r="U107" s="973"/>
      <c r="V107" s="973"/>
      <c r="W107" s="973"/>
      <c r="X107" s="973"/>
      <c r="Y107" s="976"/>
      <c r="Z107" s="973"/>
      <c r="AA107" s="973"/>
      <c r="AB107" s="973"/>
      <c r="AC107" s="973"/>
      <c r="AD107" s="973"/>
      <c r="AE107" s="973"/>
      <c r="AF107" s="973"/>
      <c r="AG107" s="973"/>
      <c r="AH107" s="973"/>
      <c r="AI107" s="973"/>
      <c r="AJ107" s="973"/>
      <c r="AK107" s="973"/>
      <c r="AL107" s="973"/>
      <c r="AM107" s="976"/>
      <c r="AN107" s="977"/>
    </row>
    <row r="108" spans="1:40" ht="15.75" customHeight="1">
      <c r="A108" s="998"/>
      <c r="B108" s="971"/>
      <c r="C108" s="971"/>
      <c r="D108" s="999"/>
      <c r="E108" s="1486" t="s">
        <v>537</v>
      </c>
      <c r="F108" s="1487"/>
      <c r="G108" s="1487"/>
      <c r="H108" s="1487"/>
      <c r="I108" s="1487"/>
      <c r="J108" s="1487"/>
      <c r="K108" s="1487"/>
      <c r="L108" s="1487"/>
      <c r="M108" s="1487"/>
      <c r="N108" s="1487"/>
      <c r="O108" s="1487"/>
      <c r="P108" s="1487"/>
      <c r="Q108" s="1487"/>
      <c r="R108" s="1487"/>
      <c r="S108" s="1487"/>
      <c r="T108" s="1487"/>
      <c r="U108" s="1487"/>
      <c r="V108" s="1487"/>
      <c r="W108" s="1487"/>
      <c r="X108" s="1487"/>
      <c r="Y108" s="1487"/>
      <c r="Z108" s="1487"/>
      <c r="AA108" s="1487"/>
      <c r="AB108" s="1487"/>
      <c r="AC108" s="1487"/>
      <c r="AD108" s="1487"/>
      <c r="AE108" s="1487"/>
      <c r="AF108" s="1488"/>
      <c r="AG108" s="1475" t="s">
        <v>734</v>
      </c>
      <c r="AH108" s="1476"/>
      <c r="AI108" s="1476"/>
      <c r="AJ108" s="1476"/>
      <c r="AK108" s="1476"/>
      <c r="AL108" s="1476"/>
      <c r="AM108" s="1477"/>
    </row>
    <row r="109" spans="1:40" ht="15" customHeight="1">
      <c r="A109" s="1000"/>
      <c r="B109" s="934"/>
      <c r="C109" s="934"/>
      <c r="D109" s="960"/>
      <c r="E109" s="1489"/>
      <c r="F109" s="1490"/>
      <c r="G109" s="1490"/>
      <c r="H109" s="1490"/>
      <c r="I109" s="1490"/>
      <c r="J109" s="1490"/>
      <c r="K109" s="1490"/>
      <c r="L109" s="1490"/>
      <c r="M109" s="1490"/>
      <c r="N109" s="1490"/>
      <c r="O109" s="1490"/>
      <c r="P109" s="1490"/>
      <c r="Q109" s="1490"/>
      <c r="R109" s="1490"/>
      <c r="S109" s="1490"/>
      <c r="T109" s="1490"/>
      <c r="U109" s="1490"/>
      <c r="V109" s="1490"/>
      <c r="W109" s="1490"/>
      <c r="X109" s="1490"/>
      <c r="Y109" s="1490"/>
      <c r="Z109" s="1490"/>
      <c r="AA109" s="1490"/>
      <c r="AB109" s="1490"/>
      <c r="AC109" s="1490"/>
      <c r="AD109" s="1490"/>
      <c r="AE109" s="1490"/>
      <c r="AF109" s="1491"/>
      <c r="AG109" s="1478"/>
      <c r="AH109" s="1479"/>
      <c r="AI109" s="1479"/>
      <c r="AJ109" s="1479"/>
      <c r="AK109" s="1479"/>
      <c r="AL109" s="1479"/>
      <c r="AM109" s="1480"/>
    </row>
    <row r="110" spans="1:40" ht="15" customHeight="1">
      <c r="A110" s="1000"/>
      <c r="B110" s="934"/>
      <c r="C110" s="934"/>
      <c r="D110" s="934"/>
      <c r="E110" s="1489"/>
      <c r="F110" s="1490"/>
      <c r="G110" s="1490"/>
      <c r="H110" s="1490"/>
      <c r="I110" s="1490"/>
      <c r="J110" s="1490"/>
      <c r="K110" s="1490"/>
      <c r="L110" s="1490"/>
      <c r="M110" s="1490"/>
      <c r="N110" s="1490"/>
      <c r="O110" s="1490"/>
      <c r="P110" s="1490"/>
      <c r="Q110" s="1490"/>
      <c r="R110" s="1490"/>
      <c r="S110" s="1490"/>
      <c r="T110" s="1490"/>
      <c r="U110" s="1490"/>
      <c r="V110" s="1490"/>
      <c r="W110" s="1490"/>
      <c r="X110" s="1490"/>
      <c r="Y110" s="1490"/>
      <c r="Z110" s="1490"/>
      <c r="AA110" s="1490"/>
      <c r="AB110" s="1490"/>
      <c r="AC110" s="1490"/>
      <c r="AD110" s="1490"/>
      <c r="AE110" s="1490"/>
      <c r="AF110" s="1491"/>
      <c r="AG110" s="1475" t="str">
        <f>AG3</f>
        <v>TGL  : 01 Januari - 31 Desember 2019</v>
      </c>
      <c r="AH110" s="1476"/>
      <c r="AI110" s="1476"/>
      <c r="AJ110" s="1476"/>
      <c r="AK110" s="1476"/>
      <c r="AL110" s="1476"/>
      <c r="AM110" s="1477"/>
    </row>
    <row r="111" spans="1:40" ht="15" customHeight="1">
      <c r="A111" s="1001"/>
      <c r="B111" s="965"/>
      <c r="C111" s="965"/>
      <c r="D111" s="965"/>
      <c r="E111" s="1492"/>
      <c r="F111" s="1493"/>
      <c r="G111" s="1493"/>
      <c r="H111" s="1493"/>
      <c r="I111" s="1493"/>
      <c r="J111" s="1493"/>
      <c r="K111" s="1493"/>
      <c r="L111" s="1493"/>
      <c r="M111" s="1493"/>
      <c r="N111" s="1493"/>
      <c r="O111" s="1493"/>
      <c r="P111" s="1493"/>
      <c r="Q111" s="1493"/>
      <c r="R111" s="1493"/>
      <c r="S111" s="1493"/>
      <c r="T111" s="1493"/>
      <c r="U111" s="1493"/>
      <c r="V111" s="1493"/>
      <c r="W111" s="1493"/>
      <c r="X111" s="1493"/>
      <c r="Y111" s="1493"/>
      <c r="Z111" s="1493"/>
      <c r="AA111" s="1493"/>
      <c r="AB111" s="1493"/>
      <c r="AC111" s="1493"/>
      <c r="AD111" s="1493"/>
      <c r="AE111" s="1493"/>
      <c r="AF111" s="1494"/>
      <c r="AG111" s="1478"/>
      <c r="AH111" s="1479"/>
      <c r="AI111" s="1479"/>
      <c r="AJ111" s="1479"/>
      <c r="AK111" s="1479"/>
      <c r="AL111" s="1479"/>
      <c r="AM111" s="1480"/>
    </row>
    <row r="112" spans="1:40" ht="18" customHeight="1">
      <c r="A112" s="1433" t="s">
        <v>539</v>
      </c>
      <c r="B112" s="1434"/>
      <c r="C112" s="1434"/>
      <c r="D112" s="1435"/>
      <c r="E112" s="1439" t="s">
        <v>729</v>
      </c>
      <c r="F112" s="1440"/>
      <c r="G112" s="1440"/>
      <c r="H112" s="1440"/>
      <c r="I112" s="1440"/>
      <c r="J112" s="1440"/>
      <c r="K112" s="1440"/>
      <c r="L112" s="1440"/>
      <c r="M112" s="1440"/>
      <c r="N112" s="1440"/>
      <c r="O112" s="1440"/>
      <c r="P112" s="1440"/>
      <c r="Q112" s="1440"/>
      <c r="R112" s="1440"/>
      <c r="S112" s="1440"/>
      <c r="T112" s="1440"/>
      <c r="U112" s="1440"/>
      <c r="V112" s="1440"/>
      <c r="W112" s="1440"/>
      <c r="X112" s="1440"/>
      <c r="Y112" s="1440"/>
      <c r="Z112" s="1440"/>
      <c r="AA112" s="1440"/>
      <c r="AB112" s="1440"/>
      <c r="AC112" s="1440"/>
      <c r="AD112" s="1440"/>
      <c r="AE112" s="1440"/>
      <c r="AF112" s="1441"/>
      <c r="AG112" s="1445" t="s">
        <v>695</v>
      </c>
      <c r="AH112" s="1446"/>
      <c r="AI112" s="1446"/>
      <c r="AJ112" s="1446"/>
      <c r="AK112" s="1446"/>
      <c r="AL112" s="1446"/>
      <c r="AM112" s="1447"/>
    </row>
    <row r="113" spans="1:42" ht="18" customHeight="1">
      <c r="A113" s="1436"/>
      <c r="B113" s="1437"/>
      <c r="C113" s="1437"/>
      <c r="D113" s="1438"/>
      <c r="E113" s="1442"/>
      <c r="F113" s="1443"/>
      <c r="G113" s="1443"/>
      <c r="H113" s="1443"/>
      <c r="I113" s="1443"/>
      <c r="J113" s="1443"/>
      <c r="K113" s="1443"/>
      <c r="L113" s="1443"/>
      <c r="M113" s="1443"/>
      <c r="N113" s="1443"/>
      <c r="O113" s="1443"/>
      <c r="P113" s="1443"/>
      <c r="Q113" s="1443"/>
      <c r="R113" s="1443"/>
      <c r="S113" s="1443"/>
      <c r="T113" s="1443"/>
      <c r="U113" s="1443"/>
      <c r="V113" s="1443"/>
      <c r="W113" s="1443"/>
      <c r="X113" s="1443"/>
      <c r="Y113" s="1443"/>
      <c r="Z113" s="1443"/>
      <c r="AA113" s="1443"/>
      <c r="AB113" s="1443"/>
      <c r="AC113" s="1443"/>
      <c r="AD113" s="1443"/>
      <c r="AE113" s="1443"/>
      <c r="AF113" s="1444"/>
      <c r="AG113" s="1448"/>
      <c r="AH113" s="1449"/>
      <c r="AI113" s="1449"/>
      <c r="AJ113" s="1449"/>
      <c r="AK113" s="1449"/>
      <c r="AL113" s="1449"/>
      <c r="AM113" s="1450"/>
    </row>
    <row r="114" spans="1:42" ht="12" customHeight="1">
      <c r="A114" s="926"/>
      <c r="B114" s="927"/>
      <c r="C114" s="928"/>
      <c r="D114" s="927"/>
      <c r="E114" s="927"/>
      <c r="F114" s="927"/>
      <c r="G114" s="927"/>
      <c r="H114" s="927"/>
      <c r="I114" s="927"/>
      <c r="J114" s="927"/>
      <c r="K114" s="927"/>
      <c r="L114" s="927"/>
      <c r="M114" s="927"/>
      <c r="N114" s="927"/>
      <c r="O114" s="927"/>
      <c r="P114" s="927"/>
      <c r="Q114" s="927"/>
      <c r="R114" s="927"/>
      <c r="S114" s="927"/>
      <c r="T114" s="927"/>
      <c r="U114" s="927"/>
      <c r="V114" s="927"/>
      <c r="W114" s="927"/>
      <c r="X114" s="927"/>
      <c r="Y114" s="927"/>
      <c r="Z114" s="927"/>
      <c r="AA114" s="927"/>
      <c r="AB114" s="927"/>
      <c r="AC114" s="927"/>
      <c r="AD114" s="927"/>
      <c r="AE114" s="927"/>
      <c r="AF114" s="927"/>
      <c r="AG114" s="927"/>
      <c r="AH114" s="927"/>
      <c r="AI114" s="927"/>
      <c r="AJ114" s="927"/>
      <c r="AK114" s="927"/>
      <c r="AL114" s="927"/>
      <c r="AM114" s="929"/>
    </row>
    <row r="115" spans="1:42" ht="24" customHeight="1">
      <c r="A115" s="930" t="s">
        <v>543</v>
      </c>
      <c r="B115" s="931"/>
      <c r="C115" s="932"/>
      <c r="D115" s="931"/>
      <c r="E115" s="931"/>
      <c r="F115" s="931"/>
      <c r="G115" s="931"/>
      <c r="H115" s="931" t="s">
        <v>3</v>
      </c>
      <c r="I115" s="933" t="s">
        <v>199</v>
      </c>
      <c r="J115" s="931"/>
      <c r="K115" s="931"/>
      <c r="L115" s="931"/>
      <c r="M115" s="931"/>
      <c r="N115" s="931"/>
      <c r="O115" s="931"/>
      <c r="P115" s="931"/>
      <c r="Q115" s="931"/>
      <c r="R115" s="931"/>
      <c r="S115" s="931"/>
      <c r="T115" s="931"/>
      <c r="U115" s="931"/>
      <c r="V115" s="931" t="s">
        <v>696</v>
      </c>
      <c r="W115" s="931"/>
      <c r="X115" s="931"/>
      <c r="Y115" s="934"/>
      <c r="Z115" s="931" t="s">
        <v>3</v>
      </c>
      <c r="AA115" s="1002" t="s">
        <v>735</v>
      </c>
      <c r="AB115" s="927"/>
      <c r="AC115" s="927"/>
      <c r="AD115" s="927"/>
      <c r="AE115" s="927"/>
      <c r="AF115" s="927"/>
      <c r="AG115" s="927"/>
      <c r="AH115" s="927"/>
      <c r="AI115" s="927"/>
      <c r="AJ115" s="927"/>
      <c r="AK115" s="927"/>
      <c r="AL115" s="927"/>
      <c r="AM115" s="929"/>
      <c r="AO115" s="924" t="str">
        <f>I115</f>
        <v>M.ASNAWI</v>
      </c>
      <c r="AP115" s="924"/>
    </row>
    <row r="116" spans="1:42" ht="24" customHeight="1">
      <c r="A116" s="930" t="s">
        <v>114</v>
      </c>
      <c r="B116" s="931"/>
      <c r="C116" s="932"/>
      <c r="D116" s="931"/>
      <c r="E116" s="931"/>
      <c r="F116" s="931"/>
      <c r="G116" s="931"/>
      <c r="H116" s="931" t="s">
        <v>3</v>
      </c>
      <c r="I116" s="933" t="s">
        <v>74</v>
      </c>
      <c r="J116" s="931"/>
      <c r="K116" s="931"/>
      <c r="L116" s="931"/>
      <c r="M116" s="931"/>
      <c r="N116" s="931"/>
      <c r="O116" s="931"/>
      <c r="P116" s="931"/>
      <c r="Q116" s="931"/>
      <c r="R116" s="931"/>
      <c r="S116" s="931"/>
      <c r="T116" s="931"/>
      <c r="U116" s="931"/>
      <c r="V116" s="931" t="s">
        <v>545</v>
      </c>
      <c r="W116" s="931"/>
      <c r="X116" s="931"/>
      <c r="Y116" s="934"/>
      <c r="Z116" s="931" t="s">
        <v>3</v>
      </c>
      <c r="AA116" s="932" t="s">
        <v>287</v>
      </c>
      <c r="AB116" s="927"/>
      <c r="AC116" s="927"/>
      <c r="AD116" s="927"/>
      <c r="AE116" s="927"/>
      <c r="AF116" s="927"/>
      <c r="AG116" s="927"/>
      <c r="AH116" s="927"/>
      <c r="AI116" s="927"/>
      <c r="AJ116" s="927"/>
      <c r="AK116" s="927"/>
      <c r="AL116" s="927"/>
      <c r="AM116" s="929"/>
      <c r="AO116" s="924" t="s">
        <v>692</v>
      </c>
      <c r="AP116" s="924"/>
    </row>
    <row r="117" spans="1:42" ht="12" customHeight="1">
      <c r="A117" s="926"/>
      <c r="B117" s="927"/>
      <c r="C117" s="928"/>
      <c r="D117" s="927"/>
      <c r="E117" s="927"/>
      <c r="F117" s="927"/>
      <c r="G117" s="927"/>
      <c r="H117" s="927"/>
      <c r="I117" s="927"/>
      <c r="J117" s="927"/>
      <c r="K117" s="927"/>
      <c r="L117" s="927"/>
      <c r="M117" s="927"/>
      <c r="N117" s="927"/>
      <c r="O117" s="927"/>
      <c r="P117" s="927"/>
      <c r="Q117" s="927"/>
      <c r="R117" s="927"/>
      <c r="S117" s="927"/>
      <c r="T117" s="927"/>
      <c r="U117" s="927"/>
      <c r="V117" s="927"/>
      <c r="W117" s="927"/>
      <c r="X117" s="927"/>
      <c r="Y117" s="927"/>
      <c r="Z117" s="927"/>
      <c r="AA117" s="927"/>
      <c r="AB117" s="927"/>
      <c r="AC117" s="927"/>
      <c r="AD117" s="927"/>
      <c r="AE117" s="927"/>
      <c r="AF117" s="927"/>
      <c r="AG117" s="927"/>
      <c r="AH117" s="927"/>
      <c r="AI117" s="927"/>
      <c r="AJ117" s="927"/>
      <c r="AK117" s="927"/>
      <c r="AL117" s="927"/>
      <c r="AM117" s="929"/>
    </row>
    <row r="118" spans="1:42" ht="24" customHeight="1">
      <c r="A118" s="1451" t="s">
        <v>549</v>
      </c>
      <c r="B118" s="1453" t="s">
        <v>550</v>
      </c>
      <c r="C118" s="1454"/>
      <c r="D118" s="1454"/>
      <c r="E118" s="1454"/>
      <c r="F118" s="1454"/>
      <c r="G118" s="1454"/>
      <c r="H118" s="1454"/>
      <c r="I118" s="1454"/>
      <c r="J118" s="1455"/>
      <c r="K118" s="1431" t="s">
        <v>699</v>
      </c>
      <c r="L118" s="1432"/>
      <c r="M118" s="1431" t="s">
        <v>700</v>
      </c>
      <c r="N118" s="1432"/>
      <c r="O118" s="1431" t="s">
        <v>701</v>
      </c>
      <c r="P118" s="1432"/>
      <c r="Q118" s="1431" t="s">
        <v>702</v>
      </c>
      <c r="R118" s="1432"/>
      <c r="S118" s="1431" t="s">
        <v>703</v>
      </c>
      <c r="T118" s="1432"/>
      <c r="U118" s="1431" t="s">
        <v>704</v>
      </c>
      <c r="V118" s="1432"/>
      <c r="W118" s="1431" t="s">
        <v>705</v>
      </c>
      <c r="X118" s="1432"/>
      <c r="Y118" s="1431" t="s">
        <v>706</v>
      </c>
      <c r="Z118" s="1432"/>
      <c r="AA118" s="1431" t="s">
        <v>707</v>
      </c>
      <c r="AB118" s="1432"/>
      <c r="AC118" s="1431" t="s">
        <v>708</v>
      </c>
      <c r="AD118" s="1432"/>
      <c r="AE118" s="1431" t="s">
        <v>709</v>
      </c>
      <c r="AF118" s="1432"/>
      <c r="AG118" s="1459" t="s">
        <v>710</v>
      </c>
      <c r="AH118" s="1460"/>
      <c r="AI118" s="1461" t="s">
        <v>711</v>
      </c>
      <c r="AJ118" s="1432"/>
      <c r="AK118" s="1462" t="s">
        <v>712</v>
      </c>
      <c r="AL118" s="1432"/>
      <c r="AM118" s="929"/>
    </row>
    <row r="119" spans="1:42" ht="24" customHeight="1">
      <c r="A119" s="1452"/>
      <c r="B119" s="1456"/>
      <c r="C119" s="1457"/>
      <c r="D119" s="1457"/>
      <c r="E119" s="1457"/>
      <c r="F119" s="1457"/>
      <c r="G119" s="1457"/>
      <c r="H119" s="1457"/>
      <c r="I119" s="1457"/>
      <c r="J119" s="1458"/>
      <c r="K119" s="937" t="s">
        <v>713</v>
      </c>
      <c r="L119" s="937" t="s">
        <v>714</v>
      </c>
      <c r="M119" s="937" t="s">
        <v>713</v>
      </c>
      <c r="N119" s="937" t="s">
        <v>714</v>
      </c>
      <c r="O119" s="937" t="s">
        <v>713</v>
      </c>
      <c r="P119" s="937" t="s">
        <v>714</v>
      </c>
      <c r="Q119" s="937" t="s">
        <v>713</v>
      </c>
      <c r="R119" s="937" t="s">
        <v>714</v>
      </c>
      <c r="S119" s="937" t="s">
        <v>713</v>
      </c>
      <c r="T119" s="937" t="s">
        <v>714</v>
      </c>
      <c r="U119" s="937" t="s">
        <v>713</v>
      </c>
      <c r="V119" s="938" t="s">
        <v>714</v>
      </c>
      <c r="W119" s="937" t="s">
        <v>713</v>
      </c>
      <c r="X119" s="937" t="s">
        <v>714</v>
      </c>
      <c r="Y119" s="937" t="s">
        <v>713</v>
      </c>
      <c r="Z119" s="937" t="s">
        <v>714</v>
      </c>
      <c r="AA119" s="937" t="s">
        <v>713</v>
      </c>
      <c r="AB119" s="937" t="s">
        <v>714</v>
      </c>
      <c r="AC119" s="937" t="s">
        <v>713</v>
      </c>
      <c r="AD119" s="937" t="s">
        <v>714</v>
      </c>
      <c r="AE119" s="937" t="s">
        <v>713</v>
      </c>
      <c r="AF119" s="937" t="s">
        <v>714</v>
      </c>
      <c r="AG119" s="937" t="s">
        <v>713</v>
      </c>
      <c r="AH119" s="939" t="s">
        <v>714</v>
      </c>
      <c r="AI119" s="940" t="s">
        <v>713</v>
      </c>
      <c r="AJ119" s="937" t="s">
        <v>714</v>
      </c>
      <c r="AK119" s="938" t="s">
        <v>713</v>
      </c>
      <c r="AL119" s="937" t="s">
        <v>714</v>
      </c>
      <c r="AM119" s="929"/>
    </row>
    <row r="120" spans="1:42" ht="27" customHeight="1">
      <c r="A120" s="941" t="s">
        <v>555</v>
      </c>
      <c r="B120" s="1427" t="s">
        <v>715</v>
      </c>
      <c r="C120" s="1428"/>
      <c r="D120" s="1428"/>
      <c r="E120" s="1428"/>
      <c r="F120" s="1428"/>
      <c r="G120" s="1428"/>
      <c r="H120" s="1428"/>
      <c r="I120" s="1428"/>
      <c r="J120" s="1429"/>
      <c r="K120" s="945">
        <v>0</v>
      </c>
      <c r="L120" s="945">
        <v>0</v>
      </c>
      <c r="M120" s="945">
        <v>0</v>
      </c>
      <c r="N120" s="945">
        <v>0</v>
      </c>
      <c r="O120" s="945">
        <v>0</v>
      </c>
      <c r="P120" s="945">
        <v>0</v>
      </c>
      <c r="Q120" s="945">
        <v>0</v>
      </c>
      <c r="R120" s="945">
        <v>0</v>
      </c>
      <c r="S120" s="945">
        <v>0</v>
      </c>
      <c r="T120" s="945">
        <v>0</v>
      </c>
      <c r="U120" s="945">
        <v>0</v>
      </c>
      <c r="V120" s="945">
        <v>0</v>
      </c>
      <c r="W120" s="945">
        <v>0</v>
      </c>
      <c r="X120" s="945">
        <v>0</v>
      </c>
      <c r="Y120" s="945">
        <v>0</v>
      </c>
      <c r="Z120" s="945">
        <v>0</v>
      </c>
      <c r="AA120" s="945">
        <v>0</v>
      </c>
      <c r="AB120" s="945">
        <v>0</v>
      </c>
      <c r="AC120" s="945">
        <v>0</v>
      </c>
      <c r="AD120" s="945">
        <v>0</v>
      </c>
      <c r="AE120" s="945">
        <v>0</v>
      </c>
      <c r="AF120" s="945">
        <v>0</v>
      </c>
      <c r="AG120" s="945">
        <v>0</v>
      </c>
      <c r="AH120" s="945">
        <v>0</v>
      </c>
      <c r="AI120" s="944">
        <f>K120+M120+O120+Q120+S120+U120+W120+Y120+AA120+AC120+AE120+AG120</f>
        <v>0</v>
      </c>
      <c r="AJ120" s="945">
        <f>L120+N120+P120+R120+T120+V120+X120+Z120+AB120+AD120+AF120+AH120</f>
        <v>0</v>
      </c>
      <c r="AK120" s="945">
        <f>+AI120/1</f>
        <v>0</v>
      </c>
      <c r="AL120" s="945">
        <v>0</v>
      </c>
      <c r="AM120" s="929"/>
      <c r="AN120" s="1003"/>
      <c r="AO120" s="925">
        <v>10</v>
      </c>
    </row>
    <row r="121" spans="1:42" ht="27" customHeight="1">
      <c r="A121" s="941" t="s">
        <v>560</v>
      </c>
      <c r="B121" s="1427" t="s">
        <v>716</v>
      </c>
      <c r="C121" s="1428"/>
      <c r="D121" s="1428"/>
      <c r="E121" s="1428"/>
      <c r="F121" s="1428"/>
      <c r="G121" s="1428"/>
      <c r="H121" s="1428"/>
      <c r="I121" s="1428"/>
      <c r="J121" s="1429"/>
      <c r="K121" s="945">
        <v>0</v>
      </c>
      <c r="L121" s="945">
        <v>0</v>
      </c>
      <c r="M121" s="945">
        <v>0</v>
      </c>
      <c r="N121" s="945">
        <v>0</v>
      </c>
      <c r="O121" s="945">
        <v>0</v>
      </c>
      <c r="P121" s="945">
        <v>0</v>
      </c>
      <c r="Q121" s="945">
        <v>0</v>
      </c>
      <c r="R121" s="945">
        <v>0</v>
      </c>
      <c r="S121" s="945">
        <v>0</v>
      </c>
      <c r="T121" s="945">
        <v>0</v>
      </c>
      <c r="U121" s="945">
        <v>0</v>
      </c>
      <c r="V121" s="945">
        <v>0</v>
      </c>
      <c r="W121" s="945">
        <v>0</v>
      </c>
      <c r="X121" s="945">
        <v>0</v>
      </c>
      <c r="Y121" s="945">
        <v>0</v>
      </c>
      <c r="Z121" s="945">
        <v>0</v>
      </c>
      <c r="AA121" s="945">
        <v>0</v>
      </c>
      <c r="AB121" s="945">
        <v>0</v>
      </c>
      <c r="AC121" s="945">
        <v>0</v>
      </c>
      <c r="AD121" s="945">
        <v>0</v>
      </c>
      <c r="AE121" s="945">
        <v>0</v>
      </c>
      <c r="AF121" s="945">
        <v>0</v>
      </c>
      <c r="AG121" s="945">
        <v>0</v>
      </c>
      <c r="AH121" s="945">
        <v>0</v>
      </c>
      <c r="AI121" s="949">
        <f>K121+M121+O121+Q121+S121+U121+W121+Y121+AA121+AC121+AE121+AG121</f>
        <v>0</v>
      </c>
      <c r="AJ121" s="945">
        <f t="shared" ref="AJ121:AJ127" si="7">+L121+N121+P121+R121+T121+V121+X121+Z121+AB121+AD121+AF121+AH121</f>
        <v>0</v>
      </c>
      <c r="AK121" s="945">
        <f>+AI121/12</f>
        <v>0</v>
      </c>
      <c r="AL121" s="945">
        <v>0</v>
      </c>
      <c r="AM121" s="929"/>
      <c r="AN121" s="1003"/>
      <c r="AO121" s="925">
        <v>3</v>
      </c>
    </row>
    <row r="122" spans="1:42" ht="27" customHeight="1">
      <c r="A122" s="941" t="s">
        <v>563</v>
      </c>
      <c r="B122" s="1427" t="s">
        <v>717</v>
      </c>
      <c r="C122" s="1428"/>
      <c r="D122" s="1428"/>
      <c r="E122" s="1428"/>
      <c r="F122" s="1428"/>
      <c r="G122" s="1428"/>
      <c r="H122" s="1428"/>
      <c r="I122" s="1428"/>
      <c r="J122" s="1429"/>
      <c r="K122" s="950">
        <v>0</v>
      </c>
      <c r="L122" s="950">
        <v>5</v>
      </c>
      <c r="M122" s="950">
        <v>0</v>
      </c>
      <c r="N122" s="950">
        <v>5</v>
      </c>
      <c r="O122" s="950">
        <v>0</v>
      </c>
      <c r="P122" s="950">
        <v>5</v>
      </c>
      <c r="Q122" s="950">
        <v>0</v>
      </c>
      <c r="R122" s="950">
        <v>5</v>
      </c>
      <c r="S122" s="950">
        <v>0</v>
      </c>
      <c r="T122" s="950">
        <v>5</v>
      </c>
      <c r="U122" s="950">
        <v>0</v>
      </c>
      <c r="V122" s="950">
        <v>5</v>
      </c>
      <c r="W122" s="950">
        <v>0</v>
      </c>
      <c r="X122" s="950">
        <v>5</v>
      </c>
      <c r="Y122" s="950">
        <v>0</v>
      </c>
      <c r="Z122" s="950">
        <v>5</v>
      </c>
      <c r="AA122" s="950">
        <v>0</v>
      </c>
      <c r="AB122" s="950">
        <v>5</v>
      </c>
      <c r="AC122" s="950">
        <v>0</v>
      </c>
      <c r="AD122" s="950">
        <v>5</v>
      </c>
      <c r="AE122" s="950">
        <v>0</v>
      </c>
      <c r="AF122" s="950">
        <v>5</v>
      </c>
      <c r="AG122" s="950">
        <v>0</v>
      </c>
      <c r="AH122" s="950">
        <v>5</v>
      </c>
      <c r="AI122" s="944">
        <f>K122+M122+O122+Q122+S122+U122+W122+Y122+AA122+AC122+AE122+AG122</f>
        <v>0</v>
      </c>
      <c r="AJ122" s="950">
        <f t="shared" si="7"/>
        <v>60</v>
      </c>
      <c r="AK122" s="945">
        <f>+AI122/12</f>
        <v>0</v>
      </c>
      <c r="AL122" s="946">
        <v>5</v>
      </c>
      <c r="AM122" s="929"/>
      <c r="AN122" s="1003"/>
      <c r="AO122" s="925">
        <v>5</v>
      </c>
    </row>
    <row r="123" spans="1:42" ht="27" customHeight="1">
      <c r="A123" s="941" t="s">
        <v>567</v>
      </c>
      <c r="B123" s="1427" t="s">
        <v>718</v>
      </c>
      <c r="C123" s="1428"/>
      <c r="D123" s="1428"/>
      <c r="E123" s="1428"/>
      <c r="F123" s="1428"/>
      <c r="G123" s="1428"/>
      <c r="H123" s="1428"/>
      <c r="I123" s="1428"/>
      <c r="J123" s="1429"/>
      <c r="K123" s="950" t="s">
        <v>112</v>
      </c>
      <c r="L123" s="950">
        <v>7</v>
      </c>
      <c r="M123" s="950" t="s">
        <v>112</v>
      </c>
      <c r="N123" s="950">
        <v>7</v>
      </c>
      <c r="O123" s="950" t="s">
        <v>112</v>
      </c>
      <c r="P123" s="950">
        <v>7</v>
      </c>
      <c r="Q123" s="950" t="s">
        <v>112</v>
      </c>
      <c r="R123" s="950">
        <v>7</v>
      </c>
      <c r="S123" s="950" t="s">
        <v>112</v>
      </c>
      <c r="T123" s="950">
        <v>7</v>
      </c>
      <c r="U123" s="950" t="s">
        <v>112</v>
      </c>
      <c r="V123" s="950">
        <v>7</v>
      </c>
      <c r="W123" s="950" t="s">
        <v>112</v>
      </c>
      <c r="X123" s="950">
        <v>7</v>
      </c>
      <c r="Y123" s="950" t="s">
        <v>112</v>
      </c>
      <c r="Z123" s="950">
        <v>7</v>
      </c>
      <c r="AA123" s="950" t="s">
        <v>112</v>
      </c>
      <c r="AB123" s="950">
        <v>7</v>
      </c>
      <c r="AC123" s="950" t="s">
        <v>112</v>
      </c>
      <c r="AD123" s="950">
        <v>7</v>
      </c>
      <c r="AE123" s="950" t="s">
        <v>112</v>
      </c>
      <c r="AF123" s="950">
        <v>7</v>
      </c>
      <c r="AG123" s="950" t="s">
        <v>112</v>
      </c>
      <c r="AH123" s="950">
        <v>7</v>
      </c>
      <c r="AI123" s="950" t="s">
        <v>112</v>
      </c>
      <c r="AJ123" s="950">
        <f t="shared" si="7"/>
        <v>84</v>
      </c>
      <c r="AK123" s="950" t="s">
        <v>112</v>
      </c>
      <c r="AL123" s="946">
        <f>+AJ123/12</f>
        <v>7</v>
      </c>
      <c r="AM123" s="929"/>
      <c r="AN123" s="1003"/>
      <c r="AO123" s="925">
        <v>7</v>
      </c>
    </row>
    <row r="124" spans="1:42" ht="27" customHeight="1">
      <c r="A124" s="941" t="s">
        <v>571</v>
      </c>
      <c r="B124" s="1427" t="s">
        <v>719</v>
      </c>
      <c r="C124" s="1428"/>
      <c r="D124" s="1428"/>
      <c r="E124" s="1428"/>
      <c r="F124" s="1428"/>
      <c r="G124" s="1428"/>
      <c r="H124" s="1428"/>
      <c r="I124" s="1428"/>
      <c r="J124" s="1429"/>
      <c r="K124" s="950" t="s">
        <v>112</v>
      </c>
      <c r="L124" s="950">
        <v>7</v>
      </c>
      <c r="M124" s="950" t="s">
        <v>112</v>
      </c>
      <c r="N124" s="950">
        <v>7</v>
      </c>
      <c r="O124" s="950" t="s">
        <v>112</v>
      </c>
      <c r="P124" s="950">
        <v>7</v>
      </c>
      <c r="Q124" s="950" t="s">
        <v>112</v>
      </c>
      <c r="R124" s="950">
        <v>7</v>
      </c>
      <c r="S124" s="950" t="s">
        <v>112</v>
      </c>
      <c r="T124" s="950">
        <v>7</v>
      </c>
      <c r="U124" s="950" t="s">
        <v>112</v>
      </c>
      <c r="V124" s="950">
        <v>7</v>
      </c>
      <c r="W124" s="950" t="s">
        <v>112</v>
      </c>
      <c r="X124" s="950">
        <v>7</v>
      </c>
      <c r="Y124" s="950" t="s">
        <v>112</v>
      </c>
      <c r="Z124" s="950">
        <v>7</v>
      </c>
      <c r="AA124" s="950" t="s">
        <v>112</v>
      </c>
      <c r="AB124" s="950">
        <v>7</v>
      </c>
      <c r="AC124" s="950" t="s">
        <v>112</v>
      </c>
      <c r="AD124" s="950">
        <v>7</v>
      </c>
      <c r="AE124" s="950" t="s">
        <v>112</v>
      </c>
      <c r="AF124" s="950">
        <v>7</v>
      </c>
      <c r="AG124" s="950" t="s">
        <v>112</v>
      </c>
      <c r="AH124" s="950">
        <v>7</v>
      </c>
      <c r="AI124" s="950" t="s">
        <v>112</v>
      </c>
      <c r="AJ124" s="950">
        <f t="shared" si="7"/>
        <v>84</v>
      </c>
      <c r="AK124" s="950" t="s">
        <v>112</v>
      </c>
      <c r="AL124" s="946">
        <f>+AJ124/12</f>
        <v>7</v>
      </c>
      <c r="AM124" s="929"/>
      <c r="AN124" s="1003"/>
      <c r="AO124" s="925">
        <v>7</v>
      </c>
    </row>
    <row r="125" spans="1:42" ht="27" customHeight="1">
      <c r="A125" s="941" t="s">
        <v>575</v>
      </c>
      <c r="B125" s="1427" t="s">
        <v>720</v>
      </c>
      <c r="C125" s="1428"/>
      <c r="D125" s="1428"/>
      <c r="E125" s="1428"/>
      <c r="F125" s="1428"/>
      <c r="G125" s="1428"/>
      <c r="H125" s="1428"/>
      <c r="I125" s="1428"/>
      <c r="J125" s="1429"/>
      <c r="K125" s="950" t="s">
        <v>112</v>
      </c>
      <c r="L125" s="950">
        <v>7</v>
      </c>
      <c r="M125" s="950" t="s">
        <v>112</v>
      </c>
      <c r="N125" s="950">
        <v>7</v>
      </c>
      <c r="O125" s="950" t="s">
        <v>112</v>
      </c>
      <c r="P125" s="950">
        <v>7</v>
      </c>
      <c r="Q125" s="950" t="s">
        <v>112</v>
      </c>
      <c r="R125" s="950">
        <v>7</v>
      </c>
      <c r="S125" s="950" t="s">
        <v>112</v>
      </c>
      <c r="T125" s="950">
        <v>7</v>
      </c>
      <c r="U125" s="950" t="s">
        <v>112</v>
      </c>
      <c r="V125" s="950">
        <v>7</v>
      </c>
      <c r="W125" s="950" t="s">
        <v>112</v>
      </c>
      <c r="X125" s="950">
        <v>7</v>
      </c>
      <c r="Y125" s="950" t="s">
        <v>112</v>
      </c>
      <c r="Z125" s="950">
        <v>7</v>
      </c>
      <c r="AA125" s="950" t="s">
        <v>112</v>
      </c>
      <c r="AB125" s="950">
        <v>7</v>
      </c>
      <c r="AC125" s="950" t="s">
        <v>112</v>
      </c>
      <c r="AD125" s="950">
        <v>7</v>
      </c>
      <c r="AE125" s="950" t="s">
        <v>112</v>
      </c>
      <c r="AF125" s="950">
        <v>7</v>
      </c>
      <c r="AG125" s="950" t="s">
        <v>112</v>
      </c>
      <c r="AH125" s="950">
        <v>7</v>
      </c>
      <c r="AI125" s="950" t="s">
        <v>112</v>
      </c>
      <c r="AJ125" s="950">
        <f t="shared" si="7"/>
        <v>84</v>
      </c>
      <c r="AK125" s="950" t="s">
        <v>112</v>
      </c>
      <c r="AL125" s="946">
        <f>+AJ125/12</f>
        <v>7</v>
      </c>
      <c r="AM125" s="929"/>
      <c r="AN125" s="1003"/>
      <c r="AO125" s="925">
        <v>7</v>
      </c>
    </row>
    <row r="126" spans="1:42" ht="27" customHeight="1">
      <c r="A126" s="941" t="s">
        <v>578</v>
      </c>
      <c r="B126" s="1427" t="s">
        <v>721</v>
      </c>
      <c r="C126" s="1428"/>
      <c r="D126" s="1428"/>
      <c r="E126" s="1428"/>
      <c r="F126" s="1428"/>
      <c r="G126" s="1428"/>
      <c r="H126" s="1428"/>
      <c r="I126" s="1428"/>
      <c r="J126" s="1429"/>
      <c r="K126" s="950" t="s">
        <v>112</v>
      </c>
      <c r="L126" s="950">
        <v>7</v>
      </c>
      <c r="M126" s="950" t="s">
        <v>112</v>
      </c>
      <c r="N126" s="950">
        <v>7</v>
      </c>
      <c r="O126" s="950" t="s">
        <v>112</v>
      </c>
      <c r="P126" s="950">
        <v>7</v>
      </c>
      <c r="Q126" s="950" t="s">
        <v>112</v>
      </c>
      <c r="R126" s="950">
        <v>7</v>
      </c>
      <c r="S126" s="950" t="s">
        <v>112</v>
      </c>
      <c r="T126" s="950">
        <v>7</v>
      </c>
      <c r="U126" s="950" t="s">
        <v>112</v>
      </c>
      <c r="V126" s="950">
        <v>7</v>
      </c>
      <c r="W126" s="950" t="s">
        <v>112</v>
      </c>
      <c r="X126" s="950">
        <v>7</v>
      </c>
      <c r="Y126" s="950" t="s">
        <v>112</v>
      </c>
      <c r="Z126" s="950">
        <v>7</v>
      </c>
      <c r="AA126" s="950" t="s">
        <v>112</v>
      </c>
      <c r="AB126" s="950">
        <v>7</v>
      </c>
      <c r="AC126" s="950" t="s">
        <v>112</v>
      </c>
      <c r="AD126" s="950">
        <v>7</v>
      </c>
      <c r="AE126" s="950" t="s">
        <v>112</v>
      </c>
      <c r="AF126" s="950">
        <v>7</v>
      </c>
      <c r="AG126" s="950" t="s">
        <v>112</v>
      </c>
      <c r="AH126" s="950">
        <v>7</v>
      </c>
      <c r="AI126" s="950" t="s">
        <v>112</v>
      </c>
      <c r="AJ126" s="950">
        <f t="shared" si="7"/>
        <v>84</v>
      </c>
      <c r="AK126" s="950" t="s">
        <v>112</v>
      </c>
      <c r="AL126" s="946">
        <f>+AJ126/12</f>
        <v>7</v>
      </c>
      <c r="AM126" s="929"/>
      <c r="AN126" s="1003"/>
      <c r="AO126" s="925">
        <v>7</v>
      </c>
    </row>
    <row r="127" spans="1:42" ht="27" customHeight="1">
      <c r="A127" s="941" t="s">
        <v>581</v>
      </c>
      <c r="B127" s="1427" t="s">
        <v>722</v>
      </c>
      <c r="C127" s="1428"/>
      <c r="D127" s="1428"/>
      <c r="E127" s="1428"/>
      <c r="F127" s="1428"/>
      <c r="G127" s="1428"/>
      <c r="H127" s="1428"/>
      <c r="I127" s="1428"/>
      <c r="J127" s="1429"/>
      <c r="K127" s="950" t="s">
        <v>112</v>
      </c>
      <c r="L127" s="950">
        <v>7</v>
      </c>
      <c r="M127" s="950" t="s">
        <v>112</v>
      </c>
      <c r="N127" s="950">
        <v>7</v>
      </c>
      <c r="O127" s="950" t="s">
        <v>112</v>
      </c>
      <c r="P127" s="950">
        <v>7</v>
      </c>
      <c r="Q127" s="950" t="s">
        <v>112</v>
      </c>
      <c r="R127" s="950">
        <v>7</v>
      </c>
      <c r="S127" s="950" t="s">
        <v>112</v>
      </c>
      <c r="T127" s="950">
        <v>7</v>
      </c>
      <c r="U127" s="950" t="s">
        <v>112</v>
      </c>
      <c r="V127" s="950">
        <v>7</v>
      </c>
      <c r="W127" s="950" t="s">
        <v>112</v>
      </c>
      <c r="X127" s="950">
        <v>7</v>
      </c>
      <c r="Y127" s="950" t="s">
        <v>112</v>
      </c>
      <c r="Z127" s="950">
        <v>7</v>
      </c>
      <c r="AA127" s="950" t="s">
        <v>112</v>
      </c>
      <c r="AB127" s="950">
        <v>7</v>
      </c>
      <c r="AC127" s="950" t="s">
        <v>112</v>
      </c>
      <c r="AD127" s="950">
        <v>7</v>
      </c>
      <c r="AE127" s="950" t="s">
        <v>112</v>
      </c>
      <c r="AF127" s="950">
        <v>7</v>
      </c>
      <c r="AG127" s="950" t="s">
        <v>112</v>
      </c>
      <c r="AH127" s="950">
        <v>7</v>
      </c>
      <c r="AI127" s="950" t="s">
        <v>112</v>
      </c>
      <c r="AJ127" s="950">
        <f t="shared" si="7"/>
        <v>84</v>
      </c>
      <c r="AK127" s="950" t="s">
        <v>112</v>
      </c>
      <c r="AL127" s="946">
        <f>+AJ127/12</f>
        <v>7</v>
      </c>
      <c r="AM127" s="929"/>
      <c r="AN127" s="1003"/>
      <c r="AO127" s="925">
        <v>7</v>
      </c>
    </row>
    <row r="128" spans="1:42" ht="27" customHeight="1">
      <c r="A128" s="952"/>
      <c r="B128" s="1430" t="s">
        <v>68</v>
      </c>
      <c r="C128" s="1430"/>
      <c r="D128" s="1430"/>
      <c r="E128" s="1430"/>
      <c r="F128" s="1430"/>
      <c r="G128" s="1430"/>
      <c r="H128" s="1430"/>
      <c r="I128" s="1430"/>
      <c r="J128" s="1430"/>
      <c r="K128" s="1425">
        <f>SUM(L120:L127)</f>
        <v>40</v>
      </c>
      <c r="L128" s="1426"/>
      <c r="M128" s="1425">
        <f>SUM(N120:N127)</f>
        <v>40</v>
      </c>
      <c r="N128" s="1426"/>
      <c r="O128" s="1425">
        <f>SUM(P120:P127)</f>
        <v>40</v>
      </c>
      <c r="P128" s="1426"/>
      <c r="Q128" s="1425">
        <f>SUM(R120:R127)</f>
        <v>40</v>
      </c>
      <c r="R128" s="1426"/>
      <c r="S128" s="1425">
        <f>SUM(T120:T127)</f>
        <v>40</v>
      </c>
      <c r="T128" s="1426"/>
      <c r="U128" s="1425">
        <f>SUM(V120:V127)</f>
        <v>40</v>
      </c>
      <c r="V128" s="1426"/>
      <c r="W128" s="1425">
        <f>SUM(X120:X127)</f>
        <v>40</v>
      </c>
      <c r="X128" s="1426"/>
      <c r="Y128" s="1425">
        <f>SUM(Z120:Z127)</f>
        <v>40</v>
      </c>
      <c r="Z128" s="1426"/>
      <c r="AA128" s="1425">
        <f>SUM(AB120:AB127)</f>
        <v>40</v>
      </c>
      <c r="AB128" s="1426"/>
      <c r="AC128" s="1425">
        <f>SUM(AD120:AD127)</f>
        <v>40</v>
      </c>
      <c r="AD128" s="1426"/>
      <c r="AE128" s="1425">
        <f>SUM(AF120:AF127)</f>
        <v>40</v>
      </c>
      <c r="AF128" s="1426"/>
      <c r="AG128" s="1425">
        <f>SUM(AH120:AH127)</f>
        <v>40</v>
      </c>
      <c r="AH128" s="1426"/>
      <c r="AI128" s="1484">
        <f>SUM(AJ120:AJ127)</f>
        <v>480</v>
      </c>
      <c r="AJ128" s="1420"/>
      <c r="AK128" s="1420">
        <f>SUM(AL120:AL127)</f>
        <v>40</v>
      </c>
      <c r="AL128" s="1420"/>
      <c r="AM128" s="929"/>
      <c r="AN128" s="1003"/>
      <c r="AO128" s="925">
        <f>SUM(AO120:AO127)</f>
        <v>53</v>
      </c>
    </row>
    <row r="129" spans="1:40" ht="21.75" customHeight="1">
      <c r="A129" s="953"/>
      <c r="B129" s="927"/>
      <c r="C129" s="928"/>
      <c r="D129" s="927"/>
      <c r="E129" s="927"/>
      <c r="F129" s="927"/>
      <c r="G129" s="927"/>
      <c r="H129" s="927"/>
      <c r="I129" s="927"/>
      <c r="J129" s="927"/>
      <c r="K129" s="954"/>
      <c r="L129" s="955"/>
      <c r="M129" s="955"/>
      <c r="N129" s="955"/>
      <c r="O129" s="955"/>
      <c r="P129" s="955"/>
      <c r="Q129" s="955"/>
      <c r="R129" s="955"/>
      <c r="S129" s="955"/>
      <c r="T129" s="955"/>
      <c r="U129" s="955"/>
      <c r="V129" s="955"/>
      <c r="W129" s="955"/>
      <c r="X129" s="955"/>
      <c r="Y129" s="955"/>
      <c r="Z129" s="955"/>
      <c r="AA129" s="955"/>
      <c r="AB129" s="955"/>
      <c r="AC129" s="955"/>
      <c r="AD129" s="955"/>
      <c r="AE129" s="955"/>
      <c r="AF129" s="955"/>
      <c r="AG129" s="955"/>
      <c r="AH129" s="955"/>
      <c r="AI129" s="955"/>
      <c r="AJ129" s="955"/>
      <c r="AK129" s="955"/>
      <c r="AL129" s="955"/>
      <c r="AM129" s="929"/>
      <c r="AN129" s="1003"/>
    </row>
    <row r="130" spans="1:40" ht="21.75" customHeight="1">
      <c r="A130" s="953"/>
      <c r="B130" s="927"/>
      <c r="C130" s="928"/>
      <c r="D130" s="927"/>
      <c r="E130" s="927"/>
      <c r="F130" s="927"/>
      <c r="G130" s="927"/>
      <c r="H130" s="927"/>
      <c r="I130" s="927"/>
      <c r="J130" s="927"/>
      <c r="K130" s="927"/>
      <c r="L130" s="927"/>
      <c r="M130" s="927"/>
      <c r="N130" s="927"/>
      <c r="O130" s="927"/>
      <c r="P130" s="927"/>
      <c r="Q130" s="927"/>
      <c r="R130" s="927"/>
      <c r="S130" s="927"/>
      <c r="T130" s="927"/>
      <c r="U130" s="927"/>
      <c r="V130" s="927"/>
      <c r="W130" s="927"/>
      <c r="X130" s="927"/>
      <c r="Y130" s="927"/>
      <c r="Z130" s="927"/>
      <c r="AA130" s="927"/>
      <c r="AB130" s="927"/>
      <c r="AC130" s="927"/>
      <c r="AD130" s="927"/>
      <c r="AE130" s="927"/>
      <c r="AF130" s="927"/>
      <c r="AG130" s="927"/>
      <c r="AH130" s="927"/>
      <c r="AI130" s="927"/>
      <c r="AJ130" s="927"/>
      <c r="AK130" s="927"/>
      <c r="AL130" s="927"/>
      <c r="AM130" s="929"/>
    </row>
    <row r="131" spans="1:40" ht="21.75" customHeight="1">
      <c r="A131" s="953"/>
      <c r="B131" s="927"/>
      <c r="C131" s="928"/>
      <c r="D131" s="927"/>
      <c r="E131" s="927"/>
      <c r="F131" s="927"/>
      <c r="G131" s="927"/>
      <c r="H131" s="927"/>
      <c r="I131" s="927"/>
      <c r="J131" s="927"/>
      <c r="K131" s="927"/>
      <c r="L131" s="927"/>
      <c r="M131" s="927"/>
      <c r="N131" s="927"/>
      <c r="O131" s="927"/>
      <c r="P131" s="927"/>
      <c r="Q131" s="927"/>
      <c r="R131" s="927"/>
      <c r="S131" s="927"/>
      <c r="T131" s="927"/>
      <c r="U131" s="927"/>
      <c r="V131" s="927"/>
      <c r="W131" s="927"/>
      <c r="X131" s="927"/>
      <c r="Y131" s="927"/>
      <c r="Z131" s="927"/>
      <c r="AA131" s="927"/>
      <c r="AB131" s="927"/>
      <c r="AC131" s="927"/>
      <c r="AD131" s="927"/>
      <c r="AE131" s="927"/>
      <c r="AF131" s="927"/>
      <c r="AG131" s="927"/>
      <c r="AH131" s="927"/>
      <c r="AI131" s="927"/>
      <c r="AJ131" s="927"/>
      <c r="AK131" s="927"/>
      <c r="AL131" s="927"/>
      <c r="AM131" s="929"/>
    </row>
    <row r="132" spans="1:40" ht="21.75" customHeight="1">
      <c r="A132" s="957"/>
      <c r="B132" s="958"/>
      <c r="C132" s="934"/>
      <c r="D132" s="927"/>
      <c r="E132" s="959"/>
      <c r="F132" s="927"/>
      <c r="G132" s="927"/>
      <c r="H132" s="927"/>
      <c r="I132" s="927"/>
      <c r="J132" s="927"/>
      <c r="K132" s="927"/>
      <c r="L132" s="927"/>
      <c r="M132" s="927"/>
      <c r="N132" s="927"/>
      <c r="O132" s="927"/>
      <c r="P132" s="958"/>
      <c r="Q132" s="958"/>
      <c r="R132" s="958"/>
      <c r="S132" s="958"/>
      <c r="T132" s="958"/>
      <c r="U132" s="958"/>
      <c r="V132" s="958"/>
      <c r="W132" s="927"/>
      <c r="X132" s="927"/>
      <c r="Y132" s="934"/>
      <c r="Z132" s="927"/>
      <c r="AA132" s="927"/>
      <c r="AB132" s="934"/>
      <c r="AC132" s="934"/>
      <c r="AD132" s="960"/>
      <c r="AE132" s="1422" t="s">
        <v>634</v>
      </c>
      <c r="AF132" s="1423"/>
      <c r="AG132" s="1423"/>
      <c r="AH132" s="1423"/>
      <c r="AI132" s="1423"/>
      <c r="AJ132" s="1423"/>
      <c r="AK132" s="1423"/>
      <c r="AL132" s="1424"/>
      <c r="AM132" s="929"/>
    </row>
    <row r="133" spans="1:40" ht="21.75" customHeight="1">
      <c r="A133" s="957"/>
      <c r="B133" s="958"/>
      <c r="C133" s="934"/>
      <c r="D133" s="927"/>
      <c r="E133" s="959"/>
      <c r="F133" s="927"/>
      <c r="G133" s="927"/>
      <c r="H133" s="927"/>
      <c r="I133" s="927"/>
      <c r="J133" s="927"/>
      <c r="K133" s="927"/>
      <c r="L133" s="927"/>
      <c r="M133" s="927"/>
      <c r="N133" s="927"/>
      <c r="O133" s="927"/>
      <c r="P133" s="927"/>
      <c r="Q133" s="927"/>
      <c r="R133" s="958"/>
      <c r="S133" s="927"/>
      <c r="T133" s="927"/>
      <c r="U133" s="927"/>
      <c r="V133" s="927"/>
      <c r="W133" s="927"/>
      <c r="X133" s="927"/>
      <c r="Y133" s="934"/>
      <c r="Z133" s="927"/>
      <c r="AA133" s="927"/>
      <c r="AB133" s="934"/>
      <c r="AC133" s="934"/>
      <c r="AD133" s="960"/>
      <c r="AE133" s="953"/>
      <c r="AF133" s="927"/>
      <c r="AG133" s="934"/>
      <c r="AH133" s="927"/>
      <c r="AI133" s="927"/>
      <c r="AJ133" s="927"/>
      <c r="AK133" s="927"/>
      <c r="AL133" s="929"/>
      <c r="AM133" s="929"/>
    </row>
    <row r="134" spans="1:40" ht="21.75" customHeight="1">
      <c r="A134" s="957"/>
      <c r="B134" s="958"/>
      <c r="C134" s="934"/>
      <c r="D134" s="927"/>
      <c r="E134" s="959"/>
      <c r="F134" s="927"/>
      <c r="G134" s="927"/>
      <c r="H134" s="927"/>
      <c r="I134" s="927"/>
      <c r="J134" s="927"/>
      <c r="K134" s="927"/>
      <c r="L134" s="927"/>
      <c r="M134" s="927"/>
      <c r="N134" s="927"/>
      <c r="O134" s="927"/>
      <c r="P134" s="934"/>
      <c r="Q134" s="934"/>
      <c r="R134" s="934"/>
      <c r="S134" s="934"/>
      <c r="T134" s="927"/>
      <c r="U134" s="927"/>
      <c r="V134" s="958"/>
      <c r="W134" s="927"/>
      <c r="X134" s="927"/>
      <c r="Y134" s="934"/>
      <c r="Z134" s="927"/>
      <c r="AA134" s="961"/>
      <c r="AB134" s="934"/>
      <c r="AC134" s="934"/>
      <c r="AD134" s="960"/>
      <c r="AE134" s="953"/>
      <c r="AF134" s="927"/>
      <c r="AG134" s="934"/>
      <c r="AH134" s="927"/>
      <c r="AI134" s="927"/>
      <c r="AJ134" s="927"/>
      <c r="AK134" s="961"/>
      <c r="AL134" s="929"/>
      <c r="AM134" s="929"/>
    </row>
    <row r="135" spans="1:40" ht="21.75" customHeight="1">
      <c r="A135" s="957"/>
      <c r="B135" s="958"/>
      <c r="C135" s="934"/>
      <c r="D135" s="927"/>
      <c r="E135" s="959"/>
      <c r="F135" s="927"/>
      <c r="G135" s="962"/>
      <c r="H135" s="927"/>
      <c r="I135" s="927"/>
      <c r="J135" s="927"/>
      <c r="K135" s="927"/>
      <c r="L135" s="927"/>
      <c r="M135" s="927"/>
      <c r="N135" s="927"/>
      <c r="O135" s="927"/>
      <c r="P135" s="934"/>
      <c r="Q135" s="934"/>
      <c r="R135" s="934"/>
      <c r="S135" s="934"/>
      <c r="T135" s="928"/>
      <c r="U135" s="927"/>
      <c r="V135" s="958"/>
      <c r="W135" s="927"/>
      <c r="X135" s="927"/>
      <c r="Y135" s="934"/>
      <c r="Z135" s="927"/>
      <c r="AA135" s="927"/>
      <c r="AB135" s="934"/>
      <c r="AC135" s="934"/>
      <c r="AD135" s="960"/>
      <c r="AE135" s="963"/>
      <c r="AF135" s="964"/>
      <c r="AG135" s="965"/>
      <c r="AH135" s="964"/>
      <c r="AI135" s="964"/>
      <c r="AJ135" s="964"/>
      <c r="AK135" s="964"/>
      <c r="AL135" s="966"/>
      <c r="AM135" s="929"/>
    </row>
    <row r="136" spans="1:40" ht="21.75" customHeight="1">
      <c r="A136" s="953"/>
      <c r="B136" s="927"/>
      <c r="C136" s="928"/>
      <c r="D136" s="927"/>
      <c r="E136" s="958"/>
      <c r="F136" s="927"/>
      <c r="G136" s="958"/>
      <c r="H136" s="927"/>
      <c r="I136" s="927"/>
      <c r="J136" s="927"/>
      <c r="K136" s="927"/>
      <c r="L136" s="927"/>
      <c r="M136" s="927"/>
      <c r="N136" s="927"/>
      <c r="O136" s="927"/>
      <c r="P136" s="934"/>
      <c r="Q136" s="934"/>
      <c r="R136" s="934"/>
      <c r="S136" s="934"/>
      <c r="T136" s="927"/>
      <c r="U136" s="927"/>
      <c r="V136" s="958"/>
      <c r="W136" s="927"/>
      <c r="X136" s="927"/>
      <c r="Y136" s="934"/>
      <c r="Z136" s="927"/>
      <c r="AA136" s="927"/>
      <c r="AB136" s="934"/>
      <c r="AC136" s="934"/>
      <c r="AD136" s="960"/>
      <c r="AE136" s="953" t="s">
        <v>723</v>
      </c>
      <c r="AF136" s="927"/>
      <c r="AG136" s="934" t="s">
        <v>3</v>
      </c>
      <c r="AH136" s="928" t="s">
        <v>724</v>
      </c>
      <c r="AI136" s="927"/>
      <c r="AJ136" s="927"/>
      <c r="AK136" s="927"/>
      <c r="AL136" s="929"/>
      <c r="AM136" s="929"/>
    </row>
    <row r="137" spans="1:40" ht="21.75" customHeight="1">
      <c r="A137" s="953"/>
      <c r="B137" s="927"/>
      <c r="C137" s="934"/>
      <c r="D137" s="934"/>
      <c r="E137" s="934"/>
      <c r="F137" s="934"/>
      <c r="G137" s="934"/>
      <c r="H137" s="934"/>
      <c r="I137" s="934"/>
      <c r="J137" s="934"/>
      <c r="K137" s="934"/>
      <c r="L137" s="934"/>
      <c r="M137" s="934"/>
      <c r="N137" s="934"/>
      <c r="O137" s="934"/>
      <c r="P137" s="934"/>
      <c r="Q137" s="934"/>
      <c r="R137" s="934"/>
      <c r="S137" s="934"/>
      <c r="T137" s="927"/>
      <c r="U137" s="958"/>
      <c r="V137" s="958"/>
      <c r="W137" s="927"/>
      <c r="X137" s="927"/>
      <c r="Y137" s="934"/>
      <c r="Z137" s="927"/>
      <c r="AA137" s="927"/>
      <c r="AB137" s="934"/>
      <c r="AC137" s="934"/>
      <c r="AD137" s="960"/>
      <c r="AE137" s="953" t="s">
        <v>725</v>
      </c>
      <c r="AF137" s="927"/>
      <c r="AG137" s="934" t="s">
        <v>3</v>
      </c>
      <c r="AH137" s="927" t="s">
        <v>726</v>
      </c>
      <c r="AI137" s="927"/>
      <c r="AJ137" s="927"/>
      <c r="AK137" s="927"/>
      <c r="AL137" s="929"/>
      <c r="AM137" s="929"/>
    </row>
    <row r="138" spans="1:40" ht="21.75" customHeight="1">
      <c r="A138" s="953"/>
      <c r="B138" s="927"/>
      <c r="C138" s="934"/>
      <c r="D138" s="934"/>
      <c r="E138" s="934"/>
      <c r="F138" s="934"/>
      <c r="G138" s="934"/>
      <c r="H138" s="934"/>
      <c r="I138" s="934"/>
      <c r="J138" s="934"/>
      <c r="K138" s="934"/>
      <c r="L138" s="934"/>
      <c r="M138" s="934"/>
      <c r="N138" s="934"/>
      <c r="O138" s="934"/>
      <c r="P138" s="934"/>
      <c r="Q138" s="934"/>
      <c r="R138" s="934"/>
      <c r="S138" s="934"/>
      <c r="T138" s="958"/>
      <c r="U138" s="958"/>
      <c r="V138" s="958"/>
      <c r="W138" s="927"/>
      <c r="X138" s="927"/>
      <c r="Y138" s="934"/>
      <c r="Z138" s="928"/>
      <c r="AA138" s="927"/>
      <c r="AB138" s="934"/>
      <c r="AC138" s="934"/>
      <c r="AD138" s="960"/>
      <c r="AE138" s="963" t="s">
        <v>727</v>
      </c>
      <c r="AF138" s="964"/>
      <c r="AG138" s="965" t="s">
        <v>3</v>
      </c>
      <c r="AH138" s="967" t="str">
        <f>AH421</f>
        <v>02 Januari 2020</v>
      </c>
      <c r="AI138" s="967"/>
      <c r="AJ138" s="967"/>
      <c r="AK138" s="964"/>
      <c r="AL138" s="966"/>
      <c r="AM138" s="929"/>
    </row>
    <row r="139" spans="1:40" ht="18" customHeight="1">
      <c r="A139" s="963"/>
      <c r="B139" s="964"/>
      <c r="C139" s="968"/>
      <c r="D139" s="964"/>
      <c r="E139" s="964"/>
      <c r="F139" s="964"/>
      <c r="G139" s="965"/>
      <c r="H139" s="965"/>
      <c r="I139" s="964"/>
      <c r="J139" s="964"/>
      <c r="K139" s="964"/>
      <c r="L139" s="964"/>
      <c r="M139" s="964"/>
      <c r="N139" s="964"/>
      <c r="O139" s="964"/>
      <c r="P139" s="964"/>
      <c r="Q139" s="964"/>
      <c r="R139" s="964"/>
      <c r="S139" s="964"/>
      <c r="T139" s="964"/>
      <c r="U139" s="964"/>
      <c r="V139" s="964"/>
      <c r="W139" s="964"/>
      <c r="X139" s="964"/>
      <c r="Y139" s="964"/>
      <c r="Z139" s="964"/>
      <c r="AA139" s="964"/>
      <c r="AB139" s="964"/>
      <c r="AC139" s="964"/>
      <c r="AD139" s="964"/>
      <c r="AE139" s="964"/>
      <c r="AF139" s="964"/>
      <c r="AG139" s="964"/>
      <c r="AH139" s="964"/>
      <c r="AI139" s="964"/>
      <c r="AJ139" s="964"/>
      <c r="AK139" s="964"/>
      <c r="AL139" s="964"/>
      <c r="AM139" s="966"/>
    </row>
    <row r="140" spans="1:40" ht="39" customHeight="1">
      <c r="A140" s="969"/>
      <c r="B140" s="969"/>
      <c r="C140" s="970"/>
      <c r="D140" s="969"/>
      <c r="E140" s="969"/>
      <c r="F140" s="969"/>
      <c r="G140" s="971"/>
      <c r="H140" s="971"/>
      <c r="I140" s="969"/>
      <c r="J140" s="969"/>
      <c r="K140" s="969"/>
      <c r="L140" s="969"/>
      <c r="M140" s="969"/>
      <c r="N140" s="969"/>
      <c r="O140" s="969"/>
      <c r="P140" s="969"/>
      <c r="Q140" s="969"/>
      <c r="R140" s="969"/>
      <c r="S140" s="969"/>
      <c r="T140" s="969"/>
      <c r="U140" s="969"/>
      <c r="V140" s="969"/>
      <c r="W140" s="969"/>
      <c r="X140" s="969"/>
      <c r="Y140" s="969"/>
      <c r="Z140" s="969"/>
      <c r="AA140" s="969"/>
      <c r="AB140" s="969"/>
      <c r="AC140" s="969"/>
      <c r="AD140" s="969"/>
      <c r="AE140" s="969"/>
      <c r="AF140" s="969"/>
      <c r="AG140" s="969"/>
      <c r="AH140" s="969"/>
      <c r="AI140" s="969"/>
      <c r="AJ140" s="969"/>
      <c r="AK140" s="969"/>
      <c r="AL140" s="969"/>
      <c r="AM140" s="969"/>
    </row>
    <row r="141" spans="1:40" ht="18" customHeight="1">
      <c r="A141" s="964"/>
      <c r="B141" s="964"/>
      <c r="C141" s="968"/>
      <c r="D141" s="964"/>
      <c r="E141" s="964"/>
      <c r="F141" s="964"/>
      <c r="G141" s="965"/>
      <c r="H141" s="965"/>
      <c r="I141" s="964"/>
      <c r="J141" s="964"/>
      <c r="K141" s="964"/>
      <c r="L141" s="964"/>
      <c r="M141" s="964"/>
      <c r="N141" s="964"/>
      <c r="O141" s="964"/>
      <c r="P141" s="964"/>
      <c r="Q141" s="964"/>
      <c r="R141" s="964"/>
      <c r="S141" s="964"/>
      <c r="T141" s="964"/>
      <c r="U141" s="964"/>
      <c r="V141" s="964"/>
      <c r="W141" s="964"/>
      <c r="X141" s="964"/>
      <c r="Y141" s="964"/>
      <c r="Z141" s="964"/>
      <c r="AA141" s="964"/>
      <c r="AB141" s="964"/>
      <c r="AC141" s="964"/>
      <c r="AD141" s="964"/>
      <c r="AE141" s="964"/>
      <c r="AF141" s="964"/>
      <c r="AG141" s="964"/>
      <c r="AH141" s="964"/>
      <c r="AI141" s="964"/>
      <c r="AJ141" s="964"/>
      <c r="AK141" s="964"/>
      <c r="AL141" s="964"/>
      <c r="AM141" s="964"/>
    </row>
    <row r="142" spans="1:40" ht="18" customHeight="1">
      <c r="P142" s="925"/>
    </row>
    <row r="143" spans="1:40" s="1005" customFormat="1" ht="15" customHeight="1">
      <c r="A143" s="1004"/>
      <c r="B143" s="1004"/>
      <c r="C143" s="1004"/>
      <c r="D143" s="1004"/>
      <c r="E143" s="1004"/>
      <c r="F143" s="1004"/>
      <c r="G143" s="1004"/>
      <c r="H143" s="1004"/>
      <c r="I143" s="1004"/>
      <c r="J143" s="1004"/>
      <c r="K143" s="1004"/>
      <c r="L143" s="1004"/>
      <c r="M143" s="1004"/>
      <c r="N143" s="1004"/>
      <c r="O143" s="1004"/>
      <c r="P143" s="1004"/>
      <c r="Q143" s="1004"/>
      <c r="R143" s="1004"/>
      <c r="S143" s="1004"/>
      <c r="T143" s="1004"/>
      <c r="U143" s="1004"/>
      <c r="V143" s="1004"/>
      <c r="W143" s="1004"/>
      <c r="X143" s="1004"/>
      <c r="Y143" s="1004"/>
      <c r="Z143" s="1004"/>
      <c r="AA143" s="1004"/>
      <c r="AB143" s="1004"/>
      <c r="AC143" s="1004"/>
      <c r="AD143" s="1004"/>
      <c r="AE143" s="1004"/>
      <c r="AF143" s="1004"/>
      <c r="AG143" s="1004"/>
      <c r="AH143" s="1004"/>
      <c r="AI143" s="1004"/>
      <c r="AJ143" s="1004"/>
      <c r="AK143" s="1004"/>
      <c r="AL143" s="1004"/>
      <c r="AM143" s="1004"/>
      <c r="AN143" s="1004"/>
    </row>
    <row r="144" spans="1:40" ht="15.75" customHeight="1">
      <c r="A144" s="998"/>
      <c r="B144" s="971"/>
      <c r="C144" s="971"/>
      <c r="D144" s="999"/>
      <c r="E144" s="1486" t="s">
        <v>537</v>
      </c>
      <c r="F144" s="1487"/>
      <c r="G144" s="1487"/>
      <c r="H144" s="1487"/>
      <c r="I144" s="1487"/>
      <c r="J144" s="1487"/>
      <c r="K144" s="1487"/>
      <c r="L144" s="1487"/>
      <c r="M144" s="1487"/>
      <c r="N144" s="1487"/>
      <c r="O144" s="1487"/>
      <c r="P144" s="1487"/>
      <c r="Q144" s="1487"/>
      <c r="R144" s="1487"/>
      <c r="S144" s="1487"/>
      <c r="T144" s="1487"/>
      <c r="U144" s="1487"/>
      <c r="V144" s="1487"/>
      <c r="W144" s="1487"/>
      <c r="X144" s="1487"/>
      <c r="Y144" s="1487"/>
      <c r="Z144" s="1487"/>
      <c r="AA144" s="1487"/>
      <c r="AB144" s="1487"/>
      <c r="AC144" s="1487"/>
      <c r="AD144" s="1487"/>
      <c r="AE144" s="1487"/>
      <c r="AF144" s="1488"/>
      <c r="AG144" s="1475" t="s">
        <v>736</v>
      </c>
      <c r="AH144" s="1476"/>
      <c r="AI144" s="1476"/>
      <c r="AJ144" s="1476"/>
      <c r="AK144" s="1476"/>
      <c r="AL144" s="1476"/>
      <c r="AM144" s="1477"/>
    </row>
    <row r="145" spans="1:42" ht="15" customHeight="1">
      <c r="A145" s="1000"/>
      <c r="B145" s="934"/>
      <c r="C145" s="934"/>
      <c r="D145" s="960"/>
      <c r="E145" s="1489"/>
      <c r="F145" s="1490"/>
      <c r="G145" s="1490"/>
      <c r="H145" s="1490"/>
      <c r="I145" s="1490"/>
      <c r="J145" s="1490"/>
      <c r="K145" s="1490"/>
      <c r="L145" s="1490"/>
      <c r="M145" s="1490"/>
      <c r="N145" s="1490"/>
      <c r="O145" s="1490"/>
      <c r="P145" s="1490"/>
      <c r="Q145" s="1490"/>
      <c r="R145" s="1490"/>
      <c r="S145" s="1490"/>
      <c r="T145" s="1490"/>
      <c r="U145" s="1490"/>
      <c r="V145" s="1490"/>
      <c r="W145" s="1490"/>
      <c r="X145" s="1490"/>
      <c r="Y145" s="1490"/>
      <c r="Z145" s="1490"/>
      <c r="AA145" s="1490"/>
      <c r="AB145" s="1490"/>
      <c r="AC145" s="1490"/>
      <c r="AD145" s="1490"/>
      <c r="AE145" s="1490"/>
      <c r="AF145" s="1491"/>
      <c r="AG145" s="1478"/>
      <c r="AH145" s="1479"/>
      <c r="AI145" s="1479"/>
      <c r="AJ145" s="1479"/>
      <c r="AK145" s="1479"/>
      <c r="AL145" s="1479"/>
      <c r="AM145" s="1480"/>
    </row>
    <row r="146" spans="1:42" ht="15" customHeight="1">
      <c r="A146" s="1000"/>
      <c r="B146" s="934"/>
      <c r="C146" s="934"/>
      <c r="D146" s="934"/>
      <c r="E146" s="1489"/>
      <c r="F146" s="1490"/>
      <c r="G146" s="1490"/>
      <c r="H146" s="1490"/>
      <c r="I146" s="1490"/>
      <c r="J146" s="1490"/>
      <c r="K146" s="1490"/>
      <c r="L146" s="1490"/>
      <c r="M146" s="1490"/>
      <c r="N146" s="1490"/>
      <c r="O146" s="1490"/>
      <c r="P146" s="1490"/>
      <c r="Q146" s="1490"/>
      <c r="R146" s="1490"/>
      <c r="S146" s="1490"/>
      <c r="T146" s="1490"/>
      <c r="U146" s="1490"/>
      <c r="V146" s="1490"/>
      <c r="W146" s="1490"/>
      <c r="X146" s="1490"/>
      <c r="Y146" s="1490"/>
      <c r="Z146" s="1490"/>
      <c r="AA146" s="1490"/>
      <c r="AB146" s="1490"/>
      <c r="AC146" s="1490"/>
      <c r="AD146" s="1490"/>
      <c r="AE146" s="1490"/>
      <c r="AF146" s="1491"/>
      <c r="AG146" s="1475" t="str">
        <f>AG3</f>
        <v>TGL  : 01 Januari - 31 Desember 2019</v>
      </c>
      <c r="AH146" s="1476"/>
      <c r="AI146" s="1476"/>
      <c r="AJ146" s="1476"/>
      <c r="AK146" s="1476"/>
      <c r="AL146" s="1476"/>
      <c r="AM146" s="1477"/>
      <c r="AN146" s="978"/>
    </row>
    <row r="147" spans="1:42" ht="15" customHeight="1">
      <c r="A147" s="1001"/>
      <c r="B147" s="965"/>
      <c r="C147" s="965"/>
      <c r="D147" s="965"/>
      <c r="E147" s="1492"/>
      <c r="F147" s="1493"/>
      <c r="G147" s="1493"/>
      <c r="H147" s="1493"/>
      <c r="I147" s="1493"/>
      <c r="J147" s="1493"/>
      <c r="K147" s="1493"/>
      <c r="L147" s="1493"/>
      <c r="M147" s="1493"/>
      <c r="N147" s="1493"/>
      <c r="O147" s="1493"/>
      <c r="P147" s="1493"/>
      <c r="Q147" s="1493"/>
      <c r="R147" s="1493"/>
      <c r="S147" s="1493"/>
      <c r="T147" s="1493"/>
      <c r="U147" s="1493"/>
      <c r="V147" s="1493"/>
      <c r="W147" s="1493"/>
      <c r="X147" s="1493"/>
      <c r="Y147" s="1493"/>
      <c r="Z147" s="1493"/>
      <c r="AA147" s="1493"/>
      <c r="AB147" s="1493"/>
      <c r="AC147" s="1493"/>
      <c r="AD147" s="1493"/>
      <c r="AE147" s="1493"/>
      <c r="AF147" s="1494"/>
      <c r="AG147" s="1478"/>
      <c r="AH147" s="1479"/>
      <c r="AI147" s="1479"/>
      <c r="AJ147" s="1479"/>
      <c r="AK147" s="1479"/>
      <c r="AL147" s="1479"/>
      <c r="AM147" s="1480"/>
    </row>
    <row r="148" spans="1:42" ht="18" customHeight="1">
      <c r="A148" s="1433" t="s">
        <v>539</v>
      </c>
      <c r="B148" s="1434"/>
      <c r="C148" s="1434"/>
      <c r="D148" s="1435"/>
      <c r="E148" s="1439" t="s">
        <v>729</v>
      </c>
      <c r="F148" s="1440"/>
      <c r="G148" s="1440"/>
      <c r="H148" s="1440"/>
      <c r="I148" s="1440"/>
      <c r="J148" s="1440"/>
      <c r="K148" s="1440"/>
      <c r="L148" s="1440"/>
      <c r="M148" s="1440"/>
      <c r="N148" s="1440"/>
      <c r="O148" s="1440"/>
      <c r="P148" s="1440"/>
      <c r="Q148" s="1440"/>
      <c r="R148" s="1440"/>
      <c r="S148" s="1440"/>
      <c r="T148" s="1440"/>
      <c r="U148" s="1440"/>
      <c r="V148" s="1440"/>
      <c r="W148" s="1440"/>
      <c r="X148" s="1440"/>
      <c r="Y148" s="1440"/>
      <c r="Z148" s="1440"/>
      <c r="AA148" s="1440"/>
      <c r="AB148" s="1440"/>
      <c r="AC148" s="1440"/>
      <c r="AD148" s="1440"/>
      <c r="AE148" s="1440"/>
      <c r="AF148" s="1441"/>
      <c r="AG148" s="1445" t="s">
        <v>695</v>
      </c>
      <c r="AH148" s="1446"/>
      <c r="AI148" s="1446"/>
      <c r="AJ148" s="1446"/>
      <c r="AK148" s="1446"/>
      <c r="AL148" s="1446"/>
      <c r="AM148" s="1447"/>
    </row>
    <row r="149" spans="1:42" ht="18" customHeight="1">
      <c r="A149" s="1436"/>
      <c r="B149" s="1437"/>
      <c r="C149" s="1437"/>
      <c r="D149" s="1438"/>
      <c r="E149" s="1442"/>
      <c r="F149" s="1443"/>
      <c r="G149" s="1443"/>
      <c r="H149" s="1443"/>
      <c r="I149" s="1443"/>
      <c r="J149" s="1443"/>
      <c r="K149" s="1443"/>
      <c r="L149" s="1443"/>
      <c r="M149" s="1443"/>
      <c r="N149" s="1443"/>
      <c r="O149" s="1443"/>
      <c r="P149" s="1443"/>
      <c r="Q149" s="1443"/>
      <c r="R149" s="1443"/>
      <c r="S149" s="1443"/>
      <c r="T149" s="1443"/>
      <c r="U149" s="1443"/>
      <c r="V149" s="1443"/>
      <c r="W149" s="1443"/>
      <c r="X149" s="1443"/>
      <c r="Y149" s="1443"/>
      <c r="Z149" s="1443"/>
      <c r="AA149" s="1443"/>
      <c r="AB149" s="1443"/>
      <c r="AC149" s="1443"/>
      <c r="AD149" s="1443"/>
      <c r="AE149" s="1443"/>
      <c r="AF149" s="1444"/>
      <c r="AG149" s="1448"/>
      <c r="AH149" s="1449"/>
      <c r="AI149" s="1449"/>
      <c r="AJ149" s="1449"/>
      <c r="AK149" s="1449"/>
      <c r="AL149" s="1449"/>
      <c r="AM149" s="1450"/>
    </row>
    <row r="150" spans="1:42" ht="12" customHeight="1">
      <c r="A150" s="926"/>
      <c r="B150" s="927"/>
      <c r="C150" s="928"/>
      <c r="D150" s="927"/>
      <c r="E150" s="927"/>
      <c r="F150" s="927"/>
      <c r="G150" s="927"/>
      <c r="H150" s="927"/>
      <c r="I150" s="927"/>
      <c r="J150" s="927"/>
      <c r="K150" s="927"/>
      <c r="L150" s="927"/>
      <c r="M150" s="927"/>
      <c r="N150" s="927"/>
      <c r="O150" s="927"/>
      <c r="P150" s="927"/>
      <c r="Q150" s="927"/>
      <c r="R150" s="927"/>
      <c r="S150" s="927"/>
      <c r="T150" s="927"/>
      <c r="U150" s="927"/>
      <c r="V150" s="927"/>
      <c r="W150" s="927"/>
      <c r="X150" s="927"/>
      <c r="Y150" s="927"/>
      <c r="Z150" s="927"/>
      <c r="AA150" s="927"/>
      <c r="AB150" s="927"/>
      <c r="AC150" s="927"/>
      <c r="AD150" s="927"/>
      <c r="AE150" s="927"/>
      <c r="AF150" s="927"/>
      <c r="AG150" s="927"/>
      <c r="AH150" s="927"/>
      <c r="AI150" s="927"/>
      <c r="AJ150" s="927"/>
      <c r="AK150" s="927"/>
      <c r="AL150" s="927"/>
      <c r="AM150" s="929"/>
    </row>
    <row r="151" spans="1:42" ht="24" customHeight="1">
      <c r="A151" s="930" t="s">
        <v>543</v>
      </c>
      <c r="B151" s="931"/>
      <c r="C151" s="932"/>
      <c r="D151" s="931"/>
      <c r="E151" s="931"/>
      <c r="F151" s="931"/>
      <c r="G151" s="931"/>
      <c r="H151" s="931" t="s">
        <v>3</v>
      </c>
      <c r="I151" s="1006" t="s">
        <v>181</v>
      </c>
      <c r="J151" s="931"/>
      <c r="K151" s="931"/>
      <c r="L151" s="931"/>
      <c r="M151" s="931"/>
      <c r="N151" s="931"/>
      <c r="O151" s="931"/>
      <c r="P151" s="931"/>
      <c r="Q151" s="931"/>
      <c r="R151" s="931"/>
      <c r="S151" s="931"/>
      <c r="T151" s="931"/>
      <c r="U151" s="931"/>
      <c r="V151" s="931" t="s">
        <v>696</v>
      </c>
      <c r="W151" s="931"/>
      <c r="X151" s="931"/>
      <c r="Y151" s="934"/>
      <c r="Z151" s="931" t="s">
        <v>737</v>
      </c>
      <c r="AA151" s="1007" t="s">
        <v>738</v>
      </c>
      <c r="AB151" s="959"/>
      <c r="AC151" s="959"/>
      <c r="AD151" s="959"/>
      <c r="AE151" s="927"/>
      <c r="AF151" s="927"/>
      <c r="AG151" s="927"/>
      <c r="AH151" s="927"/>
      <c r="AI151" s="927"/>
      <c r="AJ151" s="927"/>
      <c r="AK151" s="927"/>
      <c r="AL151" s="927"/>
      <c r="AM151" s="929"/>
      <c r="AO151" s="1008" t="str">
        <f>I151</f>
        <v>HENDRY JOHANES</v>
      </c>
    </row>
    <row r="152" spans="1:42" ht="24" customHeight="1">
      <c r="A152" s="930" t="s">
        <v>114</v>
      </c>
      <c r="B152" s="931"/>
      <c r="C152" s="932"/>
      <c r="D152" s="931"/>
      <c r="E152" s="931"/>
      <c r="F152" s="931"/>
      <c r="G152" s="931"/>
      <c r="H152" s="931" t="s">
        <v>3</v>
      </c>
      <c r="I152" s="1006" t="s">
        <v>739</v>
      </c>
      <c r="J152" s="931"/>
      <c r="K152" s="931"/>
      <c r="L152" s="931"/>
      <c r="M152" s="931"/>
      <c r="N152" s="931"/>
      <c r="O152" s="931"/>
      <c r="P152" s="931"/>
      <c r="Q152" s="931"/>
      <c r="R152" s="931"/>
      <c r="S152" s="931"/>
      <c r="T152" s="931"/>
      <c r="U152" s="931"/>
      <c r="V152" s="931" t="s">
        <v>545</v>
      </c>
      <c r="W152" s="931"/>
      <c r="X152" s="931"/>
      <c r="Y152" s="934"/>
      <c r="Z152" s="931" t="s">
        <v>3</v>
      </c>
      <c r="AA152" s="1485" t="s">
        <v>287</v>
      </c>
      <c r="AB152" s="1485"/>
      <c r="AC152" s="1485"/>
      <c r="AD152" s="1485"/>
      <c r="AE152" s="1485"/>
      <c r="AF152" s="927"/>
      <c r="AG152" s="927"/>
      <c r="AH152" s="927"/>
      <c r="AI152" s="927"/>
      <c r="AJ152" s="927"/>
      <c r="AK152" s="927"/>
      <c r="AL152" s="927"/>
      <c r="AM152" s="929"/>
      <c r="AO152" s="1008" t="s">
        <v>698</v>
      </c>
    </row>
    <row r="153" spans="1:42" ht="12" customHeight="1">
      <c r="A153" s="926"/>
      <c r="B153" s="927"/>
      <c r="C153" s="928"/>
      <c r="D153" s="927"/>
      <c r="E153" s="927"/>
      <c r="F153" s="927"/>
      <c r="G153" s="927"/>
      <c r="H153" s="927"/>
      <c r="I153" s="927"/>
      <c r="J153" s="927"/>
      <c r="K153" s="927"/>
      <c r="L153" s="927"/>
      <c r="M153" s="927"/>
      <c r="N153" s="927"/>
      <c r="O153" s="927"/>
      <c r="P153" s="927"/>
      <c r="Q153" s="927"/>
      <c r="R153" s="927"/>
      <c r="S153" s="927"/>
      <c r="T153" s="927"/>
      <c r="U153" s="927"/>
      <c r="V153" s="927"/>
      <c r="W153" s="927"/>
      <c r="X153" s="927"/>
      <c r="Y153" s="927"/>
      <c r="Z153" s="927"/>
      <c r="AA153" s="927"/>
      <c r="AB153" s="927"/>
      <c r="AC153" s="927"/>
      <c r="AD153" s="927"/>
      <c r="AE153" s="927"/>
      <c r="AF153" s="927"/>
      <c r="AG153" s="927"/>
      <c r="AH153" s="927"/>
      <c r="AI153" s="927"/>
      <c r="AJ153" s="927"/>
      <c r="AK153" s="927"/>
      <c r="AL153" s="927"/>
      <c r="AM153" s="929"/>
    </row>
    <row r="154" spans="1:42" ht="24" customHeight="1">
      <c r="A154" s="1451" t="s">
        <v>549</v>
      </c>
      <c r="B154" s="1453" t="s">
        <v>550</v>
      </c>
      <c r="C154" s="1454"/>
      <c r="D154" s="1454"/>
      <c r="E154" s="1454"/>
      <c r="F154" s="1454"/>
      <c r="G154" s="1454"/>
      <c r="H154" s="1454"/>
      <c r="I154" s="1454"/>
      <c r="J154" s="1455"/>
      <c r="K154" s="1431" t="s">
        <v>699</v>
      </c>
      <c r="L154" s="1432"/>
      <c r="M154" s="1431" t="s">
        <v>700</v>
      </c>
      <c r="N154" s="1432"/>
      <c r="O154" s="1431" t="s">
        <v>701</v>
      </c>
      <c r="P154" s="1432"/>
      <c r="Q154" s="1431" t="s">
        <v>702</v>
      </c>
      <c r="R154" s="1432"/>
      <c r="S154" s="1431" t="s">
        <v>703</v>
      </c>
      <c r="T154" s="1432"/>
      <c r="U154" s="1431" t="s">
        <v>704</v>
      </c>
      <c r="V154" s="1432"/>
      <c r="W154" s="1431" t="s">
        <v>705</v>
      </c>
      <c r="X154" s="1432"/>
      <c r="Y154" s="1431" t="s">
        <v>706</v>
      </c>
      <c r="Z154" s="1432"/>
      <c r="AA154" s="1431" t="s">
        <v>707</v>
      </c>
      <c r="AB154" s="1432"/>
      <c r="AC154" s="1431" t="s">
        <v>708</v>
      </c>
      <c r="AD154" s="1432"/>
      <c r="AE154" s="1431" t="s">
        <v>709</v>
      </c>
      <c r="AF154" s="1432"/>
      <c r="AG154" s="1459" t="s">
        <v>710</v>
      </c>
      <c r="AH154" s="1460"/>
      <c r="AI154" s="1461" t="s">
        <v>711</v>
      </c>
      <c r="AJ154" s="1432"/>
      <c r="AK154" s="1462" t="s">
        <v>712</v>
      </c>
      <c r="AL154" s="1432"/>
      <c r="AM154" s="929"/>
    </row>
    <row r="155" spans="1:42" ht="24" customHeight="1">
      <c r="A155" s="1452"/>
      <c r="B155" s="1456"/>
      <c r="C155" s="1457"/>
      <c r="D155" s="1457"/>
      <c r="E155" s="1457"/>
      <c r="F155" s="1457"/>
      <c r="G155" s="1457"/>
      <c r="H155" s="1457"/>
      <c r="I155" s="1457"/>
      <c r="J155" s="1458"/>
      <c r="K155" s="937" t="s">
        <v>713</v>
      </c>
      <c r="L155" s="937" t="s">
        <v>714</v>
      </c>
      <c r="M155" s="937" t="s">
        <v>713</v>
      </c>
      <c r="N155" s="937" t="s">
        <v>714</v>
      </c>
      <c r="O155" s="937" t="s">
        <v>713</v>
      </c>
      <c r="P155" s="937" t="s">
        <v>714</v>
      </c>
      <c r="Q155" s="937" t="s">
        <v>713</v>
      </c>
      <c r="R155" s="937" t="s">
        <v>714</v>
      </c>
      <c r="S155" s="937" t="s">
        <v>713</v>
      </c>
      <c r="T155" s="937" t="s">
        <v>714</v>
      </c>
      <c r="U155" s="937" t="s">
        <v>713</v>
      </c>
      <c r="V155" s="938" t="s">
        <v>714</v>
      </c>
      <c r="W155" s="937" t="s">
        <v>713</v>
      </c>
      <c r="X155" s="937" t="s">
        <v>714</v>
      </c>
      <c r="Y155" s="937" t="s">
        <v>713</v>
      </c>
      <c r="Z155" s="937" t="s">
        <v>714</v>
      </c>
      <c r="AA155" s="937" t="s">
        <v>713</v>
      </c>
      <c r="AB155" s="937" t="s">
        <v>714</v>
      </c>
      <c r="AC155" s="937" t="s">
        <v>713</v>
      </c>
      <c r="AD155" s="937" t="s">
        <v>714</v>
      </c>
      <c r="AE155" s="937" t="s">
        <v>713</v>
      </c>
      <c r="AF155" s="937" t="s">
        <v>714</v>
      </c>
      <c r="AG155" s="937" t="s">
        <v>713</v>
      </c>
      <c r="AH155" s="939" t="s">
        <v>714</v>
      </c>
      <c r="AI155" s="940" t="s">
        <v>713</v>
      </c>
      <c r="AJ155" s="937" t="s">
        <v>714</v>
      </c>
      <c r="AK155" s="938" t="s">
        <v>713</v>
      </c>
      <c r="AL155" s="937" t="s">
        <v>714</v>
      </c>
      <c r="AM155" s="929"/>
    </row>
    <row r="156" spans="1:42" ht="27" customHeight="1">
      <c r="A156" s="941" t="s">
        <v>555</v>
      </c>
      <c r="B156" s="1427" t="s">
        <v>715</v>
      </c>
      <c r="C156" s="1428"/>
      <c r="D156" s="1428"/>
      <c r="E156" s="1428"/>
      <c r="F156" s="1428"/>
      <c r="G156" s="1428"/>
      <c r="H156" s="1428"/>
      <c r="I156" s="1428"/>
      <c r="J156" s="1429"/>
      <c r="K156" s="942">
        <v>6.2212785814279048</v>
      </c>
      <c r="L156" s="942">
        <v>9</v>
      </c>
      <c r="M156" s="942">
        <v>6.766990291262136</v>
      </c>
      <c r="N156" s="942">
        <v>8</v>
      </c>
      <c r="O156" s="942">
        <v>1.8213177587150942</v>
      </c>
      <c r="P156" s="942">
        <v>13</v>
      </c>
      <c r="Q156" s="942">
        <v>0</v>
      </c>
      <c r="R156" s="942">
        <v>0</v>
      </c>
      <c r="S156" s="942">
        <v>0</v>
      </c>
      <c r="T156" s="942">
        <v>0</v>
      </c>
      <c r="U156" s="942">
        <v>0</v>
      </c>
      <c r="V156" s="942">
        <v>0</v>
      </c>
      <c r="W156" s="942">
        <v>6.250581846392552</v>
      </c>
      <c r="X156" s="942">
        <v>9</v>
      </c>
      <c r="Y156" s="942">
        <v>6.0000000000000009</v>
      </c>
      <c r="Z156" s="942">
        <v>9</v>
      </c>
      <c r="AA156" s="942">
        <v>6.0619900932400927</v>
      </c>
      <c r="AB156" s="942">
        <v>9</v>
      </c>
      <c r="AC156" s="942">
        <v>6.083339543433441</v>
      </c>
      <c r="AD156" s="942">
        <v>9</v>
      </c>
      <c r="AE156" s="942">
        <v>6.1344791195537471</v>
      </c>
      <c r="AF156" s="942">
        <v>9</v>
      </c>
      <c r="AG156" s="943">
        <v>0</v>
      </c>
      <c r="AH156" s="942">
        <v>0</v>
      </c>
      <c r="AI156" s="944">
        <f>K156+M156+O156+Q156+S156+U156+W156+Y156+AA156+AC156+AE156+AG156</f>
        <v>45.339977234024964</v>
      </c>
      <c r="AJ156" s="945">
        <f>L156+N156+P156+R156+T156+V156+X156+Z156+AB156+AD156+AF156+AH156</f>
        <v>75</v>
      </c>
      <c r="AK156" s="945">
        <f>+AI156/8</f>
        <v>5.6674971542531205</v>
      </c>
      <c r="AL156" s="945">
        <v>9</v>
      </c>
      <c r="AM156" s="929"/>
      <c r="AO156" s="925">
        <v>9</v>
      </c>
      <c r="AP156" s="1009">
        <f>AO156-AL156</f>
        <v>0</v>
      </c>
    </row>
    <row r="157" spans="1:42" ht="27" customHeight="1">
      <c r="A157" s="941" t="s">
        <v>560</v>
      </c>
      <c r="B157" s="1427" t="s">
        <v>716</v>
      </c>
      <c r="C157" s="1428"/>
      <c r="D157" s="1428"/>
      <c r="E157" s="1428"/>
      <c r="F157" s="1428"/>
      <c r="G157" s="1428"/>
      <c r="H157" s="1428"/>
      <c r="I157" s="1428"/>
      <c r="J157" s="1429"/>
      <c r="K157" s="942">
        <v>100.48390000000001</v>
      </c>
      <c r="L157" s="942">
        <v>5</v>
      </c>
      <c r="M157" s="942">
        <v>12.483900000000002</v>
      </c>
      <c r="N157" s="942">
        <v>2</v>
      </c>
      <c r="O157" s="942">
        <v>53.792099999999998</v>
      </c>
      <c r="P157" s="942">
        <v>4</v>
      </c>
      <c r="Q157" s="942">
        <v>0</v>
      </c>
      <c r="R157" s="942">
        <v>0</v>
      </c>
      <c r="S157" s="942">
        <v>0</v>
      </c>
      <c r="T157" s="942">
        <v>0</v>
      </c>
      <c r="U157" s="942">
        <v>0</v>
      </c>
      <c r="V157" s="942">
        <v>0</v>
      </c>
      <c r="W157" s="942">
        <v>12.084300000000001</v>
      </c>
      <c r="X157" s="942">
        <v>2</v>
      </c>
      <c r="Y157" s="942">
        <v>12.4268</v>
      </c>
      <c r="Z157" s="942">
        <v>2</v>
      </c>
      <c r="AA157" s="942">
        <v>128.9581</v>
      </c>
      <c r="AB157" s="942">
        <v>5</v>
      </c>
      <c r="AC157" s="942">
        <v>378.08029999999997</v>
      </c>
      <c r="AD157" s="942">
        <v>15</v>
      </c>
      <c r="AE157" s="942">
        <v>124.52200000000001</v>
      </c>
      <c r="AF157" s="942">
        <v>6</v>
      </c>
      <c r="AG157" s="942">
        <v>0</v>
      </c>
      <c r="AH157" s="942">
        <v>0</v>
      </c>
      <c r="AI157" s="944">
        <f>K157+M157+O157+Q157+S157+U157+W157+Y157+AA157+AC157+AE157+AG157</f>
        <v>822.83140000000003</v>
      </c>
      <c r="AJ157" s="945">
        <f t="shared" ref="AJ157:AJ163" si="8">+L157+N157+P157+R157+T157+V157+X157+Z157+AB157+AD157+AF157+AH157</f>
        <v>41</v>
      </c>
      <c r="AK157" s="945">
        <f>+AI157/12</f>
        <v>68.569283333333331</v>
      </c>
      <c r="AL157" s="945">
        <v>4</v>
      </c>
      <c r="AM157" s="929"/>
      <c r="AO157" s="925">
        <v>4</v>
      </c>
      <c r="AP157" s="1009">
        <f t="shared" ref="AP157:AP163" si="9">AO157-AL157</f>
        <v>0</v>
      </c>
    </row>
    <row r="158" spans="1:42" ht="27" customHeight="1">
      <c r="A158" s="941" t="s">
        <v>563</v>
      </c>
      <c r="B158" s="1427" t="s">
        <v>717</v>
      </c>
      <c r="C158" s="1428"/>
      <c r="D158" s="1428"/>
      <c r="E158" s="1428"/>
      <c r="F158" s="1428"/>
      <c r="G158" s="1428"/>
      <c r="H158" s="1428"/>
      <c r="I158" s="1428"/>
      <c r="J158" s="1429"/>
      <c r="K158" s="943">
        <v>13</v>
      </c>
      <c r="L158" s="942">
        <v>9</v>
      </c>
      <c r="M158" s="943">
        <v>2</v>
      </c>
      <c r="N158" s="942">
        <v>5</v>
      </c>
      <c r="O158" s="943">
        <v>6</v>
      </c>
      <c r="P158" s="942">
        <v>6</v>
      </c>
      <c r="Q158" s="943">
        <v>0</v>
      </c>
      <c r="R158" s="942">
        <v>5</v>
      </c>
      <c r="S158" s="943">
        <v>0</v>
      </c>
      <c r="T158" s="942">
        <v>5</v>
      </c>
      <c r="U158" s="943">
        <v>0</v>
      </c>
      <c r="V158" s="942">
        <v>5</v>
      </c>
      <c r="W158" s="943">
        <v>1</v>
      </c>
      <c r="X158" s="942">
        <v>5</v>
      </c>
      <c r="Y158" s="943">
        <v>1</v>
      </c>
      <c r="Z158" s="942">
        <v>5</v>
      </c>
      <c r="AA158" s="943">
        <v>6</v>
      </c>
      <c r="AB158" s="942">
        <v>6</v>
      </c>
      <c r="AC158" s="943">
        <v>26</v>
      </c>
      <c r="AD158" s="942">
        <v>13</v>
      </c>
      <c r="AE158" s="943">
        <v>4</v>
      </c>
      <c r="AF158" s="942">
        <v>6</v>
      </c>
      <c r="AG158" s="943">
        <v>0</v>
      </c>
      <c r="AH158" s="942">
        <v>5</v>
      </c>
      <c r="AI158" s="944">
        <f>K158+M158+O158+Q158+S158+U158+W158+Y158+AA158+AC158+AE158+AG158</f>
        <v>59</v>
      </c>
      <c r="AJ158" s="950">
        <f t="shared" si="8"/>
        <v>75</v>
      </c>
      <c r="AK158" s="945">
        <f>+AI158/12</f>
        <v>4.916666666666667</v>
      </c>
      <c r="AL158" s="946">
        <v>6</v>
      </c>
      <c r="AM158" s="929"/>
      <c r="AO158" s="925">
        <v>6</v>
      </c>
      <c r="AP158" s="1009">
        <f t="shared" si="9"/>
        <v>0</v>
      </c>
    </row>
    <row r="159" spans="1:42" ht="27" customHeight="1">
      <c r="A159" s="941" t="s">
        <v>567</v>
      </c>
      <c r="B159" s="1427" t="s">
        <v>718</v>
      </c>
      <c r="C159" s="1428"/>
      <c r="D159" s="1428"/>
      <c r="E159" s="1428"/>
      <c r="F159" s="1428"/>
      <c r="G159" s="1428"/>
      <c r="H159" s="1428"/>
      <c r="I159" s="1428"/>
      <c r="J159" s="1429"/>
      <c r="K159" s="950" t="s">
        <v>698</v>
      </c>
      <c r="L159" s="950">
        <v>9</v>
      </c>
      <c r="M159" s="950" t="s">
        <v>698</v>
      </c>
      <c r="N159" s="950">
        <v>9</v>
      </c>
      <c r="O159" s="950" t="s">
        <v>698</v>
      </c>
      <c r="P159" s="950">
        <v>9</v>
      </c>
      <c r="Q159" s="950" t="s">
        <v>698</v>
      </c>
      <c r="R159" s="950">
        <v>8</v>
      </c>
      <c r="S159" s="950" t="s">
        <v>698</v>
      </c>
      <c r="T159" s="950">
        <v>8</v>
      </c>
      <c r="U159" s="950" t="s">
        <v>698</v>
      </c>
      <c r="V159" s="950">
        <v>8</v>
      </c>
      <c r="W159" s="950" t="s">
        <v>698</v>
      </c>
      <c r="X159" s="950">
        <v>9</v>
      </c>
      <c r="Y159" s="950" t="s">
        <v>698</v>
      </c>
      <c r="Z159" s="950">
        <v>9</v>
      </c>
      <c r="AA159" s="950" t="s">
        <v>698</v>
      </c>
      <c r="AB159" s="950">
        <v>9</v>
      </c>
      <c r="AC159" s="950" t="s">
        <v>698</v>
      </c>
      <c r="AD159" s="950">
        <v>9</v>
      </c>
      <c r="AE159" s="950" t="s">
        <v>112</v>
      </c>
      <c r="AF159" s="950">
        <v>8</v>
      </c>
      <c r="AG159" s="950" t="s">
        <v>698</v>
      </c>
      <c r="AH159" s="950">
        <v>8</v>
      </c>
      <c r="AI159" s="951" t="s">
        <v>698</v>
      </c>
      <c r="AJ159" s="950">
        <f t="shared" si="8"/>
        <v>103</v>
      </c>
      <c r="AK159" s="950" t="s">
        <v>698</v>
      </c>
      <c r="AL159" s="946">
        <f>AJ159/12</f>
        <v>8.5833333333333339</v>
      </c>
      <c r="AM159" s="929"/>
      <c r="AO159" s="925">
        <v>9</v>
      </c>
      <c r="AP159" s="1009">
        <f t="shared" si="9"/>
        <v>0.41666666666666607</v>
      </c>
    </row>
    <row r="160" spans="1:42" ht="27" customHeight="1">
      <c r="A160" s="941" t="s">
        <v>571</v>
      </c>
      <c r="B160" s="1427" t="s">
        <v>719</v>
      </c>
      <c r="C160" s="1428"/>
      <c r="D160" s="1428"/>
      <c r="E160" s="1428"/>
      <c r="F160" s="1428"/>
      <c r="G160" s="1428"/>
      <c r="H160" s="1428"/>
      <c r="I160" s="1428"/>
      <c r="J160" s="1429"/>
      <c r="K160" s="950" t="s">
        <v>698</v>
      </c>
      <c r="L160" s="950">
        <v>9</v>
      </c>
      <c r="M160" s="950" t="s">
        <v>698</v>
      </c>
      <c r="N160" s="950">
        <v>9</v>
      </c>
      <c r="O160" s="950" t="s">
        <v>698</v>
      </c>
      <c r="P160" s="950">
        <v>9</v>
      </c>
      <c r="Q160" s="950" t="s">
        <v>112</v>
      </c>
      <c r="R160" s="950">
        <v>7</v>
      </c>
      <c r="S160" s="950" t="s">
        <v>112</v>
      </c>
      <c r="T160" s="950">
        <v>7</v>
      </c>
      <c r="U160" s="950" t="s">
        <v>112</v>
      </c>
      <c r="V160" s="950">
        <v>7</v>
      </c>
      <c r="W160" s="950" t="s">
        <v>698</v>
      </c>
      <c r="X160" s="950">
        <v>9</v>
      </c>
      <c r="Y160" s="950" t="s">
        <v>698</v>
      </c>
      <c r="Z160" s="950">
        <v>9</v>
      </c>
      <c r="AA160" s="950" t="s">
        <v>698</v>
      </c>
      <c r="AB160" s="950">
        <v>9</v>
      </c>
      <c r="AC160" s="950" t="s">
        <v>698</v>
      </c>
      <c r="AD160" s="950">
        <v>9</v>
      </c>
      <c r="AE160" s="950" t="s">
        <v>112</v>
      </c>
      <c r="AF160" s="950">
        <v>7</v>
      </c>
      <c r="AG160" s="950" t="s">
        <v>112</v>
      </c>
      <c r="AH160" s="950">
        <v>7</v>
      </c>
      <c r="AI160" s="951" t="s">
        <v>698</v>
      </c>
      <c r="AJ160" s="950">
        <f t="shared" si="8"/>
        <v>98</v>
      </c>
      <c r="AK160" s="950" t="s">
        <v>698</v>
      </c>
      <c r="AL160" s="946">
        <f t="shared" ref="AL160:AL163" si="10">AJ160/12</f>
        <v>8.1666666666666661</v>
      </c>
      <c r="AM160" s="929"/>
      <c r="AO160" s="925">
        <v>8</v>
      </c>
      <c r="AP160" s="1009">
        <f t="shared" si="9"/>
        <v>-0.16666666666666607</v>
      </c>
    </row>
    <row r="161" spans="1:42" ht="27" customHeight="1">
      <c r="A161" s="941" t="s">
        <v>575</v>
      </c>
      <c r="B161" s="1427" t="s">
        <v>720</v>
      </c>
      <c r="C161" s="1428"/>
      <c r="D161" s="1428"/>
      <c r="E161" s="1428"/>
      <c r="F161" s="1428"/>
      <c r="G161" s="1428"/>
      <c r="H161" s="1428"/>
      <c r="I161" s="1428"/>
      <c r="J161" s="1429"/>
      <c r="K161" s="950" t="s">
        <v>698</v>
      </c>
      <c r="L161" s="950">
        <v>9</v>
      </c>
      <c r="M161" s="950" t="s">
        <v>698</v>
      </c>
      <c r="N161" s="950">
        <v>9</v>
      </c>
      <c r="O161" s="950" t="s">
        <v>698</v>
      </c>
      <c r="P161" s="950">
        <v>9</v>
      </c>
      <c r="Q161" s="950" t="s">
        <v>112</v>
      </c>
      <c r="R161" s="950">
        <v>7</v>
      </c>
      <c r="S161" s="950" t="s">
        <v>112</v>
      </c>
      <c r="T161" s="950">
        <v>7</v>
      </c>
      <c r="U161" s="950" t="s">
        <v>112</v>
      </c>
      <c r="V161" s="950">
        <v>7</v>
      </c>
      <c r="W161" s="950" t="s">
        <v>698</v>
      </c>
      <c r="X161" s="950">
        <v>9</v>
      </c>
      <c r="Y161" s="950" t="s">
        <v>698</v>
      </c>
      <c r="Z161" s="950">
        <v>9</v>
      </c>
      <c r="AA161" s="950" t="s">
        <v>698</v>
      </c>
      <c r="AB161" s="950">
        <v>9</v>
      </c>
      <c r="AC161" s="950" t="s">
        <v>698</v>
      </c>
      <c r="AD161" s="950">
        <v>9</v>
      </c>
      <c r="AE161" s="950" t="s">
        <v>112</v>
      </c>
      <c r="AF161" s="950">
        <v>7</v>
      </c>
      <c r="AG161" s="950" t="s">
        <v>112</v>
      </c>
      <c r="AH161" s="950">
        <v>7</v>
      </c>
      <c r="AI161" s="951" t="s">
        <v>698</v>
      </c>
      <c r="AJ161" s="950">
        <f t="shared" si="8"/>
        <v>98</v>
      </c>
      <c r="AK161" s="950" t="s">
        <v>698</v>
      </c>
      <c r="AL161" s="946">
        <f t="shared" si="10"/>
        <v>8.1666666666666661</v>
      </c>
      <c r="AM161" s="929"/>
      <c r="AO161" s="925">
        <v>8</v>
      </c>
      <c r="AP161" s="1009">
        <f t="shared" si="9"/>
        <v>-0.16666666666666607</v>
      </c>
    </row>
    <row r="162" spans="1:42" ht="27" customHeight="1">
      <c r="A162" s="941" t="s">
        <v>578</v>
      </c>
      <c r="B162" s="1427" t="s">
        <v>721</v>
      </c>
      <c r="C162" s="1428"/>
      <c r="D162" s="1428"/>
      <c r="E162" s="1428"/>
      <c r="F162" s="1428"/>
      <c r="G162" s="1428"/>
      <c r="H162" s="1428"/>
      <c r="I162" s="1428"/>
      <c r="J162" s="1429"/>
      <c r="K162" s="950" t="s">
        <v>112</v>
      </c>
      <c r="L162" s="950">
        <v>7</v>
      </c>
      <c r="M162" s="950" t="s">
        <v>112</v>
      </c>
      <c r="N162" s="950">
        <v>7</v>
      </c>
      <c r="O162" s="950" t="s">
        <v>112</v>
      </c>
      <c r="P162" s="950">
        <v>7</v>
      </c>
      <c r="Q162" s="950" t="s">
        <v>112</v>
      </c>
      <c r="R162" s="950">
        <v>7</v>
      </c>
      <c r="S162" s="950" t="s">
        <v>112</v>
      </c>
      <c r="T162" s="950">
        <v>7</v>
      </c>
      <c r="U162" s="950" t="s">
        <v>112</v>
      </c>
      <c r="V162" s="950">
        <v>7</v>
      </c>
      <c r="W162" s="950" t="s">
        <v>112</v>
      </c>
      <c r="X162" s="950">
        <v>7</v>
      </c>
      <c r="Y162" s="950" t="s">
        <v>112</v>
      </c>
      <c r="Z162" s="950">
        <v>7</v>
      </c>
      <c r="AA162" s="950" t="s">
        <v>112</v>
      </c>
      <c r="AB162" s="950">
        <v>7</v>
      </c>
      <c r="AC162" s="950" t="s">
        <v>112</v>
      </c>
      <c r="AD162" s="950">
        <v>7</v>
      </c>
      <c r="AE162" s="950" t="s">
        <v>112</v>
      </c>
      <c r="AF162" s="950">
        <v>7</v>
      </c>
      <c r="AG162" s="950" t="s">
        <v>112</v>
      </c>
      <c r="AH162" s="950">
        <v>7</v>
      </c>
      <c r="AI162" s="950" t="s">
        <v>112</v>
      </c>
      <c r="AJ162" s="950">
        <f t="shared" si="8"/>
        <v>84</v>
      </c>
      <c r="AK162" s="950" t="s">
        <v>112</v>
      </c>
      <c r="AL162" s="946">
        <f t="shared" si="10"/>
        <v>7</v>
      </c>
      <c r="AM162" s="929"/>
      <c r="AO162" s="925">
        <v>7</v>
      </c>
      <c r="AP162" s="1009">
        <f t="shared" si="9"/>
        <v>0</v>
      </c>
    </row>
    <row r="163" spans="1:42" ht="27" customHeight="1">
      <c r="A163" s="941" t="s">
        <v>581</v>
      </c>
      <c r="B163" s="1427" t="s">
        <v>722</v>
      </c>
      <c r="C163" s="1428"/>
      <c r="D163" s="1428"/>
      <c r="E163" s="1428"/>
      <c r="F163" s="1428"/>
      <c r="G163" s="1428"/>
      <c r="H163" s="1428"/>
      <c r="I163" s="1428"/>
      <c r="J163" s="1429"/>
      <c r="K163" s="950" t="s">
        <v>698</v>
      </c>
      <c r="L163" s="950">
        <v>9</v>
      </c>
      <c r="M163" s="950" t="s">
        <v>698</v>
      </c>
      <c r="N163" s="950">
        <v>9</v>
      </c>
      <c r="O163" s="950" t="s">
        <v>698</v>
      </c>
      <c r="P163" s="950">
        <v>9</v>
      </c>
      <c r="Q163" s="950" t="s">
        <v>112</v>
      </c>
      <c r="R163" s="950">
        <v>7</v>
      </c>
      <c r="S163" s="950" t="s">
        <v>112</v>
      </c>
      <c r="T163" s="950">
        <v>7</v>
      </c>
      <c r="U163" s="950" t="s">
        <v>112</v>
      </c>
      <c r="V163" s="950">
        <v>7</v>
      </c>
      <c r="W163" s="950" t="s">
        <v>698</v>
      </c>
      <c r="X163" s="950">
        <v>9</v>
      </c>
      <c r="Y163" s="950" t="s">
        <v>698</v>
      </c>
      <c r="Z163" s="950">
        <v>9</v>
      </c>
      <c r="AA163" s="950" t="s">
        <v>698</v>
      </c>
      <c r="AB163" s="950">
        <v>9</v>
      </c>
      <c r="AC163" s="950" t="s">
        <v>698</v>
      </c>
      <c r="AD163" s="950">
        <v>9</v>
      </c>
      <c r="AE163" s="950" t="s">
        <v>112</v>
      </c>
      <c r="AF163" s="950">
        <v>7</v>
      </c>
      <c r="AG163" s="950" t="s">
        <v>112</v>
      </c>
      <c r="AH163" s="950">
        <v>7</v>
      </c>
      <c r="AI163" s="951" t="s">
        <v>698</v>
      </c>
      <c r="AJ163" s="950">
        <f t="shared" si="8"/>
        <v>98</v>
      </c>
      <c r="AK163" s="950" t="s">
        <v>698</v>
      </c>
      <c r="AL163" s="946">
        <f t="shared" si="10"/>
        <v>8.1666666666666661</v>
      </c>
      <c r="AM163" s="929"/>
      <c r="AO163" s="925">
        <v>8</v>
      </c>
      <c r="AP163" s="1009">
        <f t="shared" si="9"/>
        <v>-0.16666666666666607</v>
      </c>
    </row>
    <row r="164" spans="1:42" ht="27" customHeight="1">
      <c r="A164" s="952"/>
      <c r="B164" s="1430" t="s">
        <v>68</v>
      </c>
      <c r="C164" s="1430"/>
      <c r="D164" s="1430"/>
      <c r="E164" s="1430"/>
      <c r="F164" s="1430"/>
      <c r="G164" s="1430"/>
      <c r="H164" s="1430"/>
      <c r="I164" s="1430"/>
      <c r="J164" s="1430"/>
      <c r="K164" s="1425">
        <f>SUM(L156:L163)</f>
        <v>66</v>
      </c>
      <c r="L164" s="1426"/>
      <c r="M164" s="1425">
        <f>SUM(N156:N163)</f>
        <v>58</v>
      </c>
      <c r="N164" s="1426"/>
      <c r="O164" s="1425">
        <f>SUM(P156:P163)</f>
        <v>66</v>
      </c>
      <c r="P164" s="1426"/>
      <c r="Q164" s="1425">
        <f>SUM(R156:R163)</f>
        <v>41</v>
      </c>
      <c r="R164" s="1426"/>
      <c r="S164" s="1425">
        <f>SUM(T156:T163)</f>
        <v>41</v>
      </c>
      <c r="T164" s="1426"/>
      <c r="U164" s="1425">
        <f>SUM(V156:V163)</f>
        <v>41</v>
      </c>
      <c r="V164" s="1426"/>
      <c r="W164" s="1425">
        <f>SUM(X156:X163)</f>
        <v>59</v>
      </c>
      <c r="X164" s="1426"/>
      <c r="Y164" s="1425">
        <f>SUM(Z156:Z163)</f>
        <v>59</v>
      </c>
      <c r="Z164" s="1426"/>
      <c r="AA164" s="1425">
        <f>SUM(AB156:AB163)</f>
        <v>63</v>
      </c>
      <c r="AB164" s="1426"/>
      <c r="AC164" s="1425">
        <f>SUM(AD156:AD163)</f>
        <v>80</v>
      </c>
      <c r="AD164" s="1426"/>
      <c r="AE164" s="1425">
        <f>SUM(AF156:AF163)</f>
        <v>57</v>
      </c>
      <c r="AF164" s="1426"/>
      <c r="AG164" s="1425">
        <f>SUM(AH156:AH163)</f>
        <v>41</v>
      </c>
      <c r="AH164" s="1426"/>
      <c r="AI164" s="1484">
        <f>SUM(K164:AG164)</f>
        <v>672</v>
      </c>
      <c r="AJ164" s="1420"/>
      <c r="AK164" s="1420">
        <f>SUM(AL156:AL163)</f>
        <v>59.083333333333329</v>
      </c>
      <c r="AL164" s="1420"/>
      <c r="AM164" s="929"/>
      <c r="AO164" s="925">
        <f>SUM(AO156:AO163)</f>
        <v>59</v>
      </c>
    </row>
    <row r="165" spans="1:42" ht="21.75" customHeight="1">
      <c r="A165" s="953"/>
      <c r="B165" s="927"/>
      <c r="C165" s="928"/>
      <c r="D165" s="927"/>
      <c r="E165" s="927"/>
      <c r="F165" s="927"/>
      <c r="G165" s="927"/>
      <c r="H165" s="927"/>
      <c r="I165" s="927"/>
      <c r="J165" s="927"/>
      <c r="K165" s="954"/>
      <c r="L165" s="955"/>
      <c r="M165" s="955"/>
      <c r="N165" s="955"/>
      <c r="O165" s="955"/>
      <c r="P165" s="955"/>
      <c r="Q165" s="955"/>
      <c r="R165" s="955"/>
      <c r="S165" s="955"/>
      <c r="T165" s="955"/>
      <c r="U165" s="955"/>
      <c r="V165" s="955"/>
      <c r="W165" s="955"/>
      <c r="X165" s="955"/>
      <c r="Y165" s="955"/>
      <c r="Z165" s="955"/>
      <c r="AA165" s="955"/>
      <c r="AB165" s="955"/>
      <c r="AC165" s="955"/>
      <c r="AD165" s="955"/>
      <c r="AE165" s="955"/>
      <c r="AF165" s="955"/>
      <c r="AG165" s="955"/>
      <c r="AH165" s="955"/>
      <c r="AI165" s="955"/>
      <c r="AJ165" s="955"/>
      <c r="AK165" s="955"/>
      <c r="AL165" s="955"/>
      <c r="AM165" s="929"/>
    </row>
    <row r="166" spans="1:42" ht="21.75" customHeight="1">
      <c r="A166" s="953"/>
      <c r="B166" s="927"/>
      <c r="C166" s="928"/>
      <c r="D166" s="927"/>
      <c r="E166" s="927"/>
      <c r="F166" s="927"/>
      <c r="G166" s="927"/>
      <c r="H166" s="927"/>
      <c r="I166" s="927"/>
      <c r="J166" s="927"/>
      <c r="K166" s="927"/>
      <c r="L166" s="927"/>
      <c r="M166" s="927"/>
      <c r="N166" s="927"/>
      <c r="O166" s="927"/>
      <c r="P166" s="927"/>
      <c r="Q166" s="927"/>
      <c r="R166" s="927"/>
      <c r="S166" s="927"/>
      <c r="T166" s="927"/>
      <c r="U166" s="927"/>
      <c r="V166" s="927"/>
      <c r="W166" s="927"/>
      <c r="X166" s="927"/>
      <c r="Y166" s="927"/>
      <c r="Z166" s="927"/>
      <c r="AA166" s="927"/>
      <c r="AB166" s="927"/>
      <c r="AC166" s="927"/>
      <c r="AD166" s="927"/>
      <c r="AE166" s="927"/>
      <c r="AF166" s="927"/>
      <c r="AG166" s="927"/>
      <c r="AH166" s="927"/>
      <c r="AI166" s="927"/>
      <c r="AJ166" s="927"/>
      <c r="AK166" s="927"/>
      <c r="AL166" s="927"/>
      <c r="AM166" s="929"/>
    </row>
    <row r="167" spans="1:42" ht="21.75" customHeight="1">
      <c r="A167" s="953"/>
      <c r="B167" s="927"/>
      <c r="C167" s="928"/>
      <c r="D167" s="927"/>
      <c r="E167" s="927"/>
      <c r="F167" s="927"/>
      <c r="G167" s="927"/>
      <c r="H167" s="927"/>
      <c r="I167" s="927"/>
      <c r="J167" s="927"/>
      <c r="K167" s="927"/>
      <c r="L167" s="927"/>
      <c r="M167" s="927"/>
      <c r="N167" s="927"/>
      <c r="O167" s="927"/>
      <c r="P167" s="927"/>
      <c r="Q167" s="927"/>
      <c r="R167" s="927"/>
      <c r="S167" s="927"/>
      <c r="T167" s="927"/>
      <c r="U167" s="927"/>
      <c r="V167" s="927"/>
      <c r="W167" s="927"/>
      <c r="X167" s="927"/>
      <c r="Y167" s="927"/>
      <c r="Z167" s="927"/>
      <c r="AA167" s="927"/>
      <c r="AB167" s="927"/>
      <c r="AC167" s="927"/>
      <c r="AD167" s="927"/>
      <c r="AE167" s="927"/>
      <c r="AF167" s="927"/>
      <c r="AG167" s="927"/>
      <c r="AH167" s="927"/>
      <c r="AI167" s="927"/>
      <c r="AJ167" s="927"/>
      <c r="AK167" s="927"/>
      <c r="AL167" s="927"/>
      <c r="AM167" s="929"/>
    </row>
    <row r="168" spans="1:42" ht="21.75" customHeight="1">
      <c r="A168" s="957"/>
      <c r="B168" s="958"/>
      <c r="C168" s="934"/>
      <c r="D168" s="927"/>
      <c r="E168" s="959"/>
      <c r="F168" s="927"/>
      <c r="G168" s="927"/>
      <c r="H168" s="927"/>
      <c r="I168" s="927"/>
      <c r="J168" s="927"/>
      <c r="K168" s="927"/>
      <c r="L168" s="927"/>
      <c r="M168" s="927"/>
      <c r="N168" s="927"/>
      <c r="O168" s="927"/>
      <c r="P168" s="958"/>
      <c r="Q168" s="958"/>
      <c r="R168" s="958"/>
      <c r="S168" s="958"/>
      <c r="T168" s="958"/>
      <c r="U168" s="958"/>
      <c r="V168" s="958"/>
      <c r="W168" s="927"/>
      <c r="X168" s="927"/>
      <c r="Y168" s="934"/>
      <c r="Z168" s="927"/>
      <c r="AA168" s="927"/>
      <c r="AB168" s="934"/>
      <c r="AC168" s="934"/>
      <c r="AD168" s="960"/>
      <c r="AE168" s="1422" t="s">
        <v>634</v>
      </c>
      <c r="AF168" s="1423"/>
      <c r="AG168" s="1423"/>
      <c r="AH168" s="1423"/>
      <c r="AI168" s="1423"/>
      <c r="AJ168" s="1423"/>
      <c r="AK168" s="1423"/>
      <c r="AL168" s="1424"/>
      <c r="AM168" s="929"/>
    </row>
    <row r="169" spans="1:42" ht="21.75" customHeight="1">
      <c r="A169" s="957"/>
      <c r="B169" s="958"/>
      <c r="C169" s="934"/>
      <c r="D169" s="927"/>
      <c r="E169" s="959"/>
      <c r="F169" s="927"/>
      <c r="G169" s="927"/>
      <c r="H169" s="927"/>
      <c r="I169" s="927"/>
      <c r="J169" s="927"/>
      <c r="K169" s="927"/>
      <c r="L169" s="927"/>
      <c r="M169" s="927"/>
      <c r="N169" s="927"/>
      <c r="O169" s="927"/>
      <c r="P169" s="927"/>
      <c r="Q169" s="927"/>
      <c r="R169" s="958"/>
      <c r="S169" s="927"/>
      <c r="T169" s="927"/>
      <c r="U169" s="927"/>
      <c r="V169" s="927"/>
      <c r="W169" s="927"/>
      <c r="X169" s="927"/>
      <c r="Y169" s="934"/>
      <c r="Z169" s="927"/>
      <c r="AA169" s="927"/>
      <c r="AB169" s="934"/>
      <c r="AC169" s="934"/>
      <c r="AD169" s="960"/>
      <c r="AE169" s="953"/>
      <c r="AF169" s="927"/>
      <c r="AG169" s="934"/>
      <c r="AH169" s="927"/>
      <c r="AI169" s="927"/>
      <c r="AJ169" s="927"/>
      <c r="AK169" s="927"/>
      <c r="AL169" s="929"/>
      <c r="AM169" s="929"/>
    </row>
    <row r="170" spans="1:42" ht="21.75" customHeight="1">
      <c r="A170" s="957"/>
      <c r="B170" s="958"/>
      <c r="C170" s="934"/>
      <c r="D170" s="927"/>
      <c r="E170" s="959"/>
      <c r="F170" s="927"/>
      <c r="G170" s="927"/>
      <c r="H170" s="927"/>
      <c r="I170" s="927"/>
      <c r="J170" s="927"/>
      <c r="K170" s="927"/>
      <c r="L170" s="927"/>
      <c r="M170" s="927"/>
      <c r="N170" s="927"/>
      <c r="O170" s="927"/>
      <c r="P170" s="934"/>
      <c r="Q170" s="934"/>
      <c r="R170" s="934"/>
      <c r="S170" s="934"/>
      <c r="T170" s="927"/>
      <c r="U170" s="927"/>
      <c r="V170" s="958"/>
      <c r="W170" s="927"/>
      <c r="X170" s="927"/>
      <c r="Y170" s="934"/>
      <c r="Z170" s="927"/>
      <c r="AA170" s="961"/>
      <c r="AB170" s="934"/>
      <c r="AC170" s="934"/>
      <c r="AD170" s="960"/>
      <c r="AE170" s="953"/>
      <c r="AF170" s="927"/>
      <c r="AG170" s="934"/>
      <c r="AH170" s="927"/>
      <c r="AI170" s="927"/>
      <c r="AJ170" s="927"/>
      <c r="AK170" s="961"/>
      <c r="AL170" s="929"/>
      <c r="AM170" s="929"/>
    </row>
    <row r="171" spans="1:42" ht="21.75" customHeight="1">
      <c r="A171" s="957"/>
      <c r="B171" s="958"/>
      <c r="C171" s="934"/>
      <c r="D171" s="927"/>
      <c r="E171" s="959"/>
      <c r="F171" s="927"/>
      <c r="G171" s="962"/>
      <c r="H171" s="927"/>
      <c r="I171" s="927"/>
      <c r="J171" s="927"/>
      <c r="K171" s="927"/>
      <c r="L171" s="927"/>
      <c r="M171" s="927"/>
      <c r="N171" s="927"/>
      <c r="O171" s="927"/>
      <c r="P171" s="934"/>
      <c r="Q171" s="934"/>
      <c r="R171" s="934"/>
      <c r="S171" s="934"/>
      <c r="T171" s="928"/>
      <c r="U171" s="927"/>
      <c r="V171" s="958"/>
      <c r="W171" s="927"/>
      <c r="X171" s="927"/>
      <c r="Y171" s="934"/>
      <c r="Z171" s="927"/>
      <c r="AA171" s="927"/>
      <c r="AB171" s="934"/>
      <c r="AC171" s="934"/>
      <c r="AD171" s="960"/>
      <c r="AE171" s="963"/>
      <c r="AF171" s="964"/>
      <c r="AG171" s="965"/>
      <c r="AH171" s="964"/>
      <c r="AI171" s="964"/>
      <c r="AJ171" s="964"/>
      <c r="AK171" s="964"/>
      <c r="AL171" s="966"/>
      <c r="AM171" s="929"/>
    </row>
    <row r="172" spans="1:42" ht="21.75" customHeight="1">
      <c r="A172" s="953"/>
      <c r="B172" s="927"/>
      <c r="C172" s="928"/>
      <c r="D172" s="927"/>
      <c r="E172" s="958"/>
      <c r="F172" s="927"/>
      <c r="G172" s="958"/>
      <c r="H172" s="927"/>
      <c r="I172" s="927"/>
      <c r="J172" s="927"/>
      <c r="K172" s="927"/>
      <c r="L172" s="927"/>
      <c r="M172" s="927"/>
      <c r="N172" s="927"/>
      <c r="O172" s="927"/>
      <c r="P172" s="934"/>
      <c r="Q172" s="934"/>
      <c r="R172" s="934"/>
      <c r="S172" s="934"/>
      <c r="T172" s="927"/>
      <c r="U172" s="927"/>
      <c r="V172" s="958"/>
      <c r="W172" s="927"/>
      <c r="X172" s="927"/>
      <c r="Y172" s="934"/>
      <c r="Z172" s="927"/>
      <c r="AA172" s="927"/>
      <c r="AB172" s="934"/>
      <c r="AC172" s="934"/>
      <c r="AD172" s="960"/>
      <c r="AE172" s="953" t="s">
        <v>723</v>
      </c>
      <c r="AF172" s="927"/>
      <c r="AG172" s="934" t="s">
        <v>3</v>
      </c>
      <c r="AH172" s="928" t="s">
        <v>724</v>
      </c>
      <c r="AI172" s="927"/>
      <c r="AJ172" s="927"/>
      <c r="AK172" s="927"/>
      <c r="AL172" s="929"/>
      <c r="AM172" s="929"/>
    </row>
    <row r="173" spans="1:42" ht="21.75" customHeight="1">
      <c r="A173" s="953"/>
      <c r="B173" s="927"/>
      <c r="C173" s="934"/>
      <c r="D173" s="934"/>
      <c r="E173" s="934"/>
      <c r="F173" s="934"/>
      <c r="G173" s="934"/>
      <c r="H173" s="934"/>
      <c r="I173" s="934"/>
      <c r="J173" s="934"/>
      <c r="K173" s="934"/>
      <c r="L173" s="934"/>
      <c r="M173" s="934"/>
      <c r="N173" s="934"/>
      <c r="O173" s="934"/>
      <c r="P173" s="934"/>
      <c r="Q173" s="934"/>
      <c r="R173" s="934"/>
      <c r="S173" s="934"/>
      <c r="T173" s="927"/>
      <c r="U173" s="958"/>
      <c r="V173" s="958"/>
      <c r="W173" s="927"/>
      <c r="X173" s="927"/>
      <c r="Y173" s="934"/>
      <c r="Z173" s="927"/>
      <c r="AA173" s="927"/>
      <c r="AB173" s="934"/>
      <c r="AC173" s="934"/>
      <c r="AD173" s="960"/>
      <c r="AE173" s="953" t="s">
        <v>725</v>
      </c>
      <c r="AF173" s="927"/>
      <c r="AG173" s="934" t="s">
        <v>3</v>
      </c>
      <c r="AH173" s="927" t="s">
        <v>726</v>
      </c>
      <c r="AI173" s="927"/>
      <c r="AJ173" s="927"/>
      <c r="AK173" s="927"/>
      <c r="AL173" s="929"/>
      <c r="AM173" s="929"/>
    </row>
    <row r="174" spans="1:42" ht="21.75" customHeight="1">
      <c r="A174" s="953"/>
      <c r="B174" s="927"/>
      <c r="C174" s="934"/>
      <c r="D174" s="934"/>
      <c r="E174" s="934"/>
      <c r="F174" s="934"/>
      <c r="G174" s="934"/>
      <c r="H174" s="934"/>
      <c r="I174" s="934"/>
      <c r="J174" s="934"/>
      <c r="K174" s="934"/>
      <c r="L174" s="934"/>
      <c r="M174" s="934"/>
      <c r="N174" s="934"/>
      <c r="O174" s="934"/>
      <c r="P174" s="934"/>
      <c r="Q174" s="934"/>
      <c r="R174" s="934"/>
      <c r="S174" s="934"/>
      <c r="T174" s="958"/>
      <c r="U174" s="958"/>
      <c r="V174" s="958"/>
      <c r="W174" s="927"/>
      <c r="X174" s="927"/>
      <c r="Y174" s="934"/>
      <c r="Z174" s="928"/>
      <c r="AA174" s="927"/>
      <c r="AB174" s="934"/>
      <c r="AC174" s="934"/>
      <c r="AD174" s="960"/>
      <c r="AE174" s="963" t="s">
        <v>727</v>
      </c>
      <c r="AF174" s="964"/>
      <c r="AG174" s="965" t="s">
        <v>3</v>
      </c>
      <c r="AH174" s="967" t="str">
        <f>AH421</f>
        <v>02 Januari 2020</v>
      </c>
      <c r="AI174" s="967"/>
      <c r="AJ174" s="967"/>
      <c r="AK174" s="964"/>
      <c r="AL174" s="966"/>
      <c r="AM174" s="929"/>
    </row>
    <row r="175" spans="1:42" ht="18" customHeight="1">
      <c r="A175" s="963"/>
      <c r="B175" s="964"/>
      <c r="C175" s="968"/>
      <c r="D175" s="964"/>
      <c r="E175" s="964"/>
      <c r="F175" s="964"/>
      <c r="G175" s="965"/>
      <c r="H175" s="965"/>
      <c r="I175" s="964"/>
      <c r="J175" s="964"/>
      <c r="K175" s="964"/>
      <c r="L175" s="964"/>
      <c r="M175" s="964"/>
      <c r="N175" s="964"/>
      <c r="O175" s="964"/>
      <c r="P175" s="964"/>
      <c r="Q175" s="964"/>
      <c r="R175" s="964"/>
      <c r="S175" s="964"/>
      <c r="T175" s="964"/>
      <c r="U175" s="964"/>
      <c r="V175" s="964"/>
      <c r="W175" s="964"/>
      <c r="X175" s="964"/>
      <c r="Y175" s="964"/>
      <c r="Z175" s="964"/>
      <c r="AA175" s="964"/>
      <c r="AB175" s="964"/>
      <c r="AC175" s="964"/>
      <c r="AD175" s="964"/>
      <c r="AE175" s="964"/>
      <c r="AF175" s="964"/>
      <c r="AG175" s="964"/>
      <c r="AH175" s="964"/>
      <c r="AI175" s="964"/>
      <c r="AJ175" s="964"/>
      <c r="AK175" s="964"/>
      <c r="AL175" s="964"/>
      <c r="AM175" s="966"/>
    </row>
    <row r="176" spans="1:42" s="1005" customFormat="1" ht="15" customHeight="1">
      <c r="A176" s="1010"/>
      <c r="B176" s="1010"/>
      <c r="C176" s="1011"/>
      <c r="D176" s="1011"/>
      <c r="E176" s="1011"/>
      <c r="F176" s="1011"/>
      <c r="G176" s="1011"/>
      <c r="H176" s="1011"/>
      <c r="I176" s="1012"/>
      <c r="J176" s="1013"/>
      <c r="K176" s="1011"/>
      <c r="L176" s="1011"/>
      <c r="M176" s="1011"/>
      <c r="N176" s="1011"/>
      <c r="O176" s="1011"/>
      <c r="P176" s="1011"/>
      <c r="Q176" s="1011"/>
      <c r="R176" s="1011"/>
      <c r="S176" s="1011"/>
      <c r="T176" s="1011"/>
      <c r="U176" s="1011"/>
      <c r="V176" s="1011"/>
      <c r="W176" s="1011"/>
      <c r="X176" s="1011"/>
      <c r="Y176" s="1014"/>
      <c r="Z176" s="1011"/>
      <c r="AA176" s="1011"/>
      <c r="AB176" s="1011"/>
      <c r="AC176" s="1011"/>
      <c r="AD176" s="1011"/>
      <c r="AE176" s="1011"/>
      <c r="AF176" s="1011"/>
      <c r="AG176" s="1011"/>
      <c r="AH176" s="1011"/>
      <c r="AI176" s="1011"/>
      <c r="AJ176" s="1011"/>
      <c r="AK176" s="1011"/>
      <c r="AL176" s="1011"/>
      <c r="AM176" s="1014"/>
      <c r="AN176" s="1004"/>
    </row>
    <row r="177" spans="1:41" s="1005" customFormat="1" ht="33" customHeight="1">
      <c r="A177" s="1015"/>
      <c r="B177" s="1015"/>
      <c r="C177" s="1016"/>
      <c r="D177" s="1016"/>
      <c r="E177" s="1016"/>
      <c r="F177" s="1016"/>
      <c r="G177" s="1016"/>
      <c r="H177" s="1016"/>
      <c r="I177" s="1017"/>
      <c r="J177" s="1018"/>
      <c r="K177" s="1016"/>
      <c r="L177" s="1016"/>
      <c r="M177" s="1016"/>
      <c r="N177" s="1016"/>
      <c r="O177" s="1016"/>
      <c r="P177" s="1016"/>
      <c r="Q177" s="1016"/>
      <c r="R177" s="1016"/>
      <c r="S177" s="1016"/>
      <c r="T177" s="1016"/>
      <c r="U177" s="1016"/>
      <c r="V177" s="1016"/>
      <c r="W177" s="1016"/>
      <c r="X177" s="1016"/>
      <c r="Y177" s="1019"/>
      <c r="Z177" s="1016"/>
      <c r="AA177" s="1016"/>
      <c r="AB177" s="1016"/>
      <c r="AC177" s="1016"/>
      <c r="AD177" s="1016"/>
      <c r="AE177" s="1016"/>
      <c r="AF177" s="1016"/>
      <c r="AG177" s="1016"/>
      <c r="AH177" s="1016"/>
      <c r="AI177" s="1016"/>
      <c r="AJ177" s="1016"/>
      <c r="AK177" s="1016"/>
      <c r="AL177" s="1016"/>
      <c r="AM177" s="1019"/>
      <c r="AN177" s="1004"/>
    </row>
    <row r="178" spans="1:41" s="1005" customFormat="1" ht="15" customHeight="1">
      <c r="A178" s="1020"/>
      <c r="B178" s="1020"/>
      <c r="C178" s="1021"/>
      <c r="D178" s="1021"/>
      <c r="E178" s="1021"/>
      <c r="F178" s="1021"/>
      <c r="G178" s="1021"/>
      <c r="H178" s="1021"/>
      <c r="I178" s="1022"/>
      <c r="J178" s="1023"/>
      <c r="K178" s="1021"/>
      <c r="L178" s="1021"/>
      <c r="M178" s="1021"/>
      <c r="N178" s="1021"/>
      <c r="O178" s="1021"/>
      <c r="P178" s="1021"/>
      <c r="Q178" s="1021"/>
      <c r="R178" s="1021"/>
      <c r="S178" s="1021"/>
      <c r="T178" s="1021"/>
      <c r="U178" s="1021"/>
      <c r="V178" s="1021"/>
      <c r="W178" s="1021"/>
      <c r="X178" s="1021"/>
      <c r="Y178" s="1024"/>
      <c r="Z178" s="1021"/>
      <c r="AA178" s="1021"/>
      <c r="AB178" s="1021"/>
      <c r="AC178" s="1021"/>
      <c r="AD178" s="1021"/>
      <c r="AE178" s="1021"/>
      <c r="AF178" s="1021"/>
      <c r="AG178" s="1021"/>
      <c r="AH178" s="1021"/>
      <c r="AI178" s="1021"/>
      <c r="AJ178" s="1021"/>
      <c r="AK178" s="1021"/>
      <c r="AL178" s="1021"/>
      <c r="AM178" s="1024"/>
      <c r="AN178" s="1004"/>
    </row>
    <row r="179" spans="1:41" ht="15.75" customHeight="1">
      <c r="A179" s="998"/>
      <c r="B179" s="971"/>
      <c r="C179" s="971"/>
      <c r="D179" s="999"/>
      <c r="E179" s="1486" t="s">
        <v>537</v>
      </c>
      <c r="F179" s="1487"/>
      <c r="G179" s="1487"/>
      <c r="H179" s="1487"/>
      <c r="I179" s="1487"/>
      <c r="J179" s="1487"/>
      <c r="K179" s="1487"/>
      <c r="L179" s="1487"/>
      <c r="M179" s="1487"/>
      <c r="N179" s="1487"/>
      <c r="O179" s="1487"/>
      <c r="P179" s="1487"/>
      <c r="Q179" s="1487"/>
      <c r="R179" s="1487"/>
      <c r="S179" s="1487"/>
      <c r="T179" s="1487"/>
      <c r="U179" s="1487"/>
      <c r="V179" s="1487"/>
      <c r="W179" s="1487"/>
      <c r="X179" s="1487"/>
      <c r="Y179" s="1487"/>
      <c r="Z179" s="1487"/>
      <c r="AA179" s="1487"/>
      <c r="AB179" s="1487"/>
      <c r="AC179" s="1487"/>
      <c r="AD179" s="1487"/>
      <c r="AE179" s="1487"/>
      <c r="AF179" s="1488"/>
      <c r="AG179" s="1475" t="s">
        <v>740</v>
      </c>
      <c r="AH179" s="1476"/>
      <c r="AI179" s="1476"/>
      <c r="AJ179" s="1476"/>
      <c r="AK179" s="1476"/>
      <c r="AL179" s="1476"/>
      <c r="AM179" s="1477"/>
      <c r="AN179" s="978"/>
    </row>
    <row r="180" spans="1:41" ht="15" customHeight="1">
      <c r="A180" s="1000"/>
      <c r="B180" s="934"/>
      <c r="C180" s="934"/>
      <c r="D180" s="960"/>
      <c r="E180" s="1489"/>
      <c r="F180" s="1490"/>
      <c r="G180" s="1490"/>
      <c r="H180" s="1490"/>
      <c r="I180" s="1490"/>
      <c r="J180" s="1490"/>
      <c r="K180" s="1490"/>
      <c r="L180" s="1490"/>
      <c r="M180" s="1490"/>
      <c r="N180" s="1490"/>
      <c r="O180" s="1490"/>
      <c r="P180" s="1490"/>
      <c r="Q180" s="1490"/>
      <c r="R180" s="1490"/>
      <c r="S180" s="1490"/>
      <c r="T180" s="1490"/>
      <c r="U180" s="1490"/>
      <c r="V180" s="1490"/>
      <c r="W180" s="1490"/>
      <c r="X180" s="1490"/>
      <c r="Y180" s="1490"/>
      <c r="Z180" s="1490"/>
      <c r="AA180" s="1490"/>
      <c r="AB180" s="1490"/>
      <c r="AC180" s="1490"/>
      <c r="AD180" s="1490"/>
      <c r="AE180" s="1490"/>
      <c r="AF180" s="1491"/>
      <c r="AG180" s="1478"/>
      <c r="AH180" s="1479"/>
      <c r="AI180" s="1479"/>
      <c r="AJ180" s="1479"/>
      <c r="AK180" s="1479"/>
      <c r="AL180" s="1479"/>
      <c r="AM180" s="1480"/>
    </row>
    <row r="181" spans="1:41" ht="15" customHeight="1">
      <c r="A181" s="1000"/>
      <c r="B181" s="934"/>
      <c r="C181" s="934"/>
      <c r="D181" s="934"/>
      <c r="E181" s="1489"/>
      <c r="F181" s="1490"/>
      <c r="G181" s="1490"/>
      <c r="H181" s="1490"/>
      <c r="I181" s="1490"/>
      <c r="J181" s="1490"/>
      <c r="K181" s="1490"/>
      <c r="L181" s="1490"/>
      <c r="M181" s="1490"/>
      <c r="N181" s="1490"/>
      <c r="O181" s="1490"/>
      <c r="P181" s="1490"/>
      <c r="Q181" s="1490"/>
      <c r="R181" s="1490"/>
      <c r="S181" s="1490"/>
      <c r="T181" s="1490"/>
      <c r="U181" s="1490"/>
      <c r="V181" s="1490"/>
      <c r="W181" s="1490"/>
      <c r="X181" s="1490"/>
      <c r="Y181" s="1490"/>
      <c r="Z181" s="1490"/>
      <c r="AA181" s="1490"/>
      <c r="AB181" s="1490"/>
      <c r="AC181" s="1490"/>
      <c r="AD181" s="1490"/>
      <c r="AE181" s="1490"/>
      <c r="AF181" s="1491"/>
      <c r="AG181" s="1475" t="str">
        <f>AG3</f>
        <v>TGL  : 01 Januari - 31 Desember 2019</v>
      </c>
      <c r="AH181" s="1476"/>
      <c r="AI181" s="1476"/>
      <c r="AJ181" s="1476"/>
      <c r="AK181" s="1476"/>
      <c r="AL181" s="1476"/>
      <c r="AM181" s="1477"/>
    </row>
    <row r="182" spans="1:41" ht="15" customHeight="1">
      <c r="A182" s="1001"/>
      <c r="B182" s="965"/>
      <c r="C182" s="965"/>
      <c r="D182" s="965"/>
      <c r="E182" s="1492"/>
      <c r="F182" s="1493"/>
      <c r="G182" s="1493"/>
      <c r="H182" s="1493"/>
      <c r="I182" s="1493"/>
      <c r="J182" s="1493"/>
      <c r="K182" s="1493"/>
      <c r="L182" s="1493"/>
      <c r="M182" s="1493"/>
      <c r="N182" s="1493"/>
      <c r="O182" s="1493"/>
      <c r="P182" s="1493"/>
      <c r="Q182" s="1493"/>
      <c r="R182" s="1493"/>
      <c r="S182" s="1493"/>
      <c r="T182" s="1493"/>
      <c r="U182" s="1493"/>
      <c r="V182" s="1493"/>
      <c r="W182" s="1493"/>
      <c r="X182" s="1493"/>
      <c r="Y182" s="1493"/>
      <c r="Z182" s="1493"/>
      <c r="AA182" s="1493"/>
      <c r="AB182" s="1493"/>
      <c r="AC182" s="1493"/>
      <c r="AD182" s="1493"/>
      <c r="AE182" s="1493"/>
      <c r="AF182" s="1494"/>
      <c r="AG182" s="1478"/>
      <c r="AH182" s="1479"/>
      <c r="AI182" s="1479"/>
      <c r="AJ182" s="1479"/>
      <c r="AK182" s="1479"/>
      <c r="AL182" s="1479"/>
      <c r="AM182" s="1480"/>
    </row>
    <row r="183" spans="1:41" ht="18" customHeight="1">
      <c r="A183" s="1433" t="s">
        <v>539</v>
      </c>
      <c r="B183" s="1434"/>
      <c r="C183" s="1434"/>
      <c r="D183" s="1435"/>
      <c r="E183" s="1439" t="s">
        <v>729</v>
      </c>
      <c r="F183" s="1440"/>
      <c r="G183" s="1440"/>
      <c r="H183" s="1440"/>
      <c r="I183" s="1440"/>
      <c r="J183" s="1440"/>
      <c r="K183" s="1440"/>
      <c r="L183" s="1440"/>
      <c r="M183" s="1440"/>
      <c r="N183" s="1440"/>
      <c r="O183" s="1440"/>
      <c r="P183" s="1440"/>
      <c r="Q183" s="1440"/>
      <c r="R183" s="1440"/>
      <c r="S183" s="1440"/>
      <c r="T183" s="1440"/>
      <c r="U183" s="1440"/>
      <c r="V183" s="1440"/>
      <c r="W183" s="1440"/>
      <c r="X183" s="1440"/>
      <c r="Y183" s="1440"/>
      <c r="Z183" s="1440"/>
      <c r="AA183" s="1440"/>
      <c r="AB183" s="1440"/>
      <c r="AC183" s="1440"/>
      <c r="AD183" s="1440"/>
      <c r="AE183" s="1440"/>
      <c r="AF183" s="1441"/>
      <c r="AG183" s="1445" t="s">
        <v>695</v>
      </c>
      <c r="AH183" s="1446"/>
      <c r="AI183" s="1446"/>
      <c r="AJ183" s="1446"/>
      <c r="AK183" s="1446"/>
      <c r="AL183" s="1446"/>
      <c r="AM183" s="1447"/>
    </row>
    <row r="184" spans="1:41" ht="18" customHeight="1">
      <c r="A184" s="1436"/>
      <c r="B184" s="1437"/>
      <c r="C184" s="1437"/>
      <c r="D184" s="1438"/>
      <c r="E184" s="1442"/>
      <c r="F184" s="1443"/>
      <c r="G184" s="1443"/>
      <c r="H184" s="1443"/>
      <c r="I184" s="1443"/>
      <c r="J184" s="1443"/>
      <c r="K184" s="1443"/>
      <c r="L184" s="1443"/>
      <c r="M184" s="1443"/>
      <c r="N184" s="1443"/>
      <c r="O184" s="1443"/>
      <c r="P184" s="1443"/>
      <c r="Q184" s="1443"/>
      <c r="R184" s="1443"/>
      <c r="S184" s="1443"/>
      <c r="T184" s="1443"/>
      <c r="U184" s="1443"/>
      <c r="V184" s="1443"/>
      <c r="W184" s="1443"/>
      <c r="X184" s="1443"/>
      <c r="Y184" s="1443"/>
      <c r="Z184" s="1443"/>
      <c r="AA184" s="1443"/>
      <c r="AB184" s="1443"/>
      <c r="AC184" s="1443"/>
      <c r="AD184" s="1443"/>
      <c r="AE184" s="1443"/>
      <c r="AF184" s="1444"/>
      <c r="AG184" s="1448"/>
      <c r="AH184" s="1449"/>
      <c r="AI184" s="1449"/>
      <c r="AJ184" s="1449"/>
      <c r="AK184" s="1449"/>
      <c r="AL184" s="1449"/>
      <c r="AM184" s="1450"/>
    </row>
    <row r="185" spans="1:41" ht="12" customHeight="1">
      <c r="A185" s="926"/>
      <c r="B185" s="927"/>
      <c r="C185" s="928"/>
      <c r="D185" s="927"/>
      <c r="E185" s="927"/>
      <c r="F185" s="927"/>
      <c r="G185" s="927"/>
      <c r="H185" s="927"/>
      <c r="I185" s="927"/>
      <c r="J185" s="927"/>
      <c r="K185" s="927"/>
      <c r="L185" s="927"/>
      <c r="M185" s="927"/>
      <c r="N185" s="927"/>
      <c r="O185" s="927"/>
      <c r="P185" s="927"/>
      <c r="Q185" s="927"/>
      <c r="R185" s="927"/>
      <c r="S185" s="927"/>
      <c r="T185" s="927"/>
      <c r="U185" s="927"/>
      <c r="V185" s="927"/>
      <c r="W185" s="927"/>
      <c r="X185" s="927"/>
      <c r="Y185" s="927"/>
      <c r="Z185" s="927"/>
      <c r="AA185" s="927"/>
      <c r="AB185" s="927"/>
      <c r="AC185" s="927"/>
      <c r="AD185" s="927"/>
      <c r="AE185" s="927"/>
      <c r="AF185" s="927"/>
      <c r="AG185" s="927"/>
      <c r="AH185" s="927"/>
      <c r="AI185" s="927"/>
      <c r="AJ185" s="927"/>
      <c r="AK185" s="927"/>
      <c r="AL185" s="927"/>
      <c r="AM185" s="929"/>
    </row>
    <row r="186" spans="1:41" ht="24" customHeight="1">
      <c r="A186" s="930" t="s">
        <v>543</v>
      </c>
      <c r="B186" s="931"/>
      <c r="C186" s="932"/>
      <c r="D186" s="931"/>
      <c r="E186" s="931"/>
      <c r="F186" s="931"/>
      <c r="G186" s="931"/>
      <c r="H186" s="1025" t="s">
        <v>3</v>
      </c>
      <c r="I186" s="1026" t="s">
        <v>210</v>
      </c>
      <c r="J186" s="931"/>
      <c r="K186" s="931"/>
      <c r="L186" s="931"/>
      <c r="M186" s="931"/>
      <c r="N186" s="931"/>
      <c r="O186" s="931"/>
      <c r="P186" s="931"/>
      <c r="Q186" s="931"/>
      <c r="R186" s="931"/>
      <c r="S186" s="931"/>
      <c r="T186" s="931"/>
      <c r="U186" s="931"/>
      <c r="V186" s="931" t="s">
        <v>696</v>
      </c>
      <c r="W186" s="931"/>
      <c r="X186" s="931"/>
      <c r="Y186" s="934"/>
      <c r="Z186" s="931" t="s">
        <v>737</v>
      </c>
      <c r="AA186" s="1027" t="s">
        <v>741</v>
      </c>
      <c r="AB186" s="959"/>
      <c r="AC186" s="959"/>
      <c r="AD186" s="959"/>
      <c r="AE186" s="927"/>
      <c r="AF186" s="927"/>
      <c r="AG186" s="927"/>
      <c r="AH186" s="927"/>
      <c r="AI186" s="927"/>
      <c r="AJ186" s="927"/>
      <c r="AK186" s="927"/>
      <c r="AL186" s="927"/>
      <c r="AM186" s="929"/>
      <c r="AO186" s="1008" t="str">
        <f>I186</f>
        <v>MARTONO</v>
      </c>
    </row>
    <row r="187" spans="1:41" ht="24" customHeight="1">
      <c r="A187" s="930" t="s">
        <v>114</v>
      </c>
      <c r="B187" s="931"/>
      <c r="C187" s="932"/>
      <c r="D187" s="931"/>
      <c r="E187" s="931"/>
      <c r="F187" s="931"/>
      <c r="G187" s="931"/>
      <c r="H187" s="1025" t="s">
        <v>3</v>
      </c>
      <c r="I187" s="1026" t="s">
        <v>475</v>
      </c>
      <c r="J187" s="931"/>
      <c r="K187" s="931"/>
      <c r="L187" s="931"/>
      <c r="M187" s="931"/>
      <c r="N187" s="931"/>
      <c r="O187" s="931"/>
      <c r="P187" s="931"/>
      <c r="Q187" s="931"/>
      <c r="R187" s="931"/>
      <c r="S187" s="931"/>
      <c r="T187" s="931"/>
      <c r="U187" s="931"/>
      <c r="V187" s="931" t="s">
        <v>545</v>
      </c>
      <c r="W187" s="931"/>
      <c r="X187" s="931"/>
      <c r="Y187" s="934"/>
      <c r="Z187" s="931" t="s">
        <v>3</v>
      </c>
      <c r="AA187" s="1485" t="s">
        <v>287</v>
      </c>
      <c r="AB187" s="1485"/>
      <c r="AC187" s="1485"/>
      <c r="AD187" s="1485"/>
      <c r="AE187" s="1485"/>
      <c r="AF187" s="927"/>
      <c r="AG187" s="927"/>
      <c r="AH187" s="927"/>
      <c r="AI187" s="927"/>
      <c r="AJ187" s="927"/>
      <c r="AK187" s="927"/>
      <c r="AL187" s="927"/>
      <c r="AM187" s="929"/>
      <c r="AO187" s="1008" t="s">
        <v>698</v>
      </c>
    </row>
    <row r="188" spans="1:41" ht="12" customHeight="1">
      <c r="A188" s="926"/>
      <c r="B188" s="927"/>
      <c r="C188" s="928"/>
      <c r="D188" s="927"/>
      <c r="E188" s="927"/>
      <c r="F188" s="927"/>
      <c r="G188" s="927"/>
      <c r="H188" s="927"/>
      <c r="I188" s="927"/>
      <c r="J188" s="927"/>
      <c r="K188" s="927"/>
      <c r="L188" s="927"/>
      <c r="M188" s="927"/>
      <c r="N188" s="927"/>
      <c r="O188" s="927"/>
      <c r="P188" s="927"/>
      <c r="Q188" s="927"/>
      <c r="R188" s="927"/>
      <c r="S188" s="927"/>
      <c r="T188" s="927"/>
      <c r="U188" s="927"/>
      <c r="V188" s="927"/>
      <c r="W188" s="927"/>
      <c r="X188" s="927"/>
      <c r="Y188" s="927"/>
      <c r="Z188" s="927"/>
      <c r="AA188" s="927"/>
      <c r="AB188" s="927"/>
      <c r="AC188" s="927"/>
      <c r="AD188" s="927"/>
      <c r="AE188" s="927"/>
      <c r="AF188" s="927"/>
      <c r="AG188" s="927"/>
      <c r="AH188" s="927"/>
      <c r="AI188" s="927"/>
      <c r="AJ188" s="927"/>
      <c r="AK188" s="927"/>
      <c r="AL188" s="927"/>
      <c r="AM188" s="929"/>
    </row>
    <row r="189" spans="1:41" ht="24" customHeight="1">
      <c r="A189" s="1451" t="s">
        <v>549</v>
      </c>
      <c r="B189" s="1453" t="s">
        <v>550</v>
      </c>
      <c r="C189" s="1454"/>
      <c r="D189" s="1454"/>
      <c r="E189" s="1454"/>
      <c r="F189" s="1454"/>
      <c r="G189" s="1454"/>
      <c r="H189" s="1454"/>
      <c r="I189" s="1454"/>
      <c r="J189" s="1455"/>
      <c r="K189" s="1431" t="s">
        <v>699</v>
      </c>
      <c r="L189" s="1432"/>
      <c r="M189" s="1431" t="s">
        <v>700</v>
      </c>
      <c r="N189" s="1432"/>
      <c r="O189" s="1431" t="s">
        <v>701</v>
      </c>
      <c r="P189" s="1432"/>
      <c r="Q189" s="1431" t="s">
        <v>702</v>
      </c>
      <c r="R189" s="1432"/>
      <c r="S189" s="1431" t="s">
        <v>703</v>
      </c>
      <c r="T189" s="1432"/>
      <c r="U189" s="1431" t="s">
        <v>704</v>
      </c>
      <c r="V189" s="1432"/>
      <c r="W189" s="1431" t="s">
        <v>705</v>
      </c>
      <c r="X189" s="1432"/>
      <c r="Y189" s="1431" t="s">
        <v>706</v>
      </c>
      <c r="Z189" s="1432"/>
      <c r="AA189" s="1431" t="s">
        <v>707</v>
      </c>
      <c r="AB189" s="1432"/>
      <c r="AC189" s="1431" t="s">
        <v>708</v>
      </c>
      <c r="AD189" s="1432"/>
      <c r="AE189" s="1431" t="s">
        <v>709</v>
      </c>
      <c r="AF189" s="1432"/>
      <c r="AG189" s="1459" t="s">
        <v>710</v>
      </c>
      <c r="AH189" s="1460"/>
      <c r="AI189" s="1461" t="s">
        <v>711</v>
      </c>
      <c r="AJ189" s="1432"/>
      <c r="AK189" s="1462" t="s">
        <v>712</v>
      </c>
      <c r="AL189" s="1432"/>
      <c r="AM189" s="929"/>
    </row>
    <row r="190" spans="1:41" ht="24" customHeight="1">
      <c r="A190" s="1452"/>
      <c r="B190" s="1456"/>
      <c r="C190" s="1457"/>
      <c r="D190" s="1457"/>
      <c r="E190" s="1457"/>
      <c r="F190" s="1457"/>
      <c r="G190" s="1457"/>
      <c r="H190" s="1457"/>
      <c r="I190" s="1457"/>
      <c r="J190" s="1458"/>
      <c r="K190" s="937" t="s">
        <v>713</v>
      </c>
      <c r="L190" s="937" t="s">
        <v>714</v>
      </c>
      <c r="M190" s="937" t="s">
        <v>713</v>
      </c>
      <c r="N190" s="937" t="s">
        <v>714</v>
      </c>
      <c r="O190" s="937" t="s">
        <v>713</v>
      </c>
      <c r="P190" s="937" t="s">
        <v>714</v>
      </c>
      <c r="Q190" s="937" t="s">
        <v>713</v>
      </c>
      <c r="R190" s="937" t="s">
        <v>714</v>
      </c>
      <c r="S190" s="937" t="s">
        <v>713</v>
      </c>
      <c r="T190" s="937" t="s">
        <v>714</v>
      </c>
      <c r="U190" s="937" t="s">
        <v>713</v>
      </c>
      <c r="V190" s="938" t="s">
        <v>714</v>
      </c>
      <c r="W190" s="937" t="s">
        <v>713</v>
      </c>
      <c r="X190" s="937" t="s">
        <v>714</v>
      </c>
      <c r="Y190" s="937" t="s">
        <v>713</v>
      </c>
      <c r="Z190" s="937" t="s">
        <v>714</v>
      </c>
      <c r="AA190" s="937" t="s">
        <v>713</v>
      </c>
      <c r="AB190" s="937" t="s">
        <v>714</v>
      </c>
      <c r="AC190" s="937" t="s">
        <v>713</v>
      </c>
      <c r="AD190" s="937" t="s">
        <v>714</v>
      </c>
      <c r="AE190" s="937" t="s">
        <v>713</v>
      </c>
      <c r="AF190" s="937" t="s">
        <v>714</v>
      </c>
      <c r="AG190" s="937" t="s">
        <v>713</v>
      </c>
      <c r="AH190" s="939" t="s">
        <v>714</v>
      </c>
      <c r="AI190" s="940" t="s">
        <v>713</v>
      </c>
      <c r="AJ190" s="937" t="s">
        <v>714</v>
      </c>
      <c r="AK190" s="938" t="s">
        <v>713</v>
      </c>
      <c r="AL190" s="937" t="s">
        <v>714</v>
      </c>
      <c r="AM190" s="929"/>
    </row>
    <row r="191" spans="1:41" ht="27" customHeight="1">
      <c r="A191" s="941" t="s">
        <v>555</v>
      </c>
      <c r="B191" s="1427" t="s">
        <v>715</v>
      </c>
      <c r="C191" s="1428"/>
      <c r="D191" s="1428"/>
      <c r="E191" s="1428"/>
      <c r="F191" s="1428"/>
      <c r="G191" s="1428"/>
      <c r="H191" s="1428"/>
      <c r="I191" s="1428"/>
      <c r="J191" s="1429"/>
      <c r="K191" s="942">
        <v>6.0111830537569881</v>
      </c>
      <c r="L191" s="942">
        <v>9</v>
      </c>
      <c r="M191" s="942">
        <v>6.1737823567798458</v>
      </c>
      <c r="N191" s="942">
        <v>9</v>
      </c>
      <c r="O191" s="942">
        <v>2.7862363440529312</v>
      </c>
      <c r="P191" s="942">
        <v>12</v>
      </c>
      <c r="Q191" s="942">
        <v>4.1231641381536477</v>
      </c>
      <c r="R191" s="942">
        <v>11</v>
      </c>
      <c r="S191" s="942">
        <v>5.4516058073031237</v>
      </c>
      <c r="T191" s="942">
        <v>10</v>
      </c>
      <c r="U191" s="942">
        <v>6.1812683499706402</v>
      </c>
      <c r="V191" s="942">
        <v>9</v>
      </c>
      <c r="W191" s="942">
        <v>6.0814705745953725</v>
      </c>
      <c r="X191" s="942">
        <v>9</v>
      </c>
      <c r="Y191" s="942">
        <v>6.191985737565636</v>
      </c>
      <c r="Z191" s="942">
        <v>9</v>
      </c>
      <c r="AA191" s="942">
        <v>6.1328920820825727</v>
      </c>
      <c r="AB191" s="942">
        <v>9</v>
      </c>
      <c r="AC191" s="942">
        <v>6.1393526125534024</v>
      </c>
      <c r="AD191" s="942">
        <v>9</v>
      </c>
      <c r="AE191" s="942">
        <v>6.1786887040280192</v>
      </c>
      <c r="AF191" s="942">
        <v>9</v>
      </c>
      <c r="AG191" s="942">
        <v>6.0699040090344427</v>
      </c>
      <c r="AH191" s="942">
        <v>9</v>
      </c>
      <c r="AI191" s="944">
        <f>K191+M191+O191+Q191+S191+U191+W191+Y191+AA191+AC191+AE191+AG191</f>
        <v>67.521533769876626</v>
      </c>
      <c r="AJ191" s="945">
        <f>L191+N191+P191+R191+T191+V191+X191+Z191+AB191+AD191+AF191+AH191</f>
        <v>114</v>
      </c>
      <c r="AK191" s="945">
        <f>+AI191/12</f>
        <v>5.6267944808230519</v>
      </c>
      <c r="AL191" s="945">
        <v>9</v>
      </c>
      <c r="AM191" s="929"/>
      <c r="AN191" s="1003"/>
      <c r="AO191" s="925">
        <v>9</v>
      </c>
    </row>
    <row r="192" spans="1:41" ht="27" customHeight="1">
      <c r="A192" s="941" t="s">
        <v>560</v>
      </c>
      <c r="B192" s="1427" t="s">
        <v>716</v>
      </c>
      <c r="C192" s="1428"/>
      <c r="D192" s="1428"/>
      <c r="E192" s="1428"/>
      <c r="F192" s="1428"/>
      <c r="G192" s="1428"/>
      <c r="H192" s="1428"/>
      <c r="I192" s="1428"/>
      <c r="J192" s="1429"/>
      <c r="K192" s="942">
        <v>1127.8940000000002</v>
      </c>
      <c r="L192" s="942">
        <v>15</v>
      </c>
      <c r="M192" s="942">
        <v>474.46979999999996</v>
      </c>
      <c r="N192" s="942">
        <v>15</v>
      </c>
      <c r="O192" s="942">
        <v>505.43379999999996</v>
      </c>
      <c r="P192" s="942">
        <v>15</v>
      </c>
      <c r="Q192" s="942">
        <v>475.24230000000006</v>
      </c>
      <c r="R192" s="942">
        <v>15</v>
      </c>
      <c r="S192" s="942">
        <v>2192.0667000000003</v>
      </c>
      <c r="T192" s="942">
        <v>15</v>
      </c>
      <c r="U192" s="942">
        <v>159.77329999999998</v>
      </c>
      <c r="V192" s="942">
        <v>8</v>
      </c>
      <c r="W192" s="942">
        <v>1620.1322</v>
      </c>
      <c r="X192" s="942">
        <v>15</v>
      </c>
      <c r="Y192" s="942">
        <v>673.51339999999993</v>
      </c>
      <c r="Z192" s="942">
        <v>15</v>
      </c>
      <c r="AA192" s="942">
        <v>762.98940000000027</v>
      </c>
      <c r="AB192" s="942">
        <v>15</v>
      </c>
      <c r="AC192" s="942">
        <v>571.23590000000002</v>
      </c>
      <c r="AD192" s="942">
        <v>15</v>
      </c>
      <c r="AE192" s="942">
        <v>514.29090000000008</v>
      </c>
      <c r="AF192" s="942">
        <v>15</v>
      </c>
      <c r="AG192" s="942">
        <v>415.87550000000005</v>
      </c>
      <c r="AH192" s="942">
        <v>15</v>
      </c>
      <c r="AI192" s="1028">
        <f>K192+M192+O192+Q192+S192+U192+W192+Y192+AA192+AC192+AE192+AG192</f>
        <v>9492.9171999999999</v>
      </c>
      <c r="AJ192" s="945">
        <f t="shared" ref="AJ192:AJ197" si="11">+L192+N192+P192+R192+T192+V192+X192+Z192+AB192+AD192+AF192+AH192</f>
        <v>173</v>
      </c>
      <c r="AK192" s="945">
        <f>+AI192/12</f>
        <v>791.07643333333328</v>
      </c>
      <c r="AL192" s="945">
        <v>15</v>
      </c>
      <c r="AM192" s="929"/>
      <c r="AN192" s="1003"/>
      <c r="AO192" s="925">
        <v>15</v>
      </c>
    </row>
    <row r="193" spans="1:41" ht="27" customHeight="1">
      <c r="A193" s="941" t="s">
        <v>563</v>
      </c>
      <c r="B193" s="1427" t="s">
        <v>717</v>
      </c>
      <c r="C193" s="1428"/>
      <c r="D193" s="1428"/>
      <c r="E193" s="1428"/>
      <c r="F193" s="1428"/>
      <c r="G193" s="1428"/>
      <c r="H193" s="1428"/>
      <c r="I193" s="1428"/>
      <c r="J193" s="1429"/>
      <c r="K193" s="943">
        <v>82</v>
      </c>
      <c r="L193" s="942">
        <v>15</v>
      </c>
      <c r="M193" s="943">
        <v>31</v>
      </c>
      <c r="N193" s="942">
        <v>15</v>
      </c>
      <c r="O193" s="943">
        <v>66</v>
      </c>
      <c r="P193" s="942">
        <v>15</v>
      </c>
      <c r="Q193" s="943">
        <v>39</v>
      </c>
      <c r="R193" s="942">
        <v>15</v>
      </c>
      <c r="S193" s="943">
        <v>139</v>
      </c>
      <c r="T193" s="942">
        <v>15</v>
      </c>
      <c r="U193" s="943">
        <v>17</v>
      </c>
      <c r="V193" s="943">
        <v>10</v>
      </c>
      <c r="W193" s="943">
        <v>136</v>
      </c>
      <c r="X193" s="942">
        <v>15</v>
      </c>
      <c r="Y193" s="943">
        <v>61</v>
      </c>
      <c r="Z193" s="942">
        <v>15</v>
      </c>
      <c r="AA193" s="943">
        <v>73</v>
      </c>
      <c r="AB193" s="942">
        <v>15</v>
      </c>
      <c r="AC193" s="943">
        <v>83</v>
      </c>
      <c r="AD193" s="942">
        <v>15</v>
      </c>
      <c r="AE193" s="943">
        <v>55</v>
      </c>
      <c r="AF193" s="942">
        <v>15</v>
      </c>
      <c r="AG193" s="943">
        <v>52</v>
      </c>
      <c r="AH193" s="942">
        <v>15</v>
      </c>
      <c r="AI193" s="944">
        <f>K193+M193+O193+Q193+S193+U193+W193+Y193+AA193+AC193+AE193+AG193</f>
        <v>834</v>
      </c>
      <c r="AJ193" s="950">
        <f t="shared" si="11"/>
        <v>175</v>
      </c>
      <c r="AK193" s="945">
        <f>+AI193/12</f>
        <v>69.5</v>
      </c>
      <c r="AL193" s="946">
        <v>15</v>
      </c>
      <c r="AM193" s="929"/>
      <c r="AN193" s="1003"/>
      <c r="AO193" s="925">
        <v>15</v>
      </c>
    </row>
    <row r="194" spans="1:41" ht="27" customHeight="1">
      <c r="A194" s="941" t="s">
        <v>567</v>
      </c>
      <c r="B194" s="1427" t="s">
        <v>718</v>
      </c>
      <c r="C194" s="1428"/>
      <c r="D194" s="1428"/>
      <c r="E194" s="1428"/>
      <c r="F194" s="1428"/>
      <c r="G194" s="1428"/>
      <c r="H194" s="1428"/>
      <c r="I194" s="1428"/>
      <c r="J194" s="1429"/>
      <c r="K194" s="950" t="s">
        <v>698</v>
      </c>
      <c r="L194" s="988">
        <v>10</v>
      </c>
      <c r="M194" s="950" t="s">
        <v>698</v>
      </c>
      <c r="N194" s="988">
        <v>10</v>
      </c>
      <c r="O194" s="950" t="s">
        <v>698</v>
      </c>
      <c r="P194" s="988">
        <v>10</v>
      </c>
      <c r="Q194" s="950" t="s">
        <v>698</v>
      </c>
      <c r="R194" s="988">
        <v>10</v>
      </c>
      <c r="S194" s="950" t="s">
        <v>698</v>
      </c>
      <c r="T194" s="988">
        <v>10</v>
      </c>
      <c r="U194" s="950" t="s">
        <v>698</v>
      </c>
      <c r="V194" s="988">
        <v>10</v>
      </c>
      <c r="W194" s="950" t="s">
        <v>698</v>
      </c>
      <c r="X194" s="988">
        <v>10</v>
      </c>
      <c r="Y194" s="950" t="s">
        <v>698</v>
      </c>
      <c r="Z194" s="988">
        <v>10</v>
      </c>
      <c r="AA194" s="950" t="s">
        <v>698</v>
      </c>
      <c r="AB194" s="988">
        <v>10</v>
      </c>
      <c r="AC194" s="950" t="s">
        <v>698</v>
      </c>
      <c r="AD194" s="988">
        <v>10</v>
      </c>
      <c r="AE194" s="950" t="s">
        <v>698</v>
      </c>
      <c r="AF194" s="988">
        <v>10</v>
      </c>
      <c r="AG194" s="950" t="s">
        <v>698</v>
      </c>
      <c r="AH194" s="988">
        <v>10</v>
      </c>
      <c r="AI194" s="951" t="s">
        <v>698</v>
      </c>
      <c r="AJ194" s="950">
        <f t="shared" si="11"/>
        <v>120</v>
      </c>
      <c r="AK194" s="950" t="s">
        <v>698</v>
      </c>
      <c r="AL194" s="946">
        <f>+AJ194/12</f>
        <v>10</v>
      </c>
      <c r="AM194" s="929"/>
      <c r="AN194" s="1003"/>
      <c r="AO194" s="925">
        <v>10</v>
      </c>
    </row>
    <row r="195" spans="1:41" ht="27" customHeight="1">
      <c r="A195" s="941" t="s">
        <v>571</v>
      </c>
      <c r="B195" s="1427" t="s">
        <v>719</v>
      </c>
      <c r="C195" s="1428"/>
      <c r="D195" s="1428"/>
      <c r="E195" s="1428"/>
      <c r="F195" s="1428"/>
      <c r="G195" s="1428"/>
      <c r="H195" s="1428"/>
      <c r="I195" s="1428"/>
      <c r="J195" s="1429"/>
      <c r="K195" s="950" t="s">
        <v>698</v>
      </c>
      <c r="L195" s="988">
        <v>10</v>
      </c>
      <c r="M195" s="950" t="s">
        <v>698</v>
      </c>
      <c r="N195" s="988">
        <v>10</v>
      </c>
      <c r="O195" s="950" t="s">
        <v>698</v>
      </c>
      <c r="P195" s="988">
        <v>10</v>
      </c>
      <c r="Q195" s="950" t="s">
        <v>698</v>
      </c>
      <c r="R195" s="988">
        <v>10</v>
      </c>
      <c r="S195" s="950" t="s">
        <v>698</v>
      </c>
      <c r="T195" s="988">
        <v>10</v>
      </c>
      <c r="U195" s="950" t="s">
        <v>698</v>
      </c>
      <c r="V195" s="988">
        <v>10</v>
      </c>
      <c r="W195" s="950" t="s">
        <v>698</v>
      </c>
      <c r="X195" s="988">
        <v>10</v>
      </c>
      <c r="Y195" s="950" t="s">
        <v>698</v>
      </c>
      <c r="Z195" s="988">
        <v>10</v>
      </c>
      <c r="AA195" s="950" t="s">
        <v>698</v>
      </c>
      <c r="AB195" s="988">
        <v>10</v>
      </c>
      <c r="AC195" s="950" t="s">
        <v>698</v>
      </c>
      <c r="AD195" s="988">
        <v>10</v>
      </c>
      <c r="AE195" s="950" t="s">
        <v>698</v>
      </c>
      <c r="AF195" s="988">
        <v>10</v>
      </c>
      <c r="AG195" s="950" t="s">
        <v>698</v>
      </c>
      <c r="AH195" s="988">
        <v>10</v>
      </c>
      <c r="AI195" s="951" t="s">
        <v>698</v>
      </c>
      <c r="AJ195" s="950">
        <f t="shared" si="11"/>
        <v>120</v>
      </c>
      <c r="AK195" s="950" t="s">
        <v>698</v>
      </c>
      <c r="AL195" s="946">
        <f>+AJ195/12</f>
        <v>10</v>
      </c>
      <c r="AM195" s="929"/>
      <c r="AN195" s="1003"/>
      <c r="AO195" s="925">
        <v>10</v>
      </c>
    </row>
    <row r="196" spans="1:41" ht="27" customHeight="1">
      <c r="A196" s="941" t="s">
        <v>575</v>
      </c>
      <c r="B196" s="1427" t="s">
        <v>720</v>
      </c>
      <c r="C196" s="1428"/>
      <c r="D196" s="1428"/>
      <c r="E196" s="1428"/>
      <c r="F196" s="1428"/>
      <c r="G196" s="1428"/>
      <c r="H196" s="1428"/>
      <c r="I196" s="1428"/>
      <c r="J196" s="1429"/>
      <c r="K196" s="950" t="s">
        <v>698</v>
      </c>
      <c r="L196" s="988">
        <v>10</v>
      </c>
      <c r="M196" s="950" t="s">
        <v>698</v>
      </c>
      <c r="N196" s="988">
        <v>10</v>
      </c>
      <c r="O196" s="950" t="s">
        <v>698</v>
      </c>
      <c r="P196" s="988">
        <v>10</v>
      </c>
      <c r="Q196" s="950" t="s">
        <v>698</v>
      </c>
      <c r="R196" s="988">
        <v>10</v>
      </c>
      <c r="S196" s="950" t="s">
        <v>698</v>
      </c>
      <c r="T196" s="988">
        <v>10</v>
      </c>
      <c r="U196" s="950" t="s">
        <v>698</v>
      </c>
      <c r="V196" s="988">
        <v>10</v>
      </c>
      <c r="W196" s="950" t="s">
        <v>698</v>
      </c>
      <c r="X196" s="988">
        <v>10</v>
      </c>
      <c r="Y196" s="950" t="s">
        <v>698</v>
      </c>
      <c r="Z196" s="988">
        <v>10</v>
      </c>
      <c r="AA196" s="950" t="s">
        <v>698</v>
      </c>
      <c r="AB196" s="988">
        <v>10</v>
      </c>
      <c r="AC196" s="950" t="s">
        <v>698</v>
      </c>
      <c r="AD196" s="988">
        <v>10</v>
      </c>
      <c r="AE196" s="950" t="s">
        <v>698</v>
      </c>
      <c r="AF196" s="988">
        <v>10</v>
      </c>
      <c r="AG196" s="950" t="s">
        <v>698</v>
      </c>
      <c r="AH196" s="988">
        <v>10</v>
      </c>
      <c r="AI196" s="951" t="s">
        <v>698</v>
      </c>
      <c r="AJ196" s="950">
        <f t="shared" si="11"/>
        <v>120</v>
      </c>
      <c r="AK196" s="950" t="s">
        <v>698</v>
      </c>
      <c r="AL196" s="946">
        <f>+AJ196/12</f>
        <v>10</v>
      </c>
      <c r="AM196" s="929"/>
      <c r="AN196" s="1003"/>
      <c r="AO196" s="925">
        <v>10</v>
      </c>
    </row>
    <row r="197" spans="1:41" ht="27" customHeight="1">
      <c r="A197" s="941" t="s">
        <v>578</v>
      </c>
      <c r="B197" s="1427" t="s">
        <v>721</v>
      </c>
      <c r="C197" s="1428"/>
      <c r="D197" s="1428"/>
      <c r="E197" s="1428"/>
      <c r="F197" s="1428"/>
      <c r="G197" s="1428"/>
      <c r="H197" s="1428"/>
      <c r="I197" s="1428"/>
      <c r="J197" s="1429"/>
      <c r="K197" s="950" t="s">
        <v>112</v>
      </c>
      <c r="L197" s="950">
        <v>7</v>
      </c>
      <c r="M197" s="950" t="s">
        <v>112</v>
      </c>
      <c r="N197" s="950">
        <v>7</v>
      </c>
      <c r="O197" s="950" t="s">
        <v>112</v>
      </c>
      <c r="P197" s="950">
        <v>7</v>
      </c>
      <c r="Q197" s="950" t="s">
        <v>112</v>
      </c>
      <c r="R197" s="950">
        <v>7</v>
      </c>
      <c r="S197" s="950" t="s">
        <v>112</v>
      </c>
      <c r="T197" s="950">
        <v>7</v>
      </c>
      <c r="U197" s="950" t="s">
        <v>112</v>
      </c>
      <c r="V197" s="950">
        <v>7</v>
      </c>
      <c r="W197" s="950" t="s">
        <v>112</v>
      </c>
      <c r="X197" s="950">
        <v>7</v>
      </c>
      <c r="Y197" s="950" t="s">
        <v>112</v>
      </c>
      <c r="Z197" s="950">
        <v>7</v>
      </c>
      <c r="AA197" s="950" t="s">
        <v>112</v>
      </c>
      <c r="AB197" s="950">
        <v>7</v>
      </c>
      <c r="AC197" s="950" t="s">
        <v>112</v>
      </c>
      <c r="AD197" s="950">
        <v>7</v>
      </c>
      <c r="AE197" s="950" t="s">
        <v>112</v>
      </c>
      <c r="AF197" s="950">
        <v>7</v>
      </c>
      <c r="AG197" s="950" t="s">
        <v>112</v>
      </c>
      <c r="AH197" s="950">
        <v>7</v>
      </c>
      <c r="AI197" s="950" t="s">
        <v>112</v>
      </c>
      <c r="AJ197" s="950">
        <f t="shared" si="11"/>
        <v>84</v>
      </c>
      <c r="AK197" s="950" t="s">
        <v>112</v>
      </c>
      <c r="AL197" s="946">
        <f>+AJ197/12</f>
        <v>7</v>
      </c>
      <c r="AM197" s="929"/>
      <c r="AN197" s="1003"/>
      <c r="AO197" s="925">
        <v>7</v>
      </c>
    </row>
    <row r="198" spans="1:41" ht="27" customHeight="1">
      <c r="A198" s="941" t="s">
        <v>581</v>
      </c>
      <c r="B198" s="1427" t="s">
        <v>722</v>
      </c>
      <c r="C198" s="1428"/>
      <c r="D198" s="1428"/>
      <c r="E198" s="1428"/>
      <c r="F198" s="1428"/>
      <c r="G198" s="1428"/>
      <c r="H198" s="1428"/>
      <c r="I198" s="1428"/>
      <c r="J198" s="1429"/>
      <c r="K198" s="950" t="s">
        <v>698</v>
      </c>
      <c r="L198" s="950">
        <v>10</v>
      </c>
      <c r="M198" s="950" t="s">
        <v>698</v>
      </c>
      <c r="N198" s="950">
        <v>10</v>
      </c>
      <c r="O198" s="950" t="s">
        <v>698</v>
      </c>
      <c r="P198" s="950">
        <v>10</v>
      </c>
      <c r="Q198" s="950" t="s">
        <v>698</v>
      </c>
      <c r="R198" s="950">
        <v>10</v>
      </c>
      <c r="S198" s="950" t="s">
        <v>698</v>
      </c>
      <c r="T198" s="950">
        <v>10</v>
      </c>
      <c r="U198" s="950" t="s">
        <v>698</v>
      </c>
      <c r="V198" s="950">
        <v>9</v>
      </c>
      <c r="W198" s="950" t="s">
        <v>698</v>
      </c>
      <c r="X198" s="950">
        <v>10</v>
      </c>
      <c r="Y198" s="950" t="s">
        <v>698</v>
      </c>
      <c r="Z198" s="950">
        <v>10</v>
      </c>
      <c r="AA198" s="950" t="s">
        <v>698</v>
      </c>
      <c r="AB198" s="950">
        <v>10</v>
      </c>
      <c r="AC198" s="950" t="s">
        <v>698</v>
      </c>
      <c r="AD198" s="950">
        <v>10</v>
      </c>
      <c r="AE198" s="950" t="s">
        <v>698</v>
      </c>
      <c r="AF198" s="950">
        <v>10</v>
      </c>
      <c r="AG198" s="950" t="s">
        <v>698</v>
      </c>
      <c r="AH198" s="950">
        <v>10</v>
      </c>
      <c r="AI198" s="951" t="s">
        <v>698</v>
      </c>
      <c r="AJ198" s="950">
        <f>+L198+N198+P198+R198+T198+V198+X198+Z198+AB198+AD198+AF198+AH198</f>
        <v>119</v>
      </c>
      <c r="AK198" s="950" t="s">
        <v>698</v>
      </c>
      <c r="AL198" s="946">
        <f>+AJ198/12</f>
        <v>9.9166666666666661</v>
      </c>
      <c r="AM198" s="929"/>
      <c r="AN198" s="1003"/>
      <c r="AO198" s="925">
        <v>10</v>
      </c>
    </row>
    <row r="199" spans="1:41" ht="27" customHeight="1">
      <c r="A199" s="952"/>
      <c r="B199" s="1430" t="s">
        <v>68</v>
      </c>
      <c r="C199" s="1430"/>
      <c r="D199" s="1430"/>
      <c r="E199" s="1430"/>
      <c r="F199" s="1430"/>
      <c r="G199" s="1430"/>
      <c r="H199" s="1430"/>
      <c r="I199" s="1430"/>
      <c r="J199" s="1430"/>
      <c r="K199" s="1425">
        <f>SUM(L191:L198)</f>
        <v>86</v>
      </c>
      <c r="L199" s="1426"/>
      <c r="M199" s="1425">
        <f>SUM(N191:N198)</f>
        <v>86</v>
      </c>
      <c r="N199" s="1426"/>
      <c r="O199" s="1425">
        <f>SUM(P191:P198)</f>
        <v>89</v>
      </c>
      <c r="P199" s="1426"/>
      <c r="Q199" s="1425">
        <f>SUM(R191:R198)</f>
        <v>88</v>
      </c>
      <c r="R199" s="1426"/>
      <c r="S199" s="1425">
        <f>SUM(T191:T198)</f>
        <v>87</v>
      </c>
      <c r="T199" s="1426"/>
      <c r="U199" s="1425">
        <f>SUM(V191:V198)</f>
        <v>73</v>
      </c>
      <c r="V199" s="1426"/>
      <c r="W199" s="1425">
        <f>SUM(X191:X198)</f>
        <v>86</v>
      </c>
      <c r="X199" s="1426"/>
      <c r="Y199" s="1425">
        <f>SUM(Z191:Z198)</f>
        <v>86</v>
      </c>
      <c r="Z199" s="1426"/>
      <c r="AA199" s="1425">
        <f>SUM(AB191:AB198)</f>
        <v>86</v>
      </c>
      <c r="AB199" s="1426"/>
      <c r="AC199" s="1425">
        <f>SUM(AD191:AD198)</f>
        <v>86</v>
      </c>
      <c r="AD199" s="1426"/>
      <c r="AE199" s="1425">
        <f>SUM(AF191:AF198)</f>
        <v>86</v>
      </c>
      <c r="AF199" s="1426"/>
      <c r="AG199" s="1425">
        <f>SUM(AH191:AH198)</f>
        <v>86</v>
      </c>
      <c r="AH199" s="1426"/>
      <c r="AI199" s="1484">
        <f>SUM(K199:AG199)</f>
        <v>1025</v>
      </c>
      <c r="AJ199" s="1420"/>
      <c r="AK199" s="1420">
        <f>SUM(AL191:AL198)</f>
        <v>85.916666666666671</v>
      </c>
      <c r="AL199" s="1420"/>
      <c r="AM199" s="929"/>
      <c r="AN199" s="1003"/>
      <c r="AO199" s="925">
        <f>SUM(AO191:AO198)</f>
        <v>86</v>
      </c>
    </row>
    <row r="200" spans="1:41" ht="21.75" customHeight="1">
      <c r="A200" s="953"/>
      <c r="B200" s="927"/>
      <c r="C200" s="928"/>
      <c r="D200" s="927"/>
      <c r="E200" s="927"/>
      <c r="F200" s="927"/>
      <c r="G200" s="927"/>
      <c r="H200" s="927"/>
      <c r="I200" s="927"/>
      <c r="J200" s="927"/>
      <c r="K200" s="954"/>
      <c r="L200" s="955"/>
      <c r="M200" s="955"/>
      <c r="N200" s="955"/>
      <c r="O200" s="955"/>
      <c r="P200" s="955"/>
      <c r="Q200" s="955"/>
      <c r="R200" s="955"/>
      <c r="S200" s="955"/>
      <c r="T200" s="955"/>
      <c r="U200" s="955"/>
      <c r="V200" s="955"/>
      <c r="W200" s="955"/>
      <c r="X200" s="955"/>
      <c r="Y200" s="955"/>
      <c r="Z200" s="955"/>
      <c r="AA200" s="955"/>
      <c r="AB200" s="955"/>
      <c r="AC200" s="955"/>
      <c r="AD200" s="955"/>
      <c r="AE200" s="955"/>
      <c r="AF200" s="955"/>
      <c r="AG200" s="955"/>
      <c r="AH200" s="955"/>
      <c r="AI200" s="955"/>
      <c r="AJ200" s="955"/>
      <c r="AK200" s="955"/>
      <c r="AL200" s="955"/>
      <c r="AM200" s="929"/>
      <c r="AN200" s="1003"/>
    </row>
    <row r="201" spans="1:41" ht="21.75" customHeight="1">
      <c r="A201" s="953"/>
      <c r="B201" s="927"/>
      <c r="C201" s="928"/>
      <c r="D201" s="927"/>
      <c r="E201" s="927"/>
      <c r="F201" s="927"/>
      <c r="G201" s="927"/>
      <c r="H201" s="927"/>
      <c r="I201" s="927"/>
      <c r="J201" s="927"/>
      <c r="K201" s="927"/>
      <c r="L201" s="927"/>
      <c r="M201" s="927"/>
      <c r="N201" s="927"/>
      <c r="O201" s="927"/>
      <c r="P201" s="927"/>
      <c r="Q201" s="927"/>
      <c r="R201" s="927"/>
      <c r="S201" s="927"/>
      <c r="T201" s="927"/>
      <c r="U201" s="927"/>
      <c r="V201" s="927"/>
      <c r="W201" s="927"/>
      <c r="X201" s="927"/>
      <c r="Y201" s="927"/>
      <c r="Z201" s="927"/>
      <c r="AA201" s="927"/>
      <c r="AB201" s="927"/>
      <c r="AC201" s="927"/>
      <c r="AD201" s="927"/>
      <c r="AE201" s="927"/>
      <c r="AF201" s="927"/>
      <c r="AG201" s="927"/>
      <c r="AH201" s="927"/>
      <c r="AI201" s="927"/>
      <c r="AJ201" s="927"/>
      <c r="AK201" s="927"/>
      <c r="AL201" s="927"/>
      <c r="AM201" s="929"/>
    </row>
    <row r="202" spans="1:41" ht="21.75" customHeight="1">
      <c r="A202" s="953"/>
      <c r="B202" s="927"/>
      <c r="C202" s="928"/>
      <c r="D202" s="927"/>
      <c r="E202" s="927"/>
      <c r="F202" s="927"/>
      <c r="G202" s="927"/>
      <c r="H202" s="927"/>
      <c r="I202" s="927"/>
      <c r="J202" s="927"/>
      <c r="K202" s="927"/>
      <c r="L202" s="927"/>
      <c r="M202" s="927"/>
      <c r="N202" s="927"/>
      <c r="O202" s="927"/>
      <c r="P202" s="927"/>
      <c r="Q202" s="927"/>
      <c r="R202" s="927"/>
      <c r="S202" s="927"/>
      <c r="T202" s="927"/>
      <c r="U202" s="927"/>
      <c r="V202" s="927"/>
      <c r="W202" s="927"/>
      <c r="X202" s="927"/>
      <c r="Y202" s="927"/>
      <c r="Z202" s="927"/>
      <c r="AA202" s="927"/>
      <c r="AB202" s="927"/>
      <c r="AC202" s="927"/>
      <c r="AD202" s="927"/>
      <c r="AE202" s="927"/>
      <c r="AF202" s="927"/>
      <c r="AG202" s="927"/>
      <c r="AH202" s="927"/>
      <c r="AI202" s="927"/>
      <c r="AJ202" s="927"/>
      <c r="AK202" s="927"/>
      <c r="AL202" s="927"/>
      <c r="AM202" s="929"/>
    </row>
    <row r="203" spans="1:41" ht="21.75" customHeight="1">
      <c r="A203" s="957"/>
      <c r="B203" s="958"/>
      <c r="C203" s="934"/>
      <c r="D203" s="927"/>
      <c r="E203" s="959"/>
      <c r="F203" s="927"/>
      <c r="G203" s="927"/>
      <c r="H203" s="927"/>
      <c r="I203" s="927"/>
      <c r="J203" s="927"/>
      <c r="K203" s="927"/>
      <c r="L203" s="927"/>
      <c r="M203" s="927"/>
      <c r="N203" s="927"/>
      <c r="O203" s="927"/>
      <c r="P203" s="958"/>
      <c r="Q203" s="958"/>
      <c r="R203" s="958"/>
      <c r="S203" s="958"/>
      <c r="T203" s="958"/>
      <c r="U203" s="958"/>
      <c r="V203" s="958"/>
      <c r="W203" s="927"/>
      <c r="X203" s="927"/>
      <c r="Y203" s="934"/>
      <c r="Z203" s="927"/>
      <c r="AA203" s="927"/>
      <c r="AB203" s="934"/>
      <c r="AC203" s="934"/>
      <c r="AD203" s="960"/>
      <c r="AE203" s="1422" t="s">
        <v>634</v>
      </c>
      <c r="AF203" s="1423"/>
      <c r="AG203" s="1423"/>
      <c r="AH203" s="1423"/>
      <c r="AI203" s="1423"/>
      <c r="AJ203" s="1423"/>
      <c r="AK203" s="1423"/>
      <c r="AL203" s="1424"/>
      <c r="AM203" s="929"/>
    </row>
    <row r="204" spans="1:41" ht="21.75" customHeight="1">
      <c r="A204" s="957"/>
      <c r="B204" s="958"/>
      <c r="C204" s="934"/>
      <c r="D204" s="927"/>
      <c r="E204" s="959"/>
      <c r="F204" s="927"/>
      <c r="G204" s="927"/>
      <c r="H204" s="927"/>
      <c r="I204" s="927"/>
      <c r="J204" s="927"/>
      <c r="K204" s="927"/>
      <c r="L204" s="927"/>
      <c r="M204" s="927"/>
      <c r="N204" s="927"/>
      <c r="O204" s="927"/>
      <c r="P204" s="927"/>
      <c r="Q204" s="927"/>
      <c r="R204" s="958"/>
      <c r="S204" s="927"/>
      <c r="T204" s="927"/>
      <c r="U204" s="927"/>
      <c r="V204" s="927"/>
      <c r="W204" s="927"/>
      <c r="X204" s="927"/>
      <c r="Y204" s="934"/>
      <c r="Z204" s="927"/>
      <c r="AA204" s="927"/>
      <c r="AB204" s="934"/>
      <c r="AC204" s="934"/>
      <c r="AD204" s="960"/>
      <c r="AE204" s="953"/>
      <c r="AF204" s="927"/>
      <c r="AG204" s="934"/>
      <c r="AH204" s="927"/>
      <c r="AI204" s="927"/>
      <c r="AJ204" s="927"/>
      <c r="AK204" s="927"/>
      <c r="AL204" s="929"/>
      <c r="AM204" s="929"/>
    </row>
    <row r="205" spans="1:41" ht="21.75" customHeight="1">
      <c r="A205" s="957"/>
      <c r="B205" s="958"/>
      <c r="C205" s="934"/>
      <c r="D205" s="927"/>
      <c r="E205" s="959"/>
      <c r="F205" s="927"/>
      <c r="G205" s="927"/>
      <c r="H205" s="927"/>
      <c r="I205" s="927"/>
      <c r="J205" s="927"/>
      <c r="K205" s="927"/>
      <c r="L205" s="927"/>
      <c r="M205" s="927"/>
      <c r="N205" s="927"/>
      <c r="O205" s="927"/>
      <c r="P205" s="934"/>
      <c r="Q205" s="934"/>
      <c r="R205" s="934"/>
      <c r="S205" s="934"/>
      <c r="T205" s="927"/>
      <c r="U205" s="927"/>
      <c r="V205" s="958"/>
      <c r="W205" s="927"/>
      <c r="X205" s="927"/>
      <c r="Y205" s="934"/>
      <c r="Z205" s="927"/>
      <c r="AA205" s="961"/>
      <c r="AB205" s="934"/>
      <c r="AC205" s="934"/>
      <c r="AD205" s="960"/>
      <c r="AE205" s="953"/>
      <c r="AF205" s="927"/>
      <c r="AG205" s="934"/>
      <c r="AH205" s="927"/>
      <c r="AI205" s="927"/>
      <c r="AJ205" s="927"/>
      <c r="AK205" s="961"/>
      <c r="AL205" s="929"/>
      <c r="AM205" s="929"/>
    </row>
    <row r="206" spans="1:41" ht="21.75" customHeight="1">
      <c r="A206" s="957"/>
      <c r="B206" s="958"/>
      <c r="C206" s="934"/>
      <c r="D206" s="927"/>
      <c r="E206" s="959"/>
      <c r="F206" s="927"/>
      <c r="G206" s="962"/>
      <c r="H206" s="927"/>
      <c r="I206" s="927"/>
      <c r="J206" s="927"/>
      <c r="K206" s="927"/>
      <c r="L206" s="927"/>
      <c r="M206" s="927"/>
      <c r="N206" s="927"/>
      <c r="O206" s="927"/>
      <c r="P206" s="934"/>
      <c r="Q206" s="934"/>
      <c r="R206" s="934"/>
      <c r="S206" s="934"/>
      <c r="T206" s="928"/>
      <c r="U206" s="927"/>
      <c r="V206" s="958"/>
      <c r="W206" s="927"/>
      <c r="X206" s="927"/>
      <c r="Y206" s="934"/>
      <c r="Z206" s="927"/>
      <c r="AA206" s="927"/>
      <c r="AB206" s="934"/>
      <c r="AC206" s="934"/>
      <c r="AD206" s="960"/>
      <c r="AE206" s="963"/>
      <c r="AF206" s="964"/>
      <c r="AG206" s="965"/>
      <c r="AH206" s="964"/>
      <c r="AI206" s="964"/>
      <c r="AJ206" s="964"/>
      <c r="AK206" s="964"/>
      <c r="AL206" s="966"/>
      <c r="AM206" s="929"/>
    </row>
    <row r="207" spans="1:41" ht="21.75" customHeight="1">
      <c r="A207" s="953"/>
      <c r="B207" s="927"/>
      <c r="C207" s="928"/>
      <c r="D207" s="927"/>
      <c r="E207" s="958"/>
      <c r="F207" s="927"/>
      <c r="G207" s="958"/>
      <c r="H207" s="927"/>
      <c r="I207" s="927"/>
      <c r="J207" s="927"/>
      <c r="K207" s="927"/>
      <c r="L207" s="927"/>
      <c r="M207" s="927"/>
      <c r="N207" s="927"/>
      <c r="O207" s="927"/>
      <c r="P207" s="934"/>
      <c r="Q207" s="934"/>
      <c r="R207" s="934"/>
      <c r="S207" s="934"/>
      <c r="T207" s="927"/>
      <c r="U207" s="927"/>
      <c r="V207" s="958"/>
      <c r="W207" s="927"/>
      <c r="X207" s="927"/>
      <c r="Y207" s="934"/>
      <c r="Z207" s="927"/>
      <c r="AA207" s="927"/>
      <c r="AB207" s="934"/>
      <c r="AC207" s="934"/>
      <c r="AD207" s="960"/>
      <c r="AE207" s="953" t="s">
        <v>723</v>
      </c>
      <c r="AF207" s="927"/>
      <c r="AG207" s="934" t="s">
        <v>3</v>
      </c>
      <c r="AH207" s="928" t="s">
        <v>724</v>
      </c>
      <c r="AI207" s="927"/>
      <c r="AJ207" s="927"/>
      <c r="AK207" s="927"/>
      <c r="AL207" s="929"/>
      <c r="AM207" s="929"/>
    </row>
    <row r="208" spans="1:41" ht="21.75" customHeight="1">
      <c r="A208" s="953"/>
      <c r="B208" s="927"/>
      <c r="C208" s="934"/>
      <c r="D208" s="934"/>
      <c r="E208" s="934"/>
      <c r="F208" s="934"/>
      <c r="G208" s="934"/>
      <c r="H208" s="934"/>
      <c r="I208" s="934"/>
      <c r="J208" s="934"/>
      <c r="K208" s="934"/>
      <c r="L208" s="934"/>
      <c r="M208" s="934"/>
      <c r="N208" s="934"/>
      <c r="O208" s="934"/>
      <c r="P208" s="934"/>
      <c r="Q208" s="934"/>
      <c r="R208" s="934"/>
      <c r="S208" s="934"/>
      <c r="T208" s="927"/>
      <c r="U208" s="958"/>
      <c r="V208" s="958"/>
      <c r="W208" s="927"/>
      <c r="X208" s="927"/>
      <c r="Y208" s="934"/>
      <c r="Z208" s="927"/>
      <c r="AA208" s="927"/>
      <c r="AB208" s="934"/>
      <c r="AC208" s="934"/>
      <c r="AD208" s="960"/>
      <c r="AE208" s="953" t="s">
        <v>725</v>
      </c>
      <c r="AF208" s="927"/>
      <c r="AG208" s="934" t="s">
        <v>3</v>
      </c>
      <c r="AH208" s="927" t="s">
        <v>726</v>
      </c>
      <c r="AI208" s="927"/>
      <c r="AJ208" s="927"/>
      <c r="AK208" s="927"/>
      <c r="AL208" s="929"/>
      <c r="AM208" s="929"/>
    </row>
    <row r="209" spans="1:41" ht="21.75" customHeight="1">
      <c r="A209" s="953"/>
      <c r="B209" s="927"/>
      <c r="C209" s="934"/>
      <c r="D209" s="934"/>
      <c r="E209" s="934"/>
      <c r="F209" s="934"/>
      <c r="G209" s="934"/>
      <c r="H209" s="934"/>
      <c r="I209" s="934"/>
      <c r="J209" s="934"/>
      <c r="K209" s="934"/>
      <c r="L209" s="934"/>
      <c r="M209" s="934"/>
      <c r="N209" s="934"/>
      <c r="O209" s="934"/>
      <c r="P209" s="934"/>
      <c r="Q209" s="934"/>
      <c r="R209" s="934"/>
      <c r="S209" s="934"/>
      <c r="T209" s="958"/>
      <c r="U209" s="958"/>
      <c r="V209" s="958"/>
      <c r="W209" s="927"/>
      <c r="X209" s="927"/>
      <c r="Y209" s="934"/>
      <c r="Z209" s="928"/>
      <c r="AA209" s="927"/>
      <c r="AB209" s="934"/>
      <c r="AC209" s="934"/>
      <c r="AD209" s="960"/>
      <c r="AE209" s="963" t="s">
        <v>727</v>
      </c>
      <c r="AF209" s="964"/>
      <c r="AG209" s="965" t="s">
        <v>3</v>
      </c>
      <c r="AH209" s="967" t="str">
        <f>AH421</f>
        <v>02 Januari 2020</v>
      </c>
      <c r="AI209" s="967"/>
      <c r="AJ209" s="967"/>
      <c r="AK209" s="964"/>
      <c r="AL209" s="966"/>
      <c r="AM209" s="929"/>
    </row>
    <row r="210" spans="1:41" ht="18" customHeight="1">
      <c r="A210" s="963"/>
      <c r="B210" s="964"/>
      <c r="C210" s="968"/>
      <c r="D210" s="964"/>
      <c r="E210" s="964"/>
      <c r="F210" s="964"/>
      <c r="G210" s="965"/>
      <c r="H210" s="965"/>
      <c r="I210" s="964"/>
      <c r="J210" s="964"/>
      <c r="K210" s="964"/>
      <c r="L210" s="964"/>
      <c r="M210" s="964"/>
      <c r="N210" s="964"/>
      <c r="O210" s="964"/>
      <c r="P210" s="964"/>
      <c r="Q210" s="964"/>
      <c r="R210" s="964"/>
      <c r="S210" s="964"/>
      <c r="T210" s="964"/>
      <c r="U210" s="964"/>
      <c r="V210" s="964"/>
      <c r="W210" s="964"/>
      <c r="X210" s="964"/>
      <c r="Y210" s="964"/>
      <c r="Z210" s="964"/>
      <c r="AA210" s="964"/>
      <c r="AB210" s="964"/>
      <c r="AC210" s="964"/>
      <c r="AD210" s="964"/>
      <c r="AE210" s="964"/>
      <c r="AF210" s="964"/>
      <c r="AG210" s="964"/>
      <c r="AH210" s="964"/>
      <c r="AI210" s="964"/>
      <c r="AJ210" s="964"/>
      <c r="AK210" s="964"/>
      <c r="AL210" s="964"/>
      <c r="AM210" s="966"/>
    </row>
    <row r="211" spans="1:41" s="1005" customFormat="1" ht="15" customHeight="1">
      <c r="A211" s="1010"/>
      <c r="B211" s="1010"/>
      <c r="C211" s="1011"/>
      <c r="D211" s="1011"/>
      <c r="E211" s="1011"/>
      <c r="F211" s="1011"/>
      <c r="G211" s="1011"/>
      <c r="H211" s="1011"/>
      <c r="I211" s="1012"/>
      <c r="J211" s="1013"/>
      <c r="K211" s="1011"/>
      <c r="L211" s="1011"/>
      <c r="M211" s="1011"/>
      <c r="N211" s="1011"/>
      <c r="O211" s="1011"/>
      <c r="P211" s="1011"/>
      <c r="Q211" s="1011"/>
      <c r="R211" s="1011"/>
      <c r="S211" s="1011"/>
      <c r="T211" s="1011"/>
      <c r="U211" s="1011"/>
      <c r="V211" s="1011"/>
      <c r="W211" s="1011"/>
      <c r="X211" s="1011"/>
      <c r="Y211" s="1014"/>
      <c r="Z211" s="1011"/>
      <c r="AA211" s="1011"/>
      <c r="AB211" s="1011"/>
      <c r="AC211" s="1011"/>
      <c r="AD211" s="1011"/>
      <c r="AE211" s="1011"/>
      <c r="AF211" s="1011"/>
      <c r="AG211" s="1011"/>
      <c r="AH211" s="1011"/>
      <c r="AI211" s="1011"/>
      <c r="AJ211" s="1011"/>
      <c r="AK211" s="1011"/>
      <c r="AL211" s="1011"/>
      <c r="AM211" s="1014"/>
      <c r="AN211" s="1004"/>
    </row>
    <row r="212" spans="1:41" s="1005" customFormat="1" ht="36.75" customHeight="1">
      <c r="A212" s="1015"/>
      <c r="B212" s="1015"/>
      <c r="C212" s="1016"/>
      <c r="D212" s="1016"/>
      <c r="E212" s="1016"/>
      <c r="F212" s="1016"/>
      <c r="G212" s="1016"/>
      <c r="H212" s="1016"/>
      <c r="I212" s="1017"/>
      <c r="J212" s="1018"/>
      <c r="K212" s="1016"/>
      <c r="L212" s="1016"/>
      <c r="M212" s="1016"/>
      <c r="N212" s="1016"/>
      <c r="O212" s="1016"/>
      <c r="P212" s="1016"/>
      <c r="Q212" s="1016"/>
      <c r="R212" s="1016"/>
      <c r="S212" s="1016"/>
      <c r="T212" s="1016"/>
      <c r="U212" s="1016"/>
      <c r="V212" s="1016"/>
      <c r="W212" s="1016"/>
      <c r="X212" s="1016"/>
      <c r="Y212" s="1019"/>
      <c r="Z212" s="1016"/>
      <c r="AA212" s="1016"/>
      <c r="AB212" s="1016"/>
      <c r="AC212" s="1016"/>
      <c r="AD212" s="1016"/>
      <c r="AE212" s="1016"/>
      <c r="AF212" s="1016"/>
      <c r="AG212" s="1016"/>
      <c r="AH212" s="1016"/>
      <c r="AI212" s="1016"/>
      <c r="AJ212" s="1016"/>
      <c r="AK212" s="1016"/>
      <c r="AL212" s="1016"/>
      <c r="AM212" s="1019"/>
      <c r="AN212" s="1004"/>
    </row>
    <row r="213" spans="1:41" s="1005" customFormat="1" ht="15" customHeight="1">
      <c r="A213" s="1020"/>
      <c r="B213" s="1020"/>
      <c r="C213" s="1021"/>
      <c r="D213" s="1021"/>
      <c r="E213" s="1021"/>
      <c r="F213" s="1021"/>
      <c r="G213" s="1021"/>
      <c r="H213" s="1021"/>
      <c r="I213" s="1022"/>
      <c r="J213" s="1023"/>
      <c r="K213" s="1021"/>
      <c r="L213" s="1021"/>
      <c r="M213" s="1021"/>
      <c r="N213" s="1021"/>
      <c r="O213" s="1021"/>
      <c r="P213" s="1021"/>
      <c r="Q213" s="1021"/>
      <c r="R213" s="1021"/>
      <c r="S213" s="1021"/>
      <c r="T213" s="1021"/>
      <c r="U213" s="1021"/>
      <c r="V213" s="1021"/>
      <c r="W213" s="1021"/>
      <c r="X213" s="1021"/>
      <c r="Y213" s="1024"/>
      <c r="Z213" s="1021"/>
      <c r="AA213" s="1021"/>
      <c r="AB213" s="1021"/>
      <c r="AC213" s="1021"/>
      <c r="AD213" s="1021"/>
      <c r="AE213" s="1021"/>
      <c r="AF213" s="1021"/>
      <c r="AG213" s="1021"/>
      <c r="AH213" s="1021"/>
      <c r="AI213" s="1021"/>
      <c r="AJ213" s="1021"/>
      <c r="AK213" s="1021"/>
      <c r="AL213" s="1021"/>
      <c r="AM213" s="1024"/>
      <c r="AN213" s="1004"/>
    </row>
    <row r="214" spans="1:41" ht="15.75" customHeight="1">
      <c r="A214" s="998"/>
      <c r="B214" s="971"/>
      <c r="C214" s="971"/>
      <c r="D214" s="999"/>
      <c r="E214" s="1486" t="s">
        <v>537</v>
      </c>
      <c r="F214" s="1487"/>
      <c r="G214" s="1487"/>
      <c r="H214" s="1487"/>
      <c r="I214" s="1487"/>
      <c r="J214" s="1487"/>
      <c r="K214" s="1487"/>
      <c r="L214" s="1487"/>
      <c r="M214" s="1487"/>
      <c r="N214" s="1487"/>
      <c r="O214" s="1487"/>
      <c r="P214" s="1487"/>
      <c r="Q214" s="1487"/>
      <c r="R214" s="1487"/>
      <c r="S214" s="1487"/>
      <c r="T214" s="1487"/>
      <c r="U214" s="1487"/>
      <c r="V214" s="1487"/>
      <c r="W214" s="1487"/>
      <c r="X214" s="1487"/>
      <c r="Y214" s="1487"/>
      <c r="Z214" s="1487"/>
      <c r="AA214" s="1487"/>
      <c r="AB214" s="1487"/>
      <c r="AC214" s="1487"/>
      <c r="AD214" s="1487"/>
      <c r="AE214" s="1487"/>
      <c r="AF214" s="1488"/>
      <c r="AG214" s="1475" t="s">
        <v>742</v>
      </c>
      <c r="AH214" s="1476"/>
      <c r="AI214" s="1476"/>
      <c r="AJ214" s="1476"/>
      <c r="AK214" s="1476"/>
      <c r="AL214" s="1476"/>
      <c r="AM214" s="1477"/>
    </row>
    <row r="215" spans="1:41" ht="15" customHeight="1">
      <c r="A215" s="1000"/>
      <c r="B215" s="934"/>
      <c r="C215" s="934"/>
      <c r="D215" s="960"/>
      <c r="E215" s="1489"/>
      <c r="F215" s="1490"/>
      <c r="G215" s="1490"/>
      <c r="H215" s="1490"/>
      <c r="I215" s="1490"/>
      <c r="J215" s="1490"/>
      <c r="K215" s="1490"/>
      <c r="L215" s="1490"/>
      <c r="M215" s="1490"/>
      <c r="N215" s="1490"/>
      <c r="O215" s="1490"/>
      <c r="P215" s="1490"/>
      <c r="Q215" s="1490"/>
      <c r="R215" s="1490"/>
      <c r="S215" s="1490"/>
      <c r="T215" s="1490"/>
      <c r="U215" s="1490"/>
      <c r="V215" s="1490"/>
      <c r="W215" s="1490"/>
      <c r="X215" s="1490"/>
      <c r="Y215" s="1490"/>
      <c r="Z215" s="1490"/>
      <c r="AA215" s="1490"/>
      <c r="AB215" s="1490"/>
      <c r="AC215" s="1490"/>
      <c r="AD215" s="1490"/>
      <c r="AE215" s="1490"/>
      <c r="AF215" s="1491"/>
      <c r="AG215" s="1478"/>
      <c r="AH215" s="1479"/>
      <c r="AI215" s="1479"/>
      <c r="AJ215" s="1479"/>
      <c r="AK215" s="1479"/>
      <c r="AL215" s="1479"/>
      <c r="AM215" s="1480"/>
    </row>
    <row r="216" spans="1:41" ht="15" customHeight="1">
      <c r="A216" s="1000"/>
      <c r="B216" s="934"/>
      <c r="C216" s="934"/>
      <c r="D216" s="934"/>
      <c r="E216" s="1489"/>
      <c r="F216" s="1490"/>
      <c r="G216" s="1490"/>
      <c r="H216" s="1490"/>
      <c r="I216" s="1490"/>
      <c r="J216" s="1490"/>
      <c r="K216" s="1490"/>
      <c r="L216" s="1490"/>
      <c r="M216" s="1490"/>
      <c r="N216" s="1490"/>
      <c r="O216" s="1490"/>
      <c r="P216" s="1490"/>
      <c r="Q216" s="1490"/>
      <c r="R216" s="1490"/>
      <c r="S216" s="1490"/>
      <c r="T216" s="1490"/>
      <c r="U216" s="1490"/>
      <c r="V216" s="1490"/>
      <c r="W216" s="1490"/>
      <c r="X216" s="1490"/>
      <c r="Y216" s="1490"/>
      <c r="Z216" s="1490"/>
      <c r="AA216" s="1490"/>
      <c r="AB216" s="1490"/>
      <c r="AC216" s="1490"/>
      <c r="AD216" s="1490"/>
      <c r="AE216" s="1490"/>
      <c r="AF216" s="1491"/>
      <c r="AG216" s="1475" t="str">
        <f>AG3</f>
        <v>TGL  : 01 Januari - 31 Desember 2019</v>
      </c>
      <c r="AH216" s="1476"/>
      <c r="AI216" s="1476"/>
      <c r="AJ216" s="1476"/>
      <c r="AK216" s="1476"/>
      <c r="AL216" s="1476"/>
      <c r="AM216" s="1477"/>
    </row>
    <row r="217" spans="1:41" ht="15" customHeight="1">
      <c r="A217" s="1001"/>
      <c r="B217" s="965"/>
      <c r="C217" s="965"/>
      <c r="D217" s="965"/>
      <c r="E217" s="1492"/>
      <c r="F217" s="1493"/>
      <c r="G217" s="1493"/>
      <c r="H217" s="1493"/>
      <c r="I217" s="1493"/>
      <c r="J217" s="1493"/>
      <c r="K217" s="1493"/>
      <c r="L217" s="1493"/>
      <c r="M217" s="1493"/>
      <c r="N217" s="1493"/>
      <c r="O217" s="1493"/>
      <c r="P217" s="1493"/>
      <c r="Q217" s="1493"/>
      <c r="R217" s="1493"/>
      <c r="S217" s="1493"/>
      <c r="T217" s="1493"/>
      <c r="U217" s="1493"/>
      <c r="V217" s="1493"/>
      <c r="W217" s="1493"/>
      <c r="X217" s="1493"/>
      <c r="Y217" s="1493"/>
      <c r="Z217" s="1493"/>
      <c r="AA217" s="1493"/>
      <c r="AB217" s="1493"/>
      <c r="AC217" s="1493"/>
      <c r="AD217" s="1493"/>
      <c r="AE217" s="1493"/>
      <c r="AF217" s="1494"/>
      <c r="AG217" s="1478"/>
      <c r="AH217" s="1479"/>
      <c r="AI217" s="1479"/>
      <c r="AJ217" s="1479"/>
      <c r="AK217" s="1479"/>
      <c r="AL217" s="1479"/>
      <c r="AM217" s="1480"/>
    </row>
    <row r="218" spans="1:41" ht="18" customHeight="1">
      <c r="A218" s="1433" t="s">
        <v>539</v>
      </c>
      <c r="B218" s="1434"/>
      <c r="C218" s="1434"/>
      <c r="D218" s="1435"/>
      <c r="E218" s="1439" t="s">
        <v>729</v>
      </c>
      <c r="F218" s="1440"/>
      <c r="G218" s="1440"/>
      <c r="H218" s="1440"/>
      <c r="I218" s="1440"/>
      <c r="J218" s="1440"/>
      <c r="K218" s="1440"/>
      <c r="L218" s="1440"/>
      <c r="M218" s="1440"/>
      <c r="N218" s="1440"/>
      <c r="O218" s="1440"/>
      <c r="P218" s="1440"/>
      <c r="Q218" s="1440"/>
      <c r="R218" s="1440"/>
      <c r="S218" s="1440"/>
      <c r="T218" s="1440"/>
      <c r="U218" s="1440"/>
      <c r="V218" s="1440"/>
      <c r="W218" s="1440"/>
      <c r="X218" s="1440"/>
      <c r="Y218" s="1440"/>
      <c r="Z218" s="1440"/>
      <c r="AA218" s="1440"/>
      <c r="AB218" s="1440"/>
      <c r="AC218" s="1440"/>
      <c r="AD218" s="1440"/>
      <c r="AE218" s="1440"/>
      <c r="AF218" s="1441"/>
      <c r="AG218" s="1445" t="s">
        <v>695</v>
      </c>
      <c r="AH218" s="1446"/>
      <c r="AI218" s="1446"/>
      <c r="AJ218" s="1446"/>
      <c r="AK218" s="1446"/>
      <c r="AL218" s="1446"/>
      <c r="AM218" s="1447"/>
    </row>
    <row r="219" spans="1:41" ht="18" customHeight="1">
      <c r="A219" s="1436"/>
      <c r="B219" s="1437"/>
      <c r="C219" s="1437"/>
      <c r="D219" s="1438"/>
      <c r="E219" s="1442"/>
      <c r="F219" s="1443"/>
      <c r="G219" s="1443"/>
      <c r="H219" s="1443"/>
      <c r="I219" s="1443"/>
      <c r="J219" s="1443"/>
      <c r="K219" s="1443"/>
      <c r="L219" s="1443"/>
      <c r="M219" s="1443"/>
      <c r="N219" s="1443"/>
      <c r="O219" s="1443"/>
      <c r="P219" s="1443"/>
      <c r="Q219" s="1443"/>
      <c r="R219" s="1443"/>
      <c r="S219" s="1443"/>
      <c r="T219" s="1443"/>
      <c r="U219" s="1443"/>
      <c r="V219" s="1443"/>
      <c r="W219" s="1443"/>
      <c r="X219" s="1443"/>
      <c r="Y219" s="1443"/>
      <c r="Z219" s="1443"/>
      <c r="AA219" s="1443"/>
      <c r="AB219" s="1443"/>
      <c r="AC219" s="1443"/>
      <c r="AD219" s="1443"/>
      <c r="AE219" s="1443"/>
      <c r="AF219" s="1444"/>
      <c r="AG219" s="1448"/>
      <c r="AH219" s="1449"/>
      <c r="AI219" s="1449"/>
      <c r="AJ219" s="1449"/>
      <c r="AK219" s="1449"/>
      <c r="AL219" s="1449"/>
      <c r="AM219" s="1450"/>
    </row>
    <row r="220" spans="1:41" ht="12" customHeight="1">
      <c r="A220" s="926"/>
      <c r="B220" s="927"/>
      <c r="C220" s="928"/>
      <c r="D220" s="927"/>
      <c r="E220" s="927"/>
      <c r="F220" s="927"/>
      <c r="G220" s="927"/>
      <c r="H220" s="927"/>
      <c r="I220" s="927"/>
      <c r="J220" s="927"/>
      <c r="K220" s="927"/>
      <c r="L220" s="927"/>
      <c r="M220" s="927"/>
      <c r="N220" s="927"/>
      <c r="O220" s="927"/>
      <c r="P220" s="927"/>
      <c r="Q220" s="927"/>
      <c r="R220" s="927"/>
      <c r="S220" s="927"/>
      <c r="T220" s="927"/>
      <c r="U220" s="927"/>
      <c r="V220" s="927"/>
      <c r="W220" s="927"/>
      <c r="X220" s="927"/>
      <c r="Y220" s="927"/>
      <c r="Z220" s="927"/>
      <c r="AA220" s="927"/>
      <c r="AB220" s="927"/>
      <c r="AC220" s="927"/>
      <c r="AD220" s="927"/>
      <c r="AE220" s="927"/>
      <c r="AF220" s="927"/>
      <c r="AG220" s="927"/>
      <c r="AH220" s="927"/>
      <c r="AI220" s="927"/>
      <c r="AJ220" s="927"/>
      <c r="AK220" s="927"/>
      <c r="AL220" s="927"/>
      <c r="AM220" s="929"/>
    </row>
    <row r="221" spans="1:41" ht="24" customHeight="1">
      <c r="A221" s="930" t="s">
        <v>543</v>
      </c>
      <c r="B221" s="931"/>
      <c r="C221" s="932"/>
      <c r="D221" s="931"/>
      <c r="E221" s="931"/>
      <c r="F221" s="931"/>
      <c r="G221" s="931"/>
      <c r="H221" s="1025" t="s">
        <v>3</v>
      </c>
      <c r="I221" s="933" t="s">
        <v>312</v>
      </c>
      <c r="J221" s="931"/>
      <c r="K221" s="931"/>
      <c r="L221" s="931"/>
      <c r="M221" s="931"/>
      <c r="N221" s="931"/>
      <c r="O221" s="931"/>
      <c r="P221" s="931"/>
      <c r="Q221" s="931"/>
      <c r="R221" s="931"/>
      <c r="S221" s="931"/>
      <c r="T221" s="931"/>
      <c r="U221" s="931"/>
      <c r="V221" s="931" t="s">
        <v>696</v>
      </c>
      <c r="W221" s="931"/>
      <c r="X221" s="931"/>
      <c r="Y221" s="934"/>
      <c r="Z221" s="931" t="s">
        <v>3</v>
      </c>
      <c r="AA221" s="1027" t="s">
        <v>743</v>
      </c>
      <c r="AB221" s="959"/>
      <c r="AC221" s="959"/>
      <c r="AD221" s="959"/>
      <c r="AE221" s="927"/>
      <c r="AF221" s="927"/>
      <c r="AG221" s="927"/>
      <c r="AH221" s="927"/>
      <c r="AI221" s="927"/>
      <c r="AJ221" s="927"/>
      <c r="AK221" s="927"/>
      <c r="AL221" s="927"/>
      <c r="AM221" s="929"/>
      <c r="AO221" s="1008" t="str">
        <f>I221</f>
        <v>ABUNAWAS</v>
      </c>
    </row>
    <row r="222" spans="1:41" ht="24" customHeight="1">
      <c r="A222" s="930" t="s">
        <v>114</v>
      </c>
      <c r="B222" s="931"/>
      <c r="C222" s="932"/>
      <c r="D222" s="931"/>
      <c r="E222" s="931"/>
      <c r="F222" s="931"/>
      <c r="G222" s="931"/>
      <c r="H222" s="1025" t="s">
        <v>3</v>
      </c>
      <c r="I222" s="933" t="s">
        <v>744</v>
      </c>
      <c r="J222" s="931"/>
      <c r="K222" s="931"/>
      <c r="L222" s="931"/>
      <c r="M222" s="931"/>
      <c r="N222" s="931"/>
      <c r="O222" s="931"/>
      <c r="P222" s="931"/>
      <c r="Q222" s="931"/>
      <c r="R222" s="931"/>
      <c r="S222" s="931"/>
      <c r="T222" s="931"/>
      <c r="U222" s="931"/>
      <c r="V222" s="931" t="s">
        <v>545</v>
      </c>
      <c r="W222" s="931"/>
      <c r="X222" s="931"/>
      <c r="Y222" s="934"/>
      <c r="Z222" s="931" t="s">
        <v>3</v>
      </c>
      <c r="AA222" s="1485" t="s">
        <v>287</v>
      </c>
      <c r="AB222" s="1485"/>
      <c r="AC222" s="1485"/>
      <c r="AD222" s="1485"/>
      <c r="AE222" s="1485"/>
      <c r="AF222" s="927"/>
      <c r="AG222" s="927"/>
      <c r="AH222" s="927"/>
      <c r="AI222" s="927"/>
      <c r="AJ222" s="927"/>
      <c r="AK222" s="927"/>
      <c r="AL222" s="927"/>
      <c r="AM222" s="929"/>
      <c r="AO222" s="1008" t="s">
        <v>698</v>
      </c>
    </row>
    <row r="223" spans="1:41" ht="12" customHeight="1">
      <c r="A223" s="926"/>
      <c r="B223" s="927"/>
      <c r="C223" s="928"/>
      <c r="D223" s="927"/>
      <c r="E223" s="927"/>
      <c r="F223" s="927"/>
      <c r="G223" s="927"/>
      <c r="H223" s="927"/>
      <c r="I223" s="927"/>
      <c r="J223" s="927"/>
      <c r="K223" s="927"/>
      <c r="L223" s="927"/>
      <c r="M223" s="927"/>
      <c r="N223" s="927"/>
      <c r="O223" s="927"/>
      <c r="P223" s="927"/>
      <c r="Q223" s="927"/>
      <c r="R223" s="927"/>
      <c r="S223" s="1029"/>
      <c r="T223" s="1029"/>
      <c r="U223" s="1029"/>
      <c r="V223" s="1029"/>
      <c r="W223" s="1029"/>
      <c r="X223" s="1029"/>
      <c r="Y223" s="1029"/>
      <c r="Z223" s="1029"/>
      <c r="AA223" s="1029"/>
      <c r="AB223" s="1029"/>
      <c r="AC223" s="1029"/>
      <c r="AD223" s="1029"/>
      <c r="AE223" s="1029"/>
      <c r="AF223" s="927"/>
      <c r="AG223" s="927"/>
      <c r="AH223" s="927"/>
      <c r="AI223" s="927"/>
      <c r="AJ223" s="927"/>
      <c r="AK223" s="927"/>
      <c r="AL223" s="927"/>
      <c r="AM223" s="929"/>
    </row>
    <row r="224" spans="1:41" ht="24" customHeight="1">
      <c r="A224" s="1451" t="s">
        <v>549</v>
      </c>
      <c r="B224" s="1453" t="s">
        <v>550</v>
      </c>
      <c r="C224" s="1454"/>
      <c r="D224" s="1454"/>
      <c r="E224" s="1454"/>
      <c r="F224" s="1454"/>
      <c r="G224" s="1454"/>
      <c r="H224" s="1454"/>
      <c r="I224" s="1454"/>
      <c r="J224" s="1455"/>
      <c r="K224" s="1431" t="s">
        <v>699</v>
      </c>
      <c r="L224" s="1432"/>
      <c r="M224" s="1431" t="s">
        <v>700</v>
      </c>
      <c r="N224" s="1432"/>
      <c r="O224" s="1431" t="s">
        <v>701</v>
      </c>
      <c r="P224" s="1432"/>
      <c r="Q224" s="1431" t="s">
        <v>702</v>
      </c>
      <c r="R224" s="1432"/>
      <c r="S224" s="1431" t="s">
        <v>703</v>
      </c>
      <c r="T224" s="1432"/>
      <c r="U224" s="1431" t="s">
        <v>704</v>
      </c>
      <c r="V224" s="1432"/>
      <c r="W224" s="1431" t="s">
        <v>705</v>
      </c>
      <c r="X224" s="1432"/>
      <c r="Y224" s="1431" t="s">
        <v>706</v>
      </c>
      <c r="Z224" s="1432"/>
      <c r="AA224" s="1431" t="s">
        <v>707</v>
      </c>
      <c r="AB224" s="1432"/>
      <c r="AC224" s="1431" t="s">
        <v>708</v>
      </c>
      <c r="AD224" s="1432"/>
      <c r="AE224" s="1431" t="s">
        <v>709</v>
      </c>
      <c r="AF224" s="1432"/>
      <c r="AG224" s="1459" t="s">
        <v>710</v>
      </c>
      <c r="AH224" s="1460"/>
      <c r="AI224" s="1461" t="s">
        <v>711</v>
      </c>
      <c r="AJ224" s="1432"/>
      <c r="AK224" s="1462" t="s">
        <v>712</v>
      </c>
      <c r="AL224" s="1432"/>
      <c r="AM224" s="929"/>
    </row>
    <row r="225" spans="1:42" ht="24" customHeight="1">
      <c r="A225" s="1452"/>
      <c r="B225" s="1456"/>
      <c r="C225" s="1457"/>
      <c r="D225" s="1457"/>
      <c r="E225" s="1457"/>
      <c r="F225" s="1457"/>
      <c r="G225" s="1457"/>
      <c r="H225" s="1457"/>
      <c r="I225" s="1457"/>
      <c r="J225" s="1458"/>
      <c r="K225" s="937" t="s">
        <v>713</v>
      </c>
      <c r="L225" s="937" t="s">
        <v>714</v>
      </c>
      <c r="M225" s="937" t="s">
        <v>713</v>
      </c>
      <c r="N225" s="937" t="s">
        <v>714</v>
      </c>
      <c r="O225" s="937" t="s">
        <v>713</v>
      </c>
      <c r="P225" s="937" t="s">
        <v>714</v>
      </c>
      <c r="Q225" s="937" t="s">
        <v>713</v>
      </c>
      <c r="R225" s="937" t="s">
        <v>714</v>
      </c>
      <c r="S225" s="937" t="s">
        <v>713</v>
      </c>
      <c r="T225" s="937" t="s">
        <v>714</v>
      </c>
      <c r="U225" s="937" t="s">
        <v>713</v>
      </c>
      <c r="V225" s="938" t="s">
        <v>714</v>
      </c>
      <c r="W225" s="937" t="s">
        <v>713</v>
      </c>
      <c r="X225" s="937" t="s">
        <v>714</v>
      </c>
      <c r="Y225" s="937" t="s">
        <v>713</v>
      </c>
      <c r="Z225" s="937" t="s">
        <v>714</v>
      </c>
      <c r="AA225" s="937" t="s">
        <v>713</v>
      </c>
      <c r="AB225" s="937" t="s">
        <v>714</v>
      </c>
      <c r="AC225" s="937" t="s">
        <v>713</v>
      </c>
      <c r="AD225" s="937" t="s">
        <v>714</v>
      </c>
      <c r="AE225" s="937" t="s">
        <v>713</v>
      </c>
      <c r="AF225" s="937" t="s">
        <v>714</v>
      </c>
      <c r="AG225" s="937" t="s">
        <v>713</v>
      </c>
      <c r="AH225" s="939" t="s">
        <v>714</v>
      </c>
      <c r="AI225" s="940" t="s">
        <v>713</v>
      </c>
      <c r="AJ225" s="937" t="s">
        <v>714</v>
      </c>
      <c r="AK225" s="938" t="s">
        <v>713</v>
      </c>
      <c r="AL225" s="937" t="s">
        <v>714</v>
      </c>
      <c r="AM225" s="929"/>
    </row>
    <row r="226" spans="1:42" ht="27" customHeight="1">
      <c r="A226" s="941" t="s">
        <v>555</v>
      </c>
      <c r="B226" s="1427" t="s">
        <v>715</v>
      </c>
      <c r="C226" s="1428"/>
      <c r="D226" s="1428"/>
      <c r="E226" s="1428"/>
      <c r="F226" s="1428"/>
      <c r="G226" s="1428"/>
      <c r="H226" s="1428"/>
      <c r="I226" s="1428"/>
      <c r="J226" s="1429"/>
      <c r="K226" s="942">
        <v>5.2936925948513229</v>
      </c>
      <c r="L226" s="942">
        <v>10</v>
      </c>
      <c r="M226" s="942">
        <v>5.4888228168703881</v>
      </c>
      <c r="N226" s="942">
        <v>10</v>
      </c>
      <c r="O226" s="942">
        <v>3.6826188369661383</v>
      </c>
      <c r="P226" s="942">
        <v>11</v>
      </c>
      <c r="Q226" s="942">
        <v>4.6678082191780819</v>
      </c>
      <c r="R226" s="942">
        <v>10</v>
      </c>
      <c r="S226" s="942">
        <v>4.9571167883211675</v>
      </c>
      <c r="T226" s="942">
        <v>10</v>
      </c>
      <c r="U226" s="943">
        <v>0</v>
      </c>
      <c r="V226" s="942">
        <v>0</v>
      </c>
      <c r="W226" s="943">
        <v>0</v>
      </c>
      <c r="X226" s="942">
        <v>0</v>
      </c>
      <c r="Y226" s="943">
        <v>5.9999999999999991</v>
      </c>
      <c r="Z226" s="942">
        <v>9</v>
      </c>
      <c r="AA226" s="943">
        <v>0</v>
      </c>
      <c r="AB226" s="942">
        <v>0</v>
      </c>
      <c r="AC226" s="943">
        <v>0</v>
      </c>
      <c r="AD226" s="942">
        <v>0</v>
      </c>
      <c r="AE226" s="943">
        <v>0</v>
      </c>
      <c r="AF226" s="942">
        <v>0</v>
      </c>
      <c r="AG226" s="943">
        <v>0</v>
      </c>
      <c r="AH226" s="942">
        <v>0</v>
      </c>
      <c r="AI226" s="944">
        <f>K226+M226+O226+Q226+S226+U226+W226+Y226+AA226+AC226+AE226+AG226</f>
        <v>30.090059256187097</v>
      </c>
      <c r="AJ226" s="945">
        <f>L226+N226+P226+R226+T226+V226+X226+Z226+AB226+AD226+AF226+AH226</f>
        <v>60</v>
      </c>
      <c r="AK226" s="945">
        <f>+AI226/6</f>
        <v>5.0150098760311828</v>
      </c>
      <c r="AL226" s="945">
        <v>10</v>
      </c>
      <c r="AM226" s="929"/>
      <c r="AO226" s="925">
        <v>10</v>
      </c>
      <c r="AP226" s="981">
        <f t="shared" ref="AP226:AP232" si="12">AO226-AL226</f>
        <v>0</v>
      </c>
    </row>
    <row r="227" spans="1:42" ht="27" customHeight="1">
      <c r="A227" s="941" t="s">
        <v>560</v>
      </c>
      <c r="B227" s="1427" t="s">
        <v>716</v>
      </c>
      <c r="C227" s="1428"/>
      <c r="D227" s="1428"/>
      <c r="E227" s="1428"/>
      <c r="F227" s="1428"/>
      <c r="G227" s="1428"/>
      <c r="H227" s="1428"/>
      <c r="I227" s="1428"/>
      <c r="J227" s="1429"/>
      <c r="K227" s="942">
        <v>1024.9306000000001</v>
      </c>
      <c r="L227" s="942">
        <v>15</v>
      </c>
      <c r="M227" s="942">
        <v>343.30239999999998</v>
      </c>
      <c r="N227" s="942">
        <v>15</v>
      </c>
      <c r="O227" s="942">
        <v>239.50279999999995</v>
      </c>
      <c r="P227" s="942">
        <v>12</v>
      </c>
      <c r="Q227" s="942">
        <v>30.620699999999999</v>
      </c>
      <c r="R227" s="942">
        <v>4</v>
      </c>
      <c r="S227" s="942">
        <v>10.416700000000001</v>
      </c>
      <c r="T227" s="942">
        <v>2</v>
      </c>
      <c r="U227" s="942">
        <v>0</v>
      </c>
      <c r="V227" s="942">
        <v>0</v>
      </c>
      <c r="W227" s="942">
        <v>0</v>
      </c>
      <c r="X227" s="942">
        <v>0</v>
      </c>
      <c r="Y227" s="942">
        <v>5.6023999999999994</v>
      </c>
      <c r="Z227" s="942">
        <v>1</v>
      </c>
      <c r="AA227" s="942">
        <v>0</v>
      </c>
      <c r="AB227" s="942">
        <v>0</v>
      </c>
      <c r="AC227" s="942">
        <v>0</v>
      </c>
      <c r="AD227" s="942">
        <v>0</v>
      </c>
      <c r="AE227" s="942">
        <v>0</v>
      </c>
      <c r="AF227" s="942">
        <v>0</v>
      </c>
      <c r="AG227" s="942">
        <v>0</v>
      </c>
      <c r="AH227" s="942">
        <v>0</v>
      </c>
      <c r="AI227" s="944">
        <f>K227+M227+O227+Q227+S227+U227+W227+Y227+AA227+AC227+AE227+AG227</f>
        <v>1654.3756000000001</v>
      </c>
      <c r="AJ227" s="945">
        <f t="shared" ref="AJ227:AJ233" si="13">+L227+N227+P227+R227+T227+V227+X227+Z227+AB227+AD227+AF227+AH227</f>
        <v>49</v>
      </c>
      <c r="AK227" s="945">
        <f t="shared" ref="AK227:AK228" si="14">+AI227/12</f>
        <v>137.86463333333333</v>
      </c>
      <c r="AL227" s="945">
        <v>6</v>
      </c>
      <c r="AM227" s="929"/>
      <c r="AO227" s="925">
        <v>6</v>
      </c>
      <c r="AP227" s="981">
        <f t="shared" si="12"/>
        <v>0</v>
      </c>
    </row>
    <row r="228" spans="1:42" ht="27" customHeight="1">
      <c r="A228" s="941" t="s">
        <v>563</v>
      </c>
      <c r="B228" s="1427" t="s">
        <v>717</v>
      </c>
      <c r="C228" s="1428"/>
      <c r="D228" s="1428"/>
      <c r="E228" s="1428"/>
      <c r="F228" s="1428"/>
      <c r="G228" s="1428"/>
      <c r="H228" s="1428"/>
      <c r="I228" s="1428"/>
      <c r="J228" s="1429"/>
      <c r="K228" s="943">
        <v>91</v>
      </c>
      <c r="L228" s="942">
        <v>15</v>
      </c>
      <c r="M228" s="943">
        <v>54</v>
      </c>
      <c r="N228" s="942">
        <v>15</v>
      </c>
      <c r="O228" s="943">
        <v>49</v>
      </c>
      <c r="P228" s="942">
        <v>15</v>
      </c>
      <c r="Q228" s="943">
        <v>6</v>
      </c>
      <c r="R228" s="943">
        <v>6</v>
      </c>
      <c r="S228" s="943">
        <v>3</v>
      </c>
      <c r="T228" s="942">
        <v>5</v>
      </c>
      <c r="U228" s="943">
        <v>0</v>
      </c>
      <c r="V228" s="943">
        <v>5</v>
      </c>
      <c r="W228" s="943">
        <v>0</v>
      </c>
      <c r="X228" s="943">
        <v>5</v>
      </c>
      <c r="Y228" s="943">
        <v>1</v>
      </c>
      <c r="Z228" s="942">
        <v>5</v>
      </c>
      <c r="AA228" s="943">
        <v>0</v>
      </c>
      <c r="AB228" s="943">
        <v>5</v>
      </c>
      <c r="AC228" s="943">
        <v>0</v>
      </c>
      <c r="AD228" s="943">
        <v>5</v>
      </c>
      <c r="AE228" s="943">
        <v>0</v>
      </c>
      <c r="AF228" s="943">
        <v>5</v>
      </c>
      <c r="AG228" s="943">
        <v>0</v>
      </c>
      <c r="AH228" s="943">
        <v>5</v>
      </c>
      <c r="AI228" s="944">
        <f>K228+M228+O228+Q228+S228+U228+W228+Y228+AA228+AC228+AE228+AG228</f>
        <v>204</v>
      </c>
      <c r="AJ228" s="950">
        <f t="shared" si="13"/>
        <v>91</v>
      </c>
      <c r="AK228" s="945">
        <f t="shared" si="14"/>
        <v>17</v>
      </c>
      <c r="AL228" s="946">
        <v>10</v>
      </c>
      <c r="AM228" s="929"/>
      <c r="AO228" s="925">
        <v>10</v>
      </c>
      <c r="AP228" s="981">
        <f t="shared" si="12"/>
        <v>0</v>
      </c>
    </row>
    <row r="229" spans="1:42" ht="27" customHeight="1">
      <c r="A229" s="941" t="s">
        <v>567</v>
      </c>
      <c r="B229" s="1427" t="s">
        <v>718</v>
      </c>
      <c r="C229" s="1428"/>
      <c r="D229" s="1428"/>
      <c r="E229" s="1428"/>
      <c r="F229" s="1428"/>
      <c r="G229" s="1428"/>
      <c r="H229" s="1428"/>
      <c r="I229" s="1428"/>
      <c r="J229" s="1429"/>
      <c r="K229" s="950" t="s">
        <v>698</v>
      </c>
      <c r="L229" s="988">
        <v>10</v>
      </c>
      <c r="M229" s="950" t="s">
        <v>698</v>
      </c>
      <c r="N229" s="988">
        <v>10</v>
      </c>
      <c r="O229" s="950" t="s">
        <v>698</v>
      </c>
      <c r="P229" s="988">
        <v>10</v>
      </c>
      <c r="Q229" s="950" t="s">
        <v>698</v>
      </c>
      <c r="R229" s="988">
        <v>10</v>
      </c>
      <c r="S229" s="950" t="s">
        <v>698</v>
      </c>
      <c r="T229" s="988">
        <v>10</v>
      </c>
      <c r="U229" s="950" t="s">
        <v>698</v>
      </c>
      <c r="V229" s="988">
        <v>8</v>
      </c>
      <c r="W229" s="950" t="s">
        <v>698</v>
      </c>
      <c r="X229" s="988">
        <v>8</v>
      </c>
      <c r="Y229" s="950" t="s">
        <v>698</v>
      </c>
      <c r="Z229" s="988">
        <v>10</v>
      </c>
      <c r="AA229" s="950" t="s">
        <v>698</v>
      </c>
      <c r="AB229" s="988">
        <v>8</v>
      </c>
      <c r="AC229" s="950" t="s">
        <v>698</v>
      </c>
      <c r="AD229" s="988">
        <v>8</v>
      </c>
      <c r="AE229" s="950" t="s">
        <v>698</v>
      </c>
      <c r="AF229" s="988">
        <v>8</v>
      </c>
      <c r="AG229" s="950" t="s">
        <v>698</v>
      </c>
      <c r="AH229" s="988">
        <v>8</v>
      </c>
      <c r="AI229" s="951" t="s">
        <v>698</v>
      </c>
      <c r="AJ229" s="950">
        <f t="shared" si="13"/>
        <v>108</v>
      </c>
      <c r="AK229" s="950" t="s">
        <v>698</v>
      </c>
      <c r="AL229" s="946">
        <f>+AJ229/12</f>
        <v>9</v>
      </c>
      <c r="AM229" s="929"/>
      <c r="AO229" s="925">
        <v>9</v>
      </c>
      <c r="AP229" s="981">
        <f t="shared" si="12"/>
        <v>0</v>
      </c>
    </row>
    <row r="230" spans="1:42" ht="27" customHeight="1">
      <c r="A230" s="941" t="s">
        <v>571</v>
      </c>
      <c r="B230" s="1427" t="s">
        <v>719</v>
      </c>
      <c r="C230" s="1428"/>
      <c r="D230" s="1428"/>
      <c r="E230" s="1428"/>
      <c r="F230" s="1428"/>
      <c r="G230" s="1428"/>
      <c r="H230" s="1428"/>
      <c r="I230" s="1428"/>
      <c r="J230" s="1429"/>
      <c r="K230" s="950" t="s">
        <v>698</v>
      </c>
      <c r="L230" s="988">
        <v>10</v>
      </c>
      <c r="M230" s="950" t="s">
        <v>698</v>
      </c>
      <c r="N230" s="988">
        <v>10</v>
      </c>
      <c r="O230" s="950" t="s">
        <v>698</v>
      </c>
      <c r="P230" s="988">
        <v>10</v>
      </c>
      <c r="Q230" s="950" t="s">
        <v>698</v>
      </c>
      <c r="R230" s="988">
        <v>10</v>
      </c>
      <c r="S230" s="950" t="s">
        <v>698</v>
      </c>
      <c r="T230" s="988">
        <v>10</v>
      </c>
      <c r="U230" s="950" t="s">
        <v>112</v>
      </c>
      <c r="V230" s="988">
        <v>7</v>
      </c>
      <c r="W230" s="950" t="s">
        <v>112</v>
      </c>
      <c r="X230" s="988">
        <v>7</v>
      </c>
      <c r="Y230" s="950" t="s">
        <v>698</v>
      </c>
      <c r="Z230" s="988">
        <v>10</v>
      </c>
      <c r="AA230" s="950" t="s">
        <v>112</v>
      </c>
      <c r="AB230" s="988">
        <v>7</v>
      </c>
      <c r="AC230" s="950" t="s">
        <v>112</v>
      </c>
      <c r="AD230" s="988">
        <v>7</v>
      </c>
      <c r="AE230" s="950" t="s">
        <v>112</v>
      </c>
      <c r="AF230" s="988">
        <v>7</v>
      </c>
      <c r="AG230" s="950" t="s">
        <v>112</v>
      </c>
      <c r="AH230" s="988">
        <v>7</v>
      </c>
      <c r="AI230" s="951" t="s">
        <v>698</v>
      </c>
      <c r="AJ230" s="950">
        <f t="shared" si="13"/>
        <v>102</v>
      </c>
      <c r="AK230" s="950" t="s">
        <v>698</v>
      </c>
      <c r="AL230" s="946">
        <f t="shared" ref="AL230:AL233" si="15">+AJ230/12</f>
        <v>8.5</v>
      </c>
      <c r="AM230" s="929"/>
      <c r="AO230" s="925">
        <v>9</v>
      </c>
      <c r="AP230" s="981">
        <f t="shared" si="12"/>
        <v>0.5</v>
      </c>
    </row>
    <row r="231" spans="1:42" ht="27" customHeight="1">
      <c r="A231" s="941" t="s">
        <v>575</v>
      </c>
      <c r="B231" s="1427" t="s">
        <v>720</v>
      </c>
      <c r="C231" s="1428"/>
      <c r="D231" s="1428"/>
      <c r="E231" s="1428"/>
      <c r="F231" s="1428"/>
      <c r="G231" s="1428"/>
      <c r="H231" s="1428"/>
      <c r="I231" s="1428"/>
      <c r="J231" s="1429"/>
      <c r="K231" s="950" t="s">
        <v>698</v>
      </c>
      <c r="L231" s="988">
        <v>10</v>
      </c>
      <c r="M231" s="950" t="s">
        <v>698</v>
      </c>
      <c r="N231" s="988">
        <v>10</v>
      </c>
      <c r="O231" s="950" t="s">
        <v>698</v>
      </c>
      <c r="P231" s="988">
        <v>10</v>
      </c>
      <c r="Q231" s="950" t="s">
        <v>698</v>
      </c>
      <c r="R231" s="988">
        <v>10</v>
      </c>
      <c r="S231" s="950" t="s">
        <v>698</v>
      </c>
      <c r="T231" s="988">
        <v>10</v>
      </c>
      <c r="U231" s="950" t="s">
        <v>112</v>
      </c>
      <c r="V231" s="988">
        <v>7</v>
      </c>
      <c r="W231" s="950" t="s">
        <v>112</v>
      </c>
      <c r="X231" s="988">
        <v>7</v>
      </c>
      <c r="Y231" s="950" t="s">
        <v>698</v>
      </c>
      <c r="Z231" s="988">
        <v>10</v>
      </c>
      <c r="AA231" s="950" t="s">
        <v>112</v>
      </c>
      <c r="AB231" s="988">
        <v>7</v>
      </c>
      <c r="AC231" s="950" t="s">
        <v>112</v>
      </c>
      <c r="AD231" s="988">
        <v>7</v>
      </c>
      <c r="AE231" s="950" t="s">
        <v>112</v>
      </c>
      <c r="AF231" s="988">
        <v>7</v>
      </c>
      <c r="AG231" s="950" t="s">
        <v>112</v>
      </c>
      <c r="AH231" s="988">
        <v>7</v>
      </c>
      <c r="AI231" s="951" t="s">
        <v>698</v>
      </c>
      <c r="AJ231" s="950">
        <f t="shared" si="13"/>
        <v>102</v>
      </c>
      <c r="AK231" s="950" t="s">
        <v>698</v>
      </c>
      <c r="AL231" s="946">
        <f t="shared" si="15"/>
        <v>8.5</v>
      </c>
      <c r="AM231" s="929"/>
      <c r="AO231" s="925">
        <v>9</v>
      </c>
      <c r="AP231" s="981">
        <f t="shared" si="12"/>
        <v>0.5</v>
      </c>
    </row>
    <row r="232" spans="1:42" ht="27" customHeight="1">
      <c r="A232" s="941" t="s">
        <v>578</v>
      </c>
      <c r="B232" s="1427" t="s">
        <v>721</v>
      </c>
      <c r="C232" s="1428"/>
      <c r="D232" s="1428"/>
      <c r="E232" s="1428"/>
      <c r="F232" s="1428"/>
      <c r="G232" s="1428"/>
      <c r="H232" s="1428"/>
      <c r="I232" s="1428"/>
      <c r="J232" s="1429"/>
      <c r="K232" s="950" t="s">
        <v>112</v>
      </c>
      <c r="L232" s="950">
        <v>7</v>
      </c>
      <c r="M232" s="950" t="s">
        <v>112</v>
      </c>
      <c r="N232" s="950">
        <v>7</v>
      </c>
      <c r="O232" s="950" t="s">
        <v>112</v>
      </c>
      <c r="P232" s="950">
        <v>7</v>
      </c>
      <c r="Q232" s="950" t="s">
        <v>112</v>
      </c>
      <c r="R232" s="950">
        <v>7</v>
      </c>
      <c r="S232" s="950" t="s">
        <v>112</v>
      </c>
      <c r="T232" s="950">
        <v>7</v>
      </c>
      <c r="U232" s="950" t="s">
        <v>112</v>
      </c>
      <c r="V232" s="950">
        <v>7</v>
      </c>
      <c r="W232" s="950" t="s">
        <v>112</v>
      </c>
      <c r="X232" s="950">
        <v>7</v>
      </c>
      <c r="Y232" s="950" t="s">
        <v>112</v>
      </c>
      <c r="Z232" s="950">
        <v>7</v>
      </c>
      <c r="AA232" s="950" t="s">
        <v>112</v>
      </c>
      <c r="AB232" s="950">
        <v>7</v>
      </c>
      <c r="AC232" s="950" t="s">
        <v>112</v>
      </c>
      <c r="AD232" s="950">
        <v>7</v>
      </c>
      <c r="AE232" s="950" t="s">
        <v>112</v>
      </c>
      <c r="AF232" s="950">
        <v>7</v>
      </c>
      <c r="AG232" s="950" t="s">
        <v>112</v>
      </c>
      <c r="AH232" s="950">
        <v>7</v>
      </c>
      <c r="AI232" s="950" t="s">
        <v>112</v>
      </c>
      <c r="AJ232" s="950">
        <f t="shared" si="13"/>
        <v>84</v>
      </c>
      <c r="AK232" s="950" t="s">
        <v>112</v>
      </c>
      <c r="AL232" s="946">
        <f t="shared" si="15"/>
        <v>7</v>
      </c>
      <c r="AM232" s="929"/>
      <c r="AO232" s="925">
        <v>7</v>
      </c>
      <c r="AP232" s="981">
        <f t="shared" si="12"/>
        <v>0</v>
      </c>
    </row>
    <row r="233" spans="1:42" ht="27" customHeight="1">
      <c r="A233" s="941" t="s">
        <v>581</v>
      </c>
      <c r="B233" s="1427" t="s">
        <v>722</v>
      </c>
      <c r="C233" s="1428"/>
      <c r="D233" s="1428"/>
      <c r="E233" s="1428"/>
      <c r="F233" s="1428"/>
      <c r="G233" s="1428"/>
      <c r="H233" s="1428"/>
      <c r="I233" s="1428"/>
      <c r="J233" s="1429"/>
      <c r="K233" s="950" t="s">
        <v>698</v>
      </c>
      <c r="L233" s="988">
        <v>10</v>
      </c>
      <c r="M233" s="950" t="s">
        <v>698</v>
      </c>
      <c r="N233" s="988">
        <v>10</v>
      </c>
      <c r="O233" s="950" t="s">
        <v>698</v>
      </c>
      <c r="P233" s="988">
        <v>10</v>
      </c>
      <c r="Q233" s="950" t="s">
        <v>698</v>
      </c>
      <c r="R233" s="988">
        <v>9</v>
      </c>
      <c r="S233" s="950" t="s">
        <v>698</v>
      </c>
      <c r="T233" s="988">
        <v>9</v>
      </c>
      <c r="U233" s="950" t="s">
        <v>112</v>
      </c>
      <c r="V233" s="988">
        <v>7</v>
      </c>
      <c r="W233" s="950" t="s">
        <v>112</v>
      </c>
      <c r="X233" s="988">
        <v>7</v>
      </c>
      <c r="Y233" s="950" t="s">
        <v>698</v>
      </c>
      <c r="Z233" s="988">
        <v>9</v>
      </c>
      <c r="AA233" s="950" t="s">
        <v>112</v>
      </c>
      <c r="AB233" s="988">
        <v>7</v>
      </c>
      <c r="AC233" s="950" t="s">
        <v>112</v>
      </c>
      <c r="AD233" s="988">
        <v>7</v>
      </c>
      <c r="AE233" s="950" t="s">
        <v>112</v>
      </c>
      <c r="AF233" s="988">
        <v>7</v>
      </c>
      <c r="AG233" s="950" t="s">
        <v>112</v>
      </c>
      <c r="AH233" s="988">
        <v>7</v>
      </c>
      <c r="AI233" s="951" t="s">
        <v>698</v>
      </c>
      <c r="AJ233" s="950">
        <f t="shared" si="13"/>
        <v>99</v>
      </c>
      <c r="AK233" s="950" t="s">
        <v>698</v>
      </c>
      <c r="AL233" s="946">
        <f t="shared" si="15"/>
        <v>8.25</v>
      </c>
      <c r="AM233" s="929"/>
      <c r="AO233" s="925">
        <v>8</v>
      </c>
      <c r="AP233" s="981">
        <f>AO233-AL233</f>
        <v>-0.25</v>
      </c>
    </row>
    <row r="234" spans="1:42" ht="56.25" customHeight="1">
      <c r="A234" s="952"/>
      <c r="B234" s="1430" t="s">
        <v>68</v>
      </c>
      <c r="C234" s="1430"/>
      <c r="D234" s="1430"/>
      <c r="E234" s="1430"/>
      <c r="F234" s="1430"/>
      <c r="G234" s="1430"/>
      <c r="H234" s="1430"/>
      <c r="I234" s="1430"/>
      <c r="J234" s="1430"/>
      <c r="K234" s="1425">
        <f>SUM(L226:L233)</f>
        <v>87</v>
      </c>
      <c r="L234" s="1426"/>
      <c r="M234" s="1425">
        <f>SUM(N226:N233)</f>
        <v>87</v>
      </c>
      <c r="N234" s="1426"/>
      <c r="O234" s="1425">
        <f>SUM(P226:P233)</f>
        <v>85</v>
      </c>
      <c r="P234" s="1426"/>
      <c r="Q234" s="1425">
        <f>SUM(R226:R233)</f>
        <v>66</v>
      </c>
      <c r="R234" s="1426"/>
      <c r="S234" s="1425">
        <f>SUM(T226:T233)</f>
        <v>63</v>
      </c>
      <c r="T234" s="1426"/>
      <c r="U234" s="1425">
        <f>SUM(V226:V233)</f>
        <v>41</v>
      </c>
      <c r="V234" s="1426"/>
      <c r="W234" s="1425">
        <f>SUM(X226:X233)</f>
        <v>41</v>
      </c>
      <c r="X234" s="1426"/>
      <c r="Y234" s="1425">
        <f>SUM(Z226:Z233)</f>
        <v>61</v>
      </c>
      <c r="Z234" s="1426"/>
      <c r="AA234" s="1425">
        <f>SUM(AB226:AB233)</f>
        <v>41</v>
      </c>
      <c r="AB234" s="1426"/>
      <c r="AC234" s="1425">
        <f>SUM(AD226:AD233)</f>
        <v>41</v>
      </c>
      <c r="AD234" s="1426"/>
      <c r="AE234" s="1425">
        <f>SUM(AF226:AF233)</f>
        <v>41</v>
      </c>
      <c r="AF234" s="1426"/>
      <c r="AG234" s="1425">
        <f>SUM(AH226:AH233)</f>
        <v>41</v>
      </c>
      <c r="AH234" s="1426"/>
      <c r="AI234" s="1484">
        <f>SUM(K234:AG234)</f>
        <v>695</v>
      </c>
      <c r="AJ234" s="1420"/>
      <c r="AK234" s="1420">
        <v>68</v>
      </c>
      <c r="AL234" s="1420"/>
      <c r="AM234" s="929"/>
      <c r="AO234" s="925">
        <f>SUM(AO226:AO233)</f>
        <v>68</v>
      </c>
    </row>
    <row r="235" spans="1:42" ht="21.75" customHeight="1">
      <c r="A235" s="953"/>
      <c r="B235" s="927"/>
      <c r="C235" s="928"/>
      <c r="D235" s="927"/>
      <c r="E235" s="927"/>
      <c r="F235" s="927"/>
      <c r="G235" s="927"/>
      <c r="H235" s="927"/>
      <c r="I235" s="927"/>
      <c r="J235" s="927"/>
      <c r="K235" s="954"/>
      <c r="L235" s="955"/>
      <c r="M235" s="955"/>
      <c r="N235" s="955"/>
      <c r="O235" s="955"/>
      <c r="P235" s="955"/>
      <c r="Q235" s="955"/>
      <c r="R235" s="955"/>
      <c r="S235" s="955"/>
      <c r="T235" s="955"/>
      <c r="U235" s="955"/>
      <c r="V235" s="955"/>
      <c r="W235" s="955"/>
      <c r="X235" s="955"/>
      <c r="Y235" s="955"/>
      <c r="Z235" s="955"/>
      <c r="AA235" s="955"/>
      <c r="AB235" s="955"/>
      <c r="AC235" s="955"/>
      <c r="AD235" s="955"/>
      <c r="AE235" s="955"/>
      <c r="AF235" s="955"/>
      <c r="AG235" s="955"/>
      <c r="AH235" s="955"/>
      <c r="AI235" s="955"/>
      <c r="AJ235" s="955"/>
      <c r="AK235" s="955"/>
      <c r="AL235" s="955"/>
      <c r="AM235" s="929"/>
    </row>
    <row r="236" spans="1:42" ht="21.75" customHeight="1">
      <c r="A236" s="953"/>
      <c r="B236" s="927"/>
      <c r="C236" s="928"/>
      <c r="D236" s="927"/>
      <c r="E236" s="927"/>
      <c r="F236" s="927"/>
      <c r="G236" s="927"/>
      <c r="H236" s="927"/>
      <c r="I236" s="927"/>
      <c r="J236" s="927"/>
      <c r="K236" s="927"/>
      <c r="L236" s="927"/>
      <c r="M236" s="927"/>
      <c r="N236" s="927"/>
      <c r="O236" s="927"/>
      <c r="P236" s="927"/>
      <c r="Q236" s="927"/>
      <c r="R236" s="927"/>
      <c r="S236" s="927"/>
      <c r="T236" s="927"/>
      <c r="U236" s="927"/>
      <c r="V236" s="927"/>
      <c r="W236" s="927"/>
      <c r="X236" s="927"/>
      <c r="Y236" s="927"/>
      <c r="Z236" s="927"/>
      <c r="AA236" s="927"/>
      <c r="AB236" s="927"/>
      <c r="AC236" s="927"/>
      <c r="AD236" s="927"/>
      <c r="AE236" s="927"/>
      <c r="AF236" s="927"/>
      <c r="AG236" s="927"/>
      <c r="AH236" s="927"/>
      <c r="AI236" s="927"/>
      <c r="AJ236" s="927"/>
      <c r="AK236" s="927"/>
      <c r="AL236" s="927"/>
      <c r="AM236" s="929"/>
    </row>
    <row r="237" spans="1:42" ht="21.75" customHeight="1">
      <c r="A237" s="953"/>
      <c r="B237" s="927"/>
      <c r="C237" s="928"/>
      <c r="D237" s="927"/>
      <c r="E237" s="927"/>
      <c r="F237" s="927"/>
      <c r="G237" s="927"/>
      <c r="H237" s="927"/>
      <c r="I237" s="927"/>
      <c r="J237" s="927"/>
      <c r="K237" s="927"/>
      <c r="L237" s="927"/>
      <c r="M237" s="927"/>
      <c r="N237" s="927"/>
      <c r="O237" s="927"/>
      <c r="P237" s="927"/>
      <c r="Q237" s="927"/>
      <c r="R237" s="927"/>
      <c r="S237" s="927"/>
      <c r="T237" s="927"/>
      <c r="U237" s="927"/>
      <c r="V237" s="927"/>
      <c r="W237" s="927"/>
      <c r="X237" s="927"/>
      <c r="Y237" s="927"/>
      <c r="Z237" s="927"/>
      <c r="AA237" s="927"/>
      <c r="AB237" s="927"/>
      <c r="AC237" s="927"/>
      <c r="AD237" s="927"/>
      <c r="AE237" s="927"/>
      <c r="AF237" s="927"/>
      <c r="AG237" s="927"/>
      <c r="AH237" s="927"/>
      <c r="AI237" s="927"/>
      <c r="AJ237" s="927"/>
      <c r="AK237" s="927"/>
      <c r="AL237" s="927"/>
      <c r="AM237" s="929"/>
    </row>
    <row r="238" spans="1:42" ht="21.75" customHeight="1">
      <c r="A238" s="957"/>
      <c r="B238" s="958"/>
      <c r="C238" s="934"/>
      <c r="D238" s="927"/>
      <c r="E238" s="959"/>
      <c r="F238" s="927"/>
      <c r="G238" s="927"/>
      <c r="H238" s="927"/>
      <c r="I238" s="927"/>
      <c r="J238" s="927"/>
      <c r="K238" s="927"/>
      <c r="L238" s="927"/>
      <c r="M238" s="927"/>
      <c r="N238" s="927"/>
      <c r="O238" s="927"/>
      <c r="P238" s="958"/>
      <c r="Q238" s="958"/>
      <c r="R238" s="958"/>
      <c r="S238" s="958"/>
      <c r="T238" s="958"/>
      <c r="U238" s="958"/>
      <c r="V238" s="958"/>
      <c r="W238" s="927"/>
      <c r="X238" s="927"/>
      <c r="Y238" s="934"/>
      <c r="Z238" s="927"/>
      <c r="AA238" s="927"/>
      <c r="AB238" s="934"/>
      <c r="AC238" s="934"/>
      <c r="AD238" s="960"/>
      <c r="AE238" s="1422" t="s">
        <v>634</v>
      </c>
      <c r="AF238" s="1423"/>
      <c r="AG238" s="1423"/>
      <c r="AH238" s="1423"/>
      <c r="AI238" s="1423"/>
      <c r="AJ238" s="1423"/>
      <c r="AK238" s="1423"/>
      <c r="AL238" s="1424"/>
      <c r="AM238" s="929"/>
    </row>
    <row r="239" spans="1:42" ht="21.75" customHeight="1">
      <c r="A239" s="957"/>
      <c r="B239" s="958"/>
      <c r="C239" s="934"/>
      <c r="D239" s="927"/>
      <c r="E239" s="959"/>
      <c r="F239" s="927"/>
      <c r="G239" s="927"/>
      <c r="H239" s="927"/>
      <c r="I239" s="927"/>
      <c r="J239" s="927"/>
      <c r="K239" s="927"/>
      <c r="L239" s="927"/>
      <c r="M239" s="927"/>
      <c r="N239" s="927"/>
      <c r="O239" s="927"/>
      <c r="P239" s="927"/>
      <c r="Q239" s="927"/>
      <c r="R239" s="958"/>
      <c r="S239" s="927"/>
      <c r="T239" s="927"/>
      <c r="U239" s="927"/>
      <c r="V239" s="927"/>
      <c r="W239" s="927"/>
      <c r="X239" s="927"/>
      <c r="Y239" s="934"/>
      <c r="Z239" s="927"/>
      <c r="AA239" s="927"/>
      <c r="AB239" s="934"/>
      <c r="AC239" s="934"/>
      <c r="AD239" s="960"/>
      <c r="AE239" s="953"/>
      <c r="AF239" s="927"/>
      <c r="AG239" s="934"/>
      <c r="AH239" s="927"/>
      <c r="AI239" s="927"/>
      <c r="AJ239" s="927"/>
      <c r="AK239" s="927"/>
      <c r="AL239" s="929"/>
      <c r="AM239" s="929"/>
    </row>
    <row r="240" spans="1:42" ht="21.75" customHeight="1">
      <c r="A240" s="957"/>
      <c r="B240" s="958"/>
      <c r="C240" s="934"/>
      <c r="D240" s="927"/>
      <c r="E240" s="959"/>
      <c r="F240" s="927"/>
      <c r="G240" s="927"/>
      <c r="H240" s="927"/>
      <c r="I240" s="927"/>
      <c r="J240" s="927"/>
      <c r="K240" s="927"/>
      <c r="L240" s="927"/>
      <c r="M240" s="927"/>
      <c r="N240" s="927"/>
      <c r="O240" s="927"/>
      <c r="P240" s="934"/>
      <c r="Q240" s="934"/>
      <c r="R240" s="934"/>
      <c r="S240" s="934"/>
      <c r="T240" s="927"/>
      <c r="U240" s="927"/>
      <c r="V240" s="958"/>
      <c r="W240" s="927"/>
      <c r="X240" s="927"/>
      <c r="Y240" s="934"/>
      <c r="Z240" s="927"/>
      <c r="AA240" s="961"/>
      <c r="AB240" s="934"/>
      <c r="AC240" s="934"/>
      <c r="AD240" s="960"/>
      <c r="AE240" s="953"/>
      <c r="AF240" s="927"/>
      <c r="AG240" s="934"/>
      <c r="AH240" s="927"/>
      <c r="AI240" s="927"/>
      <c r="AJ240" s="927"/>
      <c r="AK240" s="961"/>
      <c r="AL240" s="929"/>
      <c r="AM240" s="929"/>
    </row>
    <row r="241" spans="1:41" ht="21.75" customHeight="1">
      <c r="A241" s="957"/>
      <c r="B241" s="958"/>
      <c r="C241" s="934"/>
      <c r="D241" s="927"/>
      <c r="E241" s="959"/>
      <c r="F241" s="927"/>
      <c r="G241" s="962"/>
      <c r="H241" s="927"/>
      <c r="I241" s="927"/>
      <c r="J241" s="927"/>
      <c r="K241" s="927"/>
      <c r="L241" s="927"/>
      <c r="M241" s="927"/>
      <c r="N241" s="927"/>
      <c r="O241" s="927"/>
      <c r="P241" s="934"/>
      <c r="Q241" s="934"/>
      <c r="R241" s="934"/>
      <c r="S241" s="934"/>
      <c r="T241" s="928"/>
      <c r="U241" s="927"/>
      <c r="V241" s="958"/>
      <c r="W241" s="927"/>
      <c r="X241" s="927"/>
      <c r="Y241" s="934"/>
      <c r="Z241" s="927"/>
      <c r="AA241" s="927"/>
      <c r="AB241" s="934"/>
      <c r="AC241" s="934"/>
      <c r="AD241" s="960"/>
      <c r="AE241" s="963"/>
      <c r="AF241" s="964"/>
      <c r="AG241" s="965"/>
      <c r="AH241" s="964"/>
      <c r="AI241" s="964"/>
      <c r="AJ241" s="964"/>
      <c r="AK241" s="964"/>
      <c r="AL241" s="966"/>
      <c r="AM241" s="929"/>
    </row>
    <row r="242" spans="1:41" ht="21.75" customHeight="1">
      <c r="A242" s="953"/>
      <c r="B242" s="927"/>
      <c r="C242" s="928"/>
      <c r="D242" s="927"/>
      <c r="E242" s="958"/>
      <c r="F242" s="927"/>
      <c r="G242" s="958"/>
      <c r="H242" s="927"/>
      <c r="I242" s="927"/>
      <c r="J242" s="927"/>
      <c r="K242" s="927"/>
      <c r="L242" s="927"/>
      <c r="M242" s="927"/>
      <c r="N242" s="927"/>
      <c r="O242" s="927"/>
      <c r="P242" s="934"/>
      <c r="Q242" s="934"/>
      <c r="R242" s="934"/>
      <c r="S242" s="934"/>
      <c r="T242" s="927"/>
      <c r="U242" s="927"/>
      <c r="V242" s="958"/>
      <c r="W242" s="927"/>
      <c r="X242" s="927"/>
      <c r="Y242" s="934"/>
      <c r="Z242" s="927"/>
      <c r="AA242" s="927"/>
      <c r="AB242" s="934"/>
      <c r="AC242" s="934"/>
      <c r="AD242" s="960"/>
      <c r="AE242" s="953" t="s">
        <v>723</v>
      </c>
      <c r="AF242" s="927"/>
      <c r="AG242" s="934" t="s">
        <v>3</v>
      </c>
      <c r="AH242" s="928" t="s">
        <v>724</v>
      </c>
      <c r="AI242" s="927"/>
      <c r="AJ242" s="927"/>
      <c r="AK242" s="927"/>
      <c r="AL242" s="929"/>
      <c r="AM242" s="929"/>
    </row>
    <row r="243" spans="1:41" ht="21.75" customHeight="1">
      <c r="A243" s="953"/>
      <c r="B243" s="927"/>
      <c r="C243" s="934"/>
      <c r="D243" s="934"/>
      <c r="E243" s="934"/>
      <c r="F243" s="934"/>
      <c r="G243" s="934"/>
      <c r="H243" s="934"/>
      <c r="I243" s="934"/>
      <c r="J243" s="934"/>
      <c r="K243" s="934"/>
      <c r="L243" s="934"/>
      <c r="M243" s="934"/>
      <c r="N243" s="934"/>
      <c r="O243" s="934"/>
      <c r="P243" s="934"/>
      <c r="Q243" s="934"/>
      <c r="R243" s="934"/>
      <c r="S243" s="934"/>
      <c r="T243" s="927"/>
      <c r="U243" s="958"/>
      <c r="V243" s="958"/>
      <c r="W243" s="927"/>
      <c r="X243" s="927"/>
      <c r="Y243" s="934"/>
      <c r="Z243" s="927"/>
      <c r="AA243" s="927"/>
      <c r="AB243" s="934"/>
      <c r="AC243" s="934"/>
      <c r="AD243" s="960"/>
      <c r="AE243" s="953" t="s">
        <v>725</v>
      </c>
      <c r="AF243" s="927"/>
      <c r="AG243" s="934" t="s">
        <v>3</v>
      </c>
      <c r="AH243" s="927" t="s">
        <v>726</v>
      </c>
      <c r="AI243" s="927"/>
      <c r="AJ243" s="927"/>
      <c r="AK243" s="927"/>
      <c r="AL243" s="929"/>
      <c r="AM243" s="929"/>
    </row>
    <row r="244" spans="1:41" ht="21.75" customHeight="1">
      <c r="A244" s="953"/>
      <c r="B244" s="927"/>
      <c r="C244" s="934"/>
      <c r="D244" s="934"/>
      <c r="E244" s="934"/>
      <c r="F244" s="934"/>
      <c r="G244" s="934"/>
      <c r="H244" s="934"/>
      <c r="I244" s="934"/>
      <c r="J244" s="934"/>
      <c r="K244" s="934"/>
      <c r="L244" s="934"/>
      <c r="M244" s="934"/>
      <c r="N244" s="934"/>
      <c r="O244" s="934"/>
      <c r="P244" s="934"/>
      <c r="Q244" s="934"/>
      <c r="R244" s="934"/>
      <c r="S244" s="934"/>
      <c r="T244" s="958"/>
      <c r="U244" s="958"/>
      <c r="V244" s="958"/>
      <c r="W244" s="927"/>
      <c r="X244" s="927"/>
      <c r="Y244" s="934"/>
      <c r="Z244" s="928"/>
      <c r="AA244" s="927"/>
      <c r="AB244" s="934"/>
      <c r="AC244" s="934"/>
      <c r="AD244" s="960"/>
      <c r="AE244" s="963" t="s">
        <v>727</v>
      </c>
      <c r="AF244" s="964"/>
      <c r="AG244" s="965" t="s">
        <v>3</v>
      </c>
      <c r="AH244" s="967" t="str">
        <f>AH421</f>
        <v>02 Januari 2020</v>
      </c>
      <c r="AI244" s="967"/>
      <c r="AJ244" s="967"/>
      <c r="AK244" s="964"/>
      <c r="AL244" s="966"/>
      <c r="AM244" s="929"/>
    </row>
    <row r="245" spans="1:41" ht="18" customHeight="1">
      <c r="A245" s="963"/>
      <c r="B245" s="964"/>
      <c r="C245" s="968"/>
      <c r="D245" s="964"/>
      <c r="E245" s="964"/>
      <c r="F245" s="964"/>
      <c r="G245" s="965"/>
      <c r="H245" s="965"/>
      <c r="I245" s="964"/>
      <c r="J245" s="964"/>
      <c r="K245" s="964"/>
      <c r="L245" s="964"/>
      <c r="M245" s="964"/>
      <c r="N245" s="964"/>
      <c r="O245" s="964"/>
      <c r="P245" s="964"/>
      <c r="Q245" s="964"/>
      <c r="R245" s="964"/>
      <c r="S245" s="964"/>
      <c r="T245" s="964"/>
      <c r="U245" s="964"/>
      <c r="V245" s="964"/>
      <c r="W245" s="964"/>
      <c r="X245" s="964"/>
      <c r="Y245" s="964"/>
      <c r="Z245" s="964"/>
      <c r="AA245" s="964"/>
      <c r="AB245" s="964"/>
      <c r="AC245" s="964"/>
      <c r="AD245" s="964"/>
      <c r="AE245" s="964"/>
      <c r="AF245" s="964"/>
      <c r="AG245" s="964"/>
      <c r="AH245" s="964"/>
      <c r="AI245" s="964"/>
      <c r="AJ245" s="964"/>
      <c r="AK245" s="964"/>
      <c r="AL245" s="964"/>
      <c r="AM245" s="966"/>
    </row>
    <row r="246" spans="1:41" s="1005" customFormat="1" ht="46.5" customHeight="1">
      <c r="A246" s="1010"/>
      <c r="B246" s="1010"/>
      <c r="C246" s="1011"/>
      <c r="D246" s="1011"/>
      <c r="E246" s="1011"/>
      <c r="F246" s="1011"/>
      <c r="G246" s="1011"/>
      <c r="H246" s="1011"/>
      <c r="I246" s="1012"/>
      <c r="J246" s="1013"/>
      <c r="K246" s="1011"/>
      <c r="L246" s="1011"/>
      <c r="M246" s="1011"/>
      <c r="N246" s="1011"/>
      <c r="O246" s="1011"/>
      <c r="P246" s="1011"/>
      <c r="Q246" s="1011"/>
      <c r="R246" s="1011"/>
      <c r="S246" s="1011"/>
      <c r="T246" s="1011"/>
      <c r="U246" s="1011"/>
      <c r="V246" s="1011"/>
      <c r="W246" s="1011"/>
      <c r="X246" s="1011"/>
      <c r="Y246" s="1014"/>
      <c r="Z246" s="1011"/>
      <c r="AA246" s="1011"/>
      <c r="AB246" s="1011"/>
      <c r="AC246" s="1011"/>
      <c r="AD246" s="1011"/>
      <c r="AE246" s="1011"/>
      <c r="AF246" s="1011"/>
      <c r="AG246" s="1011"/>
      <c r="AH246" s="1011"/>
      <c r="AI246" s="1011"/>
      <c r="AJ246" s="1011"/>
      <c r="AK246" s="1011"/>
      <c r="AL246" s="1011"/>
      <c r="AM246" s="1014"/>
      <c r="AN246" s="1004"/>
    </row>
    <row r="247" spans="1:41" ht="15.75" customHeight="1">
      <c r="A247" s="998"/>
      <c r="B247" s="971"/>
      <c r="C247" s="971"/>
      <c r="D247" s="999"/>
      <c r="E247" s="1486" t="s">
        <v>537</v>
      </c>
      <c r="F247" s="1487"/>
      <c r="G247" s="1487"/>
      <c r="H247" s="1487"/>
      <c r="I247" s="1487"/>
      <c r="J247" s="1487"/>
      <c r="K247" s="1487"/>
      <c r="L247" s="1487"/>
      <c r="M247" s="1487"/>
      <c r="N247" s="1487"/>
      <c r="O247" s="1487"/>
      <c r="P247" s="1487"/>
      <c r="Q247" s="1487"/>
      <c r="R247" s="1487"/>
      <c r="S247" s="1487"/>
      <c r="T247" s="1487"/>
      <c r="U247" s="1487"/>
      <c r="V247" s="1487"/>
      <c r="W247" s="1487"/>
      <c r="X247" s="1487"/>
      <c r="Y247" s="1487"/>
      <c r="Z247" s="1487"/>
      <c r="AA247" s="1487"/>
      <c r="AB247" s="1487"/>
      <c r="AC247" s="1487"/>
      <c r="AD247" s="1487"/>
      <c r="AE247" s="1487"/>
      <c r="AF247" s="1488"/>
      <c r="AG247" s="1445" t="s">
        <v>745</v>
      </c>
      <c r="AH247" s="1446"/>
      <c r="AI247" s="1446"/>
      <c r="AJ247" s="1446"/>
      <c r="AK247" s="1446"/>
      <c r="AL247" s="1446"/>
      <c r="AM247" s="1447"/>
    </row>
    <row r="248" spans="1:41" ht="15" customHeight="1">
      <c r="A248" s="1000"/>
      <c r="B248" s="934"/>
      <c r="C248" s="934"/>
      <c r="D248" s="960"/>
      <c r="E248" s="1489"/>
      <c r="F248" s="1490"/>
      <c r="G248" s="1490"/>
      <c r="H248" s="1490"/>
      <c r="I248" s="1490"/>
      <c r="J248" s="1490"/>
      <c r="K248" s="1490"/>
      <c r="L248" s="1490"/>
      <c r="M248" s="1490"/>
      <c r="N248" s="1490"/>
      <c r="O248" s="1490"/>
      <c r="P248" s="1490"/>
      <c r="Q248" s="1490"/>
      <c r="R248" s="1490"/>
      <c r="S248" s="1490"/>
      <c r="T248" s="1490"/>
      <c r="U248" s="1490"/>
      <c r="V248" s="1490"/>
      <c r="W248" s="1490"/>
      <c r="X248" s="1490"/>
      <c r="Y248" s="1490"/>
      <c r="Z248" s="1490"/>
      <c r="AA248" s="1490"/>
      <c r="AB248" s="1490"/>
      <c r="AC248" s="1490"/>
      <c r="AD248" s="1490"/>
      <c r="AE248" s="1490"/>
      <c r="AF248" s="1491"/>
      <c r="AG248" s="1448"/>
      <c r="AH248" s="1449"/>
      <c r="AI248" s="1449"/>
      <c r="AJ248" s="1449"/>
      <c r="AK248" s="1449"/>
      <c r="AL248" s="1449"/>
      <c r="AM248" s="1450"/>
    </row>
    <row r="249" spans="1:41" ht="15" customHeight="1">
      <c r="A249" s="1000"/>
      <c r="B249" s="934"/>
      <c r="C249" s="934"/>
      <c r="D249" s="934"/>
      <c r="E249" s="1489"/>
      <c r="F249" s="1490"/>
      <c r="G249" s="1490"/>
      <c r="H249" s="1490"/>
      <c r="I249" s="1490"/>
      <c r="J249" s="1490"/>
      <c r="K249" s="1490"/>
      <c r="L249" s="1490"/>
      <c r="M249" s="1490"/>
      <c r="N249" s="1490"/>
      <c r="O249" s="1490"/>
      <c r="P249" s="1490"/>
      <c r="Q249" s="1490"/>
      <c r="R249" s="1490"/>
      <c r="S249" s="1490"/>
      <c r="T249" s="1490"/>
      <c r="U249" s="1490"/>
      <c r="V249" s="1490"/>
      <c r="W249" s="1490"/>
      <c r="X249" s="1490"/>
      <c r="Y249" s="1490"/>
      <c r="Z249" s="1490"/>
      <c r="AA249" s="1490"/>
      <c r="AB249" s="1490"/>
      <c r="AC249" s="1490"/>
      <c r="AD249" s="1490"/>
      <c r="AE249" s="1490"/>
      <c r="AF249" s="1491"/>
      <c r="AG249" s="1475" t="str">
        <f>AG3</f>
        <v>TGL  : 01 Januari - 31 Desember 2019</v>
      </c>
      <c r="AH249" s="1476"/>
      <c r="AI249" s="1476"/>
      <c r="AJ249" s="1476"/>
      <c r="AK249" s="1476"/>
      <c r="AL249" s="1476"/>
      <c r="AM249" s="1477"/>
    </row>
    <row r="250" spans="1:41" ht="15" customHeight="1">
      <c r="A250" s="1001"/>
      <c r="B250" s="965"/>
      <c r="C250" s="965"/>
      <c r="D250" s="965"/>
      <c r="E250" s="1492"/>
      <c r="F250" s="1493"/>
      <c r="G250" s="1493"/>
      <c r="H250" s="1493"/>
      <c r="I250" s="1493"/>
      <c r="J250" s="1493"/>
      <c r="K250" s="1493"/>
      <c r="L250" s="1493"/>
      <c r="M250" s="1493"/>
      <c r="N250" s="1493"/>
      <c r="O250" s="1493"/>
      <c r="P250" s="1493"/>
      <c r="Q250" s="1493"/>
      <c r="R250" s="1493"/>
      <c r="S250" s="1493"/>
      <c r="T250" s="1493"/>
      <c r="U250" s="1493"/>
      <c r="V250" s="1493"/>
      <c r="W250" s="1493"/>
      <c r="X250" s="1493"/>
      <c r="Y250" s="1493"/>
      <c r="Z250" s="1493"/>
      <c r="AA250" s="1493"/>
      <c r="AB250" s="1493"/>
      <c r="AC250" s="1493"/>
      <c r="AD250" s="1493"/>
      <c r="AE250" s="1493"/>
      <c r="AF250" s="1494"/>
      <c r="AG250" s="1478"/>
      <c r="AH250" s="1479"/>
      <c r="AI250" s="1479"/>
      <c r="AJ250" s="1479"/>
      <c r="AK250" s="1479"/>
      <c r="AL250" s="1479"/>
      <c r="AM250" s="1480"/>
    </row>
    <row r="251" spans="1:41" ht="18" customHeight="1">
      <c r="A251" s="1433" t="s">
        <v>539</v>
      </c>
      <c r="B251" s="1434"/>
      <c r="C251" s="1434"/>
      <c r="D251" s="1435"/>
      <c r="E251" s="1439" t="s">
        <v>729</v>
      </c>
      <c r="F251" s="1440"/>
      <c r="G251" s="1440"/>
      <c r="H251" s="1440"/>
      <c r="I251" s="1440"/>
      <c r="J251" s="1440"/>
      <c r="K251" s="1440"/>
      <c r="L251" s="1440"/>
      <c r="M251" s="1440"/>
      <c r="N251" s="1440"/>
      <c r="O251" s="1440"/>
      <c r="P251" s="1440"/>
      <c r="Q251" s="1440"/>
      <c r="R251" s="1440"/>
      <c r="S251" s="1440"/>
      <c r="T251" s="1440"/>
      <c r="U251" s="1440"/>
      <c r="V251" s="1440"/>
      <c r="W251" s="1440"/>
      <c r="X251" s="1440"/>
      <c r="Y251" s="1440"/>
      <c r="Z251" s="1440"/>
      <c r="AA251" s="1440"/>
      <c r="AB251" s="1440"/>
      <c r="AC251" s="1440"/>
      <c r="AD251" s="1440"/>
      <c r="AE251" s="1440"/>
      <c r="AF251" s="1441"/>
      <c r="AG251" s="1445" t="s">
        <v>695</v>
      </c>
      <c r="AH251" s="1446"/>
      <c r="AI251" s="1446"/>
      <c r="AJ251" s="1446"/>
      <c r="AK251" s="1446"/>
      <c r="AL251" s="1446"/>
      <c r="AM251" s="1447"/>
    </row>
    <row r="252" spans="1:41" ht="18" customHeight="1">
      <c r="A252" s="1436"/>
      <c r="B252" s="1437"/>
      <c r="C252" s="1437"/>
      <c r="D252" s="1438"/>
      <c r="E252" s="1442"/>
      <c r="F252" s="1443"/>
      <c r="G252" s="1443"/>
      <c r="H252" s="1443"/>
      <c r="I252" s="1443"/>
      <c r="J252" s="1443"/>
      <c r="K252" s="1443"/>
      <c r="L252" s="1443"/>
      <c r="M252" s="1443"/>
      <c r="N252" s="1443"/>
      <c r="O252" s="1443"/>
      <c r="P252" s="1443"/>
      <c r="Q252" s="1443"/>
      <c r="R252" s="1443"/>
      <c r="S252" s="1443"/>
      <c r="T252" s="1443"/>
      <c r="U252" s="1443"/>
      <c r="V252" s="1443"/>
      <c r="W252" s="1443"/>
      <c r="X252" s="1443"/>
      <c r="Y252" s="1443"/>
      <c r="Z252" s="1443"/>
      <c r="AA252" s="1443"/>
      <c r="AB252" s="1443"/>
      <c r="AC252" s="1443"/>
      <c r="AD252" s="1443"/>
      <c r="AE252" s="1443"/>
      <c r="AF252" s="1444"/>
      <c r="AG252" s="1448"/>
      <c r="AH252" s="1449"/>
      <c r="AI252" s="1449"/>
      <c r="AJ252" s="1449"/>
      <c r="AK252" s="1449"/>
      <c r="AL252" s="1449"/>
      <c r="AM252" s="1450"/>
    </row>
    <row r="253" spans="1:41" ht="12" customHeight="1">
      <c r="A253" s="926"/>
      <c r="B253" s="927"/>
      <c r="C253" s="928"/>
      <c r="D253" s="927"/>
      <c r="E253" s="927"/>
      <c r="F253" s="927"/>
      <c r="G253" s="927"/>
      <c r="H253" s="927"/>
      <c r="I253" s="927"/>
      <c r="J253" s="927"/>
      <c r="K253" s="927"/>
      <c r="L253" s="927"/>
      <c r="M253" s="927"/>
      <c r="N253" s="927"/>
      <c r="O253" s="927"/>
      <c r="P253" s="927"/>
      <c r="Q253" s="927"/>
      <c r="R253" s="927"/>
      <c r="S253" s="927"/>
      <c r="T253" s="927"/>
      <c r="U253" s="927"/>
      <c r="V253" s="927"/>
      <c r="W253" s="927"/>
      <c r="X253" s="927"/>
      <c r="Y253" s="927"/>
      <c r="Z253" s="927"/>
      <c r="AA253" s="927"/>
      <c r="AB253" s="927"/>
      <c r="AC253" s="927"/>
      <c r="AD253" s="927"/>
      <c r="AE253" s="927"/>
      <c r="AF253" s="927"/>
      <c r="AG253" s="927"/>
      <c r="AH253" s="927"/>
      <c r="AI253" s="927"/>
      <c r="AJ253" s="927"/>
      <c r="AK253" s="927"/>
      <c r="AL253" s="927"/>
      <c r="AM253" s="929"/>
    </row>
    <row r="254" spans="1:41" ht="24" customHeight="1">
      <c r="A254" s="930" t="s">
        <v>543</v>
      </c>
      <c r="B254" s="931"/>
      <c r="C254" s="932"/>
      <c r="D254" s="931"/>
      <c r="E254" s="931"/>
      <c r="F254" s="931"/>
      <c r="G254" s="931"/>
      <c r="H254" s="1025" t="s">
        <v>3</v>
      </c>
      <c r="I254" s="933" t="s">
        <v>240</v>
      </c>
      <c r="J254" s="931"/>
      <c r="K254" s="931"/>
      <c r="L254" s="931"/>
      <c r="M254" s="931"/>
      <c r="N254" s="931"/>
      <c r="O254" s="931"/>
      <c r="P254" s="931"/>
      <c r="Q254" s="931"/>
      <c r="R254" s="931"/>
      <c r="S254" s="931"/>
      <c r="T254" s="931"/>
      <c r="U254" s="931"/>
      <c r="V254" s="931" t="s">
        <v>696</v>
      </c>
      <c r="W254" s="931"/>
      <c r="X254" s="931"/>
      <c r="Y254" s="934"/>
      <c r="Z254" s="931" t="s">
        <v>3</v>
      </c>
      <c r="AA254" s="1027" t="s">
        <v>746</v>
      </c>
      <c r="AB254" s="959"/>
      <c r="AC254" s="959"/>
      <c r="AD254" s="959"/>
      <c r="AE254" s="927"/>
      <c r="AF254" s="927"/>
      <c r="AG254" s="927"/>
      <c r="AH254" s="927"/>
      <c r="AI254" s="927"/>
      <c r="AJ254" s="927"/>
      <c r="AK254" s="927"/>
      <c r="AL254" s="927"/>
      <c r="AM254" s="929"/>
      <c r="AO254" s="925" t="str">
        <f>I254</f>
        <v>AMIR</v>
      </c>
    </row>
    <row r="255" spans="1:41" ht="24" customHeight="1">
      <c r="A255" s="930" t="s">
        <v>114</v>
      </c>
      <c r="B255" s="931"/>
      <c r="C255" s="932"/>
      <c r="D255" s="931"/>
      <c r="E255" s="931"/>
      <c r="F255" s="931"/>
      <c r="G255" s="931"/>
      <c r="H255" s="1025" t="s">
        <v>3</v>
      </c>
      <c r="I255" s="933" t="s">
        <v>739</v>
      </c>
      <c r="J255" s="931"/>
      <c r="K255" s="931"/>
      <c r="L255" s="931"/>
      <c r="M255" s="931"/>
      <c r="N255" s="931"/>
      <c r="O255" s="931"/>
      <c r="P255" s="931"/>
      <c r="Q255" s="931"/>
      <c r="R255" s="931"/>
      <c r="S255" s="931"/>
      <c r="T255" s="931"/>
      <c r="U255" s="931"/>
      <c r="V255" s="931" t="s">
        <v>545</v>
      </c>
      <c r="W255" s="931"/>
      <c r="X255" s="931"/>
      <c r="Y255" s="934"/>
      <c r="Z255" s="931" t="s">
        <v>3</v>
      </c>
      <c r="AA255" s="1485" t="s">
        <v>287</v>
      </c>
      <c r="AB255" s="1485"/>
      <c r="AC255" s="1485"/>
      <c r="AD255" s="1485"/>
      <c r="AE255" s="1485"/>
      <c r="AF255" s="927"/>
      <c r="AG255" s="927"/>
      <c r="AH255" s="927"/>
      <c r="AI255" s="927"/>
      <c r="AJ255" s="927"/>
      <c r="AK255" s="927"/>
      <c r="AL255" s="927"/>
      <c r="AM255" s="929"/>
    </row>
    <row r="256" spans="1:41" ht="12" customHeight="1">
      <c r="A256" s="926"/>
      <c r="B256" s="927"/>
      <c r="C256" s="928"/>
      <c r="D256" s="927"/>
      <c r="E256" s="927"/>
      <c r="F256" s="927"/>
      <c r="G256" s="927"/>
      <c r="H256" s="927"/>
      <c r="I256" s="927"/>
      <c r="J256" s="927"/>
      <c r="K256" s="927"/>
      <c r="L256" s="927"/>
      <c r="M256" s="927"/>
      <c r="N256" s="927"/>
      <c r="O256" s="927"/>
      <c r="P256" s="927"/>
      <c r="Q256" s="927"/>
      <c r="R256" s="927"/>
      <c r="S256" s="1029"/>
      <c r="T256" s="1029"/>
      <c r="U256" s="1029"/>
      <c r="V256" s="1029"/>
      <c r="W256" s="1029"/>
      <c r="X256" s="1029"/>
      <c r="Y256" s="1029"/>
      <c r="Z256" s="1029"/>
      <c r="AA256" s="1029"/>
      <c r="AB256" s="1029"/>
      <c r="AC256" s="1029"/>
      <c r="AD256" s="1029"/>
      <c r="AE256" s="1029"/>
      <c r="AF256" s="927"/>
      <c r="AG256" s="927"/>
      <c r="AH256" s="927"/>
      <c r="AI256" s="927"/>
      <c r="AJ256" s="927"/>
      <c r="AK256" s="927"/>
      <c r="AL256" s="927"/>
      <c r="AM256" s="929"/>
    </row>
    <row r="257" spans="1:41" ht="24" customHeight="1">
      <c r="A257" s="1451" t="s">
        <v>549</v>
      </c>
      <c r="B257" s="1453" t="s">
        <v>550</v>
      </c>
      <c r="C257" s="1454"/>
      <c r="D257" s="1454"/>
      <c r="E257" s="1454"/>
      <c r="F257" s="1454"/>
      <c r="G257" s="1454"/>
      <c r="H257" s="1454"/>
      <c r="I257" s="1454"/>
      <c r="J257" s="1455"/>
      <c r="K257" s="1431" t="s">
        <v>699</v>
      </c>
      <c r="L257" s="1432"/>
      <c r="M257" s="1431" t="s">
        <v>700</v>
      </c>
      <c r="N257" s="1432"/>
      <c r="O257" s="1431" t="s">
        <v>701</v>
      </c>
      <c r="P257" s="1432"/>
      <c r="Q257" s="1431" t="s">
        <v>702</v>
      </c>
      <c r="R257" s="1432"/>
      <c r="S257" s="1431" t="s">
        <v>703</v>
      </c>
      <c r="T257" s="1432"/>
      <c r="U257" s="1431" t="s">
        <v>704</v>
      </c>
      <c r="V257" s="1432"/>
      <c r="W257" s="1431" t="s">
        <v>705</v>
      </c>
      <c r="X257" s="1432"/>
      <c r="Y257" s="1431" t="s">
        <v>706</v>
      </c>
      <c r="Z257" s="1432"/>
      <c r="AA257" s="1431" t="s">
        <v>707</v>
      </c>
      <c r="AB257" s="1432"/>
      <c r="AC257" s="1431" t="s">
        <v>708</v>
      </c>
      <c r="AD257" s="1432"/>
      <c r="AE257" s="1431" t="s">
        <v>709</v>
      </c>
      <c r="AF257" s="1432"/>
      <c r="AG257" s="1459" t="s">
        <v>710</v>
      </c>
      <c r="AH257" s="1460"/>
      <c r="AI257" s="1461" t="s">
        <v>711</v>
      </c>
      <c r="AJ257" s="1432"/>
      <c r="AK257" s="1462" t="s">
        <v>712</v>
      </c>
      <c r="AL257" s="1432"/>
      <c r="AM257" s="929"/>
    </row>
    <row r="258" spans="1:41" ht="24" customHeight="1">
      <c r="A258" s="1452"/>
      <c r="B258" s="1456"/>
      <c r="C258" s="1457"/>
      <c r="D258" s="1457"/>
      <c r="E258" s="1457"/>
      <c r="F258" s="1457"/>
      <c r="G258" s="1457"/>
      <c r="H258" s="1457"/>
      <c r="I258" s="1457"/>
      <c r="J258" s="1458"/>
      <c r="K258" s="937" t="s">
        <v>713</v>
      </c>
      <c r="L258" s="937" t="s">
        <v>714</v>
      </c>
      <c r="M258" s="937" t="s">
        <v>713</v>
      </c>
      <c r="N258" s="937" t="s">
        <v>714</v>
      </c>
      <c r="O258" s="937" t="s">
        <v>713</v>
      </c>
      <c r="P258" s="937" t="s">
        <v>714</v>
      </c>
      <c r="Q258" s="937" t="s">
        <v>713</v>
      </c>
      <c r="R258" s="937" t="s">
        <v>714</v>
      </c>
      <c r="S258" s="937" t="s">
        <v>713</v>
      </c>
      <c r="T258" s="937" t="s">
        <v>714</v>
      </c>
      <c r="U258" s="937" t="s">
        <v>713</v>
      </c>
      <c r="V258" s="938" t="s">
        <v>714</v>
      </c>
      <c r="W258" s="937" t="s">
        <v>713</v>
      </c>
      <c r="X258" s="937" t="s">
        <v>714</v>
      </c>
      <c r="Y258" s="937" t="s">
        <v>713</v>
      </c>
      <c r="Z258" s="937" t="s">
        <v>714</v>
      </c>
      <c r="AA258" s="937" t="s">
        <v>713</v>
      </c>
      <c r="AB258" s="937" t="s">
        <v>714</v>
      </c>
      <c r="AC258" s="937" t="s">
        <v>713</v>
      </c>
      <c r="AD258" s="937" t="s">
        <v>714</v>
      </c>
      <c r="AE258" s="937" t="s">
        <v>713</v>
      </c>
      <c r="AF258" s="937" t="s">
        <v>714</v>
      </c>
      <c r="AG258" s="937" t="s">
        <v>713</v>
      </c>
      <c r="AH258" s="939" t="s">
        <v>714</v>
      </c>
      <c r="AI258" s="940" t="s">
        <v>713</v>
      </c>
      <c r="AJ258" s="937" t="s">
        <v>714</v>
      </c>
      <c r="AK258" s="938" t="s">
        <v>713</v>
      </c>
      <c r="AL258" s="937" t="s">
        <v>714</v>
      </c>
      <c r="AM258" s="929"/>
    </row>
    <row r="259" spans="1:41" ht="27" customHeight="1">
      <c r="A259" s="941" t="s">
        <v>555</v>
      </c>
      <c r="B259" s="1427" t="s">
        <v>715</v>
      </c>
      <c r="C259" s="1428"/>
      <c r="D259" s="1428"/>
      <c r="E259" s="1428"/>
      <c r="F259" s="1428"/>
      <c r="G259" s="1428"/>
      <c r="H259" s="1428"/>
      <c r="I259" s="1428"/>
      <c r="J259" s="1429"/>
      <c r="K259" s="942">
        <v>5.795918367346939</v>
      </c>
      <c r="L259" s="942">
        <v>9</v>
      </c>
      <c r="M259" s="942">
        <v>6.2315366832948049</v>
      </c>
      <c r="N259" s="942">
        <v>9</v>
      </c>
      <c r="O259" s="942">
        <v>4.5920217588395289</v>
      </c>
      <c r="P259" s="942">
        <v>10</v>
      </c>
      <c r="Q259" s="942">
        <v>0</v>
      </c>
      <c r="R259" s="942">
        <v>0</v>
      </c>
      <c r="S259" s="942">
        <v>6.0347257171615496</v>
      </c>
      <c r="T259" s="942">
        <v>9</v>
      </c>
      <c r="U259" s="942">
        <v>5.6875602700096426</v>
      </c>
      <c r="V259" s="942">
        <v>9</v>
      </c>
      <c r="W259" s="942">
        <v>5.9288065065254392</v>
      </c>
      <c r="X259" s="942">
        <v>9</v>
      </c>
      <c r="Y259" s="942">
        <v>6.0363365599404313</v>
      </c>
      <c r="Z259" s="942">
        <v>9</v>
      </c>
      <c r="AA259" s="942">
        <v>6.0941626558064899</v>
      </c>
      <c r="AB259" s="942">
        <v>9</v>
      </c>
      <c r="AC259" s="942">
        <v>6.2343176992858531</v>
      </c>
      <c r="AD259" s="942">
        <v>9</v>
      </c>
      <c r="AE259" s="942">
        <v>6.5373801916932912</v>
      </c>
      <c r="AF259" s="942">
        <v>8</v>
      </c>
      <c r="AG259" s="943">
        <v>7</v>
      </c>
      <c r="AH259" s="942">
        <v>8</v>
      </c>
      <c r="AI259" s="944">
        <f>K259+M259+O259+Q259+S259+U259+W259+Y259+AA259+AC259+AE259+AG259</f>
        <v>66.172766409903971</v>
      </c>
      <c r="AJ259" s="945">
        <f>L259+N259+P259+R259+T259+V259+X259+Z259+AB259+AD259+AF259+AH259</f>
        <v>98</v>
      </c>
      <c r="AK259" s="945">
        <f>+AI259/11</f>
        <v>6.015706037263997</v>
      </c>
      <c r="AL259" s="945">
        <v>9</v>
      </c>
      <c r="AM259" s="929"/>
      <c r="AO259" s="925">
        <v>9</v>
      </c>
    </row>
    <row r="260" spans="1:41" ht="27" customHeight="1">
      <c r="A260" s="941" t="s">
        <v>560</v>
      </c>
      <c r="B260" s="1427" t="s">
        <v>716</v>
      </c>
      <c r="C260" s="1428"/>
      <c r="D260" s="1428"/>
      <c r="E260" s="1428"/>
      <c r="F260" s="1428"/>
      <c r="G260" s="1428"/>
      <c r="H260" s="1428"/>
      <c r="I260" s="1428"/>
      <c r="J260" s="1429"/>
      <c r="K260" s="942">
        <v>54.007199999999997</v>
      </c>
      <c r="L260" s="942">
        <v>4</v>
      </c>
      <c r="M260" s="942">
        <v>77.068300000000008</v>
      </c>
      <c r="N260" s="942">
        <v>4</v>
      </c>
      <c r="O260" s="942">
        <v>42.093999999999994</v>
      </c>
      <c r="P260" s="942">
        <v>4</v>
      </c>
      <c r="Q260" s="942">
        <v>0</v>
      </c>
      <c r="R260" s="942">
        <v>0</v>
      </c>
      <c r="S260" s="942">
        <v>93.354500000000016</v>
      </c>
      <c r="T260" s="942">
        <v>4</v>
      </c>
      <c r="U260" s="942">
        <v>9.7802000000000007</v>
      </c>
      <c r="V260" s="942">
        <v>2</v>
      </c>
      <c r="W260" s="942">
        <v>248.6772</v>
      </c>
      <c r="X260" s="942">
        <v>12</v>
      </c>
      <c r="Y260" s="942">
        <v>126.19320000000002</v>
      </c>
      <c r="Z260" s="942">
        <v>6</v>
      </c>
      <c r="AA260" s="942">
        <v>76.091899999999995</v>
      </c>
      <c r="AB260" s="942">
        <v>4</v>
      </c>
      <c r="AC260" s="942">
        <v>48.579999999999991</v>
      </c>
      <c r="AD260" s="942">
        <v>4</v>
      </c>
      <c r="AE260" s="942">
        <v>14.626900000000001</v>
      </c>
      <c r="AF260" s="942">
        <v>2</v>
      </c>
      <c r="AG260" s="942">
        <v>5.6451000000000002</v>
      </c>
      <c r="AH260" s="942">
        <v>2</v>
      </c>
      <c r="AI260" s="944">
        <f>K260+M260+O260+Q260+S260+U260+W260+Y260+AA260+AC260+AE260+AG260</f>
        <v>796.11850000000004</v>
      </c>
      <c r="AJ260" s="945">
        <f t="shared" ref="AJ260:AJ266" si="16">+L260+N260+P260+R260+T260+V260+X260+Z260+AB260+AD260+AF260+AH260</f>
        <v>48</v>
      </c>
      <c r="AK260" s="945">
        <f>+AI260/12</f>
        <v>66.343208333333337</v>
      </c>
      <c r="AL260" s="945">
        <v>4</v>
      </c>
      <c r="AM260" s="929"/>
      <c r="AO260" s="925">
        <v>4</v>
      </c>
    </row>
    <row r="261" spans="1:41" ht="27" customHeight="1">
      <c r="A261" s="941" t="s">
        <v>563</v>
      </c>
      <c r="B261" s="1427" t="s">
        <v>717</v>
      </c>
      <c r="C261" s="1428"/>
      <c r="D261" s="1428"/>
      <c r="E261" s="1428"/>
      <c r="F261" s="1428"/>
      <c r="G261" s="1428"/>
      <c r="H261" s="1428"/>
      <c r="I261" s="1428"/>
      <c r="J261" s="1429"/>
      <c r="K261" s="943">
        <v>6</v>
      </c>
      <c r="L261" s="942">
        <v>6</v>
      </c>
      <c r="M261" s="943">
        <v>7</v>
      </c>
      <c r="N261" s="942">
        <v>7</v>
      </c>
      <c r="O261" s="943">
        <v>6</v>
      </c>
      <c r="P261" s="942">
        <v>6</v>
      </c>
      <c r="Q261" s="943">
        <v>0</v>
      </c>
      <c r="R261" s="942">
        <v>5</v>
      </c>
      <c r="S261" s="943">
        <v>9</v>
      </c>
      <c r="T261" s="942">
        <v>7</v>
      </c>
      <c r="U261" s="943">
        <v>2</v>
      </c>
      <c r="V261" s="942">
        <v>5</v>
      </c>
      <c r="W261" s="943">
        <v>19</v>
      </c>
      <c r="X261" s="942">
        <v>10</v>
      </c>
      <c r="Y261" s="943">
        <v>7</v>
      </c>
      <c r="Z261" s="942">
        <v>7</v>
      </c>
      <c r="AA261" s="943">
        <v>6</v>
      </c>
      <c r="AB261" s="942">
        <v>6</v>
      </c>
      <c r="AC261" s="943">
        <v>6</v>
      </c>
      <c r="AD261" s="942">
        <v>6</v>
      </c>
      <c r="AE261" s="943">
        <v>2</v>
      </c>
      <c r="AF261" s="942">
        <v>5</v>
      </c>
      <c r="AG261" s="943">
        <v>1</v>
      </c>
      <c r="AH261" s="942">
        <v>5</v>
      </c>
      <c r="AI261" s="944">
        <f>K261+M261+O261+Q261+S261+U261+W261+Y261+AA261+AC261+AE261+AG261</f>
        <v>71</v>
      </c>
      <c r="AJ261" s="950">
        <f t="shared" si="16"/>
        <v>75</v>
      </c>
      <c r="AK261" s="945">
        <f>+AI261/12</f>
        <v>5.916666666666667</v>
      </c>
      <c r="AL261" s="946">
        <v>6</v>
      </c>
      <c r="AM261" s="929"/>
      <c r="AO261" s="925">
        <v>6</v>
      </c>
    </row>
    <row r="262" spans="1:41" ht="27" customHeight="1">
      <c r="A262" s="941" t="s">
        <v>567</v>
      </c>
      <c r="B262" s="1427" t="s">
        <v>718</v>
      </c>
      <c r="C262" s="1428"/>
      <c r="D262" s="1428"/>
      <c r="E262" s="1428"/>
      <c r="F262" s="1428"/>
      <c r="G262" s="1428"/>
      <c r="H262" s="1428"/>
      <c r="I262" s="1428"/>
      <c r="J262" s="1429"/>
      <c r="K262" s="950" t="s">
        <v>698</v>
      </c>
      <c r="L262" s="950">
        <v>9</v>
      </c>
      <c r="M262" s="950" t="s">
        <v>698</v>
      </c>
      <c r="N262" s="950">
        <v>9</v>
      </c>
      <c r="O262" s="950" t="s">
        <v>698</v>
      </c>
      <c r="P262" s="950">
        <v>9</v>
      </c>
      <c r="Q262" s="950" t="s">
        <v>698</v>
      </c>
      <c r="R262" s="950">
        <v>8</v>
      </c>
      <c r="S262" s="950" t="s">
        <v>698</v>
      </c>
      <c r="T262" s="950">
        <v>9</v>
      </c>
      <c r="U262" s="950" t="s">
        <v>698</v>
      </c>
      <c r="V262" s="950">
        <v>9</v>
      </c>
      <c r="W262" s="950" t="s">
        <v>698</v>
      </c>
      <c r="X262" s="950">
        <v>9</v>
      </c>
      <c r="Y262" s="950" t="s">
        <v>698</v>
      </c>
      <c r="Z262" s="950">
        <v>9</v>
      </c>
      <c r="AA262" s="950" t="s">
        <v>698</v>
      </c>
      <c r="AB262" s="950">
        <v>9</v>
      </c>
      <c r="AC262" s="950" t="s">
        <v>698</v>
      </c>
      <c r="AD262" s="950">
        <v>9</v>
      </c>
      <c r="AE262" s="950" t="s">
        <v>698</v>
      </c>
      <c r="AF262" s="950">
        <v>9</v>
      </c>
      <c r="AG262" s="950" t="s">
        <v>698</v>
      </c>
      <c r="AH262" s="950">
        <v>9</v>
      </c>
      <c r="AI262" s="950" t="s">
        <v>698</v>
      </c>
      <c r="AJ262" s="950">
        <f t="shared" si="16"/>
        <v>107</v>
      </c>
      <c r="AK262" s="950" t="s">
        <v>698</v>
      </c>
      <c r="AL262" s="946">
        <f>+AJ262/12</f>
        <v>8.9166666666666661</v>
      </c>
      <c r="AM262" s="929"/>
      <c r="AO262" s="925">
        <v>9</v>
      </c>
    </row>
    <row r="263" spans="1:41" ht="27" customHeight="1">
      <c r="A263" s="941" t="s">
        <v>571</v>
      </c>
      <c r="B263" s="1427" t="s">
        <v>719</v>
      </c>
      <c r="C263" s="1428"/>
      <c r="D263" s="1428"/>
      <c r="E263" s="1428"/>
      <c r="F263" s="1428"/>
      <c r="G263" s="1428"/>
      <c r="H263" s="1428"/>
      <c r="I263" s="1428"/>
      <c r="J263" s="1429"/>
      <c r="K263" s="950" t="s">
        <v>698</v>
      </c>
      <c r="L263" s="950">
        <v>9</v>
      </c>
      <c r="M263" s="950" t="s">
        <v>698</v>
      </c>
      <c r="N263" s="950">
        <v>9</v>
      </c>
      <c r="O263" s="950" t="s">
        <v>698</v>
      </c>
      <c r="P263" s="950">
        <v>9</v>
      </c>
      <c r="Q263" s="950" t="s">
        <v>698</v>
      </c>
      <c r="R263" s="950">
        <v>8</v>
      </c>
      <c r="S263" s="950" t="s">
        <v>698</v>
      </c>
      <c r="T263" s="950">
        <v>8</v>
      </c>
      <c r="U263" s="950" t="s">
        <v>698</v>
      </c>
      <c r="V263" s="950">
        <v>8</v>
      </c>
      <c r="W263" s="950" t="s">
        <v>698</v>
      </c>
      <c r="X263" s="950">
        <v>8</v>
      </c>
      <c r="Y263" s="950" t="s">
        <v>698</v>
      </c>
      <c r="Z263" s="950">
        <v>9</v>
      </c>
      <c r="AA263" s="950" t="s">
        <v>698</v>
      </c>
      <c r="AB263" s="950">
        <v>8</v>
      </c>
      <c r="AC263" s="950" t="s">
        <v>698</v>
      </c>
      <c r="AD263" s="950">
        <v>8</v>
      </c>
      <c r="AE263" s="950" t="s">
        <v>698</v>
      </c>
      <c r="AF263" s="950">
        <v>8</v>
      </c>
      <c r="AG263" s="950" t="s">
        <v>698</v>
      </c>
      <c r="AH263" s="950">
        <v>8</v>
      </c>
      <c r="AI263" s="950" t="s">
        <v>698</v>
      </c>
      <c r="AJ263" s="950">
        <f t="shared" si="16"/>
        <v>100</v>
      </c>
      <c r="AK263" s="950" t="s">
        <v>698</v>
      </c>
      <c r="AL263" s="946">
        <f t="shared" ref="AL263:AL266" si="17">+AJ263/12</f>
        <v>8.3333333333333339</v>
      </c>
      <c r="AM263" s="929"/>
      <c r="AO263" s="925">
        <v>8</v>
      </c>
    </row>
    <row r="264" spans="1:41" ht="27" customHeight="1">
      <c r="A264" s="941" t="s">
        <v>575</v>
      </c>
      <c r="B264" s="1427" t="s">
        <v>720</v>
      </c>
      <c r="C264" s="1428"/>
      <c r="D264" s="1428"/>
      <c r="E264" s="1428"/>
      <c r="F264" s="1428"/>
      <c r="G264" s="1428"/>
      <c r="H264" s="1428"/>
      <c r="I264" s="1428"/>
      <c r="J264" s="1429"/>
      <c r="K264" s="950" t="s">
        <v>698</v>
      </c>
      <c r="L264" s="950">
        <v>9</v>
      </c>
      <c r="M264" s="950" t="s">
        <v>698</v>
      </c>
      <c r="N264" s="950">
        <v>9</v>
      </c>
      <c r="O264" s="950" t="s">
        <v>698</v>
      </c>
      <c r="P264" s="950">
        <v>9</v>
      </c>
      <c r="Q264" s="950" t="s">
        <v>112</v>
      </c>
      <c r="R264" s="950">
        <v>7</v>
      </c>
      <c r="S264" s="950" t="s">
        <v>698</v>
      </c>
      <c r="T264" s="950">
        <v>8</v>
      </c>
      <c r="U264" s="950" t="s">
        <v>698</v>
      </c>
      <c r="V264" s="950">
        <v>8</v>
      </c>
      <c r="W264" s="950" t="s">
        <v>698</v>
      </c>
      <c r="X264" s="950">
        <v>8</v>
      </c>
      <c r="Y264" s="950" t="s">
        <v>698</v>
      </c>
      <c r="Z264" s="950">
        <v>9</v>
      </c>
      <c r="AA264" s="950" t="s">
        <v>698</v>
      </c>
      <c r="AB264" s="950">
        <v>8</v>
      </c>
      <c r="AC264" s="950" t="s">
        <v>698</v>
      </c>
      <c r="AD264" s="950">
        <v>8</v>
      </c>
      <c r="AE264" s="950" t="s">
        <v>698</v>
      </c>
      <c r="AF264" s="950">
        <v>8</v>
      </c>
      <c r="AG264" s="950" t="s">
        <v>698</v>
      </c>
      <c r="AH264" s="950">
        <v>8</v>
      </c>
      <c r="AI264" s="950" t="s">
        <v>698</v>
      </c>
      <c r="AJ264" s="950">
        <f t="shared" si="16"/>
        <v>99</v>
      </c>
      <c r="AK264" s="950" t="s">
        <v>698</v>
      </c>
      <c r="AL264" s="946">
        <f t="shared" si="17"/>
        <v>8.25</v>
      </c>
      <c r="AM264" s="929"/>
      <c r="AO264" s="925">
        <v>8</v>
      </c>
    </row>
    <row r="265" spans="1:41" ht="27" customHeight="1">
      <c r="A265" s="941" t="s">
        <v>578</v>
      </c>
      <c r="B265" s="1427" t="s">
        <v>721</v>
      </c>
      <c r="C265" s="1428"/>
      <c r="D265" s="1428"/>
      <c r="E265" s="1428"/>
      <c r="F265" s="1428"/>
      <c r="G265" s="1428"/>
      <c r="H265" s="1428"/>
      <c r="I265" s="1428"/>
      <c r="J265" s="1429"/>
      <c r="K265" s="950" t="s">
        <v>112</v>
      </c>
      <c r="L265" s="950">
        <v>7</v>
      </c>
      <c r="M265" s="950" t="s">
        <v>112</v>
      </c>
      <c r="N265" s="950">
        <v>7</v>
      </c>
      <c r="O265" s="950" t="s">
        <v>112</v>
      </c>
      <c r="P265" s="950">
        <v>7</v>
      </c>
      <c r="Q265" s="950" t="s">
        <v>112</v>
      </c>
      <c r="R265" s="950">
        <v>7</v>
      </c>
      <c r="S265" s="950" t="s">
        <v>112</v>
      </c>
      <c r="T265" s="950">
        <v>7</v>
      </c>
      <c r="U265" s="950" t="s">
        <v>112</v>
      </c>
      <c r="V265" s="950">
        <v>7</v>
      </c>
      <c r="W265" s="950" t="s">
        <v>112</v>
      </c>
      <c r="X265" s="950">
        <v>7</v>
      </c>
      <c r="Y265" s="950" t="s">
        <v>112</v>
      </c>
      <c r="Z265" s="950">
        <v>7</v>
      </c>
      <c r="AA265" s="950" t="s">
        <v>112</v>
      </c>
      <c r="AB265" s="950">
        <v>7</v>
      </c>
      <c r="AC265" s="950" t="s">
        <v>112</v>
      </c>
      <c r="AD265" s="950">
        <v>7</v>
      </c>
      <c r="AE265" s="950" t="s">
        <v>112</v>
      </c>
      <c r="AF265" s="950">
        <v>7</v>
      </c>
      <c r="AG265" s="950" t="s">
        <v>112</v>
      </c>
      <c r="AH265" s="950">
        <v>7</v>
      </c>
      <c r="AI265" s="950" t="s">
        <v>112</v>
      </c>
      <c r="AJ265" s="950">
        <f t="shared" si="16"/>
        <v>84</v>
      </c>
      <c r="AK265" s="950" t="s">
        <v>112</v>
      </c>
      <c r="AL265" s="946">
        <f t="shared" si="17"/>
        <v>7</v>
      </c>
      <c r="AM265" s="929"/>
      <c r="AO265" s="925">
        <v>7</v>
      </c>
    </row>
    <row r="266" spans="1:41" ht="27" customHeight="1">
      <c r="A266" s="941" t="s">
        <v>581</v>
      </c>
      <c r="B266" s="1427" t="s">
        <v>722</v>
      </c>
      <c r="C266" s="1428"/>
      <c r="D266" s="1428"/>
      <c r="E266" s="1428"/>
      <c r="F266" s="1428"/>
      <c r="G266" s="1428"/>
      <c r="H266" s="1428"/>
      <c r="I266" s="1428"/>
      <c r="J266" s="1429"/>
      <c r="K266" s="950" t="s">
        <v>698</v>
      </c>
      <c r="L266" s="950">
        <v>9</v>
      </c>
      <c r="M266" s="950" t="s">
        <v>698</v>
      </c>
      <c r="N266" s="950">
        <v>9</v>
      </c>
      <c r="O266" s="950" t="s">
        <v>698</v>
      </c>
      <c r="P266" s="950">
        <v>9</v>
      </c>
      <c r="Q266" s="950" t="s">
        <v>112</v>
      </c>
      <c r="R266" s="950">
        <v>7</v>
      </c>
      <c r="S266" s="950" t="s">
        <v>698</v>
      </c>
      <c r="T266" s="950">
        <v>9</v>
      </c>
      <c r="U266" s="950" t="s">
        <v>698</v>
      </c>
      <c r="V266" s="950">
        <v>8</v>
      </c>
      <c r="W266" s="950" t="s">
        <v>698</v>
      </c>
      <c r="X266" s="950">
        <v>9</v>
      </c>
      <c r="Y266" s="950" t="s">
        <v>698</v>
      </c>
      <c r="Z266" s="950">
        <v>9</v>
      </c>
      <c r="AA266" s="950" t="s">
        <v>698</v>
      </c>
      <c r="AB266" s="950">
        <v>9</v>
      </c>
      <c r="AC266" s="950" t="s">
        <v>698</v>
      </c>
      <c r="AD266" s="950">
        <v>9</v>
      </c>
      <c r="AE266" s="950" t="s">
        <v>698</v>
      </c>
      <c r="AF266" s="950">
        <v>8</v>
      </c>
      <c r="AG266" s="950" t="s">
        <v>698</v>
      </c>
      <c r="AH266" s="950">
        <v>8</v>
      </c>
      <c r="AI266" s="950" t="s">
        <v>698</v>
      </c>
      <c r="AJ266" s="950">
        <f t="shared" si="16"/>
        <v>103</v>
      </c>
      <c r="AK266" s="950" t="s">
        <v>698</v>
      </c>
      <c r="AL266" s="946">
        <f t="shared" si="17"/>
        <v>8.5833333333333339</v>
      </c>
      <c r="AM266" s="929"/>
      <c r="AO266" s="925">
        <v>9</v>
      </c>
    </row>
    <row r="267" spans="1:41" ht="42" customHeight="1">
      <c r="A267" s="952"/>
      <c r="B267" s="1430" t="s">
        <v>68</v>
      </c>
      <c r="C267" s="1430"/>
      <c r="D267" s="1430"/>
      <c r="E267" s="1430"/>
      <c r="F267" s="1430"/>
      <c r="G267" s="1430"/>
      <c r="H267" s="1430"/>
      <c r="I267" s="1430"/>
      <c r="J267" s="1430"/>
      <c r="K267" s="1425">
        <f>SUM(L259:L266)</f>
        <v>62</v>
      </c>
      <c r="L267" s="1426"/>
      <c r="M267" s="1425">
        <f>SUM(N259:N266)</f>
        <v>63</v>
      </c>
      <c r="N267" s="1426"/>
      <c r="O267" s="1425">
        <f>SUM(P259:P266)</f>
        <v>63</v>
      </c>
      <c r="P267" s="1426"/>
      <c r="Q267" s="1425">
        <f>SUM(R259:R266)</f>
        <v>42</v>
      </c>
      <c r="R267" s="1426"/>
      <c r="S267" s="1425">
        <f>SUM(T259:T266)</f>
        <v>61</v>
      </c>
      <c r="T267" s="1426"/>
      <c r="U267" s="1425">
        <f>SUM(V259:V266)</f>
        <v>56</v>
      </c>
      <c r="V267" s="1426"/>
      <c r="W267" s="1425">
        <f>SUM(X259:X266)</f>
        <v>72</v>
      </c>
      <c r="X267" s="1426"/>
      <c r="Y267" s="1425">
        <f>SUM(Z259:Z266)</f>
        <v>65</v>
      </c>
      <c r="Z267" s="1426"/>
      <c r="AA267" s="1425">
        <f>SUM(AB259:AB266)</f>
        <v>60</v>
      </c>
      <c r="AB267" s="1426"/>
      <c r="AC267" s="1425">
        <f>SUM(AD259:AD266)</f>
        <v>60</v>
      </c>
      <c r="AD267" s="1426"/>
      <c r="AE267" s="1425">
        <f>SUM(AF259:AF266)</f>
        <v>55</v>
      </c>
      <c r="AF267" s="1426"/>
      <c r="AG267" s="1425">
        <f>SUM(AH259:AH266)</f>
        <v>55</v>
      </c>
      <c r="AH267" s="1426"/>
      <c r="AI267" s="1484">
        <f>SUM(K267:AG267)</f>
        <v>714</v>
      </c>
      <c r="AJ267" s="1420"/>
      <c r="AK267" s="1420">
        <f>SUM(AL259:AL266)</f>
        <v>60.083333333333336</v>
      </c>
      <c r="AL267" s="1420"/>
      <c r="AM267" s="929"/>
      <c r="AO267" s="925">
        <f>SUM(AO259:AO266)</f>
        <v>60</v>
      </c>
    </row>
    <row r="268" spans="1:41" ht="21.75" customHeight="1">
      <c r="A268" s="953"/>
      <c r="B268" s="927"/>
      <c r="C268" s="928"/>
      <c r="D268" s="927"/>
      <c r="E268" s="927"/>
      <c r="F268" s="927"/>
      <c r="G268" s="927"/>
      <c r="H268" s="927"/>
      <c r="I268" s="927"/>
      <c r="J268" s="927"/>
      <c r="K268" s="954"/>
      <c r="L268" s="955"/>
      <c r="M268" s="955"/>
      <c r="N268" s="955"/>
      <c r="O268" s="955"/>
      <c r="P268" s="955"/>
      <c r="Q268" s="955"/>
      <c r="R268" s="955"/>
      <c r="S268" s="955"/>
      <c r="T268" s="955"/>
      <c r="U268" s="955"/>
      <c r="V268" s="955"/>
      <c r="W268" s="955"/>
      <c r="X268" s="955"/>
      <c r="Y268" s="955"/>
      <c r="Z268" s="955"/>
      <c r="AA268" s="955"/>
      <c r="AB268" s="955"/>
      <c r="AC268" s="955"/>
      <c r="AD268" s="955"/>
      <c r="AE268" s="955"/>
      <c r="AF268" s="955"/>
      <c r="AG268" s="955"/>
      <c r="AH268" s="955"/>
      <c r="AI268" s="955"/>
      <c r="AJ268" s="955"/>
      <c r="AK268" s="955"/>
      <c r="AL268" s="955"/>
      <c r="AM268" s="929"/>
    </row>
    <row r="269" spans="1:41" ht="21.75" customHeight="1">
      <c r="A269" s="953"/>
      <c r="B269" s="927"/>
      <c r="C269" s="928"/>
      <c r="D269" s="927"/>
      <c r="E269" s="927"/>
      <c r="F269" s="927"/>
      <c r="G269" s="927"/>
      <c r="H269" s="927"/>
      <c r="I269" s="927"/>
      <c r="J269" s="927"/>
      <c r="K269" s="927"/>
      <c r="L269" s="927"/>
      <c r="M269" s="927"/>
      <c r="N269" s="927"/>
      <c r="O269" s="927"/>
      <c r="P269" s="927"/>
      <c r="Q269" s="927"/>
      <c r="R269" s="927"/>
      <c r="S269" s="927"/>
      <c r="T269" s="927"/>
      <c r="U269" s="927"/>
      <c r="V269" s="927"/>
      <c r="W269" s="927"/>
      <c r="X269" s="927"/>
      <c r="Y269" s="927"/>
      <c r="Z269" s="927"/>
      <c r="AA269" s="927"/>
      <c r="AB269" s="927"/>
      <c r="AC269" s="927"/>
      <c r="AD269" s="927"/>
      <c r="AE269" s="927"/>
      <c r="AF269" s="927"/>
      <c r="AG269" s="927"/>
      <c r="AH269" s="927"/>
      <c r="AI269" s="927"/>
      <c r="AJ269" s="927"/>
      <c r="AK269" s="927"/>
      <c r="AL269" s="927"/>
      <c r="AM269" s="929"/>
    </row>
    <row r="270" spans="1:41" ht="21.75" customHeight="1">
      <c r="A270" s="953"/>
      <c r="B270" s="927"/>
      <c r="C270" s="928"/>
      <c r="D270" s="927"/>
      <c r="E270" s="927"/>
      <c r="F270" s="927"/>
      <c r="G270" s="927"/>
      <c r="H270" s="927"/>
      <c r="I270" s="927"/>
      <c r="J270" s="927"/>
      <c r="K270" s="927"/>
      <c r="L270" s="927"/>
      <c r="M270" s="927"/>
      <c r="N270" s="927"/>
      <c r="O270" s="927"/>
      <c r="P270" s="927"/>
      <c r="Q270" s="927"/>
      <c r="R270" s="927"/>
      <c r="S270" s="927"/>
      <c r="T270" s="927"/>
      <c r="U270" s="927"/>
      <c r="V270" s="927"/>
      <c r="W270" s="927"/>
      <c r="X270" s="927"/>
      <c r="Y270" s="927"/>
      <c r="Z270" s="927"/>
      <c r="AA270" s="927"/>
      <c r="AB270" s="927"/>
      <c r="AC270" s="927"/>
      <c r="AD270" s="927"/>
      <c r="AE270" s="927"/>
      <c r="AF270" s="927"/>
      <c r="AG270" s="927"/>
      <c r="AH270" s="927"/>
      <c r="AI270" s="927"/>
      <c r="AJ270" s="927"/>
      <c r="AK270" s="927"/>
      <c r="AL270" s="927"/>
      <c r="AM270" s="929"/>
    </row>
    <row r="271" spans="1:41" ht="21.75" customHeight="1">
      <c r="A271" s="957"/>
      <c r="B271" s="958"/>
      <c r="C271" s="934"/>
      <c r="D271" s="927"/>
      <c r="E271" s="959"/>
      <c r="F271" s="927"/>
      <c r="G271" s="927"/>
      <c r="H271" s="927"/>
      <c r="I271" s="927"/>
      <c r="J271" s="927"/>
      <c r="K271" s="927"/>
      <c r="L271" s="927"/>
      <c r="M271" s="927"/>
      <c r="N271" s="927"/>
      <c r="O271" s="927"/>
      <c r="P271" s="958"/>
      <c r="Q271" s="958"/>
      <c r="R271" s="958"/>
      <c r="S271" s="958"/>
      <c r="T271" s="958"/>
      <c r="U271" s="958"/>
      <c r="V271" s="958"/>
      <c r="W271" s="927"/>
      <c r="X271" s="927"/>
      <c r="Y271" s="934"/>
      <c r="Z271" s="927"/>
      <c r="AA271" s="927"/>
      <c r="AB271" s="934"/>
      <c r="AC271" s="934"/>
      <c r="AD271" s="960"/>
      <c r="AE271" s="1422" t="s">
        <v>634</v>
      </c>
      <c r="AF271" s="1423"/>
      <c r="AG271" s="1423"/>
      <c r="AH271" s="1423"/>
      <c r="AI271" s="1423"/>
      <c r="AJ271" s="1423"/>
      <c r="AK271" s="1423"/>
      <c r="AL271" s="1424"/>
      <c r="AM271" s="929"/>
    </row>
    <row r="272" spans="1:41" ht="21.75" customHeight="1">
      <c r="A272" s="957"/>
      <c r="B272" s="958"/>
      <c r="C272" s="934"/>
      <c r="D272" s="927"/>
      <c r="E272" s="959"/>
      <c r="F272" s="927"/>
      <c r="G272" s="927"/>
      <c r="H272" s="927"/>
      <c r="I272" s="927"/>
      <c r="J272" s="927"/>
      <c r="K272" s="927"/>
      <c r="L272" s="927"/>
      <c r="M272" s="927"/>
      <c r="N272" s="927"/>
      <c r="O272" s="927"/>
      <c r="P272" s="927"/>
      <c r="Q272" s="927"/>
      <c r="R272" s="958"/>
      <c r="S272" s="927"/>
      <c r="T272" s="927"/>
      <c r="U272" s="927"/>
      <c r="V272" s="927"/>
      <c r="W272" s="927"/>
      <c r="X272" s="927"/>
      <c r="Y272" s="934"/>
      <c r="Z272" s="927"/>
      <c r="AA272" s="927"/>
      <c r="AB272" s="934"/>
      <c r="AC272" s="934"/>
      <c r="AD272" s="960"/>
      <c r="AE272" s="953"/>
      <c r="AF272" s="927"/>
      <c r="AG272" s="934"/>
      <c r="AH272" s="927"/>
      <c r="AI272" s="927"/>
      <c r="AJ272" s="927"/>
      <c r="AK272" s="927"/>
      <c r="AL272" s="929"/>
      <c r="AM272" s="929"/>
    </row>
    <row r="273" spans="1:41" ht="21.75" customHeight="1">
      <c r="A273" s="957"/>
      <c r="B273" s="958"/>
      <c r="C273" s="934"/>
      <c r="D273" s="927"/>
      <c r="E273" s="959"/>
      <c r="F273" s="927"/>
      <c r="G273" s="927"/>
      <c r="H273" s="927"/>
      <c r="I273" s="927"/>
      <c r="J273" s="927"/>
      <c r="K273" s="927"/>
      <c r="L273" s="927"/>
      <c r="M273" s="927"/>
      <c r="N273" s="927"/>
      <c r="O273" s="927"/>
      <c r="P273" s="934"/>
      <c r="Q273" s="934"/>
      <c r="R273" s="934"/>
      <c r="S273" s="934"/>
      <c r="T273" s="927"/>
      <c r="U273" s="927"/>
      <c r="V273" s="958"/>
      <c r="W273" s="927"/>
      <c r="X273" s="927"/>
      <c r="Y273" s="934"/>
      <c r="Z273" s="927"/>
      <c r="AA273" s="961"/>
      <c r="AB273" s="934"/>
      <c r="AC273" s="934"/>
      <c r="AD273" s="960"/>
      <c r="AE273" s="953"/>
      <c r="AF273" s="927"/>
      <c r="AG273" s="934"/>
      <c r="AH273" s="927"/>
      <c r="AI273" s="927"/>
      <c r="AJ273" s="927"/>
      <c r="AK273" s="961"/>
      <c r="AL273" s="929"/>
      <c r="AM273" s="929"/>
    </row>
    <row r="274" spans="1:41" ht="21.75" customHeight="1">
      <c r="A274" s="957"/>
      <c r="B274" s="958"/>
      <c r="C274" s="934"/>
      <c r="D274" s="927"/>
      <c r="E274" s="959"/>
      <c r="F274" s="927"/>
      <c r="G274" s="962"/>
      <c r="H274" s="927"/>
      <c r="I274" s="927"/>
      <c r="J274" s="927"/>
      <c r="K274" s="927"/>
      <c r="L274" s="927"/>
      <c r="M274" s="927"/>
      <c r="N274" s="927"/>
      <c r="O274" s="927"/>
      <c r="P274" s="934"/>
      <c r="Q274" s="934"/>
      <c r="R274" s="934"/>
      <c r="S274" s="934"/>
      <c r="T274" s="928"/>
      <c r="U274" s="927"/>
      <c r="V274" s="958"/>
      <c r="W274" s="927"/>
      <c r="X274" s="927"/>
      <c r="Y274" s="934"/>
      <c r="Z274" s="927"/>
      <c r="AA274" s="927"/>
      <c r="AB274" s="934"/>
      <c r="AC274" s="934"/>
      <c r="AD274" s="960"/>
      <c r="AE274" s="963"/>
      <c r="AF274" s="964"/>
      <c r="AG274" s="965"/>
      <c r="AH274" s="964"/>
      <c r="AI274" s="964"/>
      <c r="AJ274" s="964"/>
      <c r="AK274" s="964"/>
      <c r="AL274" s="966"/>
      <c r="AM274" s="929"/>
    </row>
    <row r="275" spans="1:41" ht="21.75" customHeight="1">
      <c r="A275" s="953"/>
      <c r="B275" s="927"/>
      <c r="C275" s="928"/>
      <c r="D275" s="927"/>
      <c r="E275" s="958"/>
      <c r="F275" s="927"/>
      <c r="G275" s="958"/>
      <c r="H275" s="927"/>
      <c r="I275" s="927"/>
      <c r="J275" s="927"/>
      <c r="K275" s="927"/>
      <c r="L275" s="927"/>
      <c r="M275" s="927"/>
      <c r="N275" s="927"/>
      <c r="O275" s="927"/>
      <c r="P275" s="934"/>
      <c r="Q275" s="934"/>
      <c r="R275" s="934"/>
      <c r="S275" s="934"/>
      <c r="T275" s="927"/>
      <c r="U275" s="927"/>
      <c r="V275" s="958"/>
      <c r="W275" s="927"/>
      <c r="X275" s="927"/>
      <c r="Y275" s="934"/>
      <c r="Z275" s="927"/>
      <c r="AA275" s="927"/>
      <c r="AB275" s="934"/>
      <c r="AC275" s="934"/>
      <c r="AD275" s="960"/>
      <c r="AE275" s="953" t="s">
        <v>723</v>
      </c>
      <c r="AF275" s="927"/>
      <c r="AG275" s="934" t="s">
        <v>3</v>
      </c>
      <c r="AH275" s="928" t="s">
        <v>724</v>
      </c>
      <c r="AI275" s="927"/>
      <c r="AJ275" s="927"/>
      <c r="AK275" s="927"/>
      <c r="AL275" s="929"/>
      <c r="AM275" s="929"/>
    </row>
    <row r="276" spans="1:41" ht="21.75" customHeight="1">
      <c r="A276" s="953"/>
      <c r="B276" s="927"/>
      <c r="C276" s="934"/>
      <c r="D276" s="934"/>
      <c r="E276" s="934"/>
      <c r="F276" s="934"/>
      <c r="G276" s="934"/>
      <c r="H276" s="934"/>
      <c r="I276" s="934"/>
      <c r="J276" s="934"/>
      <c r="K276" s="934"/>
      <c r="L276" s="934"/>
      <c r="M276" s="934"/>
      <c r="N276" s="934"/>
      <c r="O276" s="934"/>
      <c r="P276" s="934"/>
      <c r="Q276" s="934"/>
      <c r="R276" s="934"/>
      <c r="S276" s="934"/>
      <c r="T276" s="927"/>
      <c r="U276" s="958"/>
      <c r="V276" s="958"/>
      <c r="W276" s="927"/>
      <c r="X276" s="927"/>
      <c r="Y276" s="934"/>
      <c r="Z276" s="927"/>
      <c r="AA276" s="927"/>
      <c r="AB276" s="934"/>
      <c r="AC276" s="934"/>
      <c r="AD276" s="960"/>
      <c r="AE276" s="953" t="s">
        <v>725</v>
      </c>
      <c r="AF276" s="927"/>
      <c r="AG276" s="934" t="s">
        <v>3</v>
      </c>
      <c r="AH276" s="927" t="s">
        <v>726</v>
      </c>
      <c r="AI276" s="927"/>
      <c r="AJ276" s="927"/>
      <c r="AK276" s="927"/>
      <c r="AL276" s="929"/>
      <c r="AM276" s="929"/>
    </row>
    <row r="277" spans="1:41" ht="21.75" customHeight="1">
      <c r="A277" s="953"/>
      <c r="B277" s="927"/>
      <c r="C277" s="934"/>
      <c r="D277" s="934"/>
      <c r="E277" s="934"/>
      <c r="F277" s="934"/>
      <c r="G277" s="934"/>
      <c r="H277" s="934"/>
      <c r="I277" s="934"/>
      <c r="J277" s="934"/>
      <c r="K277" s="934"/>
      <c r="L277" s="934"/>
      <c r="M277" s="934"/>
      <c r="N277" s="934"/>
      <c r="O277" s="934"/>
      <c r="P277" s="934"/>
      <c r="Q277" s="934"/>
      <c r="R277" s="934"/>
      <c r="S277" s="934"/>
      <c r="T277" s="958"/>
      <c r="U277" s="958"/>
      <c r="V277" s="958"/>
      <c r="W277" s="927"/>
      <c r="X277" s="927"/>
      <c r="Y277" s="934"/>
      <c r="Z277" s="928"/>
      <c r="AA277" s="927"/>
      <c r="AB277" s="934"/>
      <c r="AC277" s="934"/>
      <c r="AD277" s="960"/>
      <c r="AE277" s="963" t="s">
        <v>727</v>
      </c>
      <c r="AF277" s="964"/>
      <c r="AG277" s="965" t="s">
        <v>3</v>
      </c>
      <c r="AH277" s="967" t="str">
        <f>AH421</f>
        <v>02 Januari 2020</v>
      </c>
      <c r="AI277" s="967"/>
      <c r="AJ277" s="967"/>
      <c r="AK277" s="964"/>
      <c r="AL277" s="966"/>
      <c r="AM277" s="929"/>
    </row>
    <row r="278" spans="1:41" ht="18" customHeight="1">
      <c r="A278" s="963"/>
      <c r="B278" s="964"/>
      <c r="C278" s="968"/>
      <c r="D278" s="964"/>
      <c r="E278" s="964"/>
      <c r="F278" s="964"/>
      <c r="G278" s="965"/>
      <c r="H278" s="965"/>
      <c r="I278" s="964"/>
      <c r="J278" s="964"/>
      <c r="K278" s="964"/>
      <c r="L278" s="964"/>
      <c r="M278" s="964"/>
      <c r="N278" s="964"/>
      <c r="O278" s="964"/>
      <c r="P278" s="964"/>
      <c r="Q278" s="964"/>
      <c r="R278" s="964"/>
      <c r="S278" s="964"/>
      <c r="T278" s="964"/>
      <c r="U278" s="964"/>
      <c r="V278" s="964"/>
      <c r="W278" s="964"/>
      <c r="X278" s="964"/>
      <c r="Y278" s="964"/>
      <c r="Z278" s="964"/>
      <c r="AA278" s="964"/>
      <c r="AB278" s="964"/>
      <c r="AC278" s="964"/>
      <c r="AD278" s="964"/>
      <c r="AE278" s="964"/>
      <c r="AF278" s="964"/>
      <c r="AG278" s="964"/>
      <c r="AH278" s="964"/>
      <c r="AI278" s="964"/>
      <c r="AJ278" s="964"/>
      <c r="AK278" s="964"/>
      <c r="AL278" s="964"/>
      <c r="AM278" s="966"/>
    </row>
    <row r="281" spans="1:41" ht="15.75" customHeight="1">
      <c r="A281" s="998"/>
      <c r="B281" s="971"/>
      <c r="C281" s="971"/>
      <c r="D281" s="999"/>
      <c r="E281" s="1486" t="s">
        <v>537</v>
      </c>
      <c r="F281" s="1487"/>
      <c r="G281" s="1487"/>
      <c r="H281" s="1487"/>
      <c r="I281" s="1487"/>
      <c r="J281" s="1487"/>
      <c r="K281" s="1487"/>
      <c r="L281" s="1487"/>
      <c r="M281" s="1487"/>
      <c r="N281" s="1487"/>
      <c r="O281" s="1487"/>
      <c r="P281" s="1487"/>
      <c r="Q281" s="1487"/>
      <c r="R281" s="1487"/>
      <c r="S281" s="1487"/>
      <c r="T281" s="1487"/>
      <c r="U281" s="1487"/>
      <c r="V281" s="1487"/>
      <c r="W281" s="1487"/>
      <c r="X281" s="1487"/>
      <c r="Y281" s="1487"/>
      <c r="Z281" s="1487"/>
      <c r="AA281" s="1487"/>
      <c r="AB281" s="1487"/>
      <c r="AC281" s="1487"/>
      <c r="AD281" s="1487"/>
      <c r="AE281" s="1487"/>
      <c r="AF281" s="1488"/>
      <c r="AG281" s="1475" t="s">
        <v>747</v>
      </c>
      <c r="AH281" s="1476"/>
      <c r="AI281" s="1476"/>
      <c r="AJ281" s="1476"/>
      <c r="AK281" s="1476"/>
      <c r="AL281" s="1476"/>
      <c r="AM281" s="1477"/>
    </row>
    <row r="282" spans="1:41" ht="15" customHeight="1">
      <c r="A282" s="1000"/>
      <c r="B282" s="934"/>
      <c r="C282" s="934"/>
      <c r="D282" s="960"/>
      <c r="E282" s="1489"/>
      <c r="F282" s="1490"/>
      <c r="G282" s="1490"/>
      <c r="H282" s="1490"/>
      <c r="I282" s="1490"/>
      <c r="J282" s="1490"/>
      <c r="K282" s="1490"/>
      <c r="L282" s="1490"/>
      <c r="M282" s="1490"/>
      <c r="N282" s="1490"/>
      <c r="O282" s="1490"/>
      <c r="P282" s="1490"/>
      <c r="Q282" s="1490"/>
      <c r="R282" s="1490"/>
      <c r="S282" s="1490"/>
      <c r="T282" s="1490"/>
      <c r="U282" s="1490"/>
      <c r="V282" s="1490"/>
      <c r="W282" s="1490"/>
      <c r="X282" s="1490"/>
      <c r="Y282" s="1490"/>
      <c r="Z282" s="1490"/>
      <c r="AA282" s="1490"/>
      <c r="AB282" s="1490"/>
      <c r="AC282" s="1490"/>
      <c r="AD282" s="1490"/>
      <c r="AE282" s="1490"/>
      <c r="AF282" s="1491"/>
      <c r="AG282" s="1478"/>
      <c r="AH282" s="1479"/>
      <c r="AI282" s="1479"/>
      <c r="AJ282" s="1479"/>
      <c r="AK282" s="1479"/>
      <c r="AL282" s="1479"/>
      <c r="AM282" s="1480"/>
    </row>
    <row r="283" spans="1:41" ht="15" customHeight="1">
      <c r="A283" s="1000"/>
      <c r="B283" s="934"/>
      <c r="C283" s="934"/>
      <c r="D283" s="934"/>
      <c r="E283" s="1489"/>
      <c r="F283" s="1490"/>
      <c r="G283" s="1490"/>
      <c r="H283" s="1490"/>
      <c r="I283" s="1490"/>
      <c r="J283" s="1490"/>
      <c r="K283" s="1490"/>
      <c r="L283" s="1490"/>
      <c r="M283" s="1490"/>
      <c r="N283" s="1490"/>
      <c r="O283" s="1490"/>
      <c r="P283" s="1490"/>
      <c r="Q283" s="1490"/>
      <c r="R283" s="1490"/>
      <c r="S283" s="1490"/>
      <c r="T283" s="1490"/>
      <c r="U283" s="1490"/>
      <c r="V283" s="1490"/>
      <c r="W283" s="1490"/>
      <c r="X283" s="1490"/>
      <c r="Y283" s="1490"/>
      <c r="Z283" s="1490"/>
      <c r="AA283" s="1490"/>
      <c r="AB283" s="1490"/>
      <c r="AC283" s="1490"/>
      <c r="AD283" s="1490"/>
      <c r="AE283" s="1490"/>
      <c r="AF283" s="1491"/>
      <c r="AG283" s="1475" t="str">
        <f>AG3</f>
        <v>TGL  : 01 Januari - 31 Desember 2019</v>
      </c>
      <c r="AH283" s="1476"/>
      <c r="AI283" s="1476"/>
      <c r="AJ283" s="1476"/>
      <c r="AK283" s="1476"/>
      <c r="AL283" s="1476"/>
      <c r="AM283" s="1477"/>
    </row>
    <row r="284" spans="1:41" ht="15" customHeight="1">
      <c r="A284" s="1001"/>
      <c r="B284" s="965"/>
      <c r="C284" s="965"/>
      <c r="D284" s="965"/>
      <c r="E284" s="1492"/>
      <c r="F284" s="1493"/>
      <c r="G284" s="1493"/>
      <c r="H284" s="1493"/>
      <c r="I284" s="1493"/>
      <c r="J284" s="1493"/>
      <c r="K284" s="1493"/>
      <c r="L284" s="1493"/>
      <c r="M284" s="1493"/>
      <c r="N284" s="1493"/>
      <c r="O284" s="1493"/>
      <c r="P284" s="1493"/>
      <c r="Q284" s="1493"/>
      <c r="R284" s="1493"/>
      <c r="S284" s="1493"/>
      <c r="T284" s="1493"/>
      <c r="U284" s="1493"/>
      <c r="V284" s="1493"/>
      <c r="W284" s="1493"/>
      <c r="X284" s="1493"/>
      <c r="Y284" s="1493"/>
      <c r="Z284" s="1493"/>
      <c r="AA284" s="1493"/>
      <c r="AB284" s="1493"/>
      <c r="AC284" s="1493"/>
      <c r="AD284" s="1493"/>
      <c r="AE284" s="1493"/>
      <c r="AF284" s="1494"/>
      <c r="AG284" s="1478"/>
      <c r="AH284" s="1479"/>
      <c r="AI284" s="1479"/>
      <c r="AJ284" s="1479"/>
      <c r="AK284" s="1479"/>
      <c r="AL284" s="1479"/>
      <c r="AM284" s="1480"/>
    </row>
    <row r="285" spans="1:41" ht="18" customHeight="1">
      <c r="A285" s="1433" t="s">
        <v>539</v>
      </c>
      <c r="B285" s="1434"/>
      <c r="C285" s="1434"/>
      <c r="D285" s="1435"/>
      <c r="E285" s="1439" t="s">
        <v>729</v>
      </c>
      <c r="F285" s="1440"/>
      <c r="G285" s="1440"/>
      <c r="H285" s="1440"/>
      <c r="I285" s="1440"/>
      <c r="J285" s="1440"/>
      <c r="K285" s="1440"/>
      <c r="L285" s="1440"/>
      <c r="M285" s="1440"/>
      <c r="N285" s="1440"/>
      <c r="O285" s="1440"/>
      <c r="P285" s="1440"/>
      <c r="Q285" s="1440"/>
      <c r="R285" s="1440"/>
      <c r="S285" s="1440"/>
      <c r="T285" s="1440"/>
      <c r="U285" s="1440"/>
      <c r="V285" s="1440"/>
      <c r="W285" s="1440"/>
      <c r="X285" s="1440"/>
      <c r="Y285" s="1440"/>
      <c r="Z285" s="1440"/>
      <c r="AA285" s="1440"/>
      <c r="AB285" s="1440"/>
      <c r="AC285" s="1440"/>
      <c r="AD285" s="1440"/>
      <c r="AE285" s="1440"/>
      <c r="AF285" s="1441"/>
      <c r="AG285" s="1445" t="s">
        <v>695</v>
      </c>
      <c r="AH285" s="1446"/>
      <c r="AI285" s="1446"/>
      <c r="AJ285" s="1446"/>
      <c r="AK285" s="1446"/>
      <c r="AL285" s="1446"/>
      <c r="AM285" s="1447"/>
    </row>
    <row r="286" spans="1:41" ht="18" customHeight="1">
      <c r="A286" s="1436"/>
      <c r="B286" s="1437"/>
      <c r="C286" s="1437"/>
      <c r="D286" s="1438"/>
      <c r="E286" s="1442"/>
      <c r="F286" s="1443"/>
      <c r="G286" s="1443"/>
      <c r="H286" s="1443"/>
      <c r="I286" s="1443"/>
      <c r="J286" s="1443"/>
      <c r="K286" s="1443"/>
      <c r="L286" s="1443"/>
      <c r="M286" s="1443"/>
      <c r="N286" s="1443"/>
      <c r="O286" s="1443"/>
      <c r="P286" s="1443"/>
      <c r="Q286" s="1443"/>
      <c r="R286" s="1443"/>
      <c r="S286" s="1443"/>
      <c r="T286" s="1443"/>
      <c r="U286" s="1443"/>
      <c r="V286" s="1443"/>
      <c r="W286" s="1443"/>
      <c r="X286" s="1443"/>
      <c r="Y286" s="1443"/>
      <c r="Z286" s="1443"/>
      <c r="AA286" s="1443"/>
      <c r="AB286" s="1443"/>
      <c r="AC286" s="1443"/>
      <c r="AD286" s="1443"/>
      <c r="AE286" s="1443"/>
      <c r="AF286" s="1444"/>
      <c r="AG286" s="1448"/>
      <c r="AH286" s="1449"/>
      <c r="AI286" s="1449"/>
      <c r="AJ286" s="1449"/>
      <c r="AK286" s="1449"/>
      <c r="AL286" s="1449"/>
      <c r="AM286" s="1450"/>
    </row>
    <row r="287" spans="1:41" ht="12" customHeight="1">
      <c r="A287" s="926"/>
      <c r="B287" s="927"/>
      <c r="C287" s="928"/>
      <c r="D287" s="927"/>
      <c r="E287" s="927"/>
      <c r="F287" s="927"/>
      <c r="G287" s="927"/>
      <c r="H287" s="927"/>
      <c r="I287" s="927"/>
      <c r="J287" s="927"/>
      <c r="K287" s="927"/>
      <c r="L287" s="927"/>
      <c r="M287" s="927"/>
      <c r="N287" s="927"/>
      <c r="O287" s="927"/>
      <c r="P287" s="927"/>
      <c r="Q287" s="927"/>
      <c r="R287" s="927"/>
      <c r="S287" s="927"/>
      <c r="T287" s="927"/>
      <c r="U287" s="927"/>
      <c r="V287" s="927"/>
      <c r="W287" s="927"/>
      <c r="X287" s="927"/>
      <c r="Y287" s="927"/>
      <c r="Z287" s="927"/>
      <c r="AA287" s="927"/>
      <c r="AB287" s="927"/>
      <c r="AC287" s="927"/>
      <c r="AD287" s="927"/>
      <c r="AE287" s="927"/>
      <c r="AF287" s="927"/>
      <c r="AG287" s="927"/>
      <c r="AH287" s="927"/>
      <c r="AI287" s="927"/>
      <c r="AJ287" s="927"/>
      <c r="AK287" s="927"/>
      <c r="AL287" s="927"/>
      <c r="AM287" s="929"/>
    </row>
    <row r="288" spans="1:41" ht="24" customHeight="1">
      <c r="A288" s="930" t="s">
        <v>543</v>
      </c>
      <c r="B288" s="931"/>
      <c r="C288" s="932"/>
      <c r="D288" s="931"/>
      <c r="E288" s="931"/>
      <c r="F288" s="931"/>
      <c r="G288" s="931"/>
      <c r="H288" s="1025" t="s">
        <v>3</v>
      </c>
      <c r="I288" s="1030" t="s">
        <v>748</v>
      </c>
      <c r="J288" s="931"/>
      <c r="K288" s="931"/>
      <c r="L288" s="931"/>
      <c r="M288" s="931"/>
      <c r="N288" s="931"/>
      <c r="O288" s="931"/>
      <c r="P288" s="931"/>
      <c r="Q288" s="931"/>
      <c r="R288" s="931"/>
      <c r="S288" s="931"/>
      <c r="T288" s="931"/>
      <c r="U288" s="931"/>
      <c r="V288" s="931" t="s">
        <v>696</v>
      </c>
      <c r="W288" s="931"/>
      <c r="X288" s="931"/>
      <c r="Y288" s="934"/>
      <c r="Z288" s="931" t="s">
        <v>3</v>
      </c>
      <c r="AA288" s="1027" t="s">
        <v>749</v>
      </c>
      <c r="AB288" s="959"/>
      <c r="AC288" s="959"/>
      <c r="AD288" s="959"/>
      <c r="AE288" s="927"/>
      <c r="AF288" s="927"/>
      <c r="AG288" s="927"/>
      <c r="AH288" s="927"/>
      <c r="AI288" s="927"/>
      <c r="AJ288" s="927"/>
      <c r="AK288" s="927"/>
      <c r="AL288" s="927"/>
      <c r="AM288" s="929"/>
      <c r="AO288" s="1031" t="str">
        <f>I288</f>
        <v>M.FUADI R</v>
      </c>
    </row>
    <row r="289" spans="1:42" ht="24" customHeight="1">
      <c r="A289" s="930" t="s">
        <v>114</v>
      </c>
      <c r="B289" s="931"/>
      <c r="C289" s="932"/>
      <c r="D289" s="931"/>
      <c r="E289" s="931"/>
      <c r="F289" s="931"/>
      <c r="G289" s="931"/>
      <c r="H289" s="1025" t="s">
        <v>3</v>
      </c>
      <c r="I289" s="1030" t="s">
        <v>475</v>
      </c>
      <c r="J289" s="931"/>
      <c r="K289" s="931"/>
      <c r="L289" s="931"/>
      <c r="M289" s="931"/>
      <c r="N289" s="931"/>
      <c r="O289" s="931"/>
      <c r="P289" s="931"/>
      <c r="Q289" s="931"/>
      <c r="R289" s="931"/>
      <c r="S289" s="931"/>
      <c r="T289" s="931"/>
      <c r="U289" s="931"/>
      <c r="V289" s="931" t="s">
        <v>545</v>
      </c>
      <c r="W289" s="931"/>
      <c r="X289" s="931"/>
      <c r="Y289" s="934"/>
      <c r="Z289" s="931" t="s">
        <v>3</v>
      </c>
      <c r="AA289" s="1485"/>
      <c r="AB289" s="1485"/>
      <c r="AC289" s="1485"/>
      <c r="AD289" s="1485"/>
      <c r="AE289" s="1485"/>
      <c r="AF289" s="927"/>
      <c r="AG289" s="927"/>
      <c r="AH289" s="927"/>
      <c r="AI289" s="927"/>
      <c r="AJ289" s="927"/>
      <c r="AK289" s="927"/>
      <c r="AL289" s="927"/>
      <c r="AM289" s="929"/>
      <c r="AO289" s="1031" t="s">
        <v>698</v>
      </c>
    </row>
    <row r="290" spans="1:42" ht="12" customHeight="1">
      <c r="A290" s="926"/>
      <c r="B290" s="927"/>
      <c r="C290" s="928"/>
      <c r="D290" s="927"/>
      <c r="E290" s="927"/>
      <c r="F290" s="927"/>
      <c r="G290" s="927"/>
      <c r="H290" s="927"/>
      <c r="I290" s="927"/>
      <c r="J290" s="927"/>
      <c r="K290" s="927"/>
      <c r="L290" s="927"/>
      <c r="M290" s="927"/>
      <c r="N290" s="927"/>
      <c r="O290" s="927"/>
      <c r="P290" s="927"/>
      <c r="Q290" s="927"/>
      <c r="R290" s="927"/>
      <c r="S290" s="1029"/>
      <c r="T290" s="1029"/>
      <c r="U290" s="1029"/>
      <c r="V290" s="1029"/>
      <c r="W290" s="1029"/>
      <c r="X290" s="1029"/>
      <c r="Y290" s="1029"/>
      <c r="Z290" s="1029"/>
      <c r="AA290" s="1029"/>
      <c r="AB290" s="1029"/>
      <c r="AC290" s="1029"/>
      <c r="AD290" s="1029"/>
      <c r="AE290" s="1029"/>
      <c r="AF290" s="927"/>
      <c r="AG290" s="927"/>
      <c r="AH290" s="927"/>
      <c r="AI290" s="927"/>
      <c r="AJ290" s="927"/>
      <c r="AK290" s="927"/>
      <c r="AL290" s="927"/>
      <c r="AM290" s="929"/>
    </row>
    <row r="291" spans="1:42" ht="24" customHeight="1">
      <c r="A291" s="1451" t="s">
        <v>549</v>
      </c>
      <c r="B291" s="1453" t="s">
        <v>550</v>
      </c>
      <c r="C291" s="1454"/>
      <c r="D291" s="1454"/>
      <c r="E291" s="1454"/>
      <c r="F291" s="1454"/>
      <c r="G291" s="1454"/>
      <c r="H291" s="1454"/>
      <c r="I291" s="1454"/>
      <c r="J291" s="1455"/>
      <c r="K291" s="1431" t="s">
        <v>699</v>
      </c>
      <c r="L291" s="1432"/>
      <c r="M291" s="1431" t="s">
        <v>700</v>
      </c>
      <c r="N291" s="1432"/>
      <c r="O291" s="1431" t="s">
        <v>701</v>
      </c>
      <c r="P291" s="1432"/>
      <c r="Q291" s="1431" t="s">
        <v>702</v>
      </c>
      <c r="R291" s="1432"/>
      <c r="S291" s="1431" t="s">
        <v>703</v>
      </c>
      <c r="T291" s="1432"/>
      <c r="U291" s="1431" t="s">
        <v>704</v>
      </c>
      <c r="V291" s="1432"/>
      <c r="W291" s="1431" t="s">
        <v>705</v>
      </c>
      <c r="X291" s="1432"/>
      <c r="Y291" s="1431" t="s">
        <v>706</v>
      </c>
      <c r="Z291" s="1432"/>
      <c r="AA291" s="1431" t="s">
        <v>707</v>
      </c>
      <c r="AB291" s="1432"/>
      <c r="AC291" s="1431" t="s">
        <v>708</v>
      </c>
      <c r="AD291" s="1432"/>
      <c r="AE291" s="1431" t="s">
        <v>709</v>
      </c>
      <c r="AF291" s="1432"/>
      <c r="AG291" s="1459" t="s">
        <v>710</v>
      </c>
      <c r="AH291" s="1460"/>
      <c r="AI291" s="1461" t="s">
        <v>711</v>
      </c>
      <c r="AJ291" s="1432"/>
      <c r="AK291" s="1462" t="s">
        <v>712</v>
      </c>
      <c r="AL291" s="1432"/>
      <c r="AM291" s="929"/>
    </row>
    <row r="292" spans="1:42" ht="24" customHeight="1">
      <c r="A292" s="1452"/>
      <c r="B292" s="1456"/>
      <c r="C292" s="1457"/>
      <c r="D292" s="1457"/>
      <c r="E292" s="1457"/>
      <c r="F292" s="1457"/>
      <c r="G292" s="1457"/>
      <c r="H292" s="1457"/>
      <c r="I292" s="1457"/>
      <c r="J292" s="1458"/>
      <c r="K292" s="937" t="s">
        <v>713</v>
      </c>
      <c r="L292" s="937" t="s">
        <v>714</v>
      </c>
      <c r="M292" s="937" t="s">
        <v>713</v>
      </c>
      <c r="N292" s="937" t="s">
        <v>714</v>
      </c>
      <c r="O292" s="937" t="s">
        <v>713</v>
      </c>
      <c r="P292" s="937" t="s">
        <v>714</v>
      </c>
      <c r="Q292" s="937" t="s">
        <v>713</v>
      </c>
      <c r="R292" s="937" t="s">
        <v>714</v>
      </c>
      <c r="S292" s="937" t="s">
        <v>713</v>
      </c>
      <c r="T292" s="937" t="s">
        <v>714</v>
      </c>
      <c r="U292" s="937" t="s">
        <v>713</v>
      </c>
      <c r="V292" s="938" t="s">
        <v>714</v>
      </c>
      <c r="W292" s="937" t="s">
        <v>713</v>
      </c>
      <c r="X292" s="937" t="s">
        <v>714</v>
      </c>
      <c r="Y292" s="937" t="s">
        <v>713</v>
      </c>
      <c r="Z292" s="937" t="s">
        <v>714</v>
      </c>
      <c r="AA292" s="937" t="s">
        <v>713</v>
      </c>
      <c r="AB292" s="937" t="s">
        <v>714</v>
      </c>
      <c r="AC292" s="937" t="s">
        <v>713</v>
      </c>
      <c r="AD292" s="937" t="s">
        <v>714</v>
      </c>
      <c r="AE292" s="937" t="s">
        <v>713</v>
      </c>
      <c r="AF292" s="937" t="s">
        <v>714</v>
      </c>
      <c r="AG292" s="937" t="s">
        <v>713</v>
      </c>
      <c r="AH292" s="939" t="s">
        <v>714</v>
      </c>
      <c r="AI292" s="940" t="s">
        <v>713</v>
      </c>
      <c r="AJ292" s="937" t="s">
        <v>714</v>
      </c>
      <c r="AK292" s="938" t="s">
        <v>713</v>
      </c>
      <c r="AL292" s="937" t="s">
        <v>714</v>
      </c>
      <c r="AM292" s="929"/>
    </row>
    <row r="293" spans="1:42" ht="27" customHeight="1">
      <c r="A293" s="941" t="s">
        <v>555</v>
      </c>
      <c r="B293" s="1427" t="s">
        <v>715</v>
      </c>
      <c r="C293" s="1428"/>
      <c r="D293" s="1428"/>
      <c r="E293" s="1428"/>
      <c r="F293" s="1428"/>
      <c r="G293" s="1428"/>
      <c r="H293" s="1428"/>
      <c r="I293" s="1428"/>
      <c r="J293" s="1429"/>
      <c r="K293" s="1032">
        <v>4.8951620050899605</v>
      </c>
      <c r="L293" s="1032">
        <v>10</v>
      </c>
      <c r="M293" s="1032">
        <v>4.7933822303717291</v>
      </c>
      <c r="N293" s="1032">
        <v>10</v>
      </c>
      <c r="O293" s="1032">
        <v>4.5262425698747943</v>
      </c>
      <c r="P293" s="1032">
        <v>10</v>
      </c>
      <c r="Q293" s="1033">
        <v>0</v>
      </c>
      <c r="R293" s="1032">
        <v>0</v>
      </c>
      <c r="S293" s="1033">
        <v>0</v>
      </c>
      <c r="T293" s="1032">
        <v>0</v>
      </c>
      <c r="U293" s="1033">
        <v>0</v>
      </c>
      <c r="V293" s="1032">
        <v>0</v>
      </c>
      <c r="W293" s="1033">
        <v>0</v>
      </c>
      <c r="X293" s="1032">
        <v>0</v>
      </c>
      <c r="Y293" s="1033">
        <v>0</v>
      </c>
      <c r="Z293" s="1032">
        <v>0</v>
      </c>
      <c r="AA293" s="1033">
        <v>0</v>
      </c>
      <c r="AB293" s="1032">
        <v>0</v>
      </c>
      <c r="AC293" s="1033">
        <v>0</v>
      </c>
      <c r="AD293" s="1032">
        <v>0</v>
      </c>
      <c r="AE293" s="1033">
        <v>0</v>
      </c>
      <c r="AF293" s="1032">
        <v>0</v>
      </c>
      <c r="AG293" s="1033">
        <v>0</v>
      </c>
      <c r="AH293" s="1032">
        <v>0</v>
      </c>
      <c r="AI293" s="944">
        <f>K293+M293+O293+Q293+S293+U293+W293+Y293+AA293+AC293+AE293+AG293</f>
        <v>14.214786805336484</v>
      </c>
      <c r="AJ293" s="945">
        <f>L293+N293+P293+R293+T293+V293+X293+Z293+AB293+AD293+AF293+AH293</f>
        <v>30</v>
      </c>
      <c r="AK293" s="945">
        <f>+AI293/3</f>
        <v>4.7382622684454949</v>
      </c>
      <c r="AL293" s="945">
        <v>10</v>
      </c>
      <c r="AM293" s="929"/>
      <c r="AO293" s="925">
        <v>10</v>
      </c>
      <c r="AP293" s="1009">
        <f>AO293-AL293</f>
        <v>0</v>
      </c>
    </row>
    <row r="294" spans="1:42" ht="27" customHeight="1">
      <c r="A294" s="941" t="s">
        <v>560</v>
      </c>
      <c r="B294" s="1427" t="s">
        <v>716</v>
      </c>
      <c r="C294" s="1428"/>
      <c r="D294" s="1428"/>
      <c r="E294" s="1428"/>
      <c r="F294" s="1428"/>
      <c r="G294" s="1428"/>
      <c r="H294" s="1428"/>
      <c r="I294" s="1428"/>
      <c r="J294" s="1429"/>
      <c r="K294" s="1032">
        <v>1502.2570000000001</v>
      </c>
      <c r="L294" s="1032">
        <v>15</v>
      </c>
      <c r="M294" s="1032">
        <v>114.2289</v>
      </c>
      <c r="N294" s="1032">
        <v>5</v>
      </c>
      <c r="O294" s="1032">
        <v>75.491100000000003</v>
      </c>
      <c r="P294" s="1032">
        <v>4</v>
      </c>
      <c r="Q294" s="1032">
        <v>0</v>
      </c>
      <c r="R294" s="1032">
        <v>0</v>
      </c>
      <c r="S294" s="1032">
        <v>0</v>
      </c>
      <c r="T294" s="1032">
        <v>0</v>
      </c>
      <c r="U294" s="1032">
        <v>0</v>
      </c>
      <c r="V294" s="1032">
        <v>0</v>
      </c>
      <c r="W294" s="1032">
        <v>0</v>
      </c>
      <c r="X294" s="1032">
        <v>0</v>
      </c>
      <c r="Y294" s="1032">
        <v>0</v>
      </c>
      <c r="Z294" s="1032">
        <v>0</v>
      </c>
      <c r="AA294" s="1032">
        <v>0</v>
      </c>
      <c r="AB294" s="1032">
        <v>0</v>
      </c>
      <c r="AC294" s="1032">
        <v>0</v>
      </c>
      <c r="AD294" s="1032">
        <v>0</v>
      </c>
      <c r="AE294" s="1032">
        <v>0</v>
      </c>
      <c r="AF294" s="1032">
        <v>0</v>
      </c>
      <c r="AG294" s="1032">
        <v>0</v>
      </c>
      <c r="AH294" s="1032">
        <v>0</v>
      </c>
      <c r="AI294" s="949">
        <f>K294+M294+O294+Q294+S294+U294+W294+Y294+AA294+AC294+AE294+AG294</f>
        <v>1691.9770000000001</v>
      </c>
      <c r="AJ294" s="945">
        <f t="shared" ref="AJ294:AJ300" si="18">+L294+N294+P294+R294+T294+V294+X294+Z294+AB294+AD294+AF294+AH294</f>
        <v>24</v>
      </c>
      <c r="AK294" s="945">
        <f>+AI294/12</f>
        <v>140.99808333333334</v>
      </c>
      <c r="AL294" s="945">
        <v>7</v>
      </c>
      <c r="AM294" s="929"/>
      <c r="AO294" s="925">
        <v>7</v>
      </c>
      <c r="AP294" s="1009">
        <f t="shared" ref="AP294:AP300" si="19">AO294-AL294</f>
        <v>0</v>
      </c>
    </row>
    <row r="295" spans="1:42" ht="27" customHeight="1">
      <c r="A295" s="941" t="s">
        <v>563</v>
      </c>
      <c r="B295" s="1427" t="s">
        <v>717</v>
      </c>
      <c r="C295" s="1428"/>
      <c r="D295" s="1428"/>
      <c r="E295" s="1428"/>
      <c r="F295" s="1428"/>
      <c r="G295" s="1428"/>
      <c r="H295" s="1428"/>
      <c r="I295" s="1428"/>
      <c r="J295" s="1429"/>
      <c r="K295" s="1033">
        <v>59</v>
      </c>
      <c r="L295" s="1032">
        <v>15</v>
      </c>
      <c r="M295" s="1033">
        <v>26</v>
      </c>
      <c r="N295" s="1032">
        <v>13</v>
      </c>
      <c r="O295" s="1033">
        <v>13</v>
      </c>
      <c r="P295" s="1032">
        <v>9</v>
      </c>
      <c r="Q295" s="1033">
        <v>0</v>
      </c>
      <c r="R295" s="1032">
        <v>5</v>
      </c>
      <c r="S295" s="1033">
        <v>0</v>
      </c>
      <c r="T295" s="1032">
        <v>5</v>
      </c>
      <c r="U295" s="1033">
        <v>0</v>
      </c>
      <c r="V295" s="1032">
        <v>5</v>
      </c>
      <c r="W295" s="1033">
        <v>0</v>
      </c>
      <c r="X295" s="1032">
        <v>5</v>
      </c>
      <c r="Y295" s="1033">
        <v>0</v>
      </c>
      <c r="Z295" s="1032">
        <v>5</v>
      </c>
      <c r="AA295" s="1033">
        <v>0</v>
      </c>
      <c r="AB295" s="1032">
        <v>5</v>
      </c>
      <c r="AC295" s="1033">
        <v>0</v>
      </c>
      <c r="AD295" s="1032">
        <v>5</v>
      </c>
      <c r="AE295" s="1033">
        <v>0</v>
      </c>
      <c r="AF295" s="1032">
        <v>5</v>
      </c>
      <c r="AG295" s="1033">
        <v>0</v>
      </c>
      <c r="AH295" s="1032">
        <v>5</v>
      </c>
      <c r="AI295" s="944">
        <f>K295+M295+O295+Q295+S295+U295+W295+Y295+AA295+AC295+AE295+AG295</f>
        <v>98</v>
      </c>
      <c r="AJ295" s="950">
        <f t="shared" si="18"/>
        <v>82</v>
      </c>
      <c r="AK295" s="945">
        <f>+AI295/12</f>
        <v>8.1666666666666661</v>
      </c>
      <c r="AL295" s="946">
        <v>7</v>
      </c>
      <c r="AM295" s="929"/>
      <c r="AO295" s="925">
        <v>7</v>
      </c>
      <c r="AP295" s="1009">
        <f t="shared" si="19"/>
        <v>0</v>
      </c>
    </row>
    <row r="296" spans="1:42" ht="27" customHeight="1">
      <c r="A296" s="941" t="s">
        <v>567</v>
      </c>
      <c r="B296" s="1427" t="s">
        <v>718</v>
      </c>
      <c r="C296" s="1428"/>
      <c r="D296" s="1428"/>
      <c r="E296" s="1428"/>
      <c r="F296" s="1428"/>
      <c r="G296" s="1428"/>
      <c r="H296" s="1428"/>
      <c r="I296" s="1428"/>
      <c r="J296" s="1429"/>
      <c r="K296" s="950" t="s">
        <v>698</v>
      </c>
      <c r="L296" s="950">
        <v>9</v>
      </c>
      <c r="M296" s="950" t="s">
        <v>698</v>
      </c>
      <c r="N296" s="950">
        <v>8</v>
      </c>
      <c r="O296" s="950" t="s">
        <v>698</v>
      </c>
      <c r="P296" s="950">
        <v>8</v>
      </c>
      <c r="Q296" s="950" t="s">
        <v>112</v>
      </c>
      <c r="R296" s="950">
        <v>7</v>
      </c>
      <c r="S296" s="950" t="s">
        <v>112</v>
      </c>
      <c r="T296" s="950">
        <v>7</v>
      </c>
      <c r="U296" s="950" t="s">
        <v>112</v>
      </c>
      <c r="V296" s="950">
        <v>7</v>
      </c>
      <c r="W296" s="950" t="s">
        <v>112</v>
      </c>
      <c r="X296" s="950">
        <v>7</v>
      </c>
      <c r="Y296" s="950" t="s">
        <v>112</v>
      </c>
      <c r="Z296" s="950">
        <v>7</v>
      </c>
      <c r="AA296" s="950" t="s">
        <v>112</v>
      </c>
      <c r="AB296" s="950">
        <v>7</v>
      </c>
      <c r="AC296" s="950" t="s">
        <v>112</v>
      </c>
      <c r="AD296" s="950">
        <v>7</v>
      </c>
      <c r="AE296" s="950" t="s">
        <v>112</v>
      </c>
      <c r="AF296" s="950">
        <v>7</v>
      </c>
      <c r="AG296" s="950" t="s">
        <v>112</v>
      </c>
      <c r="AH296" s="950">
        <v>7</v>
      </c>
      <c r="AI296" s="950" t="s">
        <v>698</v>
      </c>
      <c r="AJ296" s="950">
        <f t="shared" si="18"/>
        <v>88</v>
      </c>
      <c r="AK296" s="950" t="s">
        <v>698</v>
      </c>
      <c r="AL296" s="946">
        <f>+AJ296/12</f>
        <v>7.333333333333333</v>
      </c>
      <c r="AM296" s="929"/>
      <c r="AO296" s="925">
        <v>7</v>
      </c>
      <c r="AP296" s="1009">
        <f t="shared" si="19"/>
        <v>-0.33333333333333304</v>
      </c>
    </row>
    <row r="297" spans="1:42" ht="27" customHeight="1">
      <c r="A297" s="941" t="s">
        <v>571</v>
      </c>
      <c r="B297" s="1427" t="s">
        <v>719</v>
      </c>
      <c r="C297" s="1428"/>
      <c r="D297" s="1428"/>
      <c r="E297" s="1428"/>
      <c r="F297" s="1428"/>
      <c r="G297" s="1428"/>
      <c r="H297" s="1428"/>
      <c r="I297" s="1428"/>
      <c r="J297" s="1429"/>
      <c r="K297" s="950" t="s">
        <v>698</v>
      </c>
      <c r="L297" s="950">
        <v>8</v>
      </c>
      <c r="M297" s="950" t="s">
        <v>698</v>
      </c>
      <c r="N297" s="950">
        <v>8</v>
      </c>
      <c r="O297" s="950" t="s">
        <v>698</v>
      </c>
      <c r="P297" s="950">
        <v>8</v>
      </c>
      <c r="Q297" s="950" t="s">
        <v>112</v>
      </c>
      <c r="R297" s="950">
        <v>7</v>
      </c>
      <c r="S297" s="950" t="s">
        <v>112</v>
      </c>
      <c r="T297" s="950">
        <v>7</v>
      </c>
      <c r="U297" s="950" t="s">
        <v>112</v>
      </c>
      <c r="V297" s="950">
        <v>7</v>
      </c>
      <c r="W297" s="950" t="s">
        <v>112</v>
      </c>
      <c r="X297" s="950">
        <v>7</v>
      </c>
      <c r="Y297" s="950" t="s">
        <v>112</v>
      </c>
      <c r="Z297" s="950">
        <v>7</v>
      </c>
      <c r="AA297" s="950" t="s">
        <v>112</v>
      </c>
      <c r="AB297" s="950">
        <v>7</v>
      </c>
      <c r="AC297" s="950" t="s">
        <v>112</v>
      </c>
      <c r="AD297" s="950">
        <v>7</v>
      </c>
      <c r="AE297" s="950" t="s">
        <v>112</v>
      </c>
      <c r="AF297" s="950">
        <v>7</v>
      </c>
      <c r="AG297" s="950" t="s">
        <v>112</v>
      </c>
      <c r="AH297" s="950">
        <v>7</v>
      </c>
      <c r="AI297" s="950" t="s">
        <v>698</v>
      </c>
      <c r="AJ297" s="950">
        <f t="shared" si="18"/>
        <v>87</v>
      </c>
      <c r="AK297" s="950" t="s">
        <v>698</v>
      </c>
      <c r="AL297" s="946">
        <f t="shared" ref="AL297:AL300" si="20">+AJ297/12</f>
        <v>7.25</v>
      </c>
      <c r="AM297" s="929"/>
      <c r="AO297" s="925">
        <v>7</v>
      </c>
      <c r="AP297" s="1009">
        <f t="shared" si="19"/>
        <v>-0.25</v>
      </c>
    </row>
    <row r="298" spans="1:42" ht="27" customHeight="1">
      <c r="A298" s="941" t="s">
        <v>575</v>
      </c>
      <c r="B298" s="1427" t="s">
        <v>720</v>
      </c>
      <c r="C298" s="1428"/>
      <c r="D298" s="1428"/>
      <c r="E298" s="1428"/>
      <c r="F298" s="1428"/>
      <c r="G298" s="1428"/>
      <c r="H298" s="1428"/>
      <c r="I298" s="1428"/>
      <c r="J298" s="1429"/>
      <c r="K298" s="950" t="s">
        <v>698</v>
      </c>
      <c r="L298" s="950">
        <v>9</v>
      </c>
      <c r="M298" s="950" t="s">
        <v>698</v>
      </c>
      <c r="N298" s="950">
        <v>9</v>
      </c>
      <c r="O298" s="950" t="s">
        <v>698</v>
      </c>
      <c r="P298" s="950">
        <v>9</v>
      </c>
      <c r="Q298" s="950" t="s">
        <v>112</v>
      </c>
      <c r="R298" s="950">
        <v>7</v>
      </c>
      <c r="S298" s="950" t="s">
        <v>112</v>
      </c>
      <c r="T298" s="950">
        <v>7</v>
      </c>
      <c r="U298" s="950" t="s">
        <v>112</v>
      </c>
      <c r="V298" s="950">
        <v>7</v>
      </c>
      <c r="W298" s="950" t="s">
        <v>112</v>
      </c>
      <c r="X298" s="950">
        <v>7</v>
      </c>
      <c r="Y298" s="950" t="s">
        <v>112</v>
      </c>
      <c r="Z298" s="950">
        <v>7</v>
      </c>
      <c r="AA298" s="950" t="s">
        <v>112</v>
      </c>
      <c r="AB298" s="950">
        <v>7</v>
      </c>
      <c r="AC298" s="950" t="s">
        <v>112</v>
      </c>
      <c r="AD298" s="950">
        <v>7</v>
      </c>
      <c r="AE298" s="950" t="s">
        <v>112</v>
      </c>
      <c r="AF298" s="950">
        <v>7</v>
      </c>
      <c r="AG298" s="950" t="s">
        <v>112</v>
      </c>
      <c r="AH298" s="950">
        <v>7</v>
      </c>
      <c r="AI298" s="950" t="s">
        <v>698</v>
      </c>
      <c r="AJ298" s="950">
        <f t="shared" si="18"/>
        <v>90</v>
      </c>
      <c r="AK298" s="950" t="s">
        <v>698</v>
      </c>
      <c r="AL298" s="946">
        <f t="shared" si="20"/>
        <v>7.5</v>
      </c>
      <c r="AM298" s="929"/>
      <c r="AO298" s="925">
        <v>8</v>
      </c>
      <c r="AP298" s="1009">
        <f t="shared" si="19"/>
        <v>0.5</v>
      </c>
    </row>
    <row r="299" spans="1:42" ht="27" customHeight="1">
      <c r="A299" s="941" t="s">
        <v>578</v>
      </c>
      <c r="B299" s="1427" t="s">
        <v>721</v>
      </c>
      <c r="C299" s="1428"/>
      <c r="D299" s="1428"/>
      <c r="E299" s="1428"/>
      <c r="F299" s="1428"/>
      <c r="G299" s="1428"/>
      <c r="H299" s="1428"/>
      <c r="I299" s="1428"/>
      <c r="J299" s="1429"/>
      <c r="K299" s="950" t="s">
        <v>112</v>
      </c>
      <c r="L299" s="950">
        <v>7</v>
      </c>
      <c r="M299" s="950" t="s">
        <v>112</v>
      </c>
      <c r="N299" s="950">
        <v>7</v>
      </c>
      <c r="O299" s="950" t="s">
        <v>112</v>
      </c>
      <c r="P299" s="950">
        <v>7</v>
      </c>
      <c r="Q299" s="950" t="s">
        <v>112</v>
      </c>
      <c r="R299" s="950">
        <v>7</v>
      </c>
      <c r="S299" s="950" t="s">
        <v>112</v>
      </c>
      <c r="T299" s="950">
        <v>7</v>
      </c>
      <c r="U299" s="950" t="s">
        <v>112</v>
      </c>
      <c r="V299" s="950">
        <v>7</v>
      </c>
      <c r="W299" s="950" t="s">
        <v>112</v>
      </c>
      <c r="X299" s="950">
        <v>7</v>
      </c>
      <c r="Y299" s="950" t="s">
        <v>112</v>
      </c>
      <c r="Z299" s="950">
        <v>7</v>
      </c>
      <c r="AA299" s="950" t="s">
        <v>112</v>
      </c>
      <c r="AB299" s="950">
        <v>7</v>
      </c>
      <c r="AC299" s="950" t="s">
        <v>112</v>
      </c>
      <c r="AD299" s="950">
        <v>7</v>
      </c>
      <c r="AE299" s="950" t="s">
        <v>112</v>
      </c>
      <c r="AF299" s="950">
        <v>7</v>
      </c>
      <c r="AG299" s="950" t="s">
        <v>112</v>
      </c>
      <c r="AH299" s="950">
        <v>7</v>
      </c>
      <c r="AI299" s="950" t="s">
        <v>112</v>
      </c>
      <c r="AJ299" s="950">
        <f t="shared" si="18"/>
        <v>84</v>
      </c>
      <c r="AK299" s="950" t="s">
        <v>112</v>
      </c>
      <c r="AL299" s="946">
        <f t="shared" si="20"/>
        <v>7</v>
      </c>
      <c r="AM299" s="929"/>
      <c r="AO299" s="925">
        <v>7</v>
      </c>
      <c r="AP299" s="1009">
        <f t="shared" si="19"/>
        <v>0</v>
      </c>
    </row>
    <row r="300" spans="1:42" ht="27" customHeight="1">
      <c r="A300" s="941" t="s">
        <v>581</v>
      </c>
      <c r="B300" s="1427" t="s">
        <v>722</v>
      </c>
      <c r="C300" s="1428"/>
      <c r="D300" s="1428"/>
      <c r="E300" s="1428"/>
      <c r="F300" s="1428"/>
      <c r="G300" s="1428"/>
      <c r="H300" s="1428"/>
      <c r="I300" s="1428"/>
      <c r="J300" s="1429"/>
      <c r="K300" s="950" t="s">
        <v>698</v>
      </c>
      <c r="L300" s="950">
        <v>9</v>
      </c>
      <c r="M300" s="950" t="s">
        <v>698</v>
      </c>
      <c r="N300" s="950">
        <v>9</v>
      </c>
      <c r="O300" s="950" t="s">
        <v>698</v>
      </c>
      <c r="P300" s="950">
        <v>8</v>
      </c>
      <c r="Q300" s="950" t="s">
        <v>112</v>
      </c>
      <c r="R300" s="950">
        <v>7</v>
      </c>
      <c r="S300" s="950" t="s">
        <v>112</v>
      </c>
      <c r="T300" s="950">
        <v>7</v>
      </c>
      <c r="U300" s="950" t="s">
        <v>112</v>
      </c>
      <c r="V300" s="950">
        <v>7</v>
      </c>
      <c r="W300" s="950" t="s">
        <v>112</v>
      </c>
      <c r="X300" s="950">
        <v>7</v>
      </c>
      <c r="Y300" s="950" t="s">
        <v>112</v>
      </c>
      <c r="Z300" s="950">
        <v>7</v>
      </c>
      <c r="AA300" s="950" t="s">
        <v>112</v>
      </c>
      <c r="AB300" s="950">
        <v>7</v>
      </c>
      <c r="AC300" s="950" t="s">
        <v>112</v>
      </c>
      <c r="AD300" s="950">
        <v>7</v>
      </c>
      <c r="AE300" s="950" t="s">
        <v>112</v>
      </c>
      <c r="AF300" s="950">
        <v>7</v>
      </c>
      <c r="AG300" s="950" t="s">
        <v>112</v>
      </c>
      <c r="AH300" s="950">
        <v>7</v>
      </c>
      <c r="AI300" s="950" t="s">
        <v>112</v>
      </c>
      <c r="AJ300" s="950">
        <f t="shared" si="18"/>
        <v>89</v>
      </c>
      <c r="AK300" s="950" t="s">
        <v>112</v>
      </c>
      <c r="AL300" s="946">
        <f t="shared" si="20"/>
        <v>7.416666666666667</v>
      </c>
      <c r="AM300" s="929"/>
      <c r="AO300" s="925">
        <v>7</v>
      </c>
      <c r="AP300" s="1009">
        <f t="shared" si="19"/>
        <v>-0.41666666666666696</v>
      </c>
    </row>
    <row r="301" spans="1:42" ht="42" customHeight="1">
      <c r="A301" s="952"/>
      <c r="B301" s="1430" t="s">
        <v>68</v>
      </c>
      <c r="C301" s="1430"/>
      <c r="D301" s="1430"/>
      <c r="E301" s="1430"/>
      <c r="F301" s="1430"/>
      <c r="G301" s="1430"/>
      <c r="H301" s="1430"/>
      <c r="I301" s="1430"/>
      <c r="J301" s="1430"/>
      <c r="K301" s="1425">
        <f>SUM(L293:L300)</f>
        <v>82</v>
      </c>
      <c r="L301" s="1426"/>
      <c r="M301" s="1425">
        <f>SUM(N293:N300)</f>
        <v>69</v>
      </c>
      <c r="N301" s="1426"/>
      <c r="O301" s="1425">
        <f>SUM(P293:P300)</f>
        <v>63</v>
      </c>
      <c r="P301" s="1426"/>
      <c r="Q301" s="1425">
        <f>SUM(R293:R300)</f>
        <v>40</v>
      </c>
      <c r="R301" s="1426"/>
      <c r="S301" s="1425">
        <f>SUM(T293:T300)</f>
        <v>40</v>
      </c>
      <c r="T301" s="1426"/>
      <c r="U301" s="1425">
        <f>SUM(V293:V300)</f>
        <v>40</v>
      </c>
      <c r="V301" s="1426"/>
      <c r="W301" s="1425">
        <f>SUM(X293:X300)</f>
        <v>40</v>
      </c>
      <c r="X301" s="1426"/>
      <c r="Y301" s="1425">
        <f>SUM(Z293:Z300)</f>
        <v>40</v>
      </c>
      <c r="Z301" s="1426"/>
      <c r="AA301" s="1425">
        <f>SUM(AB293:AB300)</f>
        <v>40</v>
      </c>
      <c r="AB301" s="1426"/>
      <c r="AC301" s="1425">
        <f>SUM(AD293:AD300)</f>
        <v>40</v>
      </c>
      <c r="AD301" s="1426"/>
      <c r="AE301" s="1425">
        <f t="shared" ref="AE301" si="21">SUM(AF293:AF300)</f>
        <v>40</v>
      </c>
      <c r="AF301" s="1426"/>
      <c r="AG301" s="1425">
        <f t="shared" ref="AG301" si="22">SUM(AH293:AH300)</f>
        <v>40</v>
      </c>
      <c r="AH301" s="1426"/>
      <c r="AI301" s="1484">
        <f>SUM(K301:AG301)</f>
        <v>574</v>
      </c>
      <c r="AJ301" s="1420"/>
      <c r="AK301" s="1420">
        <v>60</v>
      </c>
      <c r="AL301" s="1420"/>
      <c r="AM301" s="929"/>
      <c r="AO301" s="925">
        <f>SUM(AO293:AO300)</f>
        <v>60</v>
      </c>
    </row>
    <row r="302" spans="1:42" ht="21.75" customHeight="1">
      <c r="A302" s="953"/>
      <c r="B302" s="927"/>
      <c r="C302" s="928"/>
      <c r="D302" s="927"/>
      <c r="E302" s="927"/>
      <c r="F302" s="927"/>
      <c r="G302" s="927"/>
      <c r="H302" s="927"/>
      <c r="I302" s="927"/>
      <c r="J302" s="927"/>
      <c r="K302" s="954"/>
      <c r="L302" s="955"/>
      <c r="M302" s="955"/>
      <c r="N302" s="955"/>
      <c r="O302" s="955"/>
      <c r="P302" s="955"/>
      <c r="Q302" s="955"/>
      <c r="R302" s="955"/>
      <c r="S302" s="955"/>
      <c r="T302" s="955"/>
      <c r="U302" s="955"/>
      <c r="V302" s="955"/>
      <c r="W302" s="955"/>
      <c r="X302" s="955"/>
      <c r="Y302" s="955"/>
      <c r="Z302" s="955"/>
      <c r="AA302" s="955"/>
      <c r="AB302" s="955"/>
      <c r="AC302" s="955"/>
      <c r="AD302" s="955"/>
      <c r="AE302" s="955"/>
      <c r="AF302" s="955"/>
      <c r="AG302" s="955"/>
      <c r="AH302" s="955"/>
      <c r="AI302" s="955"/>
      <c r="AJ302" s="955"/>
      <c r="AK302" s="955"/>
      <c r="AL302" s="955"/>
      <c r="AM302" s="929"/>
    </row>
    <row r="303" spans="1:42" ht="21.75" customHeight="1">
      <c r="A303" s="953"/>
      <c r="B303" s="927"/>
      <c r="C303" s="928"/>
      <c r="D303" s="927"/>
      <c r="E303" s="927"/>
      <c r="F303" s="927"/>
      <c r="G303" s="927"/>
      <c r="H303" s="927"/>
      <c r="I303" s="927"/>
      <c r="J303" s="927"/>
      <c r="K303" s="927"/>
      <c r="L303" s="927"/>
      <c r="M303" s="927"/>
      <c r="N303" s="927"/>
      <c r="O303" s="927"/>
      <c r="P303" s="927"/>
      <c r="Q303" s="927"/>
      <c r="R303" s="927"/>
      <c r="S303" s="927"/>
      <c r="T303" s="927"/>
      <c r="U303" s="927"/>
      <c r="V303" s="927"/>
      <c r="W303" s="927"/>
      <c r="X303" s="927"/>
      <c r="Y303" s="927"/>
      <c r="Z303" s="927"/>
      <c r="AA303" s="927"/>
      <c r="AB303" s="927"/>
      <c r="AC303" s="927"/>
      <c r="AD303" s="927"/>
      <c r="AE303" s="927"/>
      <c r="AF303" s="927"/>
      <c r="AG303" s="927"/>
      <c r="AH303" s="927"/>
      <c r="AI303" s="927"/>
      <c r="AJ303" s="927"/>
      <c r="AK303" s="927"/>
      <c r="AL303" s="927"/>
      <c r="AM303" s="929"/>
    </row>
    <row r="304" spans="1:42" ht="21.75" customHeight="1">
      <c r="A304" s="953"/>
      <c r="B304" s="927"/>
      <c r="C304" s="928"/>
      <c r="D304" s="927"/>
      <c r="E304" s="927"/>
      <c r="F304" s="927"/>
      <c r="G304" s="927"/>
      <c r="H304" s="927"/>
      <c r="I304" s="927"/>
      <c r="J304" s="927"/>
      <c r="K304" s="927"/>
      <c r="L304" s="927"/>
      <c r="M304" s="927"/>
      <c r="N304" s="927"/>
      <c r="O304" s="927"/>
      <c r="P304" s="927"/>
      <c r="Q304" s="927"/>
      <c r="R304" s="927"/>
      <c r="S304" s="927"/>
      <c r="T304" s="927"/>
      <c r="U304" s="927"/>
      <c r="V304" s="927"/>
      <c r="W304" s="927"/>
      <c r="X304" s="927"/>
      <c r="Y304" s="927"/>
      <c r="Z304" s="927"/>
      <c r="AA304" s="927"/>
      <c r="AB304" s="927"/>
      <c r="AC304" s="927"/>
      <c r="AD304" s="927"/>
      <c r="AE304" s="927"/>
      <c r="AF304" s="927"/>
      <c r="AG304" s="927"/>
      <c r="AH304" s="927"/>
      <c r="AI304" s="927"/>
      <c r="AJ304" s="927"/>
      <c r="AK304" s="927"/>
      <c r="AL304" s="927"/>
      <c r="AM304" s="929"/>
    </row>
    <row r="305" spans="1:41" ht="21.75" customHeight="1">
      <c r="A305" s="957"/>
      <c r="B305" s="958"/>
      <c r="C305" s="934"/>
      <c r="D305" s="927"/>
      <c r="E305" s="959"/>
      <c r="F305" s="927"/>
      <c r="G305" s="927"/>
      <c r="H305" s="927"/>
      <c r="I305" s="927"/>
      <c r="J305" s="927"/>
      <c r="K305" s="927"/>
      <c r="L305" s="927"/>
      <c r="M305" s="927"/>
      <c r="N305" s="927"/>
      <c r="O305" s="927"/>
      <c r="P305" s="958"/>
      <c r="Q305" s="958"/>
      <c r="R305" s="958"/>
      <c r="S305" s="958"/>
      <c r="T305" s="958"/>
      <c r="U305" s="958"/>
      <c r="V305" s="958"/>
      <c r="W305" s="927"/>
      <c r="X305" s="927"/>
      <c r="Y305" s="934"/>
      <c r="Z305" s="927"/>
      <c r="AA305" s="927"/>
      <c r="AB305" s="934"/>
      <c r="AC305" s="934"/>
      <c r="AD305" s="960"/>
      <c r="AE305" s="1422" t="s">
        <v>634</v>
      </c>
      <c r="AF305" s="1423"/>
      <c r="AG305" s="1423"/>
      <c r="AH305" s="1423"/>
      <c r="AI305" s="1423"/>
      <c r="AJ305" s="1423"/>
      <c r="AK305" s="1423"/>
      <c r="AL305" s="1424"/>
      <c r="AM305" s="929"/>
    </row>
    <row r="306" spans="1:41" ht="21.75" customHeight="1">
      <c r="A306" s="957"/>
      <c r="B306" s="958"/>
      <c r="C306" s="934"/>
      <c r="D306" s="927"/>
      <c r="E306" s="959"/>
      <c r="F306" s="927"/>
      <c r="G306" s="927"/>
      <c r="H306" s="927"/>
      <c r="I306" s="927"/>
      <c r="J306" s="927"/>
      <c r="K306" s="927"/>
      <c r="L306" s="927"/>
      <c r="M306" s="927"/>
      <c r="N306" s="927"/>
      <c r="O306" s="927"/>
      <c r="P306" s="927"/>
      <c r="Q306" s="927"/>
      <c r="R306" s="958"/>
      <c r="S306" s="927"/>
      <c r="T306" s="927"/>
      <c r="U306" s="927"/>
      <c r="V306" s="927"/>
      <c r="W306" s="927"/>
      <c r="X306" s="927"/>
      <c r="Y306" s="934"/>
      <c r="Z306" s="927"/>
      <c r="AA306" s="927"/>
      <c r="AB306" s="934"/>
      <c r="AC306" s="934"/>
      <c r="AD306" s="960"/>
      <c r="AE306" s="953"/>
      <c r="AF306" s="927"/>
      <c r="AG306" s="934"/>
      <c r="AH306" s="927"/>
      <c r="AI306" s="927"/>
      <c r="AJ306" s="927"/>
      <c r="AK306" s="927"/>
      <c r="AL306" s="929"/>
      <c r="AM306" s="929"/>
    </row>
    <row r="307" spans="1:41" ht="21.75" customHeight="1">
      <c r="A307" s="957"/>
      <c r="B307" s="958"/>
      <c r="C307" s="934"/>
      <c r="D307" s="927"/>
      <c r="E307" s="959"/>
      <c r="F307" s="927"/>
      <c r="G307" s="927"/>
      <c r="H307" s="927"/>
      <c r="I307" s="927"/>
      <c r="J307" s="927"/>
      <c r="K307" s="927"/>
      <c r="L307" s="927"/>
      <c r="M307" s="927"/>
      <c r="N307" s="927"/>
      <c r="O307" s="927"/>
      <c r="P307" s="934"/>
      <c r="Q307" s="934"/>
      <c r="R307" s="934"/>
      <c r="S307" s="934"/>
      <c r="T307" s="927"/>
      <c r="U307" s="927"/>
      <c r="V307" s="958"/>
      <c r="W307" s="927"/>
      <c r="X307" s="927"/>
      <c r="Y307" s="934"/>
      <c r="Z307" s="927"/>
      <c r="AA307" s="961"/>
      <c r="AB307" s="934"/>
      <c r="AC307" s="934"/>
      <c r="AD307" s="960"/>
      <c r="AE307" s="953"/>
      <c r="AF307" s="927"/>
      <c r="AG307" s="934"/>
      <c r="AH307" s="927"/>
      <c r="AI307" s="927"/>
      <c r="AJ307" s="927"/>
      <c r="AK307" s="961"/>
      <c r="AL307" s="929"/>
      <c r="AM307" s="929"/>
    </row>
    <row r="308" spans="1:41" ht="21.75" customHeight="1">
      <c r="A308" s="957"/>
      <c r="B308" s="958"/>
      <c r="C308" s="934"/>
      <c r="D308" s="927"/>
      <c r="E308" s="959"/>
      <c r="F308" s="927"/>
      <c r="G308" s="962"/>
      <c r="H308" s="927"/>
      <c r="I308" s="927"/>
      <c r="J308" s="927"/>
      <c r="K308" s="927"/>
      <c r="L308" s="927"/>
      <c r="M308" s="927"/>
      <c r="N308" s="927"/>
      <c r="O308" s="927"/>
      <c r="P308" s="934"/>
      <c r="Q308" s="934"/>
      <c r="R308" s="934"/>
      <c r="S308" s="934"/>
      <c r="T308" s="928"/>
      <c r="U308" s="927"/>
      <c r="V308" s="958"/>
      <c r="W308" s="927"/>
      <c r="X308" s="927"/>
      <c r="Y308" s="934"/>
      <c r="Z308" s="927"/>
      <c r="AA308" s="927"/>
      <c r="AB308" s="934"/>
      <c r="AC308" s="934"/>
      <c r="AD308" s="960"/>
      <c r="AE308" s="963"/>
      <c r="AF308" s="964"/>
      <c r="AG308" s="965"/>
      <c r="AH308" s="964"/>
      <c r="AI308" s="964"/>
      <c r="AJ308" s="964"/>
      <c r="AK308" s="964"/>
      <c r="AL308" s="966"/>
      <c r="AM308" s="929"/>
    </row>
    <row r="309" spans="1:41" ht="21.75" customHeight="1">
      <c r="A309" s="953"/>
      <c r="B309" s="927"/>
      <c r="C309" s="928"/>
      <c r="D309" s="927"/>
      <c r="E309" s="958"/>
      <c r="F309" s="927"/>
      <c r="G309" s="958"/>
      <c r="H309" s="927"/>
      <c r="I309" s="927"/>
      <c r="J309" s="927"/>
      <c r="K309" s="927"/>
      <c r="L309" s="927"/>
      <c r="M309" s="927"/>
      <c r="N309" s="927"/>
      <c r="O309" s="927"/>
      <c r="P309" s="934"/>
      <c r="Q309" s="934"/>
      <c r="R309" s="934"/>
      <c r="S309" s="934"/>
      <c r="T309" s="927"/>
      <c r="U309" s="927"/>
      <c r="V309" s="958"/>
      <c r="W309" s="927"/>
      <c r="X309" s="927"/>
      <c r="Y309" s="934"/>
      <c r="Z309" s="927"/>
      <c r="AA309" s="927"/>
      <c r="AB309" s="934"/>
      <c r="AC309" s="934"/>
      <c r="AD309" s="960"/>
      <c r="AE309" s="953" t="s">
        <v>723</v>
      </c>
      <c r="AF309" s="927"/>
      <c r="AG309" s="934" t="s">
        <v>3</v>
      </c>
      <c r="AH309" s="928" t="s">
        <v>724</v>
      </c>
      <c r="AI309" s="927"/>
      <c r="AJ309" s="927"/>
      <c r="AK309" s="927"/>
      <c r="AL309" s="929"/>
      <c r="AM309" s="929"/>
    </row>
    <row r="310" spans="1:41" ht="21.75" customHeight="1">
      <c r="A310" s="953"/>
      <c r="B310" s="927"/>
      <c r="C310" s="934"/>
      <c r="D310" s="934"/>
      <c r="E310" s="934"/>
      <c r="F310" s="934"/>
      <c r="G310" s="934"/>
      <c r="H310" s="934"/>
      <c r="I310" s="934"/>
      <c r="J310" s="934"/>
      <c r="K310" s="934"/>
      <c r="L310" s="934"/>
      <c r="M310" s="934"/>
      <c r="N310" s="934"/>
      <c r="O310" s="934"/>
      <c r="P310" s="934"/>
      <c r="Q310" s="934"/>
      <c r="R310" s="934"/>
      <c r="S310" s="934"/>
      <c r="T310" s="927"/>
      <c r="U310" s="958"/>
      <c r="V310" s="958"/>
      <c r="W310" s="927"/>
      <c r="X310" s="927"/>
      <c r="Y310" s="934"/>
      <c r="Z310" s="927"/>
      <c r="AA310" s="927"/>
      <c r="AB310" s="934"/>
      <c r="AC310" s="934"/>
      <c r="AD310" s="960"/>
      <c r="AE310" s="953" t="s">
        <v>725</v>
      </c>
      <c r="AF310" s="927"/>
      <c r="AG310" s="934" t="s">
        <v>3</v>
      </c>
      <c r="AH310" s="927" t="s">
        <v>726</v>
      </c>
      <c r="AI310" s="927"/>
      <c r="AJ310" s="927"/>
      <c r="AK310" s="927"/>
      <c r="AL310" s="929"/>
      <c r="AM310" s="929"/>
    </row>
    <row r="311" spans="1:41" ht="21.75" customHeight="1">
      <c r="A311" s="953"/>
      <c r="B311" s="927"/>
      <c r="C311" s="934"/>
      <c r="D311" s="934"/>
      <c r="E311" s="934"/>
      <c r="F311" s="934"/>
      <c r="G311" s="934"/>
      <c r="H311" s="934"/>
      <c r="I311" s="934"/>
      <c r="J311" s="934"/>
      <c r="K311" s="934"/>
      <c r="L311" s="934"/>
      <c r="M311" s="934"/>
      <c r="N311" s="934"/>
      <c r="O311" s="934"/>
      <c r="P311" s="934"/>
      <c r="Q311" s="934"/>
      <c r="R311" s="934"/>
      <c r="S311" s="934"/>
      <c r="T311" s="958"/>
      <c r="U311" s="958"/>
      <c r="V311" s="958"/>
      <c r="W311" s="927"/>
      <c r="X311" s="927"/>
      <c r="Y311" s="934"/>
      <c r="Z311" s="928"/>
      <c r="AA311" s="927"/>
      <c r="AB311" s="934"/>
      <c r="AC311" s="934"/>
      <c r="AD311" s="960"/>
      <c r="AE311" s="963" t="s">
        <v>727</v>
      </c>
      <c r="AF311" s="964"/>
      <c r="AG311" s="965" t="s">
        <v>3</v>
      </c>
      <c r="AH311" s="967" t="str">
        <f>AH421</f>
        <v>02 Januari 2020</v>
      </c>
      <c r="AI311" s="967"/>
      <c r="AJ311" s="967"/>
      <c r="AK311" s="964"/>
      <c r="AL311" s="966"/>
      <c r="AM311" s="929"/>
    </row>
    <row r="312" spans="1:41" ht="18" customHeight="1">
      <c r="A312" s="963"/>
      <c r="B312" s="964"/>
      <c r="C312" s="968"/>
      <c r="D312" s="964"/>
      <c r="E312" s="964"/>
      <c r="F312" s="964"/>
      <c r="G312" s="965"/>
      <c r="H312" s="965"/>
      <c r="I312" s="964"/>
      <c r="J312" s="964"/>
      <c r="K312" s="964"/>
      <c r="L312" s="964"/>
      <c r="M312" s="964"/>
      <c r="N312" s="964"/>
      <c r="O312" s="964"/>
      <c r="P312" s="964"/>
      <c r="Q312" s="964"/>
      <c r="R312" s="964"/>
      <c r="S312" s="964"/>
      <c r="T312" s="964"/>
      <c r="U312" s="964"/>
      <c r="V312" s="964"/>
      <c r="W312" s="964"/>
      <c r="X312" s="964"/>
      <c r="Y312" s="964"/>
      <c r="Z312" s="964"/>
      <c r="AA312" s="964"/>
      <c r="AB312" s="964"/>
      <c r="AC312" s="964"/>
      <c r="AD312" s="964"/>
      <c r="AE312" s="964"/>
      <c r="AF312" s="964"/>
      <c r="AG312" s="964"/>
      <c r="AH312" s="964"/>
      <c r="AI312" s="964"/>
      <c r="AJ312" s="964"/>
      <c r="AK312" s="964"/>
      <c r="AL312" s="964"/>
      <c r="AM312" s="966"/>
    </row>
    <row r="315" spans="1:41">
      <c r="A315" s="1463"/>
      <c r="B315" s="1464"/>
      <c r="C315" s="1464"/>
      <c r="D315" s="1465"/>
      <c r="E315" s="1433" t="s">
        <v>537</v>
      </c>
      <c r="F315" s="1434"/>
      <c r="G315" s="1434"/>
      <c r="H315" s="1434"/>
      <c r="I315" s="1434"/>
      <c r="J315" s="1434"/>
      <c r="K315" s="1434"/>
      <c r="L315" s="1434"/>
      <c r="M315" s="1434"/>
      <c r="N315" s="1434"/>
      <c r="O315" s="1434"/>
      <c r="P315" s="1434"/>
      <c r="Q315" s="1434"/>
      <c r="R315" s="1434"/>
      <c r="S315" s="1434"/>
      <c r="T315" s="1434"/>
      <c r="U315" s="1434"/>
      <c r="V315" s="1434"/>
      <c r="W315" s="1434"/>
      <c r="X315" s="1434"/>
      <c r="Y315" s="1434"/>
      <c r="Z315" s="1434"/>
      <c r="AA315" s="1434"/>
      <c r="AB315" s="1434"/>
      <c r="AC315" s="1434"/>
      <c r="AD315" s="1434"/>
      <c r="AE315" s="1434"/>
      <c r="AF315" s="1435"/>
      <c r="AG315" s="1475" t="s">
        <v>750</v>
      </c>
      <c r="AH315" s="1476"/>
      <c r="AI315" s="1476"/>
      <c r="AJ315" s="1476"/>
      <c r="AK315" s="1476"/>
      <c r="AL315" s="1476"/>
      <c r="AM315" s="1477"/>
      <c r="AN315" s="924" t="s">
        <v>692</v>
      </c>
      <c r="AO315" s="924"/>
    </row>
    <row r="316" spans="1:41">
      <c r="A316" s="1466"/>
      <c r="B316" s="1467"/>
      <c r="C316" s="1467"/>
      <c r="D316" s="1468"/>
      <c r="E316" s="1472"/>
      <c r="F316" s="1473"/>
      <c r="G316" s="1473"/>
      <c r="H316" s="1473"/>
      <c r="I316" s="1473"/>
      <c r="J316" s="1473"/>
      <c r="K316" s="1473"/>
      <c r="L316" s="1473"/>
      <c r="M316" s="1473"/>
      <c r="N316" s="1473"/>
      <c r="O316" s="1473"/>
      <c r="P316" s="1473"/>
      <c r="Q316" s="1473"/>
      <c r="R316" s="1473"/>
      <c r="S316" s="1473"/>
      <c r="T316" s="1473"/>
      <c r="U316" s="1473"/>
      <c r="V316" s="1473"/>
      <c r="W316" s="1473"/>
      <c r="X316" s="1473"/>
      <c r="Y316" s="1473"/>
      <c r="Z316" s="1473"/>
      <c r="AA316" s="1473"/>
      <c r="AB316" s="1473"/>
      <c r="AC316" s="1473"/>
      <c r="AD316" s="1473"/>
      <c r="AE316" s="1473"/>
      <c r="AF316" s="1474"/>
      <c r="AG316" s="1478"/>
      <c r="AH316" s="1479"/>
      <c r="AI316" s="1479"/>
      <c r="AJ316" s="1479"/>
      <c r="AK316" s="1479"/>
      <c r="AL316" s="1479"/>
      <c r="AM316" s="1480"/>
    </row>
    <row r="317" spans="1:41">
      <c r="A317" s="1466"/>
      <c r="B317" s="1467"/>
      <c r="C317" s="1467"/>
      <c r="D317" s="1468"/>
      <c r="E317" s="1472"/>
      <c r="F317" s="1473"/>
      <c r="G317" s="1473"/>
      <c r="H317" s="1473"/>
      <c r="I317" s="1473"/>
      <c r="J317" s="1473"/>
      <c r="K317" s="1473"/>
      <c r="L317" s="1473"/>
      <c r="M317" s="1473"/>
      <c r="N317" s="1473"/>
      <c r="O317" s="1473"/>
      <c r="P317" s="1473"/>
      <c r="Q317" s="1473"/>
      <c r="R317" s="1473"/>
      <c r="S317" s="1473"/>
      <c r="T317" s="1473"/>
      <c r="U317" s="1473"/>
      <c r="V317" s="1473"/>
      <c r="W317" s="1473"/>
      <c r="X317" s="1473"/>
      <c r="Y317" s="1473"/>
      <c r="Z317" s="1473"/>
      <c r="AA317" s="1473"/>
      <c r="AB317" s="1473"/>
      <c r="AC317" s="1473"/>
      <c r="AD317" s="1473"/>
      <c r="AE317" s="1473"/>
      <c r="AF317" s="1474"/>
      <c r="AG317" s="1475" t="str">
        <f>AG3</f>
        <v>TGL  : 01 Januari - 31 Desember 2019</v>
      </c>
      <c r="AH317" s="1476"/>
      <c r="AI317" s="1476"/>
      <c r="AJ317" s="1476"/>
      <c r="AK317" s="1476"/>
      <c r="AL317" s="1476"/>
      <c r="AM317" s="1477"/>
    </row>
    <row r="318" spans="1:41">
      <c r="A318" s="1469"/>
      <c r="B318" s="1470"/>
      <c r="C318" s="1470"/>
      <c r="D318" s="1471"/>
      <c r="E318" s="1436"/>
      <c r="F318" s="1437"/>
      <c r="G318" s="1437"/>
      <c r="H318" s="1437"/>
      <c r="I318" s="1437"/>
      <c r="J318" s="1437"/>
      <c r="K318" s="1437"/>
      <c r="L318" s="1437"/>
      <c r="M318" s="1437"/>
      <c r="N318" s="1437"/>
      <c r="O318" s="1437"/>
      <c r="P318" s="1437"/>
      <c r="Q318" s="1437"/>
      <c r="R318" s="1437"/>
      <c r="S318" s="1437"/>
      <c r="T318" s="1437"/>
      <c r="U318" s="1437"/>
      <c r="V318" s="1437"/>
      <c r="W318" s="1437"/>
      <c r="X318" s="1437"/>
      <c r="Y318" s="1437"/>
      <c r="Z318" s="1437"/>
      <c r="AA318" s="1437"/>
      <c r="AB318" s="1437"/>
      <c r="AC318" s="1437"/>
      <c r="AD318" s="1437"/>
      <c r="AE318" s="1437"/>
      <c r="AF318" s="1438"/>
      <c r="AG318" s="1478"/>
      <c r="AH318" s="1479"/>
      <c r="AI318" s="1479"/>
      <c r="AJ318" s="1479"/>
      <c r="AK318" s="1479"/>
      <c r="AL318" s="1479"/>
      <c r="AM318" s="1480"/>
    </row>
    <row r="319" spans="1:41" ht="18" customHeight="1">
      <c r="A319" s="1433" t="s">
        <v>539</v>
      </c>
      <c r="B319" s="1434"/>
      <c r="C319" s="1434"/>
      <c r="D319" s="1435"/>
      <c r="E319" s="1439" t="s">
        <v>694</v>
      </c>
      <c r="F319" s="1440"/>
      <c r="G319" s="1440"/>
      <c r="H319" s="1440"/>
      <c r="I319" s="1440"/>
      <c r="J319" s="1440"/>
      <c r="K319" s="1440"/>
      <c r="L319" s="1440"/>
      <c r="M319" s="1440"/>
      <c r="N319" s="1440"/>
      <c r="O319" s="1440"/>
      <c r="P319" s="1440"/>
      <c r="Q319" s="1440"/>
      <c r="R319" s="1440"/>
      <c r="S319" s="1440"/>
      <c r="T319" s="1440"/>
      <c r="U319" s="1440"/>
      <c r="V319" s="1440"/>
      <c r="W319" s="1440"/>
      <c r="X319" s="1440"/>
      <c r="Y319" s="1440"/>
      <c r="Z319" s="1440"/>
      <c r="AA319" s="1440"/>
      <c r="AB319" s="1440"/>
      <c r="AC319" s="1440"/>
      <c r="AD319" s="1440"/>
      <c r="AE319" s="1440"/>
      <c r="AF319" s="1441"/>
      <c r="AG319" s="1445" t="s">
        <v>695</v>
      </c>
      <c r="AH319" s="1446"/>
      <c r="AI319" s="1446"/>
      <c r="AJ319" s="1446"/>
      <c r="AK319" s="1446"/>
      <c r="AL319" s="1446"/>
      <c r="AM319" s="1447"/>
    </row>
    <row r="320" spans="1:41" ht="18" customHeight="1">
      <c r="A320" s="1436"/>
      <c r="B320" s="1437"/>
      <c r="C320" s="1437"/>
      <c r="D320" s="1438"/>
      <c r="E320" s="1442"/>
      <c r="F320" s="1443"/>
      <c r="G320" s="1443"/>
      <c r="H320" s="1443"/>
      <c r="I320" s="1443"/>
      <c r="J320" s="1443"/>
      <c r="K320" s="1443"/>
      <c r="L320" s="1443"/>
      <c r="M320" s="1443"/>
      <c r="N320" s="1443"/>
      <c r="O320" s="1443"/>
      <c r="P320" s="1443"/>
      <c r="Q320" s="1443"/>
      <c r="R320" s="1443"/>
      <c r="S320" s="1443"/>
      <c r="T320" s="1443"/>
      <c r="U320" s="1443"/>
      <c r="V320" s="1443"/>
      <c r="W320" s="1443"/>
      <c r="X320" s="1443"/>
      <c r="Y320" s="1443"/>
      <c r="Z320" s="1443"/>
      <c r="AA320" s="1443"/>
      <c r="AB320" s="1443"/>
      <c r="AC320" s="1443"/>
      <c r="AD320" s="1443"/>
      <c r="AE320" s="1443"/>
      <c r="AF320" s="1444"/>
      <c r="AG320" s="1448"/>
      <c r="AH320" s="1449"/>
      <c r="AI320" s="1449"/>
      <c r="AJ320" s="1449"/>
      <c r="AK320" s="1449"/>
      <c r="AL320" s="1449"/>
      <c r="AM320" s="1450"/>
    </row>
    <row r="321" spans="1:41" ht="12" customHeight="1">
      <c r="A321" s="926"/>
      <c r="B321" s="927"/>
      <c r="C321" s="928"/>
      <c r="D321" s="927"/>
      <c r="E321" s="927"/>
      <c r="F321" s="927"/>
      <c r="G321" s="927"/>
      <c r="H321" s="927"/>
      <c r="I321" s="927"/>
      <c r="J321" s="927"/>
      <c r="K321" s="927"/>
      <c r="L321" s="927"/>
      <c r="M321" s="927"/>
      <c r="N321" s="927"/>
      <c r="O321" s="927"/>
      <c r="P321" s="927"/>
      <c r="Q321" s="927"/>
      <c r="R321" s="927"/>
      <c r="S321" s="927"/>
      <c r="T321" s="927"/>
      <c r="U321" s="927"/>
      <c r="V321" s="927"/>
      <c r="W321" s="927"/>
      <c r="X321" s="927"/>
      <c r="Y321" s="927"/>
      <c r="Z321" s="927"/>
      <c r="AA321" s="927"/>
      <c r="AB321" s="927"/>
      <c r="AC321" s="927"/>
      <c r="AD321" s="927"/>
      <c r="AE321" s="927"/>
      <c r="AF321" s="927"/>
      <c r="AG321" s="927"/>
      <c r="AH321" s="927"/>
      <c r="AI321" s="927"/>
      <c r="AJ321" s="927"/>
      <c r="AK321" s="927"/>
      <c r="AL321" s="927"/>
      <c r="AM321" s="929"/>
    </row>
    <row r="322" spans="1:41" ht="24" customHeight="1">
      <c r="A322" s="930" t="s">
        <v>543</v>
      </c>
      <c r="B322" s="931"/>
      <c r="C322" s="932"/>
      <c r="D322" s="931"/>
      <c r="E322" s="931"/>
      <c r="F322" s="931"/>
      <c r="G322" s="931"/>
      <c r="H322" s="931" t="s">
        <v>3</v>
      </c>
      <c r="I322" s="933" t="s">
        <v>137</v>
      </c>
      <c r="J322" s="931"/>
      <c r="K322" s="931"/>
      <c r="L322" s="931"/>
      <c r="M322" s="931"/>
      <c r="N322" s="931"/>
      <c r="O322" s="931"/>
      <c r="P322" s="931"/>
      <c r="Q322" s="931"/>
      <c r="R322" s="931"/>
      <c r="S322" s="931"/>
      <c r="T322" s="931"/>
      <c r="U322" s="931"/>
      <c r="V322" s="931" t="s">
        <v>696</v>
      </c>
      <c r="W322" s="931"/>
      <c r="X322" s="931"/>
      <c r="Y322" s="934"/>
      <c r="Z322" s="931" t="s">
        <v>3</v>
      </c>
      <c r="AA322" s="935" t="s">
        <v>751</v>
      </c>
      <c r="AB322" s="927"/>
      <c r="AC322" s="927"/>
      <c r="AD322" s="927"/>
      <c r="AE322" s="927"/>
      <c r="AF322" s="927"/>
      <c r="AG322" s="927"/>
      <c r="AH322" s="927"/>
      <c r="AI322" s="927"/>
      <c r="AJ322" s="927"/>
      <c r="AK322" s="927"/>
      <c r="AL322" s="927"/>
      <c r="AM322" s="929"/>
      <c r="AO322" s="925" t="str">
        <f>I322</f>
        <v>YANADI</v>
      </c>
    </row>
    <row r="323" spans="1:41" ht="24" customHeight="1">
      <c r="A323" s="930" t="s">
        <v>114</v>
      </c>
      <c r="B323" s="931"/>
      <c r="C323" s="932"/>
      <c r="D323" s="931"/>
      <c r="E323" s="931"/>
      <c r="F323" s="931"/>
      <c r="G323" s="931"/>
      <c r="H323" s="931" t="s">
        <v>3</v>
      </c>
      <c r="I323" s="933" t="s">
        <v>74</v>
      </c>
      <c r="J323" s="931"/>
      <c r="K323" s="931"/>
      <c r="L323" s="931"/>
      <c r="M323" s="931"/>
      <c r="N323" s="931"/>
      <c r="O323" s="931"/>
      <c r="P323" s="931"/>
      <c r="Q323" s="931"/>
      <c r="R323" s="931"/>
      <c r="S323" s="931"/>
      <c r="T323" s="931"/>
      <c r="U323" s="931"/>
      <c r="V323" s="931" t="s">
        <v>545</v>
      </c>
      <c r="W323" s="931"/>
      <c r="X323" s="931"/>
      <c r="Y323" s="934"/>
      <c r="Z323" s="931" t="s">
        <v>3</v>
      </c>
      <c r="AA323" s="932" t="s">
        <v>287</v>
      </c>
      <c r="AB323" s="927"/>
      <c r="AC323" s="927"/>
      <c r="AD323" s="927"/>
      <c r="AE323" s="927"/>
      <c r="AF323" s="927"/>
      <c r="AG323" s="927"/>
      <c r="AH323" s="927"/>
      <c r="AI323" s="927"/>
      <c r="AJ323" s="927"/>
      <c r="AK323" s="927"/>
      <c r="AL323" s="927"/>
      <c r="AM323" s="929"/>
    </row>
    <row r="324" spans="1:41" ht="12" customHeight="1">
      <c r="A324" s="926"/>
      <c r="B324" s="927"/>
      <c r="C324" s="928"/>
      <c r="D324" s="927"/>
      <c r="E324" s="927"/>
      <c r="F324" s="927"/>
      <c r="G324" s="927"/>
      <c r="H324" s="927"/>
      <c r="I324" s="927"/>
      <c r="J324" s="927"/>
      <c r="K324" s="927"/>
      <c r="L324" s="927"/>
      <c r="M324" s="927"/>
      <c r="N324" s="927"/>
      <c r="O324" s="927"/>
      <c r="P324" s="927"/>
      <c r="Q324" s="927"/>
      <c r="R324" s="927"/>
      <c r="S324" s="927"/>
      <c r="T324" s="927"/>
      <c r="U324" s="927"/>
      <c r="V324" s="927"/>
      <c r="W324" s="927"/>
      <c r="X324" s="927"/>
      <c r="Y324" s="927"/>
      <c r="Z324" s="927"/>
      <c r="AA324" s="927"/>
      <c r="AB324" s="927"/>
      <c r="AC324" s="927"/>
      <c r="AD324" s="927"/>
      <c r="AE324" s="927"/>
      <c r="AF324" s="927"/>
      <c r="AG324" s="927"/>
      <c r="AH324" s="927"/>
      <c r="AI324" s="927"/>
      <c r="AJ324" s="927"/>
      <c r="AK324" s="927"/>
      <c r="AL324" s="927"/>
      <c r="AM324" s="929"/>
    </row>
    <row r="325" spans="1:41" ht="24" customHeight="1">
      <c r="A325" s="1451" t="s">
        <v>549</v>
      </c>
      <c r="B325" s="1453" t="s">
        <v>550</v>
      </c>
      <c r="C325" s="1454"/>
      <c r="D325" s="1454"/>
      <c r="E325" s="1454"/>
      <c r="F325" s="1454"/>
      <c r="G325" s="1454"/>
      <c r="H325" s="1454"/>
      <c r="I325" s="1454"/>
      <c r="J325" s="1455"/>
      <c r="K325" s="1431" t="s">
        <v>699</v>
      </c>
      <c r="L325" s="1432"/>
      <c r="M325" s="1431" t="s">
        <v>700</v>
      </c>
      <c r="N325" s="1432"/>
      <c r="O325" s="1431" t="s">
        <v>701</v>
      </c>
      <c r="P325" s="1432"/>
      <c r="Q325" s="1431" t="s">
        <v>702</v>
      </c>
      <c r="R325" s="1432"/>
      <c r="S325" s="1431" t="s">
        <v>703</v>
      </c>
      <c r="T325" s="1432"/>
      <c r="U325" s="1431" t="s">
        <v>704</v>
      </c>
      <c r="V325" s="1432"/>
      <c r="W325" s="1431" t="s">
        <v>705</v>
      </c>
      <c r="X325" s="1432"/>
      <c r="Y325" s="1431" t="s">
        <v>706</v>
      </c>
      <c r="Z325" s="1432"/>
      <c r="AA325" s="1431" t="s">
        <v>707</v>
      </c>
      <c r="AB325" s="1432"/>
      <c r="AC325" s="1431" t="s">
        <v>708</v>
      </c>
      <c r="AD325" s="1432"/>
      <c r="AE325" s="1431" t="s">
        <v>709</v>
      </c>
      <c r="AF325" s="1432"/>
      <c r="AG325" s="1459" t="s">
        <v>710</v>
      </c>
      <c r="AH325" s="1460"/>
      <c r="AI325" s="1461" t="s">
        <v>711</v>
      </c>
      <c r="AJ325" s="1432"/>
      <c r="AK325" s="1462" t="s">
        <v>712</v>
      </c>
      <c r="AL325" s="1432"/>
      <c r="AM325" s="929"/>
    </row>
    <row r="326" spans="1:41" ht="24" customHeight="1">
      <c r="A326" s="1452"/>
      <c r="B326" s="1456"/>
      <c r="C326" s="1457"/>
      <c r="D326" s="1457"/>
      <c r="E326" s="1457"/>
      <c r="F326" s="1457"/>
      <c r="G326" s="1457"/>
      <c r="H326" s="1457"/>
      <c r="I326" s="1457"/>
      <c r="J326" s="1458"/>
      <c r="K326" s="937" t="s">
        <v>713</v>
      </c>
      <c r="L326" s="937" t="s">
        <v>714</v>
      </c>
      <c r="M326" s="937" t="s">
        <v>713</v>
      </c>
      <c r="N326" s="937" t="s">
        <v>714</v>
      </c>
      <c r="O326" s="937" t="s">
        <v>713</v>
      </c>
      <c r="P326" s="937" t="s">
        <v>714</v>
      </c>
      <c r="Q326" s="937" t="s">
        <v>713</v>
      </c>
      <c r="R326" s="937" t="s">
        <v>714</v>
      </c>
      <c r="S326" s="937" t="s">
        <v>713</v>
      </c>
      <c r="T326" s="937" t="s">
        <v>714</v>
      </c>
      <c r="U326" s="937" t="s">
        <v>713</v>
      </c>
      <c r="V326" s="938" t="s">
        <v>714</v>
      </c>
      <c r="W326" s="937" t="s">
        <v>713</v>
      </c>
      <c r="X326" s="937" t="s">
        <v>714</v>
      </c>
      <c r="Y326" s="937" t="s">
        <v>713</v>
      </c>
      <c r="Z326" s="937" t="s">
        <v>714</v>
      </c>
      <c r="AA326" s="937" t="s">
        <v>713</v>
      </c>
      <c r="AB326" s="937" t="s">
        <v>714</v>
      </c>
      <c r="AC326" s="937" t="s">
        <v>713</v>
      </c>
      <c r="AD326" s="937" t="s">
        <v>714</v>
      </c>
      <c r="AE326" s="937" t="s">
        <v>713</v>
      </c>
      <c r="AF326" s="937" t="s">
        <v>714</v>
      </c>
      <c r="AG326" s="937" t="s">
        <v>713</v>
      </c>
      <c r="AH326" s="939" t="s">
        <v>714</v>
      </c>
      <c r="AI326" s="940" t="s">
        <v>713</v>
      </c>
      <c r="AJ326" s="937" t="s">
        <v>714</v>
      </c>
      <c r="AK326" s="938" t="s">
        <v>713</v>
      </c>
      <c r="AL326" s="937" t="s">
        <v>714</v>
      </c>
      <c r="AM326" s="929"/>
    </row>
    <row r="327" spans="1:41" ht="27" customHeight="1">
      <c r="A327" s="941" t="s">
        <v>555</v>
      </c>
      <c r="B327" s="1427" t="s">
        <v>715</v>
      </c>
      <c r="C327" s="1428"/>
      <c r="D327" s="1428"/>
      <c r="E327" s="1428"/>
      <c r="F327" s="1428"/>
      <c r="G327" s="1428"/>
      <c r="H327" s="1428"/>
      <c r="I327" s="1428"/>
      <c r="J327" s="1429"/>
      <c r="K327" s="942">
        <v>4.9201947381260078</v>
      </c>
      <c r="L327" s="943">
        <v>10</v>
      </c>
      <c r="M327" s="942">
        <v>4.6382292897818846</v>
      </c>
      <c r="N327" s="943">
        <v>10</v>
      </c>
      <c r="O327" s="942">
        <v>4.0003463963235806</v>
      </c>
      <c r="P327" s="943">
        <v>11</v>
      </c>
      <c r="Q327" s="942">
        <v>4.9221413957717663</v>
      </c>
      <c r="R327" s="943">
        <v>10</v>
      </c>
      <c r="S327" s="942">
        <v>5.1678359202655164</v>
      </c>
      <c r="T327" s="943">
        <v>10</v>
      </c>
      <c r="U327" s="942">
        <v>5.253394332939787</v>
      </c>
      <c r="V327" s="943">
        <v>10</v>
      </c>
      <c r="W327" s="942">
        <v>5.1729488928706457</v>
      </c>
      <c r="X327" s="943">
        <v>10</v>
      </c>
      <c r="Y327" s="942">
        <v>5.0770090044585174</v>
      </c>
      <c r="Z327" s="943">
        <v>10</v>
      </c>
      <c r="AA327" s="942">
        <v>5.1864238204761612</v>
      </c>
      <c r="AB327" s="943">
        <v>10</v>
      </c>
      <c r="AC327" s="942">
        <v>5.2439220787264995</v>
      </c>
      <c r="AD327" s="943">
        <v>10</v>
      </c>
      <c r="AE327" s="942">
        <v>5.2242484498050814</v>
      </c>
      <c r="AF327" s="943">
        <v>10</v>
      </c>
      <c r="AG327" s="942">
        <v>5.3360379640830002</v>
      </c>
      <c r="AH327" s="943">
        <v>10</v>
      </c>
      <c r="AI327" s="944">
        <f>K327+M327+O327+Q327+S327+U327+W327+Y327+AA327+AC327+AE327+AG327</f>
        <v>60.142732283628447</v>
      </c>
      <c r="AJ327" s="945">
        <f>L327+N327+P327+R327+T327+V327+X327+Z327+AB327+AD327+AF327+AH327</f>
        <v>121</v>
      </c>
      <c r="AK327" s="945">
        <f>+AI327/12</f>
        <v>5.0118943569690373</v>
      </c>
      <c r="AL327" s="946">
        <v>10</v>
      </c>
      <c r="AM327" s="947"/>
      <c r="AN327" s="948"/>
      <c r="AO327" s="925">
        <v>10</v>
      </c>
    </row>
    <row r="328" spans="1:41" ht="27" customHeight="1">
      <c r="A328" s="941" t="s">
        <v>560</v>
      </c>
      <c r="B328" s="1427" t="s">
        <v>716</v>
      </c>
      <c r="C328" s="1428"/>
      <c r="D328" s="1428"/>
      <c r="E328" s="1428"/>
      <c r="F328" s="1428"/>
      <c r="G328" s="1428"/>
      <c r="H328" s="1428"/>
      <c r="I328" s="1428"/>
      <c r="J328" s="1429"/>
      <c r="K328" s="942">
        <v>1831.8931000000002</v>
      </c>
      <c r="L328" s="942">
        <v>15</v>
      </c>
      <c r="M328" s="942">
        <v>621.27240000000006</v>
      </c>
      <c r="N328" s="942">
        <v>15</v>
      </c>
      <c r="O328" s="942">
        <v>415.70729999999992</v>
      </c>
      <c r="P328" s="942">
        <v>15</v>
      </c>
      <c r="Q328" s="942">
        <v>167.29900000000001</v>
      </c>
      <c r="R328" s="942">
        <v>8</v>
      </c>
      <c r="S328" s="942">
        <v>477.16699999999997</v>
      </c>
      <c r="T328" s="942">
        <v>15</v>
      </c>
      <c r="U328" s="942">
        <v>64.200299999999999</v>
      </c>
      <c r="V328" s="942">
        <v>4</v>
      </c>
      <c r="W328" s="942">
        <v>1153.7228</v>
      </c>
      <c r="X328" s="942">
        <v>15</v>
      </c>
      <c r="Y328" s="942">
        <v>977.22270000000015</v>
      </c>
      <c r="Z328" s="942">
        <v>15</v>
      </c>
      <c r="AA328" s="942">
        <v>1677.7925999999998</v>
      </c>
      <c r="AB328" s="942">
        <v>15</v>
      </c>
      <c r="AC328" s="942">
        <v>917.87370000000021</v>
      </c>
      <c r="AD328" s="942">
        <v>15</v>
      </c>
      <c r="AE328" s="942">
        <v>724.48479999999995</v>
      </c>
      <c r="AF328" s="942">
        <v>15</v>
      </c>
      <c r="AG328" s="942">
        <v>508.67680000000001</v>
      </c>
      <c r="AH328" s="942">
        <v>15</v>
      </c>
      <c r="AI328" s="949">
        <f>K328+M328+O328+Q328+S328+U328+W328+Y328+AA328+AC328+AE328+AG328</f>
        <v>9537.3125</v>
      </c>
      <c r="AJ328" s="945">
        <f t="shared" ref="AJ328:AJ334" si="23">+L328+N328+P328+R328+T328+V328+X328+Z328+AB328+AD328+AF328+AH328</f>
        <v>162</v>
      </c>
      <c r="AK328" s="945">
        <f>+AI328/12</f>
        <v>794.77604166666663</v>
      </c>
      <c r="AL328" s="946">
        <v>15</v>
      </c>
      <c r="AM328" s="947"/>
      <c r="AN328" s="948"/>
      <c r="AO328" s="925">
        <v>15</v>
      </c>
    </row>
    <row r="329" spans="1:41" ht="27" customHeight="1">
      <c r="A329" s="941" t="s">
        <v>563</v>
      </c>
      <c r="B329" s="1427" t="s">
        <v>717</v>
      </c>
      <c r="C329" s="1428"/>
      <c r="D329" s="1428"/>
      <c r="E329" s="1428"/>
      <c r="F329" s="1428"/>
      <c r="G329" s="1428"/>
      <c r="H329" s="1428"/>
      <c r="I329" s="1428"/>
      <c r="J329" s="1429"/>
      <c r="K329" s="942">
        <v>64</v>
      </c>
      <c r="L329" s="942">
        <v>15</v>
      </c>
      <c r="M329" s="942">
        <v>48</v>
      </c>
      <c r="N329" s="942">
        <v>15</v>
      </c>
      <c r="O329" s="942">
        <v>39</v>
      </c>
      <c r="P329" s="942">
        <v>15</v>
      </c>
      <c r="Q329" s="942">
        <v>22</v>
      </c>
      <c r="R329" s="942">
        <v>12</v>
      </c>
      <c r="S329" s="942">
        <v>39</v>
      </c>
      <c r="T329" s="942">
        <v>15</v>
      </c>
      <c r="U329" s="942">
        <v>6</v>
      </c>
      <c r="V329" s="942">
        <v>6</v>
      </c>
      <c r="W329" s="942">
        <v>44</v>
      </c>
      <c r="X329" s="942">
        <v>15</v>
      </c>
      <c r="Y329" s="942">
        <v>35</v>
      </c>
      <c r="Z329" s="942">
        <v>15</v>
      </c>
      <c r="AA329" s="942">
        <v>58</v>
      </c>
      <c r="AB329" s="942">
        <v>15</v>
      </c>
      <c r="AC329" s="942">
        <v>43</v>
      </c>
      <c r="AD329" s="942">
        <v>15</v>
      </c>
      <c r="AE329" s="942">
        <v>42</v>
      </c>
      <c r="AF329" s="942">
        <v>15</v>
      </c>
      <c r="AG329" s="942">
        <v>47</v>
      </c>
      <c r="AH329" s="942">
        <v>15</v>
      </c>
      <c r="AI329" s="944">
        <f>K329+M329+O329+Q329+S329+U329+W329+Y329+AA329+AC329+AE329+AG329</f>
        <v>487</v>
      </c>
      <c r="AJ329" s="950">
        <f t="shared" si="23"/>
        <v>168</v>
      </c>
      <c r="AK329" s="945">
        <f>+AI329/12</f>
        <v>40.583333333333336</v>
      </c>
      <c r="AL329" s="946">
        <v>15</v>
      </c>
      <c r="AM329" s="947"/>
      <c r="AN329" s="948"/>
      <c r="AO329" s="925">
        <v>15</v>
      </c>
    </row>
    <row r="330" spans="1:41" ht="31.5" customHeight="1">
      <c r="A330" s="941" t="s">
        <v>567</v>
      </c>
      <c r="B330" s="1427" t="s">
        <v>718</v>
      </c>
      <c r="C330" s="1428"/>
      <c r="D330" s="1428"/>
      <c r="E330" s="1428"/>
      <c r="F330" s="1428"/>
      <c r="G330" s="1428"/>
      <c r="H330" s="1428"/>
      <c r="I330" s="1428"/>
      <c r="J330" s="1429"/>
      <c r="K330" s="950" t="s">
        <v>698</v>
      </c>
      <c r="L330" s="950">
        <v>10</v>
      </c>
      <c r="M330" s="950" t="s">
        <v>698</v>
      </c>
      <c r="N330" s="950">
        <v>10</v>
      </c>
      <c r="O330" s="950" t="s">
        <v>698</v>
      </c>
      <c r="P330" s="950">
        <v>10</v>
      </c>
      <c r="Q330" s="950" t="s">
        <v>698</v>
      </c>
      <c r="R330" s="950">
        <v>10</v>
      </c>
      <c r="S330" s="950" t="s">
        <v>698</v>
      </c>
      <c r="T330" s="950">
        <v>10</v>
      </c>
      <c r="U330" s="950" t="s">
        <v>698</v>
      </c>
      <c r="V330" s="950">
        <v>10</v>
      </c>
      <c r="W330" s="950" t="s">
        <v>698</v>
      </c>
      <c r="X330" s="950">
        <v>10</v>
      </c>
      <c r="Y330" s="950" t="s">
        <v>698</v>
      </c>
      <c r="Z330" s="950">
        <v>10</v>
      </c>
      <c r="AA330" s="950" t="s">
        <v>698</v>
      </c>
      <c r="AB330" s="950">
        <v>10</v>
      </c>
      <c r="AC330" s="950" t="s">
        <v>698</v>
      </c>
      <c r="AD330" s="950">
        <v>10</v>
      </c>
      <c r="AE330" s="950" t="s">
        <v>698</v>
      </c>
      <c r="AF330" s="950">
        <v>10</v>
      </c>
      <c r="AG330" s="950" t="s">
        <v>698</v>
      </c>
      <c r="AH330" s="950">
        <v>10</v>
      </c>
      <c r="AI330" s="951" t="s">
        <v>698</v>
      </c>
      <c r="AJ330" s="950">
        <f t="shared" si="23"/>
        <v>120</v>
      </c>
      <c r="AK330" s="950" t="s">
        <v>698</v>
      </c>
      <c r="AL330" s="946">
        <f t="shared" ref="AL330:AL334" si="24">+AJ330/12</f>
        <v>10</v>
      </c>
      <c r="AM330" s="947"/>
      <c r="AN330" s="948"/>
      <c r="AO330" s="925">
        <v>10</v>
      </c>
    </row>
    <row r="331" spans="1:41" ht="27" customHeight="1">
      <c r="A331" s="941" t="s">
        <v>571</v>
      </c>
      <c r="B331" s="1427" t="s">
        <v>719</v>
      </c>
      <c r="C331" s="1428"/>
      <c r="D331" s="1428"/>
      <c r="E331" s="1428"/>
      <c r="F331" s="1428"/>
      <c r="G331" s="1428"/>
      <c r="H331" s="1428"/>
      <c r="I331" s="1428"/>
      <c r="J331" s="1429"/>
      <c r="K331" s="950" t="s">
        <v>698</v>
      </c>
      <c r="L331" s="950">
        <v>9</v>
      </c>
      <c r="M331" s="950" t="s">
        <v>698</v>
      </c>
      <c r="N331" s="950">
        <v>9</v>
      </c>
      <c r="O331" s="950" t="s">
        <v>698</v>
      </c>
      <c r="P331" s="950">
        <v>9</v>
      </c>
      <c r="Q331" s="950" t="s">
        <v>698</v>
      </c>
      <c r="R331" s="950">
        <v>9</v>
      </c>
      <c r="S331" s="950" t="s">
        <v>698</v>
      </c>
      <c r="T331" s="950">
        <v>9</v>
      </c>
      <c r="U331" s="950" t="s">
        <v>698</v>
      </c>
      <c r="V331" s="950">
        <v>9</v>
      </c>
      <c r="W331" s="950" t="s">
        <v>698</v>
      </c>
      <c r="X331" s="950">
        <v>9</v>
      </c>
      <c r="Y331" s="950" t="s">
        <v>698</v>
      </c>
      <c r="Z331" s="950">
        <v>9</v>
      </c>
      <c r="AA331" s="950" t="s">
        <v>698</v>
      </c>
      <c r="AB331" s="950">
        <v>9</v>
      </c>
      <c r="AC331" s="950" t="s">
        <v>698</v>
      </c>
      <c r="AD331" s="950">
        <v>9</v>
      </c>
      <c r="AE331" s="950" t="s">
        <v>698</v>
      </c>
      <c r="AF331" s="950">
        <v>9</v>
      </c>
      <c r="AG331" s="950" t="s">
        <v>698</v>
      </c>
      <c r="AH331" s="950">
        <v>9</v>
      </c>
      <c r="AI331" s="951" t="s">
        <v>698</v>
      </c>
      <c r="AJ331" s="950">
        <f t="shared" si="23"/>
        <v>108</v>
      </c>
      <c r="AK331" s="950" t="s">
        <v>698</v>
      </c>
      <c r="AL331" s="946">
        <f t="shared" si="24"/>
        <v>9</v>
      </c>
      <c r="AM331" s="947"/>
      <c r="AN331" s="948"/>
      <c r="AO331" s="925">
        <v>9</v>
      </c>
    </row>
    <row r="332" spans="1:41" ht="33" customHeight="1">
      <c r="A332" s="941" t="s">
        <v>575</v>
      </c>
      <c r="B332" s="1427" t="s">
        <v>720</v>
      </c>
      <c r="C332" s="1428"/>
      <c r="D332" s="1428"/>
      <c r="E332" s="1428"/>
      <c r="F332" s="1428"/>
      <c r="G332" s="1428"/>
      <c r="H332" s="1428"/>
      <c r="I332" s="1428"/>
      <c r="J332" s="1429"/>
      <c r="K332" s="950" t="s">
        <v>698</v>
      </c>
      <c r="L332" s="950">
        <v>9</v>
      </c>
      <c r="M332" s="950" t="s">
        <v>698</v>
      </c>
      <c r="N332" s="950">
        <v>9</v>
      </c>
      <c r="O332" s="950" t="s">
        <v>698</v>
      </c>
      <c r="P332" s="950">
        <v>9</v>
      </c>
      <c r="Q332" s="950" t="s">
        <v>698</v>
      </c>
      <c r="R332" s="950">
        <v>9</v>
      </c>
      <c r="S332" s="950" t="s">
        <v>698</v>
      </c>
      <c r="T332" s="950">
        <v>9</v>
      </c>
      <c r="U332" s="950" t="s">
        <v>698</v>
      </c>
      <c r="V332" s="950">
        <v>9</v>
      </c>
      <c r="W332" s="950" t="s">
        <v>698</v>
      </c>
      <c r="X332" s="950">
        <v>9</v>
      </c>
      <c r="Y332" s="950" t="s">
        <v>698</v>
      </c>
      <c r="Z332" s="950">
        <v>9</v>
      </c>
      <c r="AA332" s="950" t="s">
        <v>698</v>
      </c>
      <c r="AB332" s="950">
        <v>9</v>
      </c>
      <c r="AC332" s="950" t="s">
        <v>698</v>
      </c>
      <c r="AD332" s="950">
        <v>9</v>
      </c>
      <c r="AE332" s="950" t="s">
        <v>698</v>
      </c>
      <c r="AF332" s="950">
        <v>9</v>
      </c>
      <c r="AG332" s="950" t="s">
        <v>698</v>
      </c>
      <c r="AH332" s="950">
        <v>9</v>
      </c>
      <c r="AI332" s="951" t="s">
        <v>698</v>
      </c>
      <c r="AJ332" s="950">
        <f t="shared" si="23"/>
        <v>108</v>
      </c>
      <c r="AK332" s="950" t="s">
        <v>698</v>
      </c>
      <c r="AL332" s="946">
        <f t="shared" si="24"/>
        <v>9</v>
      </c>
      <c r="AM332" s="947"/>
      <c r="AN332" s="948"/>
      <c r="AO332" s="925">
        <v>9</v>
      </c>
    </row>
    <row r="333" spans="1:41" ht="27" customHeight="1">
      <c r="A333" s="941" t="s">
        <v>578</v>
      </c>
      <c r="B333" s="1427" t="s">
        <v>721</v>
      </c>
      <c r="C333" s="1428"/>
      <c r="D333" s="1428"/>
      <c r="E333" s="1428"/>
      <c r="F333" s="1428"/>
      <c r="G333" s="1428"/>
      <c r="H333" s="1428"/>
      <c r="I333" s="1428"/>
      <c r="J333" s="1429"/>
      <c r="K333" s="950" t="s">
        <v>112</v>
      </c>
      <c r="L333" s="950">
        <v>7</v>
      </c>
      <c r="M333" s="950" t="s">
        <v>112</v>
      </c>
      <c r="N333" s="950">
        <v>7</v>
      </c>
      <c r="O333" s="950" t="s">
        <v>112</v>
      </c>
      <c r="P333" s="950">
        <v>7</v>
      </c>
      <c r="Q333" s="950" t="s">
        <v>112</v>
      </c>
      <c r="R333" s="950">
        <v>7</v>
      </c>
      <c r="S333" s="950" t="s">
        <v>112</v>
      </c>
      <c r="T333" s="950">
        <v>7</v>
      </c>
      <c r="U333" s="950" t="s">
        <v>112</v>
      </c>
      <c r="V333" s="950">
        <v>7</v>
      </c>
      <c r="W333" s="950" t="s">
        <v>112</v>
      </c>
      <c r="X333" s="950">
        <v>7</v>
      </c>
      <c r="Y333" s="950" t="s">
        <v>112</v>
      </c>
      <c r="Z333" s="950">
        <v>7</v>
      </c>
      <c r="AA333" s="950" t="s">
        <v>112</v>
      </c>
      <c r="AB333" s="950">
        <v>7</v>
      </c>
      <c r="AC333" s="950" t="s">
        <v>112</v>
      </c>
      <c r="AD333" s="950">
        <v>7</v>
      </c>
      <c r="AE333" s="950" t="s">
        <v>112</v>
      </c>
      <c r="AF333" s="950">
        <v>7</v>
      </c>
      <c r="AG333" s="950" t="s">
        <v>112</v>
      </c>
      <c r="AH333" s="950">
        <v>7</v>
      </c>
      <c r="AI333" s="950" t="s">
        <v>112</v>
      </c>
      <c r="AJ333" s="950">
        <f t="shared" si="23"/>
        <v>84</v>
      </c>
      <c r="AK333" s="950" t="s">
        <v>112</v>
      </c>
      <c r="AL333" s="946">
        <f t="shared" si="24"/>
        <v>7</v>
      </c>
      <c r="AM333" s="947"/>
      <c r="AN333" s="948"/>
      <c r="AO333" s="925">
        <v>7</v>
      </c>
    </row>
    <row r="334" spans="1:41" ht="32.25" customHeight="1">
      <c r="A334" s="941" t="s">
        <v>581</v>
      </c>
      <c r="B334" s="1427" t="s">
        <v>722</v>
      </c>
      <c r="C334" s="1428"/>
      <c r="D334" s="1428"/>
      <c r="E334" s="1428"/>
      <c r="F334" s="1428"/>
      <c r="G334" s="1428"/>
      <c r="H334" s="1428"/>
      <c r="I334" s="1428"/>
      <c r="J334" s="1429"/>
      <c r="K334" s="950" t="s">
        <v>698</v>
      </c>
      <c r="L334" s="950">
        <v>10</v>
      </c>
      <c r="M334" s="950" t="s">
        <v>698</v>
      </c>
      <c r="N334" s="950">
        <v>10</v>
      </c>
      <c r="O334" s="950" t="s">
        <v>698</v>
      </c>
      <c r="P334" s="950">
        <v>10</v>
      </c>
      <c r="Q334" s="950" t="s">
        <v>698</v>
      </c>
      <c r="R334" s="950">
        <v>10</v>
      </c>
      <c r="S334" s="950" t="s">
        <v>698</v>
      </c>
      <c r="T334" s="950">
        <v>10</v>
      </c>
      <c r="U334" s="950" t="s">
        <v>698</v>
      </c>
      <c r="V334" s="950">
        <v>10</v>
      </c>
      <c r="W334" s="950" t="s">
        <v>698</v>
      </c>
      <c r="X334" s="950">
        <v>10</v>
      </c>
      <c r="Y334" s="950" t="s">
        <v>698</v>
      </c>
      <c r="Z334" s="950">
        <v>10</v>
      </c>
      <c r="AA334" s="950" t="s">
        <v>698</v>
      </c>
      <c r="AB334" s="950">
        <v>10</v>
      </c>
      <c r="AC334" s="950" t="s">
        <v>698</v>
      </c>
      <c r="AD334" s="950">
        <v>10</v>
      </c>
      <c r="AE334" s="950" t="s">
        <v>698</v>
      </c>
      <c r="AF334" s="950">
        <v>10</v>
      </c>
      <c r="AG334" s="950" t="s">
        <v>698</v>
      </c>
      <c r="AH334" s="950">
        <v>10</v>
      </c>
      <c r="AI334" s="951" t="s">
        <v>698</v>
      </c>
      <c r="AJ334" s="950">
        <f t="shared" si="23"/>
        <v>120</v>
      </c>
      <c r="AK334" s="950" t="s">
        <v>698</v>
      </c>
      <c r="AL334" s="946">
        <f t="shared" si="24"/>
        <v>10</v>
      </c>
      <c r="AM334" s="947"/>
      <c r="AN334" s="948"/>
      <c r="AO334" s="925">
        <v>10</v>
      </c>
    </row>
    <row r="335" spans="1:41" ht="27" customHeight="1">
      <c r="A335" s="952"/>
      <c r="B335" s="1430" t="s">
        <v>68</v>
      </c>
      <c r="C335" s="1430"/>
      <c r="D335" s="1430"/>
      <c r="E335" s="1430"/>
      <c r="F335" s="1430"/>
      <c r="G335" s="1430"/>
      <c r="H335" s="1430"/>
      <c r="I335" s="1430"/>
      <c r="J335" s="1430"/>
      <c r="K335" s="1483">
        <f>SUM(L327:L334)</f>
        <v>85</v>
      </c>
      <c r="L335" s="1482"/>
      <c r="M335" s="1481">
        <f>SUM(N327:N334)</f>
        <v>85</v>
      </c>
      <c r="N335" s="1482"/>
      <c r="O335" s="1481">
        <f>SUM(P327:P334)</f>
        <v>86</v>
      </c>
      <c r="P335" s="1482"/>
      <c r="Q335" s="1481">
        <f>SUM(R327:R334)</f>
        <v>75</v>
      </c>
      <c r="R335" s="1482"/>
      <c r="S335" s="1481">
        <f>SUM(T327:T334)</f>
        <v>85</v>
      </c>
      <c r="T335" s="1482"/>
      <c r="U335" s="1481">
        <f>SUM(V327:V334)</f>
        <v>65</v>
      </c>
      <c r="V335" s="1482"/>
      <c r="W335" s="1481">
        <f>SUM(X327:X334)</f>
        <v>85</v>
      </c>
      <c r="X335" s="1482"/>
      <c r="Y335" s="1481">
        <f>SUM(Z327:Z334)</f>
        <v>85</v>
      </c>
      <c r="Z335" s="1482"/>
      <c r="AA335" s="1481">
        <f>SUM(AB327:AB334)</f>
        <v>85</v>
      </c>
      <c r="AB335" s="1482"/>
      <c r="AC335" s="1481">
        <f>SUM(AD327:AD334)</f>
        <v>85</v>
      </c>
      <c r="AD335" s="1482"/>
      <c r="AE335" s="1481">
        <f>SUM(AF327:AF334)</f>
        <v>85</v>
      </c>
      <c r="AF335" s="1482"/>
      <c r="AG335" s="1481">
        <f>SUM(AH327:AH334)</f>
        <v>85</v>
      </c>
      <c r="AH335" s="1482"/>
      <c r="AI335" s="1418">
        <f>SUM(K335:AG335)</f>
        <v>991</v>
      </c>
      <c r="AJ335" s="1419"/>
      <c r="AK335" s="1420">
        <f>SUM(AL327:AL334)</f>
        <v>85</v>
      </c>
      <c r="AL335" s="1420"/>
      <c r="AM335" s="947"/>
      <c r="AN335" s="948"/>
      <c r="AO335" s="925">
        <f>SUM(AO327:AO334)</f>
        <v>85</v>
      </c>
    </row>
    <row r="336" spans="1:41" ht="15.75" customHeight="1">
      <c r="A336" s="926"/>
      <c r="B336" s="1034"/>
      <c r="C336" s="1034"/>
      <c r="D336" s="1034"/>
      <c r="E336" s="1034"/>
      <c r="F336" s="1034"/>
      <c r="G336" s="1034"/>
      <c r="H336" s="1034"/>
      <c r="I336" s="1034"/>
      <c r="J336" s="1034"/>
      <c r="K336" s="1035"/>
      <c r="L336" s="1036"/>
      <c r="M336" s="1036"/>
      <c r="N336" s="1036"/>
      <c r="O336" s="1036"/>
      <c r="P336" s="1036"/>
      <c r="Q336" s="1036"/>
      <c r="R336" s="1036"/>
      <c r="S336" s="1036"/>
      <c r="T336" s="1036"/>
      <c r="U336" s="1036"/>
      <c r="V336" s="1036"/>
      <c r="W336" s="1036"/>
      <c r="X336" s="1036"/>
      <c r="Y336" s="1036"/>
      <c r="Z336" s="1036"/>
      <c r="AA336" s="1036"/>
      <c r="AB336" s="1036"/>
      <c r="AC336" s="1036"/>
      <c r="AD336" s="1036"/>
      <c r="AE336" s="1036"/>
      <c r="AF336" s="1036"/>
      <c r="AG336" s="1036"/>
      <c r="AH336" s="1036"/>
      <c r="AI336" s="1035"/>
      <c r="AJ336" s="1035"/>
      <c r="AK336" s="1037"/>
      <c r="AL336" s="1037"/>
      <c r="AM336" s="947"/>
      <c r="AN336" s="948"/>
    </row>
    <row r="337" spans="1:41" ht="21.75" customHeight="1">
      <c r="A337" s="953"/>
      <c r="B337" s="927"/>
      <c r="C337" s="928"/>
      <c r="D337" s="927"/>
      <c r="E337" s="927"/>
      <c r="F337" s="927"/>
      <c r="G337" s="927"/>
      <c r="H337" s="927"/>
      <c r="I337" s="927"/>
      <c r="J337" s="927"/>
      <c r="K337" s="954"/>
      <c r="L337" s="954"/>
      <c r="M337" s="954"/>
      <c r="N337" s="954"/>
      <c r="O337" s="954"/>
      <c r="P337" s="954"/>
      <c r="Q337" s="954"/>
      <c r="R337" s="954"/>
      <c r="S337" s="954"/>
      <c r="T337" s="954"/>
      <c r="U337" s="954"/>
      <c r="V337" s="954"/>
      <c r="W337" s="954"/>
      <c r="X337" s="954"/>
      <c r="Y337" s="954"/>
      <c r="Z337" s="954"/>
      <c r="AA337" s="954"/>
      <c r="AB337" s="954"/>
      <c r="AC337" s="954"/>
      <c r="AD337" s="954"/>
      <c r="AE337" s="954"/>
      <c r="AF337" s="954"/>
      <c r="AG337" s="954"/>
      <c r="AH337" s="954"/>
      <c r="AI337" s="954"/>
      <c r="AJ337" s="954"/>
      <c r="AK337" s="1038"/>
      <c r="AL337" s="1038"/>
      <c r="AM337" s="947"/>
      <c r="AN337" s="948"/>
    </row>
    <row r="338" spans="1:41" ht="27.75" customHeight="1">
      <c r="A338" s="953"/>
      <c r="B338" s="927"/>
      <c r="C338" s="928"/>
      <c r="D338" s="927"/>
      <c r="E338" s="927"/>
      <c r="F338" s="927"/>
      <c r="G338" s="927"/>
      <c r="H338" s="927"/>
      <c r="I338" s="927"/>
      <c r="J338" s="927"/>
      <c r="K338" s="927"/>
      <c r="L338" s="927"/>
      <c r="M338" s="927"/>
      <c r="N338" s="927"/>
      <c r="O338" s="927"/>
      <c r="P338" s="927"/>
      <c r="Q338" s="927"/>
      <c r="R338" s="927"/>
      <c r="S338" s="927"/>
      <c r="T338" s="927"/>
      <c r="U338" s="927"/>
      <c r="V338" s="927"/>
      <c r="W338" s="927"/>
      <c r="X338" s="927"/>
      <c r="Y338" s="927"/>
      <c r="Z338" s="927"/>
      <c r="AA338" s="927"/>
      <c r="AB338" s="927"/>
      <c r="AC338" s="927"/>
      <c r="AD338" s="927"/>
      <c r="AE338" s="927"/>
      <c r="AF338" s="927"/>
      <c r="AG338" s="927"/>
      <c r="AH338" s="927"/>
      <c r="AI338" s="927"/>
      <c r="AJ338" s="927"/>
      <c r="AK338" s="927"/>
      <c r="AL338" s="927"/>
      <c r="AM338" s="929"/>
    </row>
    <row r="339" spans="1:41" ht="17.25" customHeight="1">
      <c r="A339" s="953"/>
      <c r="B339" s="927"/>
      <c r="C339" s="928"/>
      <c r="D339" s="927"/>
      <c r="E339" s="927"/>
      <c r="F339" s="927"/>
      <c r="G339" s="927"/>
      <c r="H339" s="927"/>
      <c r="I339" s="927"/>
      <c r="J339" s="927"/>
      <c r="K339" s="927"/>
      <c r="L339" s="927"/>
      <c r="M339" s="927"/>
      <c r="N339" s="927"/>
      <c r="O339" s="927"/>
      <c r="P339" s="927"/>
      <c r="Q339" s="927"/>
      <c r="R339" s="927" t="s">
        <v>11</v>
      </c>
      <c r="S339" s="927"/>
      <c r="T339" s="927"/>
      <c r="U339" s="927"/>
      <c r="V339" s="927"/>
      <c r="W339" s="927"/>
      <c r="X339" s="927"/>
      <c r="Y339" s="927"/>
      <c r="Z339" s="927"/>
      <c r="AA339" s="927"/>
      <c r="AB339" s="927"/>
      <c r="AC339" s="927" t="s">
        <v>11</v>
      </c>
      <c r="AD339" s="927"/>
      <c r="AE339" s="927"/>
      <c r="AF339" s="927"/>
      <c r="AG339" s="927"/>
      <c r="AH339" s="927"/>
      <c r="AI339" s="927"/>
      <c r="AJ339" s="927"/>
      <c r="AK339" s="927"/>
      <c r="AL339" s="927"/>
      <c r="AM339" s="929"/>
    </row>
    <row r="340" spans="1:41" ht="14.25" customHeight="1">
      <c r="A340" s="953"/>
      <c r="B340" s="927"/>
      <c r="C340" s="928"/>
      <c r="D340" s="927"/>
      <c r="E340" s="927"/>
      <c r="F340" s="927"/>
      <c r="G340" s="927"/>
      <c r="H340" s="927"/>
      <c r="I340" s="927"/>
      <c r="J340" s="927"/>
      <c r="K340" s="927"/>
      <c r="L340" s="927"/>
      <c r="M340" s="927"/>
      <c r="N340" s="927"/>
      <c r="O340" s="927"/>
      <c r="P340" s="927"/>
      <c r="Q340" s="927"/>
      <c r="R340" s="927"/>
      <c r="S340" s="927"/>
      <c r="T340" s="927"/>
      <c r="U340" s="927"/>
      <c r="V340" s="927"/>
      <c r="W340" s="927"/>
      <c r="X340" s="927"/>
      <c r="Y340" s="927"/>
      <c r="Z340" s="927"/>
      <c r="AA340" s="927"/>
      <c r="AB340" s="927"/>
      <c r="AC340" s="927"/>
      <c r="AD340" s="927"/>
      <c r="AE340" s="927"/>
      <c r="AF340" s="927"/>
      <c r="AG340" s="927"/>
      <c r="AH340" s="927"/>
      <c r="AI340" s="927"/>
      <c r="AJ340" s="927"/>
      <c r="AK340" s="927"/>
      <c r="AL340" s="927"/>
      <c r="AM340" s="929"/>
    </row>
    <row r="341" spans="1:41" ht="21.75" customHeight="1">
      <c r="A341" s="953"/>
      <c r="B341" s="927"/>
      <c r="C341" s="928"/>
      <c r="D341" s="927"/>
      <c r="E341" s="927"/>
      <c r="F341" s="927"/>
      <c r="G341" s="927"/>
      <c r="H341" s="927"/>
      <c r="I341" s="927"/>
      <c r="J341" s="927"/>
      <c r="K341" s="927"/>
      <c r="L341" s="927"/>
      <c r="M341" s="927"/>
      <c r="N341" s="927"/>
      <c r="O341" s="1421"/>
      <c r="P341" s="1421"/>
      <c r="Q341" s="927"/>
      <c r="R341" s="927"/>
      <c r="S341" s="927"/>
      <c r="T341" s="927"/>
      <c r="U341" s="927"/>
      <c r="V341" s="927"/>
      <c r="W341" s="927"/>
      <c r="X341" s="927"/>
      <c r="Y341" s="927"/>
      <c r="Z341" s="927"/>
      <c r="AA341" s="927"/>
      <c r="AB341" s="927"/>
      <c r="AC341" s="927"/>
      <c r="AD341" s="927"/>
      <c r="AE341" s="927"/>
      <c r="AF341" s="927"/>
      <c r="AG341" s="927"/>
      <c r="AH341" s="927"/>
      <c r="AI341" s="927"/>
      <c r="AJ341" s="927"/>
      <c r="AK341" s="927"/>
      <c r="AL341" s="927"/>
      <c r="AM341" s="929"/>
    </row>
    <row r="342" spans="1:41" ht="21.75" customHeight="1">
      <c r="A342" s="957"/>
      <c r="B342" s="958"/>
      <c r="C342" s="934"/>
      <c r="D342" s="927"/>
      <c r="E342" s="959"/>
      <c r="F342" s="927"/>
      <c r="G342" s="927"/>
      <c r="H342" s="927"/>
      <c r="I342" s="927"/>
      <c r="J342" s="927"/>
      <c r="K342" s="927"/>
      <c r="L342" s="927"/>
      <c r="M342" s="927"/>
      <c r="N342" s="927"/>
      <c r="O342" s="927"/>
      <c r="P342" s="958"/>
      <c r="Q342" s="958"/>
      <c r="R342" s="958"/>
      <c r="S342" s="958"/>
      <c r="T342" s="958"/>
      <c r="U342" s="958"/>
      <c r="V342" s="958"/>
      <c r="W342" s="927"/>
      <c r="X342" s="927"/>
      <c r="Y342" s="934"/>
      <c r="Z342" s="927"/>
      <c r="AA342" s="927"/>
      <c r="AB342" s="934"/>
      <c r="AC342" s="934"/>
      <c r="AD342" s="960"/>
      <c r="AE342" s="1422" t="s">
        <v>634</v>
      </c>
      <c r="AF342" s="1423"/>
      <c r="AG342" s="1423"/>
      <c r="AH342" s="1423"/>
      <c r="AI342" s="1423"/>
      <c r="AJ342" s="1423"/>
      <c r="AK342" s="1423"/>
      <c r="AL342" s="1424"/>
      <c r="AM342" s="929"/>
    </row>
    <row r="343" spans="1:41" ht="21.75" customHeight="1">
      <c r="A343" s="957"/>
      <c r="B343" s="958"/>
      <c r="C343" s="934"/>
      <c r="D343" s="927"/>
      <c r="E343" s="959"/>
      <c r="F343" s="927"/>
      <c r="G343" s="927"/>
      <c r="H343" s="927"/>
      <c r="I343" s="927"/>
      <c r="J343" s="927"/>
      <c r="K343" s="927"/>
      <c r="L343" s="927"/>
      <c r="M343" s="927"/>
      <c r="N343" s="927"/>
      <c r="O343" s="927"/>
      <c r="P343" s="927"/>
      <c r="Q343" s="927"/>
      <c r="R343" s="958"/>
      <c r="S343" s="927"/>
      <c r="T343" s="927"/>
      <c r="U343" s="927"/>
      <c r="V343" s="927"/>
      <c r="W343" s="927"/>
      <c r="X343" s="927"/>
      <c r="Y343" s="934"/>
      <c r="Z343" s="927"/>
      <c r="AA343" s="927"/>
      <c r="AB343" s="934"/>
      <c r="AC343" s="934"/>
      <c r="AD343" s="960"/>
      <c r="AE343" s="953"/>
      <c r="AF343" s="927"/>
      <c r="AG343" s="934"/>
      <c r="AH343" s="927"/>
      <c r="AI343" s="927"/>
      <c r="AJ343" s="927"/>
      <c r="AK343" s="927"/>
      <c r="AL343" s="929"/>
      <c r="AM343" s="929"/>
    </row>
    <row r="344" spans="1:41" ht="21.75" customHeight="1">
      <c r="A344" s="957"/>
      <c r="B344" s="958"/>
      <c r="C344" s="934"/>
      <c r="D344" s="927"/>
      <c r="E344" s="959"/>
      <c r="F344" s="927"/>
      <c r="G344" s="927"/>
      <c r="H344" s="927"/>
      <c r="I344" s="927"/>
      <c r="J344" s="927"/>
      <c r="K344" s="927"/>
      <c r="L344" s="927"/>
      <c r="M344" s="927"/>
      <c r="N344" s="927"/>
      <c r="O344" s="927"/>
      <c r="P344" s="934"/>
      <c r="Q344" s="934"/>
      <c r="R344" s="934"/>
      <c r="S344" s="934"/>
      <c r="T344" s="927"/>
      <c r="U344" s="927"/>
      <c r="V344" s="958"/>
      <c r="W344" s="927"/>
      <c r="X344" s="927"/>
      <c r="Y344" s="934"/>
      <c r="Z344" s="927"/>
      <c r="AA344" s="961"/>
      <c r="AB344" s="934"/>
      <c r="AC344" s="934"/>
      <c r="AD344" s="960"/>
      <c r="AE344" s="953"/>
      <c r="AF344" s="927"/>
      <c r="AG344" s="934"/>
      <c r="AH344" s="927"/>
      <c r="AI344" s="927"/>
      <c r="AJ344" s="927"/>
      <c r="AK344" s="961"/>
      <c r="AL344" s="929"/>
      <c r="AM344" s="929"/>
    </row>
    <row r="345" spans="1:41" ht="21.75" customHeight="1">
      <c r="A345" s="957"/>
      <c r="B345" s="958"/>
      <c r="C345" s="934"/>
      <c r="D345" s="927"/>
      <c r="E345" s="959"/>
      <c r="F345" s="927"/>
      <c r="G345" s="962"/>
      <c r="H345" s="927"/>
      <c r="I345" s="927"/>
      <c r="J345" s="927"/>
      <c r="K345" s="927"/>
      <c r="L345" s="927"/>
      <c r="M345" s="927"/>
      <c r="N345" s="927"/>
      <c r="O345" s="927"/>
      <c r="P345" s="934"/>
      <c r="Q345" s="934"/>
      <c r="R345" s="934"/>
      <c r="S345" s="934"/>
      <c r="T345" s="928"/>
      <c r="U345" s="927"/>
      <c r="V345" s="958"/>
      <c r="W345" s="927"/>
      <c r="X345" s="927"/>
      <c r="Y345" s="934"/>
      <c r="Z345" s="927"/>
      <c r="AA345" s="927"/>
      <c r="AB345" s="934"/>
      <c r="AC345" s="934"/>
      <c r="AD345" s="960"/>
      <c r="AE345" s="963"/>
      <c r="AF345" s="964"/>
      <c r="AG345" s="965"/>
      <c r="AH345" s="964"/>
      <c r="AI345" s="964"/>
      <c r="AJ345" s="964"/>
      <c r="AK345" s="964"/>
      <c r="AL345" s="966"/>
      <c r="AM345" s="929"/>
    </row>
    <row r="346" spans="1:41" ht="21.75" customHeight="1">
      <c r="A346" s="953"/>
      <c r="B346" s="927"/>
      <c r="C346" s="928"/>
      <c r="D346" s="927"/>
      <c r="E346" s="958"/>
      <c r="F346" s="927"/>
      <c r="G346" s="958"/>
      <c r="H346" s="927"/>
      <c r="I346" s="927"/>
      <c r="J346" s="927"/>
      <c r="K346" s="927"/>
      <c r="L346" s="927"/>
      <c r="M346" s="927"/>
      <c r="N346" s="927"/>
      <c r="O346" s="927"/>
      <c r="P346" s="934"/>
      <c r="Q346" s="934"/>
      <c r="R346" s="934"/>
      <c r="S346" s="934"/>
      <c r="T346" s="927"/>
      <c r="U346" s="927"/>
      <c r="V346" s="958"/>
      <c r="W346" s="927"/>
      <c r="X346" s="927"/>
      <c r="Y346" s="934"/>
      <c r="Z346" s="927"/>
      <c r="AA346" s="927"/>
      <c r="AB346" s="934"/>
      <c r="AC346" s="934"/>
      <c r="AD346" s="960"/>
      <c r="AE346" s="953" t="s">
        <v>723</v>
      </c>
      <c r="AF346" s="927"/>
      <c r="AG346" s="934" t="s">
        <v>3</v>
      </c>
      <c r="AH346" s="928" t="s">
        <v>724</v>
      </c>
      <c r="AI346" s="927"/>
      <c r="AJ346" s="927"/>
      <c r="AK346" s="927"/>
      <c r="AL346" s="929"/>
      <c r="AM346" s="929"/>
    </row>
    <row r="347" spans="1:41" ht="21.75" customHeight="1">
      <c r="A347" s="953"/>
      <c r="B347" s="927"/>
      <c r="C347" s="934"/>
      <c r="D347" s="934"/>
      <c r="E347" s="934"/>
      <c r="F347" s="934"/>
      <c r="G347" s="934"/>
      <c r="H347" s="934"/>
      <c r="I347" s="934"/>
      <c r="J347" s="934"/>
      <c r="K347" s="934"/>
      <c r="L347" s="934"/>
      <c r="M347" s="934"/>
      <c r="N347" s="934"/>
      <c r="O347" s="934"/>
      <c r="P347" s="934"/>
      <c r="Q347" s="934"/>
      <c r="R347" s="934"/>
      <c r="S347" s="934"/>
      <c r="T347" s="927"/>
      <c r="U347" s="958"/>
      <c r="V347" s="958"/>
      <c r="W347" s="927"/>
      <c r="X347" s="927"/>
      <c r="Y347" s="934"/>
      <c r="Z347" s="927"/>
      <c r="AA347" s="927"/>
      <c r="AB347" s="934"/>
      <c r="AC347" s="934"/>
      <c r="AD347" s="960"/>
      <c r="AE347" s="953" t="s">
        <v>725</v>
      </c>
      <c r="AF347" s="927"/>
      <c r="AG347" s="934" t="s">
        <v>3</v>
      </c>
      <c r="AH347" s="927" t="s">
        <v>726</v>
      </c>
      <c r="AI347" s="927"/>
      <c r="AJ347" s="927"/>
      <c r="AK347" s="927"/>
      <c r="AL347" s="929"/>
      <c r="AM347" s="929"/>
    </row>
    <row r="348" spans="1:41" ht="21.75" customHeight="1">
      <c r="A348" s="953"/>
      <c r="B348" s="927"/>
      <c r="C348" s="934"/>
      <c r="D348" s="934"/>
      <c r="E348" s="934"/>
      <c r="F348" s="934"/>
      <c r="G348" s="934"/>
      <c r="H348" s="934"/>
      <c r="I348" s="934"/>
      <c r="J348" s="934"/>
      <c r="K348" s="934"/>
      <c r="L348" s="934"/>
      <c r="M348" s="934"/>
      <c r="N348" s="934"/>
      <c r="O348" s="934"/>
      <c r="P348" s="934"/>
      <c r="Q348" s="934"/>
      <c r="R348" s="934"/>
      <c r="S348" s="934"/>
      <c r="T348" s="958"/>
      <c r="U348" s="958"/>
      <c r="V348" s="958"/>
      <c r="W348" s="927"/>
      <c r="X348" s="927"/>
      <c r="Y348" s="934"/>
      <c r="Z348" s="928"/>
      <c r="AA348" s="927"/>
      <c r="AB348" s="934"/>
      <c r="AC348" s="934"/>
      <c r="AD348" s="960"/>
      <c r="AE348" s="963" t="s">
        <v>727</v>
      </c>
      <c r="AF348" s="964"/>
      <c r="AG348" s="965" t="s">
        <v>3</v>
      </c>
      <c r="AH348" s="967" t="str">
        <f>AH421</f>
        <v>02 Januari 2020</v>
      </c>
      <c r="AI348" s="967"/>
      <c r="AJ348" s="967"/>
      <c r="AK348" s="964"/>
      <c r="AL348" s="966"/>
      <c r="AM348" s="929"/>
    </row>
    <row r="349" spans="1:41" ht="18" customHeight="1">
      <c r="A349" s="963"/>
      <c r="B349" s="964"/>
      <c r="C349" s="968"/>
      <c r="D349" s="964"/>
      <c r="E349" s="964"/>
      <c r="F349" s="964"/>
      <c r="G349" s="965"/>
      <c r="H349" s="965"/>
      <c r="I349" s="964"/>
      <c r="J349" s="964"/>
      <c r="K349" s="964"/>
      <c r="L349" s="964"/>
      <c r="M349" s="964"/>
      <c r="N349" s="964"/>
      <c r="O349" s="964"/>
      <c r="P349" s="964"/>
      <c r="Q349" s="964"/>
      <c r="R349" s="964"/>
      <c r="S349" s="964"/>
      <c r="T349" s="964"/>
      <c r="U349" s="964"/>
      <c r="V349" s="964"/>
      <c r="W349" s="964"/>
      <c r="X349" s="964"/>
      <c r="Y349" s="964"/>
      <c r="Z349" s="964"/>
      <c r="AA349" s="964"/>
      <c r="AB349" s="964"/>
      <c r="AC349" s="964"/>
      <c r="AD349" s="964"/>
      <c r="AE349" s="964"/>
      <c r="AF349" s="964"/>
      <c r="AG349" s="964"/>
      <c r="AH349" s="964"/>
      <c r="AI349" s="964"/>
      <c r="AJ349" s="964"/>
      <c r="AK349" s="964"/>
      <c r="AL349" s="964"/>
      <c r="AM349" s="966"/>
    </row>
    <row r="352" spans="1:41">
      <c r="A352" s="1463"/>
      <c r="B352" s="1464"/>
      <c r="C352" s="1464"/>
      <c r="D352" s="1465"/>
      <c r="E352" s="1433" t="s">
        <v>537</v>
      </c>
      <c r="F352" s="1434"/>
      <c r="G352" s="1434"/>
      <c r="H352" s="1434"/>
      <c r="I352" s="1434"/>
      <c r="J352" s="1434"/>
      <c r="K352" s="1434"/>
      <c r="L352" s="1434"/>
      <c r="M352" s="1434"/>
      <c r="N352" s="1434"/>
      <c r="O352" s="1434"/>
      <c r="P352" s="1434"/>
      <c r="Q352" s="1434"/>
      <c r="R352" s="1434"/>
      <c r="S352" s="1434"/>
      <c r="T352" s="1434"/>
      <c r="U352" s="1434"/>
      <c r="V352" s="1434"/>
      <c r="W352" s="1434"/>
      <c r="X352" s="1434"/>
      <c r="Y352" s="1434"/>
      <c r="Z352" s="1434"/>
      <c r="AA352" s="1434"/>
      <c r="AB352" s="1434"/>
      <c r="AC352" s="1434"/>
      <c r="AD352" s="1434"/>
      <c r="AE352" s="1434"/>
      <c r="AF352" s="1435"/>
      <c r="AG352" s="1475" t="s">
        <v>752</v>
      </c>
      <c r="AH352" s="1476"/>
      <c r="AI352" s="1476"/>
      <c r="AJ352" s="1476"/>
      <c r="AK352" s="1476"/>
      <c r="AL352" s="1476"/>
      <c r="AM352" s="1477"/>
      <c r="AN352" s="924" t="s">
        <v>692</v>
      </c>
      <c r="AO352" s="924"/>
    </row>
    <row r="353" spans="1:42">
      <c r="A353" s="1466"/>
      <c r="B353" s="1467"/>
      <c r="C353" s="1467"/>
      <c r="D353" s="1468"/>
      <c r="E353" s="1472"/>
      <c r="F353" s="1473"/>
      <c r="G353" s="1473"/>
      <c r="H353" s="1473"/>
      <c r="I353" s="1473"/>
      <c r="J353" s="1473"/>
      <c r="K353" s="1473"/>
      <c r="L353" s="1473"/>
      <c r="M353" s="1473"/>
      <c r="N353" s="1473"/>
      <c r="O353" s="1473"/>
      <c r="P353" s="1473"/>
      <c r="Q353" s="1473"/>
      <c r="R353" s="1473"/>
      <c r="S353" s="1473"/>
      <c r="T353" s="1473"/>
      <c r="U353" s="1473"/>
      <c r="V353" s="1473"/>
      <c r="W353" s="1473"/>
      <c r="X353" s="1473"/>
      <c r="Y353" s="1473"/>
      <c r="Z353" s="1473"/>
      <c r="AA353" s="1473"/>
      <c r="AB353" s="1473"/>
      <c r="AC353" s="1473"/>
      <c r="AD353" s="1473"/>
      <c r="AE353" s="1473"/>
      <c r="AF353" s="1474"/>
      <c r="AG353" s="1478"/>
      <c r="AH353" s="1479"/>
      <c r="AI353" s="1479"/>
      <c r="AJ353" s="1479"/>
      <c r="AK353" s="1479"/>
      <c r="AL353" s="1479"/>
      <c r="AM353" s="1480"/>
    </row>
    <row r="354" spans="1:42">
      <c r="A354" s="1466"/>
      <c r="B354" s="1467"/>
      <c r="C354" s="1467"/>
      <c r="D354" s="1468"/>
      <c r="E354" s="1472"/>
      <c r="F354" s="1473"/>
      <c r="G354" s="1473"/>
      <c r="H354" s="1473"/>
      <c r="I354" s="1473"/>
      <c r="J354" s="1473"/>
      <c r="K354" s="1473"/>
      <c r="L354" s="1473"/>
      <c r="M354" s="1473"/>
      <c r="N354" s="1473"/>
      <c r="O354" s="1473"/>
      <c r="P354" s="1473"/>
      <c r="Q354" s="1473"/>
      <c r="R354" s="1473"/>
      <c r="S354" s="1473"/>
      <c r="T354" s="1473"/>
      <c r="U354" s="1473"/>
      <c r="V354" s="1473"/>
      <c r="W354" s="1473"/>
      <c r="X354" s="1473"/>
      <c r="Y354" s="1473"/>
      <c r="Z354" s="1473"/>
      <c r="AA354" s="1473"/>
      <c r="AB354" s="1473"/>
      <c r="AC354" s="1473"/>
      <c r="AD354" s="1473"/>
      <c r="AE354" s="1473"/>
      <c r="AF354" s="1474"/>
      <c r="AG354" s="1475" t="str">
        <f>AG3</f>
        <v>TGL  : 01 Januari - 31 Desember 2019</v>
      </c>
      <c r="AH354" s="1476"/>
      <c r="AI354" s="1476"/>
      <c r="AJ354" s="1476"/>
      <c r="AK354" s="1476"/>
      <c r="AL354" s="1476"/>
      <c r="AM354" s="1477"/>
    </row>
    <row r="355" spans="1:42">
      <c r="A355" s="1469"/>
      <c r="B355" s="1470"/>
      <c r="C355" s="1470"/>
      <c r="D355" s="1471"/>
      <c r="E355" s="1436"/>
      <c r="F355" s="1437"/>
      <c r="G355" s="1437"/>
      <c r="H355" s="1437"/>
      <c r="I355" s="1437"/>
      <c r="J355" s="1437"/>
      <c r="K355" s="1437"/>
      <c r="L355" s="1437"/>
      <c r="M355" s="1437"/>
      <c r="N355" s="1437"/>
      <c r="O355" s="1437"/>
      <c r="P355" s="1437"/>
      <c r="Q355" s="1437"/>
      <c r="R355" s="1437"/>
      <c r="S355" s="1437"/>
      <c r="T355" s="1437"/>
      <c r="U355" s="1437"/>
      <c r="V355" s="1437"/>
      <c r="W355" s="1437"/>
      <c r="X355" s="1437"/>
      <c r="Y355" s="1437"/>
      <c r="Z355" s="1437"/>
      <c r="AA355" s="1437"/>
      <c r="AB355" s="1437"/>
      <c r="AC355" s="1437"/>
      <c r="AD355" s="1437"/>
      <c r="AE355" s="1437"/>
      <c r="AF355" s="1438"/>
      <c r="AG355" s="1478"/>
      <c r="AH355" s="1479"/>
      <c r="AI355" s="1479"/>
      <c r="AJ355" s="1479"/>
      <c r="AK355" s="1479"/>
      <c r="AL355" s="1479"/>
      <c r="AM355" s="1480"/>
    </row>
    <row r="356" spans="1:42" ht="18" customHeight="1">
      <c r="A356" s="1433" t="s">
        <v>539</v>
      </c>
      <c r="B356" s="1434"/>
      <c r="C356" s="1434"/>
      <c r="D356" s="1435"/>
      <c r="E356" s="1439" t="s">
        <v>694</v>
      </c>
      <c r="F356" s="1440"/>
      <c r="G356" s="1440"/>
      <c r="H356" s="1440"/>
      <c r="I356" s="1440"/>
      <c r="J356" s="1440"/>
      <c r="K356" s="1440"/>
      <c r="L356" s="1440"/>
      <c r="M356" s="1440"/>
      <c r="N356" s="1440"/>
      <c r="O356" s="1440"/>
      <c r="P356" s="1440"/>
      <c r="Q356" s="1440"/>
      <c r="R356" s="1440"/>
      <c r="S356" s="1440"/>
      <c r="T356" s="1440"/>
      <c r="U356" s="1440"/>
      <c r="V356" s="1440"/>
      <c r="W356" s="1440"/>
      <c r="X356" s="1440"/>
      <c r="Y356" s="1440"/>
      <c r="Z356" s="1440"/>
      <c r="AA356" s="1440"/>
      <c r="AB356" s="1440"/>
      <c r="AC356" s="1440"/>
      <c r="AD356" s="1440"/>
      <c r="AE356" s="1440"/>
      <c r="AF356" s="1441"/>
      <c r="AG356" s="1445" t="s">
        <v>695</v>
      </c>
      <c r="AH356" s="1446"/>
      <c r="AI356" s="1446"/>
      <c r="AJ356" s="1446"/>
      <c r="AK356" s="1446"/>
      <c r="AL356" s="1446"/>
      <c r="AM356" s="1447"/>
    </row>
    <row r="357" spans="1:42" ht="18" customHeight="1">
      <c r="A357" s="1436"/>
      <c r="B357" s="1437"/>
      <c r="C357" s="1437"/>
      <c r="D357" s="1438"/>
      <c r="E357" s="1442"/>
      <c r="F357" s="1443"/>
      <c r="G357" s="1443"/>
      <c r="H357" s="1443"/>
      <c r="I357" s="1443"/>
      <c r="J357" s="1443"/>
      <c r="K357" s="1443"/>
      <c r="L357" s="1443"/>
      <c r="M357" s="1443"/>
      <c r="N357" s="1443"/>
      <c r="O357" s="1443"/>
      <c r="P357" s="1443"/>
      <c r="Q357" s="1443"/>
      <c r="R357" s="1443"/>
      <c r="S357" s="1443"/>
      <c r="T357" s="1443"/>
      <c r="U357" s="1443"/>
      <c r="V357" s="1443"/>
      <c r="W357" s="1443"/>
      <c r="X357" s="1443"/>
      <c r="Y357" s="1443"/>
      <c r="Z357" s="1443"/>
      <c r="AA357" s="1443"/>
      <c r="AB357" s="1443"/>
      <c r="AC357" s="1443"/>
      <c r="AD357" s="1443"/>
      <c r="AE357" s="1443"/>
      <c r="AF357" s="1444"/>
      <c r="AG357" s="1448"/>
      <c r="AH357" s="1449"/>
      <c r="AI357" s="1449"/>
      <c r="AJ357" s="1449"/>
      <c r="AK357" s="1449"/>
      <c r="AL357" s="1449"/>
      <c r="AM357" s="1450"/>
    </row>
    <row r="358" spans="1:42" ht="12" customHeight="1">
      <c r="A358" s="926"/>
      <c r="B358" s="927"/>
      <c r="C358" s="928"/>
      <c r="D358" s="927"/>
      <c r="E358" s="927"/>
      <c r="F358" s="927"/>
      <c r="G358" s="927"/>
      <c r="H358" s="927"/>
      <c r="I358" s="927"/>
      <c r="J358" s="927"/>
      <c r="K358" s="927"/>
      <c r="L358" s="927"/>
      <c r="M358" s="927"/>
      <c r="N358" s="927"/>
      <c r="O358" s="927"/>
      <c r="P358" s="927"/>
      <c r="Q358" s="927"/>
      <c r="R358" s="927"/>
      <c r="S358" s="927"/>
      <c r="T358" s="927"/>
      <c r="U358" s="927"/>
      <c r="V358" s="927"/>
      <c r="W358" s="927"/>
      <c r="X358" s="927"/>
      <c r="Y358" s="927"/>
      <c r="Z358" s="927"/>
      <c r="AA358" s="927"/>
      <c r="AB358" s="927"/>
      <c r="AC358" s="927"/>
      <c r="AD358" s="927"/>
      <c r="AE358" s="927"/>
      <c r="AF358" s="927"/>
      <c r="AG358" s="927"/>
      <c r="AH358" s="927"/>
      <c r="AI358" s="927"/>
      <c r="AJ358" s="927"/>
      <c r="AK358" s="927"/>
      <c r="AL358" s="927"/>
      <c r="AM358" s="929"/>
    </row>
    <row r="359" spans="1:42" ht="24" customHeight="1">
      <c r="A359" s="930" t="s">
        <v>543</v>
      </c>
      <c r="B359" s="931"/>
      <c r="C359" s="932"/>
      <c r="D359" s="931"/>
      <c r="E359" s="931"/>
      <c r="F359" s="931"/>
      <c r="G359" s="931"/>
      <c r="H359" s="931" t="s">
        <v>3</v>
      </c>
      <c r="I359" s="933" t="s">
        <v>206</v>
      </c>
      <c r="J359" s="931"/>
      <c r="K359" s="931"/>
      <c r="L359" s="931"/>
      <c r="M359" s="931"/>
      <c r="N359" s="931"/>
      <c r="O359" s="931"/>
      <c r="P359" s="931"/>
      <c r="Q359" s="931"/>
      <c r="R359" s="931"/>
      <c r="S359" s="931"/>
      <c r="T359" s="931"/>
      <c r="U359" s="931"/>
      <c r="V359" s="931" t="s">
        <v>696</v>
      </c>
      <c r="W359" s="931"/>
      <c r="X359" s="931"/>
      <c r="Y359" s="934"/>
      <c r="Z359" s="931" t="s">
        <v>3</v>
      </c>
      <c r="AA359" s="935" t="s">
        <v>753</v>
      </c>
      <c r="AB359" s="927"/>
      <c r="AC359" s="927"/>
      <c r="AD359" s="927"/>
      <c r="AE359" s="927"/>
      <c r="AF359" s="927"/>
      <c r="AG359" s="927"/>
      <c r="AH359" s="927"/>
      <c r="AI359" s="927"/>
      <c r="AJ359" s="927"/>
      <c r="AK359" s="927"/>
      <c r="AL359" s="927"/>
      <c r="AM359" s="929"/>
      <c r="AO359" s="925" t="str">
        <f>I359</f>
        <v>M.RIDWAN ARSYAD</v>
      </c>
    </row>
    <row r="360" spans="1:42" ht="24" customHeight="1">
      <c r="A360" s="930" t="s">
        <v>114</v>
      </c>
      <c r="B360" s="931"/>
      <c r="C360" s="932"/>
      <c r="D360" s="931"/>
      <c r="E360" s="931"/>
      <c r="F360" s="931"/>
      <c r="G360" s="931"/>
      <c r="H360" s="931" t="s">
        <v>3</v>
      </c>
      <c r="I360" s="933" t="s">
        <v>754</v>
      </c>
      <c r="J360" s="931"/>
      <c r="K360" s="931"/>
      <c r="L360" s="931"/>
      <c r="M360" s="931"/>
      <c r="N360" s="931"/>
      <c r="O360" s="931"/>
      <c r="P360" s="931"/>
      <c r="Q360" s="931"/>
      <c r="R360" s="931"/>
      <c r="S360" s="931"/>
      <c r="T360" s="931"/>
      <c r="U360" s="931"/>
      <c r="V360" s="931" t="s">
        <v>545</v>
      </c>
      <c r="W360" s="931"/>
      <c r="X360" s="931"/>
      <c r="Y360" s="934"/>
      <c r="Z360" s="931" t="s">
        <v>3</v>
      </c>
      <c r="AA360" s="932" t="s">
        <v>287</v>
      </c>
      <c r="AB360" s="927"/>
      <c r="AC360" s="927"/>
      <c r="AD360" s="927"/>
      <c r="AE360" s="927"/>
      <c r="AF360" s="927"/>
      <c r="AG360" s="927"/>
      <c r="AH360" s="927"/>
      <c r="AI360" s="927"/>
      <c r="AJ360" s="927"/>
      <c r="AK360" s="927"/>
      <c r="AL360" s="927"/>
      <c r="AM360" s="929"/>
      <c r="AO360" s="925" t="s">
        <v>698</v>
      </c>
    </row>
    <row r="361" spans="1:42" ht="12" customHeight="1">
      <c r="A361" s="926"/>
      <c r="B361" s="927"/>
      <c r="C361" s="928"/>
      <c r="D361" s="927"/>
      <c r="E361" s="927"/>
      <c r="F361" s="927"/>
      <c r="G361" s="927"/>
      <c r="H361" s="927"/>
      <c r="I361" s="927"/>
      <c r="J361" s="927"/>
      <c r="K361" s="927"/>
      <c r="L361" s="927"/>
      <c r="M361" s="927"/>
      <c r="N361" s="927"/>
      <c r="O361" s="927"/>
      <c r="P361" s="927"/>
      <c r="Q361" s="927"/>
      <c r="R361" s="927"/>
      <c r="S361" s="927"/>
      <c r="T361" s="927"/>
      <c r="U361" s="927"/>
      <c r="V361" s="927"/>
      <c r="W361" s="927"/>
      <c r="X361" s="927"/>
      <c r="Y361" s="927"/>
      <c r="Z361" s="927"/>
      <c r="AA361" s="927"/>
      <c r="AB361" s="927"/>
      <c r="AC361" s="927"/>
      <c r="AD361" s="927"/>
      <c r="AE361" s="927"/>
      <c r="AF361" s="927"/>
      <c r="AG361" s="927"/>
      <c r="AH361" s="927"/>
      <c r="AI361" s="927"/>
      <c r="AJ361" s="927"/>
      <c r="AK361" s="927"/>
      <c r="AL361" s="927"/>
      <c r="AM361" s="929"/>
    </row>
    <row r="362" spans="1:42" ht="24" customHeight="1">
      <c r="A362" s="1451" t="s">
        <v>549</v>
      </c>
      <c r="B362" s="1453" t="s">
        <v>550</v>
      </c>
      <c r="C362" s="1454"/>
      <c r="D362" s="1454"/>
      <c r="E362" s="1454"/>
      <c r="F362" s="1454"/>
      <c r="G362" s="1454"/>
      <c r="H362" s="1454"/>
      <c r="I362" s="1454"/>
      <c r="J362" s="1455"/>
      <c r="K362" s="1431" t="s">
        <v>699</v>
      </c>
      <c r="L362" s="1432"/>
      <c r="M362" s="1431" t="s">
        <v>700</v>
      </c>
      <c r="N362" s="1432"/>
      <c r="O362" s="1431" t="s">
        <v>701</v>
      </c>
      <c r="P362" s="1432"/>
      <c r="Q362" s="1431" t="s">
        <v>702</v>
      </c>
      <c r="R362" s="1432"/>
      <c r="S362" s="1431" t="s">
        <v>703</v>
      </c>
      <c r="T362" s="1432"/>
      <c r="U362" s="1431" t="s">
        <v>704</v>
      </c>
      <c r="V362" s="1432"/>
      <c r="W362" s="1431" t="s">
        <v>705</v>
      </c>
      <c r="X362" s="1432"/>
      <c r="Y362" s="1431" t="s">
        <v>706</v>
      </c>
      <c r="Z362" s="1432"/>
      <c r="AA362" s="1431" t="s">
        <v>707</v>
      </c>
      <c r="AB362" s="1432"/>
      <c r="AC362" s="1431" t="s">
        <v>708</v>
      </c>
      <c r="AD362" s="1432"/>
      <c r="AE362" s="1431" t="s">
        <v>709</v>
      </c>
      <c r="AF362" s="1432"/>
      <c r="AG362" s="1459" t="s">
        <v>710</v>
      </c>
      <c r="AH362" s="1460"/>
      <c r="AI362" s="1461" t="s">
        <v>711</v>
      </c>
      <c r="AJ362" s="1432"/>
      <c r="AK362" s="1462" t="s">
        <v>712</v>
      </c>
      <c r="AL362" s="1432"/>
      <c r="AM362" s="929"/>
    </row>
    <row r="363" spans="1:42" ht="24" customHeight="1">
      <c r="A363" s="1452"/>
      <c r="B363" s="1456"/>
      <c r="C363" s="1457"/>
      <c r="D363" s="1457"/>
      <c r="E363" s="1457"/>
      <c r="F363" s="1457"/>
      <c r="G363" s="1457"/>
      <c r="H363" s="1457"/>
      <c r="I363" s="1457"/>
      <c r="J363" s="1458"/>
      <c r="K363" s="937" t="s">
        <v>713</v>
      </c>
      <c r="L363" s="937" t="s">
        <v>714</v>
      </c>
      <c r="M363" s="937" t="s">
        <v>713</v>
      </c>
      <c r="N363" s="937" t="s">
        <v>714</v>
      </c>
      <c r="O363" s="937" t="s">
        <v>713</v>
      </c>
      <c r="P363" s="937" t="s">
        <v>714</v>
      </c>
      <c r="Q363" s="937" t="s">
        <v>713</v>
      </c>
      <c r="R363" s="937" t="s">
        <v>714</v>
      </c>
      <c r="S363" s="937" t="s">
        <v>713</v>
      </c>
      <c r="T363" s="937" t="s">
        <v>714</v>
      </c>
      <c r="U363" s="937" t="s">
        <v>713</v>
      </c>
      <c r="V363" s="938" t="s">
        <v>714</v>
      </c>
      <c r="W363" s="937" t="s">
        <v>713</v>
      </c>
      <c r="X363" s="937" t="s">
        <v>714</v>
      </c>
      <c r="Y363" s="937" t="s">
        <v>713</v>
      </c>
      <c r="Z363" s="937" t="s">
        <v>714</v>
      </c>
      <c r="AA363" s="937" t="s">
        <v>713</v>
      </c>
      <c r="AB363" s="937" t="s">
        <v>714</v>
      </c>
      <c r="AC363" s="937" t="s">
        <v>713</v>
      </c>
      <c r="AD363" s="937" t="s">
        <v>714</v>
      </c>
      <c r="AE363" s="937" t="s">
        <v>713</v>
      </c>
      <c r="AF363" s="937" t="s">
        <v>714</v>
      </c>
      <c r="AG363" s="937" t="s">
        <v>713</v>
      </c>
      <c r="AH363" s="939" t="s">
        <v>714</v>
      </c>
      <c r="AI363" s="940" t="s">
        <v>713</v>
      </c>
      <c r="AJ363" s="937" t="s">
        <v>714</v>
      </c>
      <c r="AK363" s="938" t="s">
        <v>713</v>
      </c>
      <c r="AL363" s="937" t="s">
        <v>714</v>
      </c>
      <c r="AM363" s="929"/>
    </row>
    <row r="364" spans="1:42" ht="27" customHeight="1">
      <c r="A364" s="941" t="s">
        <v>555</v>
      </c>
      <c r="B364" s="1427" t="s">
        <v>715</v>
      </c>
      <c r="C364" s="1428"/>
      <c r="D364" s="1428"/>
      <c r="E364" s="1428"/>
      <c r="F364" s="1428"/>
      <c r="G364" s="1428"/>
      <c r="H364" s="1428"/>
      <c r="I364" s="1428"/>
      <c r="J364" s="1429"/>
      <c r="K364" s="942">
        <v>6.4720638540478905</v>
      </c>
      <c r="L364" s="943">
        <v>9</v>
      </c>
      <c r="M364" s="942">
        <v>0</v>
      </c>
      <c r="N364" s="943">
        <v>0</v>
      </c>
      <c r="O364" s="942">
        <v>0</v>
      </c>
      <c r="P364" s="943">
        <v>0</v>
      </c>
      <c r="Q364" s="942">
        <v>0</v>
      </c>
      <c r="R364" s="943">
        <v>0</v>
      </c>
      <c r="S364" s="942">
        <v>0</v>
      </c>
      <c r="T364" s="943">
        <v>0</v>
      </c>
      <c r="U364" s="942">
        <v>0</v>
      </c>
      <c r="V364" s="943">
        <v>0</v>
      </c>
      <c r="W364" s="942">
        <v>0</v>
      </c>
      <c r="X364" s="943">
        <v>0</v>
      </c>
      <c r="Y364" s="942">
        <v>0</v>
      </c>
      <c r="Z364" s="943">
        <v>0</v>
      </c>
      <c r="AA364" s="942">
        <v>0</v>
      </c>
      <c r="AB364" s="943">
        <v>0</v>
      </c>
      <c r="AC364" s="942">
        <v>0</v>
      </c>
      <c r="AD364" s="943">
        <v>0</v>
      </c>
      <c r="AE364" s="942">
        <v>0</v>
      </c>
      <c r="AF364" s="943">
        <v>0</v>
      </c>
      <c r="AG364" s="942">
        <v>0</v>
      </c>
      <c r="AH364" s="943">
        <v>0</v>
      </c>
      <c r="AI364" s="944">
        <f>K364+M364+O364+Q364+S364+U364+W364+Y364+AA364+AC364+AE364+AG364</f>
        <v>6.4720638540478905</v>
      </c>
      <c r="AJ364" s="945">
        <f>L364+N364+P364+R364+T364+V364+X364+Z364+AB364+AD364+AF364+AH364</f>
        <v>9</v>
      </c>
      <c r="AK364" s="945">
        <f>+AI364/1</f>
        <v>6.4720638540478905</v>
      </c>
      <c r="AL364" s="946">
        <v>9</v>
      </c>
      <c r="AM364" s="947"/>
      <c r="AN364" s="948"/>
      <c r="AO364" s="925">
        <v>9</v>
      </c>
      <c r="AP364" s="981">
        <f>AO364-AL364</f>
        <v>0</v>
      </c>
    </row>
    <row r="365" spans="1:42" ht="27" customHeight="1">
      <c r="A365" s="941" t="s">
        <v>560</v>
      </c>
      <c r="B365" s="1427" t="s">
        <v>716</v>
      </c>
      <c r="C365" s="1428"/>
      <c r="D365" s="1428"/>
      <c r="E365" s="1428"/>
      <c r="F365" s="1428"/>
      <c r="G365" s="1428"/>
      <c r="H365" s="1428"/>
      <c r="I365" s="1428"/>
      <c r="J365" s="1429"/>
      <c r="K365" s="942">
        <v>8.202399999999999</v>
      </c>
      <c r="L365" s="942">
        <v>1</v>
      </c>
      <c r="M365" s="942">
        <v>0</v>
      </c>
      <c r="N365" s="942">
        <v>0</v>
      </c>
      <c r="O365" s="942">
        <v>0</v>
      </c>
      <c r="P365" s="942">
        <v>0</v>
      </c>
      <c r="Q365" s="942">
        <v>0</v>
      </c>
      <c r="R365" s="942">
        <v>0</v>
      </c>
      <c r="S365" s="942">
        <v>0</v>
      </c>
      <c r="T365" s="942">
        <v>0</v>
      </c>
      <c r="U365" s="942">
        <v>0</v>
      </c>
      <c r="V365" s="942">
        <v>0</v>
      </c>
      <c r="W365" s="942">
        <v>0</v>
      </c>
      <c r="X365" s="942">
        <v>0</v>
      </c>
      <c r="Y365" s="942">
        <v>0</v>
      </c>
      <c r="Z365" s="942">
        <v>0</v>
      </c>
      <c r="AA365" s="942">
        <v>0</v>
      </c>
      <c r="AB365" s="942">
        <v>0</v>
      </c>
      <c r="AC365" s="942">
        <v>0</v>
      </c>
      <c r="AD365" s="942">
        <v>0</v>
      </c>
      <c r="AE365" s="942">
        <v>0</v>
      </c>
      <c r="AF365" s="942">
        <v>0</v>
      </c>
      <c r="AG365" s="942">
        <v>0</v>
      </c>
      <c r="AH365" s="942">
        <v>0</v>
      </c>
      <c r="AI365" s="949">
        <f>K365+M365+O365+Q365+S365+U365+W365+Y365+AA365+AC365+AE365+AG365</f>
        <v>8.202399999999999</v>
      </c>
      <c r="AJ365" s="945">
        <f t="shared" ref="AJ365:AJ371" si="25">+L365+N365+P365+R365+T365+V365+X365+Z365+AB365+AD365+AF365+AH365</f>
        <v>1</v>
      </c>
      <c r="AK365" s="945">
        <f>+AI365/12</f>
        <v>0.68353333333333322</v>
      </c>
      <c r="AL365" s="946">
        <v>0</v>
      </c>
      <c r="AM365" s="947"/>
      <c r="AN365" s="948"/>
      <c r="AO365" s="925">
        <v>0</v>
      </c>
      <c r="AP365" s="981">
        <f t="shared" ref="AP365:AP371" si="26">AO365-AL365</f>
        <v>0</v>
      </c>
    </row>
    <row r="366" spans="1:42" ht="27" customHeight="1">
      <c r="A366" s="941" t="s">
        <v>563</v>
      </c>
      <c r="B366" s="1427" t="s">
        <v>717</v>
      </c>
      <c r="C366" s="1428"/>
      <c r="D366" s="1428"/>
      <c r="E366" s="1428"/>
      <c r="F366" s="1428"/>
      <c r="G366" s="1428"/>
      <c r="H366" s="1428"/>
      <c r="I366" s="1428"/>
      <c r="J366" s="1429"/>
      <c r="K366" s="942">
        <v>1</v>
      </c>
      <c r="L366" s="942">
        <v>5</v>
      </c>
      <c r="M366" s="942">
        <v>0</v>
      </c>
      <c r="N366" s="942">
        <v>5</v>
      </c>
      <c r="O366" s="942">
        <v>0</v>
      </c>
      <c r="P366" s="942">
        <v>5</v>
      </c>
      <c r="Q366" s="942">
        <v>0</v>
      </c>
      <c r="R366" s="942">
        <v>5</v>
      </c>
      <c r="S366" s="942">
        <v>0</v>
      </c>
      <c r="T366" s="942">
        <v>5</v>
      </c>
      <c r="U366" s="942">
        <v>0</v>
      </c>
      <c r="V366" s="942">
        <v>5</v>
      </c>
      <c r="W366" s="942">
        <v>0</v>
      </c>
      <c r="X366" s="942">
        <v>5</v>
      </c>
      <c r="Y366" s="942">
        <v>0</v>
      </c>
      <c r="Z366" s="942">
        <v>5</v>
      </c>
      <c r="AA366" s="942">
        <v>0</v>
      </c>
      <c r="AB366" s="942">
        <v>5</v>
      </c>
      <c r="AC366" s="942">
        <v>0</v>
      </c>
      <c r="AD366" s="942">
        <v>5</v>
      </c>
      <c r="AE366" s="942">
        <v>0</v>
      </c>
      <c r="AF366" s="942">
        <v>5</v>
      </c>
      <c r="AG366" s="942">
        <v>0</v>
      </c>
      <c r="AH366" s="942">
        <v>5</v>
      </c>
      <c r="AI366" s="944">
        <f>K366+M366+O366+Q366+S366+U366+W366+Y366+AA366+AC366+AE366+AG366</f>
        <v>1</v>
      </c>
      <c r="AJ366" s="950">
        <f t="shared" si="25"/>
        <v>60</v>
      </c>
      <c r="AK366" s="945">
        <f>+AI366/12</f>
        <v>8.3333333333333329E-2</v>
      </c>
      <c r="AL366" s="946">
        <v>5</v>
      </c>
      <c r="AM366" s="947"/>
      <c r="AN366" s="948"/>
      <c r="AO366" s="925">
        <v>5</v>
      </c>
      <c r="AP366" s="981">
        <f t="shared" si="26"/>
        <v>0</v>
      </c>
    </row>
    <row r="367" spans="1:42" ht="31.5" customHeight="1">
      <c r="A367" s="941" t="s">
        <v>567</v>
      </c>
      <c r="B367" s="1427" t="s">
        <v>718</v>
      </c>
      <c r="C367" s="1428"/>
      <c r="D367" s="1428"/>
      <c r="E367" s="1428"/>
      <c r="F367" s="1428"/>
      <c r="G367" s="1428"/>
      <c r="H367" s="1428"/>
      <c r="I367" s="1428"/>
      <c r="J367" s="1429"/>
      <c r="K367" s="950" t="s">
        <v>698</v>
      </c>
      <c r="L367" s="950">
        <v>10</v>
      </c>
      <c r="M367" s="950" t="s">
        <v>112</v>
      </c>
      <c r="N367" s="950">
        <v>7</v>
      </c>
      <c r="O367" s="950" t="s">
        <v>112</v>
      </c>
      <c r="P367" s="950">
        <v>7</v>
      </c>
      <c r="Q367" s="950" t="s">
        <v>112</v>
      </c>
      <c r="R367" s="950">
        <v>7</v>
      </c>
      <c r="S367" s="950" t="s">
        <v>112</v>
      </c>
      <c r="T367" s="950">
        <v>7</v>
      </c>
      <c r="U367" s="950" t="s">
        <v>112</v>
      </c>
      <c r="V367" s="950">
        <v>7</v>
      </c>
      <c r="W367" s="950" t="s">
        <v>112</v>
      </c>
      <c r="X367" s="950">
        <v>7</v>
      </c>
      <c r="Y367" s="950" t="s">
        <v>112</v>
      </c>
      <c r="Z367" s="950">
        <v>7</v>
      </c>
      <c r="AA367" s="950" t="s">
        <v>112</v>
      </c>
      <c r="AB367" s="950">
        <v>7</v>
      </c>
      <c r="AC367" s="950" t="s">
        <v>112</v>
      </c>
      <c r="AD367" s="950">
        <v>7</v>
      </c>
      <c r="AE367" s="950" t="s">
        <v>112</v>
      </c>
      <c r="AF367" s="950">
        <v>7</v>
      </c>
      <c r="AG367" s="950" t="s">
        <v>112</v>
      </c>
      <c r="AH367" s="950">
        <v>7</v>
      </c>
      <c r="AI367" s="950" t="s">
        <v>112</v>
      </c>
      <c r="AJ367" s="950">
        <f t="shared" si="25"/>
        <v>87</v>
      </c>
      <c r="AK367" s="950" t="s">
        <v>698</v>
      </c>
      <c r="AL367" s="946">
        <f t="shared" ref="AL367:AL371" si="27">+AJ367/12</f>
        <v>7.25</v>
      </c>
      <c r="AM367" s="947"/>
      <c r="AN367" s="948"/>
      <c r="AO367" s="925">
        <v>7</v>
      </c>
      <c r="AP367" s="981">
        <f t="shared" si="26"/>
        <v>-0.25</v>
      </c>
    </row>
    <row r="368" spans="1:42" ht="27" customHeight="1">
      <c r="A368" s="941" t="s">
        <v>571</v>
      </c>
      <c r="B368" s="1427" t="s">
        <v>719</v>
      </c>
      <c r="C368" s="1428"/>
      <c r="D368" s="1428"/>
      <c r="E368" s="1428"/>
      <c r="F368" s="1428"/>
      <c r="G368" s="1428"/>
      <c r="H368" s="1428"/>
      <c r="I368" s="1428"/>
      <c r="J368" s="1429"/>
      <c r="K368" s="950" t="s">
        <v>698</v>
      </c>
      <c r="L368" s="950">
        <v>10</v>
      </c>
      <c r="M368" s="950" t="s">
        <v>112</v>
      </c>
      <c r="N368" s="950">
        <v>7</v>
      </c>
      <c r="O368" s="950" t="s">
        <v>112</v>
      </c>
      <c r="P368" s="950">
        <v>7</v>
      </c>
      <c r="Q368" s="950" t="s">
        <v>112</v>
      </c>
      <c r="R368" s="950">
        <v>7</v>
      </c>
      <c r="S368" s="950" t="s">
        <v>112</v>
      </c>
      <c r="T368" s="950">
        <v>7</v>
      </c>
      <c r="U368" s="950" t="s">
        <v>112</v>
      </c>
      <c r="V368" s="950">
        <v>7</v>
      </c>
      <c r="W368" s="950" t="s">
        <v>112</v>
      </c>
      <c r="X368" s="950">
        <v>7</v>
      </c>
      <c r="Y368" s="950" t="s">
        <v>112</v>
      </c>
      <c r="Z368" s="950">
        <v>7</v>
      </c>
      <c r="AA368" s="950" t="s">
        <v>112</v>
      </c>
      <c r="AB368" s="950">
        <v>7</v>
      </c>
      <c r="AC368" s="950" t="s">
        <v>112</v>
      </c>
      <c r="AD368" s="950">
        <v>7</v>
      </c>
      <c r="AE368" s="950" t="s">
        <v>112</v>
      </c>
      <c r="AF368" s="950">
        <v>7</v>
      </c>
      <c r="AG368" s="950" t="s">
        <v>112</v>
      </c>
      <c r="AH368" s="950">
        <v>7</v>
      </c>
      <c r="AI368" s="950" t="s">
        <v>112</v>
      </c>
      <c r="AJ368" s="950">
        <f t="shared" si="25"/>
        <v>87</v>
      </c>
      <c r="AK368" s="950" t="s">
        <v>112</v>
      </c>
      <c r="AL368" s="946">
        <f t="shared" si="27"/>
        <v>7.25</v>
      </c>
      <c r="AM368" s="947"/>
      <c r="AN368" s="948"/>
      <c r="AO368" s="925">
        <v>7</v>
      </c>
      <c r="AP368" s="981">
        <f t="shared" si="26"/>
        <v>-0.25</v>
      </c>
    </row>
    <row r="369" spans="1:42" ht="33" customHeight="1">
      <c r="A369" s="941" t="s">
        <v>575</v>
      </c>
      <c r="B369" s="1427" t="s">
        <v>720</v>
      </c>
      <c r="C369" s="1428"/>
      <c r="D369" s="1428"/>
      <c r="E369" s="1428"/>
      <c r="F369" s="1428"/>
      <c r="G369" s="1428"/>
      <c r="H369" s="1428"/>
      <c r="I369" s="1428"/>
      <c r="J369" s="1429"/>
      <c r="K369" s="950" t="s">
        <v>698</v>
      </c>
      <c r="L369" s="950">
        <v>10</v>
      </c>
      <c r="M369" s="950" t="s">
        <v>112</v>
      </c>
      <c r="N369" s="950">
        <v>7</v>
      </c>
      <c r="O369" s="950" t="s">
        <v>112</v>
      </c>
      <c r="P369" s="950">
        <v>7</v>
      </c>
      <c r="Q369" s="950" t="s">
        <v>112</v>
      </c>
      <c r="R369" s="950">
        <v>7</v>
      </c>
      <c r="S369" s="950" t="s">
        <v>112</v>
      </c>
      <c r="T369" s="950">
        <v>7</v>
      </c>
      <c r="U369" s="950" t="s">
        <v>112</v>
      </c>
      <c r="V369" s="950">
        <v>7</v>
      </c>
      <c r="W369" s="950" t="s">
        <v>112</v>
      </c>
      <c r="X369" s="950">
        <v>7</v>
      </c>
      <c r="Y369" s="950" t="s">
        <v>112</v>
      </c>
      <c r="Z369" s="950">
        <v>7</v>
      </c>
      <c r="AA369" s="950" t="s">
        <v>112</v>
      </c>
      <c r="AB369" s="950">
        <v>7</v>
      </c>
      <c r="AC369" s="950" t="s">
        <v>112</v>
      </c>
      <c r="AD369" s="950">
        <v>7</v>
      </c>
      <c r="AE369" s="950" t="s">
        <v>112</v>
      </c>
      <c r="AF369" s="950">
        <v>7</v>
      </c>
      <c r="AG369" s="950" t="s">
        <v>112</v>
      </c>
      <c r="AH369" s="950">
        <v>7</v>
      </c>
      <c r="AI369" s="950" t="s">
        <v>112</v>
      </c>
      <c r="AJ369" s="950">
        <f t="shared" si="25"/>
        <v>87</v>
      </c>
      <c r="AK369" s="950" t="s">
        <v>112</v>
      </c>
      <c r="AL369" s="946">
        <f t="shared" si="27"/>
        <v>7.25</v>
      </c>
      <c r="AM369" s="947"/>
      <c r="AN369" s="948"/>
      <c r="AO369" s="925">
        <v>7</v>
      </c>
      <c r="AP369" s="981">
        <f t="shared" si="26"/>
        <v>-0.25</v>
      </c>
    </row>
    <row r="370" spans="1:42" ht="27" customHeight="1">
      <c r="A370" s="941" t="s">
        <v>578</v>
      </c>
      <c r="B370" s="1427" t="s">
        <v>721</v>
      </c>
      <c r="C370" s="1428"/>
      <c r="D370" s="1428"/>
      <c r="E370" s="1428"/>
      <c r="F370" s="1428"/>
      <c r="G370" s="1428"/>
      <c r="H370" s="1428"/>
      <c r="I370" s="1428"/>
      <c r="J370" s="1429"/>
      <c r="K370" s="950" t="s">
        <v>112</v>
      </c>
      <c r="L370" s="950">
        <v>7</v>
      </c>
      <c r="M370" s="950" t="s">
        <v>112</v>
      </c>
      <c r="N370" s="950">
        <v>7</v>
      </c>
      <c r="O370" s="950" t="s">
        <v>112</v>
      </c>
      <c r="P370" s="950">
        <v>7</v>
      </c>
      <c r="Q370" s="950" t="s">
        <v>112</v>
      </c>
      <c r="R370" s="950">
        <v>7</v>
      </c>
      <c r="S370" s="950" t="s">
        <v>112</v>
      </c>
      <c r="T370" s="950">
        <v>7</v>
      </c>
      <c r="U370" s="950" t="s">
        <v>112</v>
      </c>
      <c r="V370" s="950">
        <v>7</v>
      </c>
      <c r="W370" s="950" t="s">
        <v>112</v>
      </c>
      <c r="X370" s="950">
        <v>7</v>
      </c>
      <c r="Y370" s="950" t="s">
        <v>112</v>
      </c>
      <c r="Z370" s="950">
        <v>7</v>
      </c>
      <c r="AA370" s="950" t="s">
        <v>112</v>
      </c>
      <c r="AB370" s="950">
        <v>7</v>
      </c>
      <c r="AC370" s="950" t="s">
        <v>112</v>
      </c>
      <c r="AD370" s="950">
        <v>7</v>
      </c>
      <c r="AE370" s="950" t="s">
        <v>112</v>
      </c>
      <c r="AF370" s="950">
        <v>7</v>
      </c>
      <c r="AG370" s="950" t="s">
        <v>112</v>
      </c>
      <c r="AH370" s="950">
        <v>7</v>
      </c>
      <c r="AI370" s="950" t="s">
        <v>112</v>
      </c>
      <c r="AJ370" s="950">
        <f t="shared" si="25"/>
        <v>84</v>
      </c>
      <c r="AK370" s="950" t="s">
        <v>112</v>
      </c>
      <c r="AL370" s="946">
        <f t="shared" si="27"/>
        <v>7</v>
      </c>
      <c r="AM370" s="947"/>
      <c r="AN370" s="948"/>
      <c r="AO370" s="925">
        <v>7</v>
      </c>
      <c r="AP370" s="981">
        <f t="shared" si="26"/>
        <v>0</v>
      </c>
    </row>
    <row r="371" spans="1:42" ht="32.25" customHeight="1">
      <c r="A371" s="941" t="s">
        <v>581</v>
      </c>
      <c r="B371" s="1427" t="s">
        <v>722</v>
      </c>
      <c r="C371" s="1428"/>
      <c r="D371" s="1428"/>
      <c r="E371" s="1428"/>
      <c r="F371" s="1428"/>
      <c r="G371" s="1428"/>
      <c r="H371" s="1428"/>
      <c r="I371" s="1428"/>
      <c r="J371" s="1429"/>
      <c r="K371" s="950" t="s">
        <v>698</v>
      </c>
      <c r="L371" s="950">
        <v>9</v>
      </c>
      <c r="M371" s="950" t="s">
        <v>112</v>
      </c>
      <c r="N371" s="950">
        <v>7</v>
      </c>
      <c r="O371" s="950" t="s">
        <v>112</v>
      </c>
      <c r="P371" s="950">
        <v>7</v>
      </c>
      <c r="Q371" s="950" t="s">
        <v>112</v>
      </c>
      <c r="R371" s="950">
        <v>7</v>
      </c>
      <c r="S371" s="950" t="s">
        <v>112</v>
      </c>
      <c r="T371" s="950">
        <v>7</v>
      </c>
      <c r="U371" s="950" t="s">
        <v>112</v>
      </c>
      <c r="V371" s="950">
        <v>7</v>
      </c>
      <c r="W371" s="950" t="s">
        <v>112</v>
      </c>
      <c r="X371" s="950">
        <v>7</v>
      </c>
      <c r="Y371" s="950" t="s">
        <v>112</v>
      </c>
      <c r="Z371" s="950">
        <v>7</v>
      </c>
      <c r="AA371" s="950" t="s">
        <v>112</v>
      </c>
      <c r="AB371" s="950">
        <v>7</v>
      </c>
      <c r="AC371" s="950" t="s">
        <v>112</v>
      </c>
      <c r="AD371" s="950">
        <v>7</v>
      </c>
      <c r="AE371" s="950" t="s">
        <v>112</v>
      </c>
      <c r="AF371" s="950">
        <v>7</v>
      </c>
      <c r="AG371" s="950" t="s">
        <v>112</v>
      </c>
      <c r="AH371" s="950">
        <v>7</v>
      </c>
      <c r="AI371" s="950" t="s">
        <v>112</v>
      </c>
      <c r="AJ371" s="950">
        <f t="shared" si="25"/>
        <v>86</v>
      </c>
      <c r="AK371" s="950" t="s">
        <v>112</v>
      </c>
      <c r="AL371" s="946">
        <f t="shared" si="27"/>
        <v>7.166666666666667</v>
      </c>
      <c r="AM371" s="947"/>
      <c r="AN371" s="948"/>
      <c r="AO371" s="925">
        <v>7</v>
      </c>
      <c r="AP371" s="981">
        <f t="shared" si="26"/>
        <v>-0.16666666666666696</v>
      </c>
    </row>
    <row r="372" spans="1:42" ht="27" customHeight="1">
      <c r="A372" s="952"/>
      <c r="B372" s="1430" t="s">
        <v>68</v>
      </c>
      <c r="C372" s="1430"/>
      <c r="D372" s="1430"/>
      <c r="E372" s="1430"/>
      <c r="F372" s="1430"/>
      <c r="G372" s="1430"/>
      <c r="H372" s="1430"/>
      <c r="I372" s="1430"/>
      <c r="J372" s="1430"/>
      <c r="K372" s="1419">
        <f>SUM(L364:L371)</f>
        <v>61</v>
      </c>
      <c r="L372" s="1426"/>
      <c r="M372" s="1425">
        <f>SUM(N364:N371)</f>
        <v>40</v>
      </c>
      <c r="N372" s="1426"/>
      <c r="O372" s="1425">
        <f>SUM(P364:P371)</f>
        <v>40</v>
      </c>
      <c r="P372" s="1426"/>
      <c r="Q372" s="1425">
        <f>SUM(R364:R371)</f>
        <v>40</v>
      </c>
      <c r="R372" s="1426"/>
      <c r="S372" s="1425">
        <f>SUM(T364:T371)</f>
        <v>40</v>
      </c>
      <c r="T372" s="1426"/>
      <c r="U372" s="1425">
        <f>SUM(V364:V371)</f>
        <v>40</v>
      </c>
      <c r="V372" s="1426"/>
      <c r="W372" s="1425">
        <f>SUM(X364:X371)</f>
        <v>40</v>
      </c>
      <c r="X372" s="1426"/>
      <c r="Y372" s="1425">
        <f>SUM(Z364:Z371)</f>
        <v>40</v>
      </c>
      <c r="Z372" s="1426"/>
      <c r="AA372" s="1425">
        <f>SUM(AB364:AB371)</f>
        <v>40</v>
      </c>
      <c r="AB372" s="1426"/>
      <c r="AC372" s="1425">
        <f>SUM(AD364:AD371)</f>
        <v>40</v>
      </c>
      <c r="AD372" s="1426"/>
      <c r="AE372" s="1425">
        <f>SUM(AF364:AF371)</f>
        <v>40</v>
      </c>
      <c r="AF372" s="1426"/>
      <c r="AG372" s="1425">
        <f>SUM(AH364:AH371)</f>
        <v>40</v>
      </c>
      <c r="AH372" s="1426"/>
      <c r="AI372" s="1418">
        <f>SUM(K372:AG372)</f>
        <v>501</v>
      </c>
      <c r="AJ372" s="1419"/>
      <c r="AK372" s="1420">
        <v>49</v>
      </c>
      <c r="AL372" s="1420"/>
      <c r="AM372" s="947"/>
      <c r="AN372" s="948"/>
      <c r="AO372" s="925">
        <f>SUM(AO364:AO371)</f>
        <v>49</v>
      </c>
    </row>
    <row r="373" spans="1:42" ht="27" customHeight="1">
      <c r="A373" s="926"/>
      <c r="B373" s="1034"/>
      <c r="C373" s="1034"/>
      <c r="D373" s="1034"/>
      <c r="E373" s="1034"/>
      <c r="F373" s="1034"/>
      <c r="G373" s="1034"/>
      <c r="H373" s="1034"/>
      <c r="I373" s="1034"/>
      <c r="J373" s="1034"/>
      <c r="K373" s="1035"/>
      <c r="L373" s="1036"/>
      <c r="M373" s="1036"/>
      <c r="N373" s="1036"/>
      <c r="O373" s="1036"/>
      <c r="P373" s="1036"/>
      <c r="Q373" s="1036"/>
      <c r="R373" s="1036"/>
      <c r="S373" s="1036"/>
      <c r="T373" s="1036"/>
      <c r="U373" s="1036"/>
      <c r="V373" s="1036"/>
      <c r="W373" s="1036"/>
      <c r="X373" s="1036"/>
      <c r="Y373" s="1036"/>
      <c r="Z373" s="1036"/>
      <c r="AA373" s="1036"/>
      <c r="AB373" s="1036"/>
      <c r="AC373" s="1036"/>
      <c r="AD373" s="1036"/>
      <c r="AE373" s="1036"/>
      <c r="AF373" s="1036"/>
      <c r="AG373" s="1036"/>
      <c r="AH373" s="1036"/>
      <c r="AI373" s="1035"/>
      <c r="AJ373" s="1035"/>
      <c r="AK373" s="1037"/>
      <c r="AL373" s="1037"/>
      <c r="AM373" s="947"/>
      <c r="AN373" s="948"/>
    </row>
    <row r="374" spans="1:42" ht="21.75" customHeight="1">
      <c r="A374" s="953"/>
      <c r="B374" s="927"/>
      <c r="C374" s="928"/>
      <c r="D374" s="927"/>
      <c r="E374" s="927"/>
      <c r="F374" s="927"/>
      <c r="G374" s="927"/>
      <c r="H374" s="927"/>
      <c r="I374" s="927"/>
      <c r="J374" s="927"/>
      <c r="K374" s="954"/>
      <c r="L374" s="954"/>
      <c r="M374" s="954"/>
      <c r="N374" s="954"/>
      <c r="O374" s="954"/>
      <c r="P374" s="954"/>
      <c r="Q374" s="954"/>
      <c r="R374" s="954"/>
      <c r="S374" s="954"/>
      <c r="T374" s="954"/>
      <c r="U374" s="954"/>
      <c r="V374" s="954"/>
      <c r="W374" s="954"/>
      <c r="X374" s="954"/>
      <c r="Y374" s="954"/>
      <c r="Z374" s="954"/>
      <c r="AA374" s="954"/>
      <c r="AB374" s="954"/>
      <c r="AC374" s="954"/>
      <c r="AD374" s="954"/>
      <c r="AE374" s="954"/>
      <c r="AF374" s="954"/>
      <c r="AG374" s="954"/>
      <c r="AH374" s="954"/>
      <c r="AI374" s="954"/>
      <c r="AJ374" s="954"/>
      <c r="AK374" s="1038"/>
      <c r="AL374" s="1038"/>
      <c r="AM374" s="947"/>
      <c r="AN374" s="948"/>
    </row>
    <row r="375" spans="1:42" ht="27.75" customHeight="1">
      <c r="A375" s="953"/>
      <c r="B375" s="927"/>
      <c r="C375" s="928"/>
      <c r="D375" s="927"/>
      <c r="E375" s="927"/>
      <c r="F375" s="927"/>
      <c r="G375" s="927"/>
      <c r="H375" s="927"/>
      <c r="I375" s="927"/>
      <c r="J375" s="927"/>
      <c r="K375" s="927"/>
      <c r="L375" s="927"/>
      <c r="M375" s="927"/>
      <c r="N375" s="927"/>
      <c r="O375" s="927"/>
      <c r="P375" s="927"/>
      <c r="Q375" s="927"/>
      <c r="R375" s="927"/>
      <c r="S375" s="927"/>
      <c r="T375" s="927"/>
      <c r="U375" s="927"/>
      <c r="V375" s="927"/>
      <c r="W375" s="927"/>
      <c r="X375" s="927"/>
      <c r="Y375" s="927"/>
      <c r="Z375" s="927"/>
      <c r="AA375" s="927"/>
      <c r="AB375" s="927"/>
      <c r="AC375" s="927"/>
      <c r="AD375" s="927"/>
      <c r="AE375" s="927"/>
      <c r="AF375" s="927"/>
      <c r="AG375" s="927"/>
      <c r="AH375" s="927"/>
      <c r="AI375" s="927"/>
      <c r="AJ375" s="927"/>
      <c r="AK375" s="927"/>
      <c r="AL375" s="927"/>
      <c r="AM375" s="929"/>
    </row>
    <row r="376" spans="1:42" ht="17.25" customHeight="1">
      <c r="A376" s="953"/>
      <c r="B376" s="927"/>
      <c r="C376" s="928"/>
      <c r="D376" s="927"/>
      <c r="E376" s="927"/>
      <c r="F376" s="927"/>
      <c r="G376" s="927"/>
      <c r="H376" s="927"/>
      <c r="I376" s="927"/>
      <c r="J376" s="927"/>
      <c r="K376" s="927"/>
      <c r="L376" s="927"/>
      <c r="M376" s="927"/>
      <c r="N376" s="927"/>
      <c r="O376" s="927"/>
      <c r="P376" s="927"/>
      <c r="Q376" s="927"/>
      <c r="R376" s="927" t="s">
        <v>11</v>
      </c>
      <c r="S376" s="927"/>
      <c r="T376" s="927"/>
      <c r="U376" s="927"/>
      <c r="V376" s="927"/>
      <c r="W376" s="927"/>
      <c r="X376" s="927"/>
      <c r="Y376" s="927"/>
      <c r="Z376" s="927"/>
      <c r="AA376" s="927"/>
      <c r="AB376" s="927"/>
      <c r="AC376" s="927" t="s">
        <v>11</v>
      </c>
      <c r="AD376" s="927"/>
      <c r="AE376" s="927"/>
      <c r="AF376" s="927"/>
      <c r="AG376" s="927"/>
      <c r="AH376" s="927"/>
      <c r="AI376" s="927"/>
      <c r="AJ376" s="927"/>
      <c r="AK376" s="927"/>
      <c r="AL376" s="927"/>
      <c r="AM376" s="929"/>
    </row>
    <row r="377" spans="1:42" ht="14.25" customHeight="1">
      <c r="A377" s="953"/>
      <c r="B377" s="927"/>
      <c r="C377" s="928"/>
      <c r="D377" s="927"/>
      <c r="E377" s="927"/>
      <c r="F377" s="927"/>
      <c r="G377" s="927"/>
      <c r="H377" s="927"/>
      <c r="I377" s="927"/>
      <c r="J377" s="927"/>
      <c r="K377" s="927"/>
      <c r="L377" s="927"/>
      <c r="M377" s="927"/>
      <c r="N377" s="927"/>
      <c r="O377" s="927"/>
      <c r="P377" s="927"/>
      <c r="Q377" s="927"/>
      <c r="R377" s="927"/>
      <c r="S377" s="927"/>
      <c r="T377" s="927"/>
      <c r="U377" s="927"/>
      <c r="V377" s="927"/>
      <c r="W377" s="927"/>
      <c r="X377" s="927"/>
      <c r="Y377" s="927"/>
      <c r="Z377" s="927"/>
      <c r="AA377" s="927"/>
      <c r="AB377" s="927"/>
      <c r="AC377" s="927"/>
      <c r="AD377" s="927"/>
      <c r="AE377" s="927"/>
      <c r="AF377" s="927"/>
      <c r="AG377" s="927"/>
      <c r="AH377" s="927"/>
      <c r="AI377" s="927"/>
      <c r="AJ377" s="927"/>
      <c r="AK377" s="927"/>
      <c r="AL377" s="927"/>
      <c r="AM377" s="929"/>
    </row>
    <row r="378" spans="1:42" ht="21.75" customHeight="1">
      <c r="A378" s="953"/>
      <c r="B378" s="927"/>
      <c r="C378" s="928"/>
      <c r="D378" s="927"/>
      <c r="E378" s="927"/>
      <c r="F378" s="927"/>
      <c r="G378" s="927"/>
      <c r="H378" s="927"/>
      <c r="I378" s="927"/>
      <c r="J378" s="927"/>
      <c r="K378" s="927"/>
      <c r="L378" s="927"/>
      <c r="M378" s="927"/>
      <c r="N378" s="927"/>
      <c r="O378" s="1421"/>
      <c r="P378" s="1421"/>
      <c r="Q378" s="927"/>
      <c r="R378" s="927"/>
      <c r="S378" s="927"/>
      <c r="T378" s="927"/>
      <c r="U378" s="927"/>
      <c r="V378" s="927"/>
      <c r="W378" s="927"/>
      <c r="X378" s="927"/>
      <c r="Y378" s="927"/>
      <c r="Z378" s="927"/>
      <c r="AA378" s="927"/>
      <c r="AB378" s="927"/>
      <c r="AC378" s="927"/>
      <c r="AD378" s="927"/>
      <c r="AE378" s="927"/>
      <c r="AF378" s="927"/>
      <c r="AG378" s="927"/>
      <c r="AH378" s="927"/>
      <c r="AI378" s="927"/>
      <c r="AJ378" s="927"/>
      <c r="AK378" s="927"/>
      <c r="AL378" s="927"/>
      <c r="AM378" s="929"/>
    </row>
    <row r="379" spans="1:42" ht="21.75" customHeight="1">
      <c r="A379" s="957"/>
      <c r="B379" s="958"/>
      <c r="C379" s="934"/>
      <c r="D379" s="927"/>
      <c r="E379" s="959"/>
      <c r="F379" s="927"/>
      <c r="G379" s="927"/>
      <c r="H379" s="927"/>
      <c r="I379" s="927"/>
      <c r="J379" s="927"/>
      <c r="K379" s="927"/>
      <c r="L379" s="927"/>
      <c r="M379" s="927"/>
      <c r="N379" s="927"/>
      <c r="O379" s="927"/>
      <c r="P379" s="958"/>
      <c r="Q379" s="958"/>
      <c r="R379" s="958"/>
      <c r="S379" s="958"/>
      <c r="T379" s="958"/>
      <c r="U379" s="958"/>
      <c r="V379" s="958"/>
      <c r="W379" s="927"/>
      <c r="X379" s="927"/>
      <c r="Y379" s="934"/>
      <c r="Z379" s="927"/>
      <c r="AA379" s="927"/>
      <c r="AB379" s="934"/>
      <c r="AC379" s="934"/>
      <c r="AD379" s="960"/>
      <c r="AE379" s="1422" t="s">
        <v>634</v>
      </c>
      <c r="AF379" s="1423"/>
      <c r="AG379" s="1423"/>
      <c r="AH379" s="1423"/>
      <c r="AI379" s="1423"/>
      <c r="AJ379" s="1423"/>
      <c r="AK379" s="1423"/>
      <c r="AL379" s="1424"/>
      <c r="AM379" s="929"/>
    </row>
    <row r="380" spans="1:42" ht="21.75" customHeight="1">
      <c r="A380" s="957"/>
      <c r="B380" s="958"/>
      <c r="C380" s="934"/>
      <c r="D380" s="927"/>
      <c r="E380" s="959"/>
      <c r="F380" s="927"/>
      <c r="G380" s="927"/>
      <c r="H380" s="927"/>
      <c r="I380" s="927"/>
      <c r="J380" s="927"/>
      <c r="K380" s="927"/>
      <c r="L380" s="927"/>
      <c r="M380" s="927"/>
      <c r="N380" s="927"/>
      <c r="O380" s="927"/>
      <c r="P380" s="927"/>
      <c r="Q380" s="927"/>
      <c r="R380" s="958"/>
      <c r="S380" s="927"/>
      <c r="T380" s="927"/>
      <c r="U380" s="927"/>
      <c r="V380" s="927"/>
      <c r="W380" s="927"/>
      <c r="X380" s="927"/>
      <c r="Y380" s="934"/>
      <c r="Z380" s="927"/>
      <c r="AA380" s="927"/>
      <c r="AB380" s="934"/>
      <c r="AC380" s="934"/>
      <c r="AD380" s="960"/>
      <c r="AE380" s="953"/>
      <c r="AF380" s="927"/>
      <c r="AG380" s="934"/>
      <c r="AH380" s="927"/>
      <c r="AI380" s="927"/>
      <c r="AJ380" s="927"/>
      <c r="AK380" s="927"/>
      <c r="AL380" s="929"/>
      <c r="AM380" s="929"/>
    </row>
    <row r="381" spans="1:42" ht="21.75" customHeight="1">
      <c r="A381" s="957"/>
      <c r="B381" s="958"/>
      <c r="C381" s="934"/>
      <c r="D381" s="927"/>
      <c r="E381" s="959"/>
      <c r="F381" s="927"/>
      <c r="G381" s="927"/>
      <c r="H381" s="927"/>
      <c r="I381" s="927"/>
      <c r="J381" s="927"/>
      <c r="K381" s="927"/>
      <c r="L381" s="927"/>
      <c r="M381" s="927"/>
      <c r="N381" s="927"/>
      <c r="O381" s="927"/>
      <c r="P381" s="934"/>
      <c r="Q381" s="934"/>
      <c r="R381" s="934"/>
      <c r="S381" s="934"/>
      <c r="T381" s="927"/>
      <c r="U381" s="927"/>
      <c r="V381" s="958"/>
      <c r="W381" s="927"/>
      <c r="X381" s="927"/>
      <c r="Y381" s="934"/>
      <c r="Z381" s="927"/>
      <c r="AA381" s="961"/>
      <c r="AB381" s="934"/>
      <c r="AC381" s="934"/>
      <c r="AD381" s="960"/>
      <c r="AE381" s="953"/>
      <c r="AF381" s="927"/>
      <c r="AG381" s="934"/>
      <c r="AH381" s="927"/>
      <c r="AI381" s="927"/>
      <c r="AJ381" s="927"/>
      <c r="AK381" s="961"/>
      <c r="AL381" s="929"/>
      <c r="AM381" s="929"/>
    </row>
    <row r="382" spans="1:42" ht="21.75" customHeight="1">
      <c r="A382" s="957"/>
      <c r="B382" s="958"/>
      <c r="C382" s="934"/>
      <c r="D382" s="927"/>
      <c r="E382" s="959"/>
      <c r="F382" s="927"/>
      <c r="G382" s="962"/>
      <c r="H382" s="927"/>
      <c r="I382" s="927"/>
      <c r="J382" s="927"/>
      <c r="K382" s="927"/>
      <c r="L382" s="927"/>
      <c r="M382" s="927"/>
      <c r="N382" s="927"/>
      <c r="O382" s="927"/>
      <c r="P382" s="934"/>
      <c r="Q382" s="934"/>
      <c r="R382" s="934"/>
      <c r="S382" s="934"/>
      <c r="T382" s="928"/>
      <c r="U382" s="927"/>
      <c r="V382" s="958"/>
      <c r="W382" s="927"/>
      <c r="X382" s="927"/>
      <c r="Y382" s="934"/>
      <c r="Z382" s="927"/>
      <c r="AA382" s="927"/>
      <c r="AB382" s="934"/>
      <c r="AC382" s="934"/>
      <c r="AD382" s="960"/>
      <c r="AE382" s="963"/>
      <c r="AF382" s="964"/>
      <c r="AG382" s="965"/>
      <c r="AH382" s="964"/>
      <c r="AI382" s="964"/>
      <c r="AJ382" s="964"/>
      <c r="AK382" s="964"/>
      <c r="AL382" s="966"/>
      <c r="AM382" s="929"/>
    </row>
    <row r="383" spans="1:42" ht="21.75" customHeight="1">
      <c r="A383" s="953"/>
      <c r="B383" s="927"/>
      <c r="C383" s="928"/>
      <c r="D383" s="927"/>
      <c r="E383" s="958"/>
      <c r="F383" s="927"/>
      <c r="G383" s="958"/>
      <c r="H383" s="927"/>
      <c r="I383" s="927"/>
      <c r="J383" s="927"/>
      <c r="K383" s="927"/>
      <c r="L383" s="927"/>
      <c r="M383" s="927"/>
      <c r="N383" s="927"/>
      <c r="O383" s="927"/>
      <c r="P383" s="934"/>
      <c r="Q383" s="934"/>
      <c r="R383" s="934"/>
      <c r="S383" s="934"/>
      <c r="T383" s="927"/>
      <c r="U383" s="927"/>
      <c r="V383" s="958"/>
      <c r="W383" s="927"/>
      <c r="X383" s="927"/>
      <c r="Y383" s="934"/>
      <c r="Z383" s="927"/>
      <c r="AA383" s="927"/>
      <c r="AB383" s="934"/>
      <c r="AC383" s="934"/>
      <c r="AD383" s="960"/>
      <c r="AE383" s="953" t="s">
        <v>723</v>
      </c>
      <c r="AF383" s="927"/>
      <c r="AG383" s="934" t="s">
        <v>3</v>
      </c>
      <c r="AH383" s="928" t="s">
        <v>724</v>
      </c>
      <c r="AI383" s="927"/>
      <c r="AJ383" s="927"/>
      <c r="AK383" s="927"/>
      <c r="AL383" s="929"/>
      <c r="AM383" s="929"/>
    </row>
    <row r="384" spans="1:42" ht="21.75" customHeight="1">
      <c r="A384" s="953"/>
      <c r="B384" s="927"/>
      <c r="C384" s="934"/>
      <c r="D384" s="934"/>
      <c r="E384" s="934"/>
      <c r="F384" s="934"/>
      <c r="G384" s="934"/>
      <c r="H384" s="934"/>
      <c r="I384" s="934"/>
      <c r="J384" s="934"/>
      <c r="K384" s="934"/>
      <c r="L384" s="934"/>
      <c r="M384" s="934"/>
      <c r="N384" s="934"/>
      <c r="O384" s="934"/>
      <c r="P384" s="934"/>
      <c r="Q384" s="934"/>
      <c r="R384" s="934"/>
      <c r="S384" s="934"/>
      <c r="T384" s="927"/>
      <c r="U384" s="958"/>
      <c r="V384" s="958"/>
      <c r="W384" s="927"/>
      <c r="X384" s="927"/>
      <c r="Y384" s="934"/>
      <c r="Z384" s="927"/>
      <c r="AA384" s="927"/>
      <c r="AB384" s="934"/>
      <c r="AC384" s="934"/>
      <c r="AD384" s="960"/>
      <c r="AE384" s="953" t="s">
        <v>725</v>
      </c>
      <c r="AF384" s="927"/>
      <c r="AG384" s="934" t="s">
        <v>3</v>
      </c>
      <c r="AH384" s="927" t="s">
        <v>726</v>
      </c>
      <c r="AI384" s="927"/>
      <c r="AJ384" s="927"/>
      <c r="AK384" s="927"/>
      <c r="AL384" s="929"/>
      <c r="AM384" s="929"/>
    </row>
    <row r="385" spans="1:41" ht="21.75" customHeight="1">
      <c r="A385" s="953"/>
      <c r="B385" s="927"/>
      <c r="C385" s="934"/>
      <c r="D385" s="934"/>
      <c r="E385" s="934"/>
      <c r="F385" s="934"/>
      <c r="G385" s="934"/>
      <c r="H385" s="934"/>
      <c r="I385" s="934"/>
      <c r="J385" s="934"/>
      <c r="K385" s="934"/>
      <c r="L385" s="934"/>
      <c r="M385" s="934"/>
      <c r="N385" s="934"/>
      <c r="O385" s="934"/>
      <c r="P385" s="934"/>
      <c r="Q385" s="934"/>
      <c r="R385" s="934"/>
      <c r="S385" s="934"/>
      <c r="T385" s="958"/>
      <c r="U385" s="958"/>
      <c r="V385" s="958"/>
      <c r="W385" s="927"/>
      <c r="X385" s="927"/>
      <c r="Y385" s="934"/>
      <c r="Z385" s="928"/>
      <c r="AA385" s="927"/>
      <c r="AB385" s="934"/>
      <c r="AC385" s="934"/>
      <c r="AD385" s="960"/>
      <c r="AE385" s="963" t="s">
        <v>727</v>
      </c>
      <c r="AF385" s="964"/>
      <c r="AG385" s="965" t="s">
        <v>3</v>
      </c>
      <c r="AH385" s="967" t="str">
        <f>AH421</f>
        <v>02 Januari 2020</v>
      </c>
      <c r="AI385" s="967"/>
      <c r="AJ385" s="967"/>
      <c r="AK385" s="964"/>
      <c r="AL385" s="966"/>
      <c r="AM385" s="929"/>
    </row>
    <row r="386" spans="1:41" ht="18" customHeight="1">
      <c r="A386" s="963"/>
      <c r="B386" s="964"/>
      <c r="C386" s="968"/>
      <c r="D386" s="964"/>
      <c r="E386" s="964"/>
      <c r="F386" s="964"/>
      <c r="G386" s="965"/>
      <c r="H386" s="965"/>
      <c r="I386" s="964"/>
      <c r="J386" s="964"/>
      <c r="K386" s="964"/>
      <c r="L386" s="964"/>
      <c r="M386" s="964"/>
      <c r="N386" s="964"/>
      <c r="O386" s="964"/>
      <c r="P386" s="964"/>
      <c r="Q386" s="964"/>
      <c r="R386" s="964"/>
      <c r="S386" s="964"/>
      <c r="T386" s="964"/>
      <c r="U386" s="964"/>
      <c r="V386" s="964"/>
      <c r="W386" s="964"/>
      <c r="X386" s="964"/>
      <c r="Y386" s="964"/>
      <c r="Z386" s="964"/>
      <c r="AA386" s="964"/>
      <c r="AB386" s="964"/>
      <c r="AC386" s="964"/>
      <c r="AD386" s="964"/>
      <c r="AE386" s="964"/>
      <c r="AF386" s="964"/>
      <c r="AG386" s="964"/>
      <c r="AH386" s="964"/>
      <c r="AI386" s="964"/>
      <c r="AJ386" s="964"/>
      <c r="AK386" s="964"/>
      <c r="AL386" s="964"/>
      <c r="AM386" s="966"/>
    </row>
    <row r="388" spans="1:41">
      <c r="A388" s="1463"/>
      <c r="B388" s="1464"/>
      <c r="C388" s="1464"/>
      <c r="D388" s="1465"/>
      <c r="E388" s="1433" t="s">
        <v>537</v>
      </c>
      <c r="F388" s="1434"/>
      <c r="G388" s="1434"/>
      <c r="H388" s="1434"/>
      <c r="I388" s="1434"/>
      <c r="J388" s="1434"/>
      <c r="K388" s="1434"/>
      <c r="L388" s="1434"/>
      <c r="M388" s="1434"/>
      <c r="N388" s="1434"/>
      <c r="O388" s="1434"/>
      <c r="P388" s="1434"/>
      <c r="Q388" s="1434"/>
      <c r="R388" s="1434"/>
      <c r="S388" s="1434"/>
      <c r="T388" s="1434"/>
      <c r="U388" s="1434"/>
      <c r="V388" s="1434"/>
      <c r="W388" s="1434"/>
      <c r="X388" s="1434"/>
      <c r="Y388" s="1434"/>
      <c r="Z388" s="1434"/>
      <c r="AA388" s="1434"/>
      <c r="AB388" s="1434"/>
      <c r="AC388" s="1434"/>
      <c r="AD388" s="1434"/>
      <c r="AE388" s="1434"/>
      <c r="AF388" s="1435"/>
      <c r="AG388" s="1475" t="s">
        <v>755</v>
      </c>
      <c r="AH388" s="1476"/>
      <c r="AI388" s="1476"/>
      <c r="AJ388" s="1476"/>
      <c r="AK388" s="1476"/>
      <c r="AL388" s="1476"/>
      <c r="AM388" s="1477"/>
      <c r="AN388" s="924" t="s">
        <v>692</v>
      </c>
      <c r="AO388" s="924"/>
    </row>
    <row r="389" spans="1:41">
      <c r="A389" s="1466"/>
      <c r="B389" s="1467"/>
      <c r="C389" s="1467"/>
      <c r="D389" s="1468"/>
      <c r="E389" s="1472"/>
      <c r="F389" s="1473"/>
      <c r="G389" s="1473"/>
      <c r="H389" s="1473"/>
      <c r="I389" s="1473"/>
      <c r="J389" s="1473"/>
      <c r="K389" s="1473"/>
      <c r="L389" s="1473"/>
      <c r="M389" s="1473"/>
      <c r="N389" s="1473"/>
      <c r="O389" s="1473"/>
      <c r="P389" s="1473"/>
      <c r="Q389" s="1473"/>
      <c r="R389" s="1473"/>
      <c r="S389" s="1473"/>
      <c r="T389" s="1473"/>
      <c r="U389" s="1473"/>
      <c r="V389" s="1473"/>
      <c r="W389" s="1473"/>
      <c r="X389" s="1473"/>
      <c r="Y389" s="1473"/>
      <c r="Z389" s="1473"/>
      <c r="AA389" s="1473"/>
      <c r="AB389" s="1473"/>
      <c r="AC389" s="1473"/>
      <c r="AD389" s="1473"/>
      <c r="AE389" s="1473"/>
      <c r="AF389" s="1474"/>
      <c r="AG389" s="1478"/>
      <c r="AH389" s="1479"/>
      <c r="AI389" s="1479"/>
      <c r="AJ389" s="1479"/>
      <c r="AK389" s="1479"/>
      <c r="AL389" s="1479"/>
      <c r="AM389" s="1480"/>
    </row>
    <row r="390" spans="1:41">
      <c r="A390" s="1466"/>
      <c r="B390" s="1467"/>
      <c r="C390" s="1467"/>
      <c r="D390" s="1468"/>
      <c r="E390" s="1472"/>
      <c r="F390" s="1473"/>
      <c r="G390" s="1473"/>
      <c r="H390" s="1473"/>
      <c r="I390" s="1473"/>
      <c r="J390" s="1473"/>
      <c r="K390" s="1473"/>
      <c r="L390" s="1473"/>
      <c r="M390" s="1473"/>
      <c r="N390" s="1473"/>
      <c r="O390" s="1473"/>
      <c r="P390" s="1473"/>
      <c r="Q390" s="1473"/>
      <c r="R390" s="1473"/>
      <c r="S390" s="1473"/>
      <c r="T390" s="1473"/>
      <c r="U390" s="1473"/>
      <c r="V390" s="1473"/>
      <c r="W390" s="1473"/>
      <c r="X390" s="1473"/>
      <c r="Y390" s="1473"/>
      <c r="Z390" s="1473"/>
      <c r="AA390" s="1473"/>
      <c r="AB390" s="1473"/>
      <c r="AC390" s="1473"/>
      <c r="AD390" s="1473"/>
      <c r="AE390" s="1473"/>
      <c r="AF390" s="1474"/>
      <c r="AG390" s="1475" t="str">
        <f>AG3</f>
        <v>TGL  : 01 Januari - 31 Desember 2019</v>
      </c>
      <c r="AH390" s="1476"/>
      <c r="AI390" s="1476"/>
      <c r="AJ390" s="1476"/>
      <c r="AK390" s="1476"/>
      <c r="AL390" s="1476"/>
      <c r="AM390" s="1477"/>
    </row>
    <row r="391" spans="1:41">
      <c r="A391" s="1469"/>
      <c r="B391" s="1470"/>
      <c r="C391" s="1470"/>
      <c r="D391" s="1471"/>
      <c r="E391" s="1436"/>
      <c r="F391" s="1437"/>
      <c r="G391" s="1437"/>
      <c r="H391" s="1437"/>
      <c r="I391" s="1437"/>
      <c r="J391" s="1437"/>
      <c r="K391" s="1437"/>
      <c r="L391" s="1437"/>
      <c r="M391" s="1437"/>
      <c r="N391" s="1437"/>
      <c r="O391" s="1437"/>
      <c r="P391" s="1437"/>
      <c r="Q391" s="1437"/>
      <c r="R391" s="1437"/>
      <c r="S391" s="1437"/>
      <c r="T391" s="1437"/>
      <c r="U391" s="1437"/>
      <c r="V391" s="1437"/>
      <c r="W391" s="1437"/>
      <c r="X391" s="1437"/>
      <c r="Y391" s="1437"/>
      <c r="Z391" s="1437"/>
      <c r="AA391" s="1437"/>
      <c r="AB391" s="1437"/>
      <c r="AC391" s="1437"/>
      <c r="AD391" s="1437"/>
      <c r="AE391" s="1437"/>
      <c r="AF391" s="1438"/>
      <c r="AG391" s="1478"/>
      <c r="AH391" s="1479"/>
      <c r="AI391" s="1479"/>
      <c r="AJ391" s="1479"/>
      <c r="AK391" s="1479"/>
      <c r="AL391" s="1479"/>
      <c r="AM391" s="1480"/>
    </row>
    <row r="392" spans="1:41" ht="18" customHeight="1">
      <c r="A392" s="1433" t="s">
        <v>539</v>
      </c>
      <c r="B392" s="1434"/>
      <c r="C392" s="1434"/>
      <c r="D392" s="1435"/>
      <c r="E392" s="1439" t="s">
        <v>694</v>
      </c>
      <c r="F392" s="1440"/>
      <c r="G392" s="1440"/>
      <c r="H392" s="1440"/>
      <c r="I392" s="1440"/>
      <c r="J392" s="1440"/>
      <c r="K392" s="1440"/>
      <c r="L392" s="1440"/>
      <c r="M392" s="1440"/>
      <c r="N392" s="1440"/>
      <c r="O392" s="1440"/>
      <c r="P392" s="1440"/>
      <c r="Q392" s="1440"/>
      <c r="R392" s="1440"/>
      <c r="S392" s="1440"/>
      <c r="T392" s="1440"/>
      <c r="U392" s="1440"/>
      <c r="V392" s="1440"/>
      <c r="W392" s="1440"/>
      <c r="X392" s="1440"/>
      <c r="Y392" s="1440"/>
      <c r="Z392" s="1440"/>
      <c r="AA392" s="1440"/>
      <c r="AB392" s="1440"/>
      <c r="AC392" s="1440"/>
      <c r="AD392" s="1440"/>
      <c r="AE392" s="1440"/>
      <c r="AF392" s="1441"/>
      <c r="AG392" s="1445" t="s">
        <v>695</v>
      </c>
      <c r="AH392" s="1446"/>
      <c r="AI392" s="1446"/>
      <c r="AJ392" s="1446"/>
      <c r="AK392" s="1446"/>
      <c r="AL392" s="1446"/>
      <c r="AM392" s="1447"/>
    </row>
    <row r="393" spans="1:41" ht="18" customHeight="1">
      <c r="A393" s="1436"/>
      <c r="B393" s="1437"/>
      <c r="C393" s="1437"/>
      <c r="D393" s="1438"/>
      <c r="E393" s="1442"/>
      <c r="F393" s="1443"/>
      <c r="G393" s="1443"/>
      <c r="H393" s="1443"/>
      <c r="I393" s="1443"/>
      <c r="J393" s="1443"/>
      <c r="K393" s="1443"/>
      <c r="L393" s="1443"/>
      <c r="M393" s="1443"/>
      <c r="N393" s="1443"/>
      <c r="O393" s="1443"/>
      <c r="P393" s="1443"/>
      <c r="Q393" s="1443"/>
      <c r="R393" s="1443"/>
      <c r="S393" s="1443"/>
      <c r="T393" s="1443"/>
      <c r="U393" s="1443"/>
      <c r="V393" s="1443"/>
      <c r="W393" s="1443"/>
      <c r="X393" s="1443"/>
      <c r="Y393" s="1443"/>
      <c r="Z393" s="1443"/>
      <c r="AA393" s="1443"/>
      <c r="AB393" s="1443"/>
      <c r="AC393" s="1443"/>
      <c r="AD393" s="1443"/>
      <c r="AE393" s="1443"/>
      <c r="AF393" s="1444"/>
      <c r="AG393" s="1448"/>
      <c r="AH393" s="1449"/>
      <c r="AI393" s="1449"/>
      <c r="AJ393" s="1449"/>
      <c r="AK393" s="1449"/>
      <c r="AL393" s="1449"/>
      <c r="AM393" s="1450"/>
    </row>
    <row r="394" spans="1:41" ht="12" customHeight="1">
      <c r="A394" s="926"/>
      <c r="B394" s="927"/>
      <c r="C394" s="928"/>
      <c r="D394" s="927"/>
      <c r="E394" s="927"/>
      <c r="F394" s="927"/>
      <c r="G394" s="927"/>
      <c r="H394" s="927"/>
      <c r="I394" s="927"/>
      <c r="J394" s="927"/>
      <c r="K394" s="927"/>
      <c r="L394" s="927"/>
      <c r="M394" s="927"/>
      <c r="N394" s="927"/>
      <c r="O394" s="927"/>
      <c r="P394" s="927"/>
      <c r="Q394" s="927"/>
      <c r="R394" s="927"/>
      <c r="S394" s="927"/>
      <c r="T394" s="927"/>
      <c r="U394" s="927"/>
      <c r="V394" s="927"/>
      <c r="W394" s="927"/>
      <c r="X394" s="927"/>
      <c r="Y394" s="927"/>
      <c r="Z394" s="927"/>
      <c r="AA394" s="927"/>
      <c r="AB394" s="927"/>
      <c r="AC394" s="927"/>
      <c r="AD394" s="927"/>
      <c r="AE394" s="927"/>
      <c r="AF394" s="927"/>
      <c r="AG394" s="927"/>
      <c r="AH394" s="927"/>
      <c r="AI394" s="927"/>
      <c r="AJ394" s="927"/>
      <c r="AK394" s="927"/>
      <c r="AL394" s="927"/>
      <c r="AM394" s="929"/>
    </row>
    <row r="395" spans="1:41" ht="24" customHeight="1">
      <c r="A395" s="930" t="s">
        <v>543</v>
      </c>
      <c r="B395" s="931"/>
      <c r="C395" s="932"/>
      <c r="D395" s="931"/>
      <c r="E395" s="931"/>
      <c r="F395" s="931"/>
      <c r="G395" s="931"/>
      <c r="H395" s="931" t="s">
        <v>3</v>
      </c>
      <c r="I395" s="933" t="s">
        <v>756</v>
      </c>
      <c r="J395" s="931"/>
      <c r="K395" s="931"/>
      <c r="L395" s="931"/>
      <c r="M395" s="931"/>
      <c r="N395" s="931"/>
      <c r="O395" s="931"/>
      <c r="P395" s="931"/>
      <c r="Q395" s="931"/>
      <c r="R395" s="931"/>
      <c r="S395" s="931"/>
      <c r="T395" s="931"/>
      <c r="U395" s="931"/>
      <c r="V395" s="931" t="s">
        <v>696</v>
      </c>
      <c r="W395" s="931"/>
      <c r="X395" s="931"/>
      <c r="Y395" s="934"/>
      <c r="Z395" s="931" t="s">
        <v>3</v>
      </c>
      <c r="AA395" s="935" t="s">
        <v>757</v>
      </c>
      <c r="AB395" s="927"/>
      <c r="AC395" s="927"/>
      <c r="AD395" s="927"/>
      <c r="AE395" s="927"/>
      <c r="AF395" s="927"/>
      <c r="AG395" s="927"/>
      <c r="AH395" s="927"/>
      <c r="AI395" s="927"/>
      <c r="AJ395" s="927"/>
      <c r="AK395" s="927"/>
      <c r="AL395" s="927"/>
      <c r="AM395" s="929"/>
      <c r="AO395" s="925" t="str">
        <f>I395</f>
        <v>RITA  ERNITA</v>
      </c>
    </row>
    <row r="396" spans="1:41" ht="24" customHeight="1">
      <c r="A396" s="930" t="s">
        <v>114</v>
      </c>
      <c r="B396" s="931"/>
      <c r="C396" s="932"/>
      <c r="D396" s="931"/>
      <c r="E396" s="931"/>
      <c r="F396" s="931"/>
      <c r="G396" s="931"/>
      <c r="H396" s="931" t="s">
        <v>3</v>
      </c>
      <c r="I396" s="933" t="s">
        <v>96</v>
      </c>
      <c r="J396" s="931"/>
      <c r="K396" s="931"/>
      <c r="L396" s="931"/>
      <c r="M396" s="931"/>
      <c r="N396" s="931"/>
      <c r="O396" s="931"/>
      <c r="P396" s="931"/>
      <c r="Q396" s="931"/>
      <c r="R396" s="931"/>
      <c r="S396" s="931"/>
      <c r="T396" s="931"/>
      <c r="U396" s="931"/>
      <c r="V396" s="931" t="s">
        <v>545</v>
      </c>
      <c r="W396" s="931"/>
      <c r="X396" s="931"/>
      <c r="Y396" s="934"/>
      <c r="Z396" s="931" t="s">
        <v>3</v>
      </c>
      <c r="AA396" s="932" t="s">
        <v>287</v>
      </c>
      <c r="AB396" s="927"/>
      <c r="AC396" s="927"/>
      <c r="AD396" s="927"/>
      <c r="AE396" s="927"/>
      <c r="AF396" s="927"/>
      <c r="AG396" s="927"/>
      <c r="AH396" s="927"/>
      <c r="AI396" s="927"/>
      <c r="AJ396" s="927"/>
      <c r="AK396" s="927"/>
      <c r="AL396" s="927"/>
      <c r="AM396" s="929"/>
      <c r="AO396" s="925" t="s">
        <v>698</v>
      </c>
    </row>
    <row r="397" spans="1:41" ht="12" customHeight="1">
      <c r="A397" s="926"/>
      <c r="B397" s="927"/>
      <c r="C397" s="928"/>
      <c r="D397" s="927"/>
      <c r="E397" s="927"/>
      <c r="F397" s="927"/>
      <c r="G397" s="927"/>
      <c r="H397" s="927"/>
      <c r="I397" s="927"/>
      <c r="J397" s="927"/>
      <c r="K397" s="927"/>
      <c r="L397" s="927"/>
      <c r="M397" s="927"/>
      <c r="N397" s="927"/>
      <c r="O397" s="927"/>
      <c r="P397" s="927"/>
      <c r="Q397" s="927"/>
      <c r="R397" s="927"/>
      <c r="S397" s="927"/>
      <c r="T397" s="927"/>
      <c r="U397" s="927"/>
      <c r="V397" s="927"/>
      <c r="W397" s="927"/>
      <c r="X397" s="927"/>
      <c r="Y397" s="927"/>
      <c r="Z397" s="927"/>
      <c r="AA397" s="927"/>
      <c r="AB397" s="927"/>
      <c r="AC397" s="927"/>
      <c r="AD397" s="927"/>
      <c r="AE397" s="927"/>
      <c r="AF397" s="927"/>
      <c r="AG397" s="927"/>
      <c r="AH397" s="927"/>
      <c r="AI397" s="927"/>
      <c r="AJ397" s="927"/>
      <c r="AK397" s="927"/>
      <c r="AL397" s="927"/>
      <c r="AM397" s="929"/>
    </row>
    <row r="398" spans="1:41" ht="24" customHeight="1">
      <c r="A398" s="1451" t="s">
        <v>549</v>
      </c>
      <c r="B398" s="1453" t="s">
        <v>550</v>
      </c>
      <c r="C398" s="1454"/>
      <c r="D398" s="1454"/>
      <c r="E398" s="1454"/>
      <c r="F398" s="1454"/>
      <c r="G398" s="1454"/>
      <c r="H398" s="1454"/>
      <c r="I398" s="1454"/>
      <c r="J398" s="1455"/>
      <c r="K398" s="1431" t="s">
        <v>699</v>
      </c>
      <c r="L398" s="1432"/>
      <c r="M398" s="1431" t="s">
        <v>700</v>
      </c>
      <c r="N398" s="1432"/>
      <c r="O398" s="1431" t="s">
        <v>701</v>
      </c>
      <c r="P398" s="1432"/>
      <c r="Q398" s="1431" t="s">
        <v>702</v>
      </c>
      <c r="R398" s="1432"/>
      <c r="S398" s="1431" t="s">
        <v>703</v>
      </c>
      <c r="T398" s="1432"/>
      <c r="U398" s="1431" t="s">
        <v>704</v>
      </c>
      <c r="V398" s="1432"/>
      <c r="W398" s="1431" t="s">
        <v>705</v>
      </c>
      <c r="X398" s="1432"/>
      <c r="Y398" s="1431" t="s">
        <v>706</v>
      </c>
      <c r="Z398" s="1432"/>
      <c r="AA398" s="1431" t="s">
        <v>707</v>
      </c>
      <c r="AB398" s="1432"/>
      <c r="AC398" s="1431" t="s">
        <v>708</v>
      </c>
      <c r="AD398" s="1432"/>
      <c r="AE398" s="1431" t="s">
        <v>709</v>
      </c>
      <c r="AF398" s="1432"/>
      <c r="AG398" s="1459" t="s">
        <v>710</v>
      </c>
      <c r="AH398" s="1460"/>
      <c r="AI398" s="1461" t="s">
        <v>711</v>
      </c>
      <c r="AJ398" s="1432"/>
      <c r="AK398" s="1462" t="s">
        <v>712</v>
      </c>
      <c r="AL398" s="1432"/>
      <c r="AM398" s="929"/>
    </row>
    <row r="399" spans="1:41" ht="24" customHeight="1">
      <c r="A399" s="1452"/>
      <c r="B399" s="1456"/>
      <c r="C399" s="1457"/>
      <c r="D399" s="1457"/>
      <c r="E399" s="1457"/>
      <c r="F399" s="1457"/>
      <c r="G399" s="1457"/>
      <c r="H399" s="1457"/>
      <c r="I399" s="1457"/>
      <c r="J399" s="1458"/>
      <c r="K399" s="937" t="s">
        <v>713</v>
      </c>
      <c r="L399" s="937" t="s">
        <v>714</v>
      </c>
      <c r="M399" s="937" t="s">
        <v>713</v>
      </c>
      <c r="N399" s="937" t="s">
        <v>714</v>
      </c>
      <c r="O399" s="937" t="s">
        <v>713</v>
      </c>
      <c r="P399" s="937" t="s">
        <v>714</v>
      </c>
      <c r="Q399" s="937" t="s">
        <v>713</v>
      </c>
      <c r="R399" s="937" t="s">
        <v>714</v>
      </c>
      <c r="S399" s="937" t="s">
        <v>713</v>
      </c>
      <c r="T399" s="937" t="s">
        <v>714</v>
      </c>
      <c r="U399" s="937" t="s">
        <v>713</v>
      </c>
      <c r="V399" s="938" t="s">
        <v>714</v>
      </c>
      <c r="W399" s="937" t="s">
        <v>713</v>
      </c>
      <c r="X399" s="937" t="s">
        <v>714</v>
      </c>
      <c r="Y399" s="937" t="s">
        <v>713</v>
      </c>
      <c r="Z399" s="937" t="s">
        <v>714</v>
      </c>
      <c r="AA399" s="937" t="s">
        <v>713</v>
      </c>
      <c r="AB399" s="937" t="s">
        <v>714</v>
      </c>
      <c r="AC399" s="937" t="s">
        <v>713</v>
      </c>
      <c r="AD399" s="937" t="s">
        <v>714</v>
      </c>
      <c r="AE399" s="937" t="s">
        <v>713</v>
      </c>
      <c r="AF399" s="937" t="s">
        <v>714</v>
      </c>
      <c r="AG399" s="937" t="s">
        <v>713</v>
      </c>
      <c r="AH399" s="939" t="s">
        <v>714</v>
      </c>
      <c r="AI399" s="940" t="s">
        <v>713</v>
      </c>
      <c r="AJ399" s="937" t="s">
        <v>714</v>
      </c>
      <c r="AK399" s="938" t="s">
        <v>713</v>
      </c>
      <c r="AL399" s="937" t="s">
        <v>714</v>
      </c>
      <c r="AM399" s="929"/>
    </row>
    <row r="400" spans="1:41" ht="27" customHeight="1">
      <c r="A400" s="941" t="s">
        <v>555</v>
      </c>
      <c r="B400" s="1427" t="s">
        <v>715</v>
      </c>
      <c r="C400" s="1428"/>
      <c r="D400" s="1428"/>
      <c r="E400" s="1428"/>
      <c r="F400" s="1428"/>
      <c r="G400" s="1428"/>
      <c r="H400" s="1428"/>
      <c r="I400" s="1428"/>
      <c r="J400" s="1429"/>
      <c r="K400" s="942">
        <v>6.2321955516406078</v>
      </c>
      <c r="L400" s="943">
        <v>9</v>
      </c>
      <c r="M400" s="942">
        <v>6.406874129122154</v>
      </c>
      <c r="N400" s="943">
        <v>9</v>
      </c>
      <c r="O400" s="942">
        <v>6.1204079868614389</v>
      </c>
      <c r="P400" s="943">
        <v>9</v>
      </c>
      <c r="Q400" s="942">
        <v>6.2386693117656034</v>
      </c>
      <c r="R400" s="943">
        <v>9</v>
      </c>
      <c r="S400" s="942">
        <v>6.2785600788997868</v>
      </c>
      <c r="T400" s="943">
        <v>9</v>
      </c>
      <c r="U400" s="942">
        <v>6.226850094876661</v>
      </c>
      <c r="V400" s="943">
        <v>9</v>
      </c>
      <c r="W400" s="942">
        <v>6.0667696940878111</v>
      </c>
      <c r="X400" s="943">
        <v>9</v>
      </c>
      <c r="Y400" s="942">
        <v>6.2356078431372559</v>
      </c>
      <c r="Z400" s="943">
        <v>9</v>
      </c>
      <c r="AA400" s="942">
        <v>6.1553340716131428</v>
      </c>
      <c r="AB400" s="943">
        <v>9</v>
      </c>
      <c r="AC400" s="942">
        <v>6.1677093358999047</v>
      </c>
      <c r="AD400" s="943">
        <v>9</v>
      </c>
      <c r="AE400" s="942">
        <v>6.3936369307548349</v>
      </c>
      <c r="AF400" s="943">
        <v>9</v>
      </c>
      <c r="AG400" s="942">
        <v>5.4612080908839014</v>
      </c>
      <c r="AH400" s="943">
        <v>10</v>
      </c>
      <c r="AI400" s="944">
        <f>K400+M400+O400+Q400+S400+U400+W400+Y400+AA400+AC400+AE400+AG400</f>
        <v>73.983823119543104</v>
      </c>
      <c r="AJ400" s="945">
        <f>L400+N400+P400+R400+T400+V400+X400+Z400+AB400+AD400+AF400+AH400</f>
        <v>109</v>
      </c>
      <c r="AK400" s="945">
        <f>+AI400/12</f>
        <v>6.1653185932952583</v>
      </c>
      <c r="AL400" s="946">
        <v>9</v>
      </c>
      <c r="AM400" s="947"/>
      <c r="AN400" s="948"/>
      <c r="AO400" s="925">
        <v>9</v>
      </c>
    </row>
    <row r="401" spans="1:41" ht="27" customHeight="1">
      <c r="A401" s="941" t="s">
        <v>560</v>
      </c>
      <c r="B401" s="1427" t="s">
        <v>716</v>
      </c>
      <c r="C401" s="1428"/>
      <c r="D401" s="1428"/>
      <c r="E401" s="1428"/>
      <c r="F401" s="1428"/>
      <c r="G401" s="1428"/>
      <c r="H401" s="1428"/>
      <c r="I401" s="1428"/>
      <c r="J401" s="1429"/>
      <c r="K401" s="942">
        <v>212.8998</v>
      </c>
      <c r="L401" s="942">
        <v>10</v>
      </c>
      <c r="M401" s="942">
        <v>181.35540000000003</v>
      </c>
      <c r="N401" s="942">
        <v>9</v>
      </c>
      <c r="O401" s="942">
        <v>108.60930000000002</v>
      </c>
      <c r="P401" s="942">
        <v>5</v>
      </c>
      <c r="Q401" s="942">
        <v>61.441800000000001</v>
      </c>
      <c r="R401" s="942">
        <v>4</v>
      </c>
      <c r="S401" s="942">
        <v>171.05099999999999</v>
      </c>
      <c r="T401" s="942">
        <v>8</v>
      </c>
      <c r="U401" s="942">
        <v>98.836900000000014</v>
      </c>
      <c r="V401" s="942">
        <v>4</v>
      </c>
      <c r="W401" s="942">
        <v>237.04990000000001</v>
      </c>
      <c r="X401" s="942">
        <v>11</v>
      </c>
      <c r="Y401" s="942">
        <v>179.3244</v>
      </c>
      <c r="Z401" s="942">
        <v>8</v>
      </c>
      <c r="AA401" s="942">
        <v>127.11259999999999</v>
      </c>
      <c r="AB401" s="942">
        <v>6</v>
      </c>
      <c r="AC401" s="942">
        <v>116.9901</v>
      </c>
      <c r="AD401" s="942">
        <v>5</v>
      </c>
      <c r="AE401" s="942">
        <v>90.030600000000007</v>
      </c>
      <c r="AF401" s="942">
        <v>4</v>
      </c>
      <c r="AG401" s="942">
        <v>68.238100000000003</v>
      </c>
      <c r="AH401" s="942">
        <v>4</v>
      </c>
      <c r="AI401" s="949">
        <f>K401+M401+O401+Q401+S401+U401+W401+Y401+AA401+AC401+AE401+AG401</f>
        <v>1652.9399000000001</v>
      </c>
      <c r="AJ401" s="945">
        <f t="shared" ref="AJ401:AJ407" si="28">+L401+N401+P401+R401+T401+V401+X401+Z401+AB401+AD401+AF401+AH401</f>
        <v>78</v>
      </c>
      <c r="AK401" s="945">
        <f>+AI401/12</f>
        <v>137.74499166666666</v>
      </c>
      <c r="AL401" s="946">
        <v>6</v>
      </c>
      <c r="AM401" s="947"/>
      <c r="AN401" s="948"/>
      <c r="AO401" s="925">
        <v>6</v>
      </c>
    </row>
    <row r="402" spans="1:41" ht="27" customHeight="1">
      <c r="A402" s="941" t="s">
        <v>563</v>
      </c>
      <c r="B402" s="1427" t="s">
        <v>717</v>
      </c>
      <c r="C402" s="1428"/>
      <c r="D402" s="1428"/>
      <c r="E402" s="1428"/>
      <c r="F402" s="1428"/>
      <c r="G402" s="1428"/>
      <c r="H402" s="1428"/>
      <c r="I402" s="1428"/>
      <c r="J402" s="1429"/>
      <c r="K402" s="942">
        <v>10</v>
      </c>
      <c r="L402" s="942">
        <v>8</v>
      </c>
      <c r="M402" s="942">
        <v>7</v>
      </c>
      <c r="N402" s="942">
        <v>7</v>
      </c>
      <c r="O402" s="942">
        <v>8</v>
      </c>
      <c r="P402" s="942">
        <v>7</v>
      </c>
      <c r="Q402" s="942">
        <v>4</v>
      </c>
      <c r="R402" s="942">
        <v>6</v>
      </c>
      <c r="S402" s="942">
        <v>11</v>
      </c>
      <c r="T402" s="942">
        <v>8</v>
      </c>
      <c r="U402" s="942">
        <v>7</v>
      </c>
      <c r="V402" s="942">
        <v>7</v>
      </c>
      <c r="W402" s="942">
        <v>17</v>
      </c>
      <c r="X402" s="942">
        <v>10</v>
      </c>
      <c r="Y402" s="942">
        <v>11</v>
      </c>
      <c r="Z402" s="942">
        <v>8</v>
      </c>
      <c r="AA402" s="942">
        <v>8</v>
      </c>
      <c r="AB402" s="942">
        <v>7</v>
      </c>
      <c r="AC402" s="942">
        <v>6</v>
      </c>
      <c r="AD402" s="942">
        <v>6</v>
      </c>
      <c r="AE402" s="942">
        <v>4</v>
      </c>
      <c r="AF402" s="942">
        <v>6</v>
      </c>
      <c r="AG402" s="942">
        <v>3</v>
      </c>
      <c r="AH402" s="942">
        <v>5</v>
      </c>
      <c r="AI402" s="944">
        <f>K402+M402+O402+Q402+S402+U402+W402+Y402+AA402+AC402+AE402+AG402</f>
        <v>96</v>
      </c>
      <c r="AJ402" s="950">
        <f t="shared" si="28"/>
        <v>85</v>
      </c>
      <c r="AK402" s="945">
        <f>+AI402/12</f>
        <v>8</v>
      </c>
      <c r="AL402" s="946">
        <v>7</v>
      </c>
      <c r="AM402" s="947"/>
      <c r="AN402" s="948"/>
      <c r="AO402" s="925">
        <v>7</v>
      </c>
    </row>
    <row r="403" spans="1:41" ht="31.5" customHeight="1">
      <c r="A403" s="941" t="s">
        <v>567</v>
      </c>
      <c r="B403" s="1427" t="s">
        <v>718</v>
      </c>
      <c r="C403" s="1428"/>
      <c r="D403" s="1428"/>
      <c r="E403" s="1428"/>
      <c r="F403" s="1428"/>
      <c r="G403" s="1428"/>
      <c r="H403" s="1428"/>
      <c r="I403" s="1428"/>
      <c r="J403" s="1429"/>
      <c r="K403" s="950" t="s">
        <v>698</v>
      </c>
      <c r="L403" s="950">
        <v>9</v>
      </c>
      <c r="M403" s="950" t="s">
        <v>698</v>
      </c>
      <c r="N403" s="950">
        <v>9</v>
      </c>
      <c r="O403" s="950" t="s">
        <v>698</v>
      </c>
      <c r="P403" s="950">
        <v>9</v>
      </c>
      <c r="Q403" s="950" t="s">
        <v>698</v>
      </c>
      <c r="R403" s="950">
        <v>9</v>
      </c>
      <c r="S403" s="950" t="s">
        <v>698</v>
      </c>
      <c r="T403" s="950">
        <v>9</v>
      </c>
      <c r="U403" s="950" t="s">
        <v>698</v>
      </c>
      <c r="V403" s="950">
        <v>9</v>
      </c>
      <c r="W403" s="950" t="s">
        <v>698</v>
      </c>
      <c r="X403" s="950">
        <v>9</v>
      </c>
      <c r="Y403" s="950" t="s">
        <v>698</v>
      </c>
      <c r="Z403" s="950">
        <v>9</v>
      </c>
      <c r="AA403" s="950" t="s">
        <v>698</v>
      </c>
      <c r="AB403" s="950">
        <v>9</v>
      </c>
      <c r="AC403" s="950" t="s">
        <v>698</v>
      </c>
      <c r="AD403" s="950">
        <v>9</v>
      </c>
      <c r="AE403" s="950" t="s">
        <v>698</v>
      </c>
      <c r="AF403" s="950">
        <v>9</v>
      </c>
      <c r="AG403" s="950" t="s">
        <v>698</v>
      </c>
      <c r="AH403" s="950">
        <v>9</v>
      </c>
      <c r="AI403" s="951" t="s">
        <v>698</v>
      </c>
      <c r="AJ403" s="950">
        <f t="shared" si="28"/>
        <v>108</v>
      </c>
      <c r="AK403" s="950" t="s">
        <v>698</v>
      </c>
      <c r="AL403" s="946">
        <f t="shared" ref="AL403:AL407" si="29">+AJ403/12</f>
        <v>9</v>
      </c>
      <c r="AM403" s="947"/>
      <c r="AN403" s="948"/>
      <c r="AO403" s="925">
        <v>9</v>
      </c>
    </row>
    <row r="404" spans="1:41" ht="27" customHeight="1">
      <c r="A404" s="941" t="s">
        <v>571</v>
      </c>
      <c r="B404" s="1427" t="s">
        <v>719</v>
      </c>
      <c r="C404" s="1428"/>
      <c r="D404" s="1428"/>
      <c r="E404" s="1428"/>
      <c r="F404" s="1428"/>
      <c r="G404" s="1428"/>
      <c r="H404" s="1428"/>
      <c r="I404" s="1428"/>
      <c r="J404" s="1429"/>
      <c r="K404" s="950" t="s">
        <v>698</v>
      </c>
      <c r="L404" s="950">
        <v>9</v>
      </c>
      <c r="M404" s="950" t="s">
        <v>698</v>
      </c>
      <c r="N404" s="950">
        <v>9</v>
      </c>
      <c r="O404" s="950" t="s">
        <v>698</v>
      </c>
      <c r="P404" s="950">
        <v>9</v>
      </c>
      <c r="Q404" s="950" t="s">
        <v>698</v>
      </c>
      <c r="R404" s="950">
        <v>9</v>
      </c>
      <c r="S404" s="950" t="s">
        <v>698</v>
      </c>
      <c r="T404" s="950">
        <v>9</v>
      </c>
      <c r="U404" s="950" t="s">
        <v>698</v>
      </c>
      <c r="V404" s="950">
        <v>9</v>
      </c>
      <c r="W404" s="950" t="s">
        <v>698</v>
      </c>
      <c r="X404" s="950">
        <v>9</v>
      </c>
      <c r="Y404" s="950" t="s">
        <v>698</v>
      </c>
      <c r="Z404" s="950">
        <v>9</v>
      </c>
      <c r="AA404" s="950" t="s">
        <v>698</v>
      </c>
      <c r="AB404" s="950">
        <v>9</v>
      </c>
      <c r="AC404" s="950" t="s">
        <v>698</v>
      </c>
      <c r="AD404" s="950">
        <v>9</v>
      </c>
      <c r="AE404" s="950" t="s">
        <v>698</v>
      </c>
      <c r="AF404" s="950">
        <v>9</v>
      </c>
      <c r="AG404" s="950" t="s">
        <v>698</v>
      </c>
      <c r="AH404" s="950">
        <v>9</v>
      </c>
      <c r="AI404" s="951" t="s">
        <v>698</v>
      </c>
      <c r="AJ404" s="950">
        <f t="shared" si="28"/>
        <v>108</v>
      </c>
      <c r="AK404" s="950" t="s">
        <v>698</v>
      </c>
      <c r="AL404" s="946">
        <f t="shared" si="29"/>
        <v>9</v>
      </c>
      <c r="AM404" s="947"/>
      <c r="AN404" s="948"/>
      <c r="AO404" s="925">
        <v>9</v>
      </c>
    </row>
    <row r="405" spans="1:41" ht="33" customHeight="1">
      <c r="A405" s="941" t="s">
        <v>575</v>
      </c>
      <c r="B405" s="1427" t="s">
        <v>720</v>
      </c>
      <c r="C405" s="1428"/>
      <c r="D405" s="1428"/>
      <c r="E405" s="1428"/>
      <c r="F405" s="1428"/>
      <c r="G405" s="1428"/>
      <c r="H405" s="1428"/>
      <c r="I405" s="1428"/>
      <c r="J405" s="1429"/>
      <c r="K405" s="950" t="s">
        <v>698</v>
      </c>
      <c r="L405" s="950">
        <v>9</v>
      </c>
      <c r="M405" s="950" t="s">
        <v>698</v>
      </c>
      <c r="N405" s="950">
        <v>9</v>
      </c>
      <c r="O405" s="950" t="s">
        <v>698</v>
      </c>
      <c r="P405" s="950">
        <v>9</v>
      </c>
      <c r="Q405" s="950" t="s">
        <v>698</v>
      </c>
      <c r="R405" s="950">
        <v>9</v>
      </c>
      <c r="S405" s="950" t="s">
        <v>698</v>
      </c>
      <c r="T405" s="950">
        <v>9</v>
      </c>
      <c r="U405" s="950" t="s">
        <v>698</v>
      </c>
      <c r="V405" s="950">
        <v>9</v>
      </c>
      <c r="W405" s="950" t="s">
        <v>698</v>
      </c>
      <c r="X405" s="950">
        <v>9</v>
      </c>
      <c r="Y405" s="950" t="s">
        <v>698</v>
      </c>
      <c r="Z405" s="950">
        <v>9</v>
      </c>
      <c r="AA405" s="950" t="s">
        <v>698</v>
      </c>
      <c r="AB405" s="950">
        <v>9</v>
      </c>
      <c r="AC405" s="950" t="s">
        <v>698</v>
      </c>
      <c r="AD405" s="950">
        <v>9</v>
      </c>
      <c r="AE405" s="950" t="s">
        <v>698</v>
      </c>
      <c r="AF405" s="950">
        <v>9</v>
      </c>
      <c r="AG405" s="950" t="s">
        <v>698</v>
      </c>
      <c r="AH405" s="950">
        <v>9</v>
      </c>
      <c r="AI405" s="951" t="s">
        <v>698</v>
      </c>
      <c r="AJ405" s="950">
        <f t="shared" si="28"/>
        <v>108</v>
      </c>
      <c r="AK405" s="950" t="s">
        <v>698</v>
      </c>
      <c r="AL405" s="946">
        <f t="shared" si="29"/>
        <v>9</v>
      </c>
      <c r="AM405" s="947"/>
      <c r="AN405" s="948"/>
      <c r="AO405" s="925">
        <v>9</v>
      </c>
    </row>
    <row r="406" spans="1:41" ht="27" customHeight="1">
      <c r="A406" s="941" t="s">
        <v>578</v>
      </c>
      <c r="B406" s="1427" t="s">
        <v>721</v>
      </c>
      <c r="C406" s="1428"/>
      <c r="D406" s="1428"/>
      <c r="E406" s="1428"/>
      <c r="F406" s="1428"/>
      <c r="G406" s="1428"/>
      <c r="H406" s="1428"/>
      <c r="I406" s="1428"/>
      <c r="J406" s="1429"/>
      <c r="K406" s="950" t="s">
        <v>112</v>
      </c>
      <c r="L406" s="950">
        <v>7</v>
      </c>
      <c r="M406" s="950" t="s">
        <v>112</v>
      </c>
      <c r="N406" s="950">
        <v>7</v>
      </c>
      <c r="O406" s="950" t="s">
        <v>112</v>
      </c>
      <c r="P406" s="950">
        <v>7</v>
      </c>
      <c r="Q406" s="950" t="s">
        <v>112</v>
      </c>
      <c r="R406" s="950">
        <v>7</v>
      </c>
      <c r="S406" s="950" t="s">
        <v>112</v>
      </c>
      <c r="T406" s="950">
        <v>7</v>
      </c>
      <c r="U406" s="950" t="s">
        <v>112</v>
      </c>
      <c r="V406" s="950">
        <v>7</v>
      </c>
      <c r="W406" s="950" t="s">
        <v>112</v>
      </c>
      <c r="X406" s="950">
        <v>7</v>
      </c>
      <c r="Y406" s="950" t="s">
        <v>112</v>
      </c>
      <c r="Z406" s="950">
        <v>7</v>
      </c>
      <c r="AA406" s="950" t="s">
        <v>112</v>
      </c>
      <c r="AB406" s="950">
        <v>7</v>
      </c>
      <c r="AC406" s="950" t="s">
        <v>112</v>
      </c>
      <c r="AD406" s="950">
        <v>7</v>
      </c>
      <c r="AE406" s="950" t="s">
        <v>112</v>
      </c>
      <c r="AF406" s="950">
        <v>7</v>
      </c>
      <c r="AG406" s="950" t="s">
        <v>112</v>
      </c>
      <c r="AH406" s="950">
        <v>7</v>
      </c>
      <c r="AI406" s="950" t="s">
        <v>112</v>
      </c>
      <c r="AJ406" s="950">
        <f t="shared" si="28"/>
        <v>84</v>
      </c>
      <c r="AK406" s="950" t="s">
        <v>112</v>
      </c>
      <c r="AL406" s="946">
        <f t="shared" si="29"/>
        <v>7</v>
      </c>
      <c r="AM406" s="947"/>
      <c r="AN406" s="948"/>
      <c r="AO406" s="925">
        <v>7</v>
      </c>
    </row>
    <row r="407" spans="1:41" ht="32.25" customHeight="1">
      <c r="A407" s="941" t="s">
        <v>581</v>
      </c>
      <c r="B407" s="1427" t="s">
        <v>722</v>
      </c>
      <c r="C407" s="1428"/>
      <c r="D407" s="1428"/>
      <c r="E407" s="1428"/>
      <c r="F407" s="1428"/>
      <c r="G407" s="1428"/>
      <c r="H407" s="1428"/>
      <c r="I407" s="1428"/>
      <c r="J407" s="1429"/>
      <c r="K407" s="950" t="s">
        <v>698</v>
      </c>
      <c r="L407" s="950">
        <v>9</v>
      </c>
      <c r="M407" s="950" t="s">
        <v>698</v>
      </c>
      <c r="N407" s="950">
        <v>9</v>
      </c>
      <c r="O407" s="950" t="s">
        <v>698</v>
      </c>
      <c r="P407" s="950">
        <v>9</v>
      </c>
      <c r="Q407" s="950" t="s">
        <v>698</v>
      </c>
      <c r="R407" s="950">
        <v>9</v>
      </c>
      <c r="S407" s="950" t="s">
        <v>698</v>
      </c>
      <c r="T407" s="950">
        <v>9</v>
      </c>
      <c r="U407" s="950" t="s">
        <v>698</v>
      </c>
      <c r="V407" s="950">
        <v>9</v>
      </c>
      <c r="W407" s="950" t="s">
        <v>698</v>
      </c>
      <c r="X407" s="950">
        <v>9</v>
      </c>
      <c r="Y407" s="950" t="s">
        <v>698</v>
      </c>
      <c r="Z407" s="950">
        <v>9</v>
      </c>
      <c r="AA407" s="950" t="s">
        <v>698</v>
      </c>
      <c r="AB407" s="950">
        <v>9</v>
      </c>
      <c r="AC407" s="950" t="s">
        <v>698</v>
      </c>
      <c r="AD407" s="950">
        <v>9</v>
      </c>
      <c r="AE407" s="950" t="s">
        <v>698</v>
      </c>
      <c r="AF407" s="950">
        <v>9</v>
      </c>
      <c r="AG407" s="950" t="s">
        <v>698</v>
      </c>
      <c r="AH407" s="950">
        <v>9</v>
      </c>
      <c r="AI407" s="951" t="s">
        <v>698</v>
      </c>
      <c r="AJ407" s="950">
        <f t="shared" si="28"/>
        <v>108</v>
      </c>
      <c r="AK407" s="950" t="s">
        <v>698</v>
      </c>
      <c r="AL407" s="946">
        <f t="shared" si="29"/>
        <v>9</v>
      </c>
      <c r="AM407" s="947"/>
      <c r="AN407" s="948"/>
      <c r="AO407" s="925">
        <v>9</v>
      </c>
    </row>
    <row r="408" spans="1:41" ht="27" customHeight="1">
      <c r="A408" s="952"/>
      <c r="B408" s="1430" t="s">
        <v>68</v>
      </c>
      <c r="C408" s="1430"/>
      <c r="D408" s="1430"/>
      <c r="E408" s="1430"/>
      <c r="F408" s="1430"/>
      <c r="G408" s="1430"/>
      <c r="H408" s="1430"/>
      <c r="I408" s="1430"/>
      <c r="J408" s="1430"/>
      <c r="K408" s="1419">
        <f>SUM(L400:L407)</f>
        <v>70</v>
      </c>
      <c r="L408" s="1426"/>
      <c r="M408" s="1425">
        <f>SUM(N400:N407)</f>
        <v>68</v>
      </c>
      <c r="N408" s="1426"/>
      <c r="O408" s="1425">
        <f>SUM(P400:P407)</f>
        <v>64</v>
      </c>
      <c r="P408" s="1426"/>
      <c r="Q408" s="1425">
        <f>SUM(R400:R407)</f>
        <v>62</v>
      </c>
      <c r="R408" s="1426"/>
      <c r="S408" s="1425">
        <f>SUM(T400:T407)</f>
        <v>68</v>
      </c>
      <c r="T408" s="1426"/>
      <c r="U408" s="1425">
        <f>SUM(V400:V407)</f>
        <v>63</v>
      </c>
      <c r="V408" s="1426"/>
      <c r="W408" s="1425">
        <f>SUM(X400:X407)</f>
        <v>73</v>
      </c>
      <c r="X408" s="1426"/>
      <c r="Y408" s="1425">
        <f>SUM(Z400:Z407)</f>
        <v>68</v>
      </c>
      <c r="Z408" s="1426"/>
      <c r="AA408" s="1425">
        <f>SUM(AB400:AB407)</f>
        <v>65</v>
      </c>
      <c r="AB408" s="1426"/>
      <c r="AC408" s="1425">
        <f>SUM(AD400:AD407)</f>
        <v>63</v>
      </c>
      <c r="AD408" s="1426"/>
      <c r="AE408" s="1425">
        <f>SUM(AF400:AF407)</f>
        <v>62</v>
      </c>
      <c r="AF408" s="1426"/>
      <c r="AG408" s="1425">
        <f>SUM(AH400:AH407)</f>
        <v>62</v>
      </c>
      <c r="AH408" s="1426"/>
      <c r="AI408" s="1418">
        <f>SUM(K408:AG408)</f>
        <v>788</v>
      </c>
      <c r="AJ408" s="1419"/>
      <c r="AK408" s="1420">
        <f>SUM(AL400:AL407)</f>
        <v>65</v>
      </c>
      <c r="AL408" s="1420"/>
      <c r="AM408" s="947"/>
      <c r="AN408" s="948"/>
      <c r="AO408" s="925">
        <f>SUM(AO400:AO407)</f>
        <v>65</v>
      </c>
    </row>
    <row r="409" spans="1:41" ht="17.25" customHeight="1">
      <c r="A409" s="926"/>
      <c r="B409" s="1034"/>
      <c r="C409" s="1034"/>
      <c r="D409" s="1034"/>
      <c r="E409" s="1034"/>
      <c r="F409" s="1034"/>
      <c r="G409" s="1034"/>
      <c r="H409" s="1034"/>
      <c r="I409" s="1034"/>
      <c r="J409" s="1034"/>
      <c r="K409" s="1035"/>
      <c r="L409" s="1036"/>
      <c r="M409" s="1036"/>
      <c r="N409" s="1036"/>
      <c r="O409" s="1036"/>
      <c r="P409" s="1036"/>
      <c r="Q409" s="1036"/>
      <c r="R409" s="1036"/>
      <c r="S409" s="1036"/>
      <c r="T409" s="1036"/>
      <c r="U409" s="1036"/>
      <c r="V409" s="1036"/>
      <c r="W409" s="1036"/>
      <c r="X409" s="1036"/>
      <c r="Y409" s="1036"/>
      <c r="Z409" s="1036"/>
      <c r="AA409" s="1036"/>
      <c r="AB409" s="1036"/>
      <c r="AC409" s="1036"/>
      <c r="AD409" s="1036"/>
      <c r="AE409" s="1036"/>
      <c r="AF409" s="1036"/>
      <c r="AG409" s="1036"/>
      <c r="AH409" s="1036"/>
      <c r="AI409" s="1035"/>
      <c r="AJ409" s="1035"/>
      <c r="AK409" s="1037"/>
      <c r="AL409" s="1037"/>
      <c r="AM409" s="947"/>
      <c r="AN409" s="948"/>
    </row>
    <row r="410" spans="1:41" ht="21.75" customHeight="1">
      <c r="A410" s="953"/>
      <c r="B410" s="927"/>
      <c r="C410" s="928"/>
      <c r="D410" s="927"/>
      <c r="E410" s="927"/>
      <c r="F410" s="927"/>
      <c r="G410" s="927"/>
      <c r="H410" s="927"/>
      <c r="I410" s="927"/>
      <c r="J410" s="927"/>
      <c r="K410" s="954"/>
      <c r="L410" s="954"/>
      <c r="M410" s="954"/>
      <c r="N410" s="954"/>
      <c r="O410" s="954"/>
      <c r="P410" s="954"/>
      <c r="Q410" s="954"/>
      <c r="R410" s="954"/>
      <c r="S410" s="954"/>
      <c r="T410" s="954"/>
      <c r="U410" s="954"/>
      <c r="V410" s="954"/>
      <c r="W410" s="954"/>
      <c r="X410" s="954"/>
      <c r="Y410" s="954"/>
      <c r="Z410" s="954"/>
      <c r="AA410" s="954"/>
      <c r="AB410" s="954"/>
      <c r="AC410" s="954"/>
      <c r="AD410" s="954"/>
      <c r="AE410" s="954"/>
      <c r="AF410" s="954"/>
      <c r="AG410" s="954"/>
      <c r="AH410" s="954"/>
      <c r="AI410" s="954"/>
      <c r="AJ410" s="954"/>
      <c r="AK410" s="1038"/>
      <c r="AL410" s="1038"/>
      <c r="AM410" s="947"/>
      <c r="AN410" s="948"/>
    </row>
    <row r="411" spans="1:41" ht="27.75" customHeight="1">
      <c r="A411" s="953"/>
      <c r="B411" s="927"/>
      <c r="C411" s="928"/>
      <c r="D411" s="927"/>
      <c r="E411" s="927"/>
      <c r="F411" s="927"/>
      <c r="G411" s="927"/>
      <c r="H411" s="927"/>
      <c r="I411" s="927"/>
      <c r="J411" s="927"/>
      <c r="K411" s="927"/>
      <c r="L411" s="927"/>
      <c r="M411" s="927"/>
      <c r="N411" s="927"/>
      <c r="O411" s="927"/>
      <c r="P411" s="927"/>
      <c r="Q411" s="927"/>
      <c r="R411" s="927"/>
      <c r="S411" s="927"/>
      <c r="T411" s="927"/>
      <c r="U411" s="927"/>
      <c r="V411" s="927"/>
      <c r="W411" s="927"/>
      <c r="X411" s="927"/>
      <c r="Y411" s="927"/>
      <c r="Z411" s="927"/>
      <c r="AA411" s="927"/>
      <c r="AB411" s="927"/>
      <c r="AC411" s="927"/>
      <c r="AD411" s="927"/>
      <c r="AE411" s="927"/>
      <c r="AF411" s="927"/>
      <c r="AG411" s="927"/>
      <c r="AH411" s="927"/>
      <c r="AI411" s="927"/>
      <c r="AJ411" s="927"/>
      <c r="AK411" s="927"/>
      <c r="AL411" s="927"/>
      <c r="AM411" s="929"/>
    </row>
    <row r="412" spans="1:41" ht="17.25" customHeight="1">
      <c r="A412" s="953"/>
      <c r="B412" s="927"/>
      <c r="C412" s="928"/>
      <c r="D412" s="927"/>
      <c r="E412" s="927"/>
      <c r="F412" s="927"/>
      <c r="G412" s="927"/>
      <c r="H412" s="927"/>
      <c r="I412" s="927"/>
      <c r="J412" s="927"/>
      <c r="K412" s="927"/>
      <c r="L412" s="927"/>
      <c r="M412" s="927"/>
      <c r="N412" s="927"/>
      <c r="O412" s="927"/>
      <c r="P412" s="927"/>
      <c r="Q412" s="927"/>
      <c r="R412" s="927" t="s">
        <v>11</v>
      </c>
      <c r="S412" s="927"/>
      <c r="T412" s="927"/>
      <c r="U412" s="927"/>
      <c r="V412" s="927"/>
      <c r="W412" s="927"/>
      <c r="X412" s="927"/>
      <c r="Y412" s="927"/>
      <c r="Z412" s="927"/>
      <c r="AA412" s="927"/>
      <c r="AB412" s="927"/>
      <c r="AC412" s="927" t="s">
        <v>11</v>
      </c>
      <c r="AD412" s="927"/>
      <c r="AE412" s="927"/>
      <c r="AF412" s="927"/>
      <c r="AG412" s="927"/>
      <c r="AH412" s="927"/>
      <c r="AI412" s="927"/>
      <c r="AJ412" s="927"/>
      <c r="AK412" s="927"/>
      <c r="AL412" s="927"/>
      <c r="AM412" s="929"/>
    </row>
    <row r="413" spans="1:41" ht="14.25" customHeight="1">
      <c r="A413" s="953"/>
      <c r="B413" s="927"/>
      <c r="C413" s="928"/>
      <c r="D413" s="927"/>
      <c r="E413" s="927"/>
      <c r="F413" s="927"/>
      <c r="G413" s="927"/>
      <c r="H413" s="927"/>
      <c r="I413" s="927"/>
      <c r="J413" s="927"/>
      <c r="K413" s="927"/>
      <c r="L413" s="927"/>
      <c r="M413" s="927"/>
      <c r="N413" s="927"/>
      <c r="O413" s="927"/>
      <c r="P413" s="927"/>
      <c r="Q413" s="927"/>
      <c r="R413" s="927"/>
      <c r="S413" s="927"/>
      <c r="T413" s="927"/>
      <c r="U413" s="927"/>
      <c r="V413" s="927"/>
      <c r="W413" s="927"/>
      <c r="X413" s="927"/>
      <c r="Y413" s="927"/>
      <c r="Z413" s="927"/>
      <c r="AA413" s="927"/>
      <c r="AB413" s="927"/>
      <c r="AC413" s="927"/>
      <c r="AD413" s="927"/>
      <c r="AE413" s="927"/>
      <c r="AF413" s="927"/>
      <c r="AG413" s="927"/>
      <c r="AH413" s="927"/>
      <c r="AI413" s="927"/>
      <c r="AJ413" s="927"/>
      <c r="AK413" s="927"/>
      <c r="AL413" s="927"/>
      <c r="AM413" s="929"/>
    </row>
    <row r="414" spans="1:41" ht="21.75" customHeight="1">
      <c r="A414" s="953"/>
      <c r="B414" s="927"/>
      <c r="C414" s="928"/>
      <c r="D414" s="927"/>
      <c r="E414" s="927"/>
      <c r="F414" s="927"/>
      <c r="G414" s="927"/>
      <c r="H414" s="927"/>
      <c r="I414" s="927"/>
      <c r="J414" s="927"/>
      <c r="K414" s="927"/>
      <c r="L414" s="927"/>
      <c r="M414" s="927"/>
      <c r="N414" s="927"/>
      <c r="O414" s="1421"/>
      <c r="P414" s="1421"/>
      <c r="Q414" s="927"/>
      <c r="R414" s="927"/>
      <c r="S414" s="927"/>
      <c r="T414" s="927"/>
      <c r="U414" s="927"/>
      <c r="V414" s="927"/>
      <c r="W414" s="927"/>
      <c r="X414" s="927"/>
      <c r="Y414" s="927"/>
      <c r="Z414" s="927"/>
      <c r="AA414" s="927"/>
      <c r="AB414" s="927"/>
      <c r="AC414" s="927"/>
      <c r="AD414" s="927"/>
      <c r="AE414" s="927"/>
      <c r="AF414" s="927"/>
      <c r="AG414" s="927"/>
      <c r="AH414" s="927"/>
      <c r="AI414" s="927"/>
      <c r="AJ414" s="927"/>
      <c r="AK414" s="927"/>
      <c r="AL414" s="927"/>
      <c r="AM414" s="929"/>
    </row>
    <row r="415" spans="1:41" ht="21.75" customHeight="1">
      <c r="A415" s="957"/>
      <c r="B415" s="958"/>
      <c r="C415" s="934"/>
      <c r="D415" s="927"/>
      <c r="E415" s="959"/>
      <c r="F415" s="927"/>
      <c r="G415" s="927"/>
      <c r="H415" s="927"/>
      <c r="I415" s="927"/>
      <c r="J415" s="927"/>
      <c r="K415" s="927"/>
      <c r="L415" s="927"/>
      <c r="M415" s="927"/>
      <c r="N415" s="927"/>
      <c r="O415" s="927"/>
      <c r="P415" s="958"/>
      <c r="Q415" s="958"/>
      <c r="R415" s="958"/>
      <c r="S415" s="958"/>
      <c r="T415" s="958"/>
      <c r="U415" s="958"/>
      <c r="V415" s="958"/>
      <c r="W415" s="927"/>
      <c r="X415" s="927"/>
      <c r="Y415" s="934"/>
      <c r="Z415" s="927"/>
      <c r="AA415" s="927"/>
      <c r="AB415" s="934"/>
      <c r="AC415" s="934"/>
      <c r="AD415" s="960"/>
      <c r="AE415" s="1422" t="s">
        <v>634</v>
      </c>
      <c r="AF415" s="1423"/>
      <c r="AG415" s="1423"/>
      <c r="AH415" s="1423"/>
      <c r="AI415" s="1423"/>
      <c r="AJ415" s="1423"/>
      <c r="AK415" s="1423"/>
      <c r="AL415" s="1424"/>
      <c r="AM415" s="929"/>
    </row>
    <row r="416" spans="1:41" ht="21.75" customHeight="1">
      <c r="A416" s="957"/>
      <c r="B416" s="958"/>
      <c r="C416" s="934"/>
      <c r="D416" s="927"/>
      <c r="E416" s="959"/>
      <c r="F416" s="927"/>
      <c r="G416" s="927"/>
      <c r="H416" s="927"/>
      <c r="I416" s="927"/>
      <c r="J416" s="927"/>
      <c r="K416" s="927"/>
      <c r="L416" s="927"/>
      <c r="M416" s="927"/>
      <c r="N416" s="927"/>
      <c r="O416" s="927"/>
      <c r="P416" s="927"/>
      <c r="Q416" s="927"/>
      <c r="R416" s="958"/>
      <c r="S416" s="927"/>
      <c r="T416" s="927"/>
      <c r="U416" s="927"/>
      <c r="V416" s="927"/>
      <c r="W416" s="927"/>
      <c r="X416" s="927"/>
      <c r="Y416" s="934"/>
      <c r="Z416" s="927"/>
      <c r="AA416" s="927"/>
      <c r="AB416" s="934"/>
      <c r="AC416" s="934"/>
      <c r="AD416" s="960"/>
      <c r="AE416" s="953"/>
      <c r="AF416" s="927"/>
      <c r="AG416" s="934"/>
      <c r="AH416" s="927"/>
      <c r="AI416" s="927"/>
      <c r="AJ416" s="927"/>
      <c r="AK416" s="927"/>
      <c r="AL416" s="929"/>
      <c r="AM416" s="929"/>
    </row>
    <row r="417" spans="1:39" ht="21.75" customHeight="1">
      <c r="A417" s="957"/>
      <c r="B417" s="958"/>
      <c r="C417" s="934"/>
      <c r="D417" s="927"/>
      <c r="E417" s="959"/>
      <c r="F417" s="927"/>
      <c r="G417" s="927"/>
      <c r="H417" s="927"/>
      <c r="I417" s="927"/>
      <c r="J417" s="927"/>
      <c r="K417" s="927"/>
      <c r="L417" s="927"/>
      <c r="M417" s="927"/>
      <c r="N417" s="927"/>
      <c r="O417" s="927"/>
      <c r="P417" s="934"/>
      <c r="Q417" s="934"/>
      <c r="R417" s="934"/>
      <c r="S417" s="934"/>
      <c r="T417" s="927"/>
      <c r="U417" s="927"/>
      <c r="V417" s="958"/>
      <c r="W417" s="927"/>
      <c r="X417" s="927"/>
      <c r="Y417" s="934"/>
      <c r="Z417" s="927"/>
      <c r="AA417" s="961"/>
      <c r="AB417" s="934"/>
      <c r="AC417" s="934"/>
      <c r="AD417" s="960"/>
      <c r="AE417" s="953"/>
      <c r="AF417" s="927"/>
      <c r="AG417" s="934"/>
      <c r="AH417" s="927"/>
      <c r="AI417" s="927"/>
      <c r="AJ417" s="927"/>
      <c r="AK417" s="961"/>
      <c r="AL417" s="929"/>
      <c r="AM417" s="929"/>
    </row>
    <row r="418" spans="1:39" ht="21.75" customHeight="1">
      <c r="A418" s="957"/>
      <c r="B418" s="958"/>
      <c r="C418" s="934"/>
      <c r="D418" s="927"/>
      <c r="E418" s="959"/>
      <c r="F418" s="927"/>
      <c r="G418" s="962"/>
      <c r="H418" s="927"/>
      <c r="I418" s="927"/>
      <c r="J418" s="927"/>
      <c r="K418" s="927"/>
      <c r="L418" s="927"/>
      <c r="M418" s="927"/>
      <c r="N418" s="927"/>
      <c r="O418" s="927"/>
      <c r="P418" s="934"/>
      <c r="Q418" s="934"/>
      <c r="R418" s="934"/>
      <c r="S418" s="934"/>
      <c r="T418" s="928"/>
      <c r="U418" s="927"/>
      <c r="V418" s="958"/>
      <c r="W418" s="927"/>
      <c r="X418" s="927"/>
      <c r="Y418" s="934"/>
      <c r="Z418" s="927"/>
      <c r="AA418" s="927"/>
      <c r="AB418" s="934"/>
      <c r="AC418" s="934"/>
      <c r="AD418" s="960"/>
      <c r="AE418" s="963"/>
      <c r="AF418" s="964"/>
      <c r="AG418" s="965"/>
      <c r="AH418" s="964"/>
      <c r="AI418" s="964"/>
      <c r="AJ418" s="964"/>
      <c r="AK418" s="964"/>
      <c r="AL418" s="966"/>
      <c r="AM418" s="929"/>
    </row>
    <row r="419" spans="1:39" ht="21.75" customHeight="1">
      <c r="A419" s="953"/>
      <c r="B419" s="927"/>
      <c r="C419" s="928"/>
      <c r="D419" s="927"/>
      <c r="E419" s="958"/>
      <c r="F419" s="927"/>
      <c r="G419" s="958"/>
      <c r="H419" s="927"/>
      <c r="I419" s="927"/>
      <c r="J419" s="927"/>
      <c r="K419" s="927"/>
      <c r="L419" s="927"/>
      <c r="M419" s="927"/>
      <c r="N419" s="927"/>
      <c r="O419" s="927"/>
      <c r="P419" s="934"/>
      <c r="Q419" s="934"/>
      <c r="R419" s="934"/>
      <c r="S419" s="934"/>
      <c r="T419" s="927"/>
      <c r="U419" s="927"/>
      <c r="V419" s="958"/>
      <c r="W419" s="927"/>
      <c r="X419" s="927"/>
      <c r="Y419" s="934"/>
      <c r="Z419" s="927"/>
      <c r="AA419" s="927"/>
      <c r="AB419" s="934"/>
      <c r="AC419" s="934"/>
      <c r="AD419" s="960"/>
      <c r="AE419" s="953" t="s">
        <v>723</v>
      </c>
      <c r="AF419" s="927"/>
      <c r="AG419" s="934" t="s">
        <v>3</v>
      </c>
      <c r="AH419" s="928" t="s">
        <v>724</v>
      </c>
      <c r="AI419" s="927"/>
      <c r="AJ419" s="927"/>
      <c r="AK419" s="927"/>
      <c r="AL419" s="929"/>
      <c r="AM419" s="929"/>
    </row>
    <row r="420" spans="1:39" ht="21.75" customHeight="1">
      <c r="A420" s="953"/>
      <c r="B420" s="927"/>
      <c r="C420" s="934"/>
      <c r="D420" s="934"/>
      <c r="E420" s="934"/>
      <c r="F420" s="934"/>
      <c r="G420" s="934"/>
      <c r="H420" s="934"/>
      <c r="I420" s="934"/>
      <c r="J420" s="934"/>
      <c r="K420" s="934"/>
      <c r="L420" s="934"/>
      <c r="M420" s="934"/>
      <c r="N420" s="934"/>
      <c r="O420" s="934"/>
      <c r="P420" s="934"/>
      <c r="Q420" s="934"/>
      <c r="R420" s="934"/>
      <c r="S420" s="934"/>
      <c r="T420" s="927"/>
      <c r="U420" s="958"/>
      <c r="V420" s="958"/>
      <c r="W420" s="927"/>
      <c r="X420" s="927"/>
      <c r="Y420" s="934"/>
      <c r="Z420" s="927"/>
      <c r="AA420" s="927"/>
      <c r="AB420" s="934"/>
      <c r="AC420" s="934"/>
      <c r="AD420" s="960"/>
      <c r="AE420" s="953" t="s">
        <v>725</v>
      </c>
      <c r="AF420" s="927"/>
      <c r="AG420" s="934" t="s">
        <v>3</v>
      </c>
      <c r="AH420" s="927" t="s">
        <v>726</v>
      </c>
      <c r="AI420" s="927"/>
      <c r="AJ420" s="927"/>
      <c r="AK420" s="927"/>
      <c r="AL420" s="929"/>
      <c r="AM420" s="929"/>
    </row>
    <row r="421" spans="1:39" ht="21.75" customHeight="1">
      <c r="A421" s="953"/>
      <c r="B421" s="927"/>
      <c r="C421" s="934"/>
      <c r="D421" s="934"/>
      <c r="E421" s="934"/>
      <c r="F421" s="934"/>
      <c r="G421" s="934"/>
      <c r="H421" s="934"/>
      <c r="I421" s="934"/>
      <c r="J421" s="934"/>
      <c r="K421" s="934"/>
      <c r="L421" s="934"/>
      <c r="M421" s="934"/>
      <c r="N421" s="934"/>
      <c r="O421" s="934"/>
      <c r="P421" s="934"/>
      <c r="Q421" s="934"/>
      <c r="R421" s="934"/>
      <c r="S421" s="934"/>
      <c r="T421" s="958"/>
      <c r="U421" s="958"/>
      <c r="V421" s="958"/>
      <c r="W421" s="927"/>
      <c r="X421" s="927"/>
      <c r="Y421" s="934"/>
      <c r="Z421" s="928"/>
      <c r="AA421" s="927"/>
      <c r="AB421" s="934"/>
      <c r="AC421" s="934"/>
      <c r="AD421" s="960"/>
      <c r="AE421" s="963" t="s">
        <v>727</v>
      </c>
      <c r="AF421" s="964"/>
      <c r="AG421" s="965" t="s">
        <v>3</v>
      </c>
      <c r="AH421" s="967" t="s">
        <v>758</v>
      </c>
      <c r="AI421" s="967"/>
      <c r="AJ421" s="967"/>
      <c r="AK421" s="964"/>
      <c r="AL421" s="966"/>
      <c r="AM421" s="929"/>
    </row>
    <row r="422" spans="1:39" ht="18" customHeight="1">
      <c r="A422" s="963"/>
      <c r="B422" s="964"/>
      <c r="C422" s="968"/>
      <c r="D422" s="964"/>
      <c r="E422" s="964"/>
      <c r="F422" s="964"/>
      <c r="G422" s="965"/>
      <c r="H422" s="965"/>
      <c r="I422" s="964"/>
      <c r="J422" s="964"/>
      <c r="K422" s="964"/>
      <c r="L422" s="964"/>
      <c r="M422" s="964"/>
      <c r="N422" s="964"/>
      <c r="O422" s="964"/>
      <c r="P422" s="964"/>
      <c r="Q422" s="964"/>
      <c r="R422" s="964"/>
      <c r="S422" s="964"/>
      <c r="T422" s="964"/>
      <c r="U422" s="964"/>
      <c r="V422" s="964"/>
      <c r="W422" s="964"/>
      <c r="X422" s="964"/>
      <c r="Y422" s="964"/>
      <c r="Z422" s="964"/>
      <c r="AA422" s="964"/>
      <c r="AB422" s="964"/>
      <c r="AC422" s="964"/>
      <c r="AD422" s="964"/>
      <c r="AE422" s="964"/>
      <c r="AF422" s="964"/>
      <c r="AG422" s="964"/>
      <c r="AH422" s="964"/>
      <c r="AI422" s="964"/>
      <c r="AJ422" s="964"/>
      <c r="AK422" s="964"/>
      <c r="AL422" s="964"/>
      <c r="AM422" s="966"/>
    </row>
  </sheetData>
  <mergeCells count="569">
    <mergeCell ref="A11:A12"/>
    <mergeCell ref="B11:J12"/>
    <mergeCell ref="K11:L11"/>
    <mergeCell ref="M11:N11"/>
    <mergeCell ref="O11:P11"/>
    <mergeCell ref="Q11:R11"/>
    <mergeCell ref="A1:D4"/>
    <mergeCell ref="E1:AF4"/>
    <mergeCell ref="AG1:AM2"/>
    <mergeCell ref="AG3:AM4"/>
    <mergeCell ref="A5:D6"/>
    <mergeCell ref="E5:AF6"/>
    <mergeCell ref="AG5:AM6"/>
    <mergeCell ref="AK11:AL11"/>
    <mergeCell ref="B16:J16"/>
    <mergeCell ref="B17:J17"/>
    <mergeCell ref="B18:J18"/>
    <mergeCell ref="B19:J19"/>
    <mergeCell ref="B20:J20"/>
    <mergeCell ref="AE11:AF11"/>
    <mergeCell ref="AG11:AH11"/>
    <mergeCell ref="AI11:AJ11"/>
    <mergeCell ref="AG21:AH21"/>
    <mergeCell ref="AI21:AJ21"/>
    <mergeCell ref="B13:J13"/>
    <mergeCell ref="B14:J14"/>
    <mergeCell ref="S11:T11"/>
    <mergeCell ref="U11:V11"/>
    <mergeCell ref="W11:X11"/>
    <mergeCell ref="Y11:Z11"/>
    <mergeCell ref="AA11:AB11"/>
    <mergeCell ref="AC11:AD11"/>
    <mergeCell ref="B15:J15"/>
    <mergeCell ref="AK21:AL21"/>
    <mergeCell ref="O26:P26"/>
    <mergeCell ref="AE27:AL27"/>
    <mergeCell ref="A37:D40"/>
    <mergeCell ref="E37:AF40"/>
    <mergeCell ref="AG37:AM38"/>
    <mergeCell ref="AG39:AM40"/>
    <mergeCell ref="U21:V21"/>
    <mergeCell ref="W21:X21"/>
    <mergeCell ref="Y21:Z21"/>
    <mergeCell ref="AA21:AB21"/>
    <mergeCell ref="AC21:AD21"/>
    <mergeCell ref="AE21:AF21"/>
    <mergeCell ref="B21:J21"/>
    <mergeCell ref="K21:L21"/>
    <mergeCell ref="M21:N21"/>
    <mergeCell ref="O21:P21"/>
    <mergeCell ref="Q21:R21"/>
    <mergeCell ref="S21:T21"/>
    <mergeCell ref="A41:D42"/>
    <mergeCell ref="E41:AF42"/>
    <mergeCell ref="AG41:AM42"/>
    <mergeCell ref="AA45:AE45"/>
    <mergeCell ref="A47:A48"/>
    <mergeCell ref="B47:J48"/>
    <mergeCell ref="K47:L47"/>
    <mergeCell ref="M47:N47"/>
    <mergeCell ref="O47:P47"/>
    <mergeCell ref="Q47:R47"/>
    <mergeCell ref="AK47:AL47"/>
    <mergeCell ref="B52:J52"/>
    <mergeCell ref="B53:J53"/>
    <mergeCell ref="B54:J54"/>
    <mergeCell ref="B55:J55"/>
    <mergeCell ref="B56:J56"/>
    <mergeCell ref="AE47:AF47"/>
    <mergeCell ref="AG47:AH47"/>
    <mergeCell ref="AI47:AJ47"/>
    <mergeCell ref="AG57:AH57"/>
    <mergeCell ref="AI57:AJ57"/>
    <mergeCell ref="B49:J49"/>
    <mergeCell ref="B50:J50"/>
    <mergeCell ref="S47:T47"/>
    <mergeCell ref="U47:V47"/>
    <mergeCell ref="W47:X47"/>
    <mergeCell ref="Y47:Z47"/>
    <mergeCell ref="AA47:AB47"/>
    <mergeCell ref="AC47:AD47"/>
    <mergeCell ref="B51:J51"/>
    <mergeCell ref="AK57:AL57"/>
    <mergeCell ref="AE62:AL62"/>
    <mergeCell ref="A72:D75"/>
    <mergeCell ref="E72:AF75"/>
    <mergeCell ref="AG72:AM73"/>
    <mergeCell ref="AG74:AM75"/>
    <mergeCell ref="U57:V57"/>
    <mergeCell ref="W57:X57"/>
    <mergeCell ref="Y57:Z57"/>
    <mergeCell ref="AA57:AB57"/>
    <mergeCell ref="AC57:AD57"/>
    <mergeCell ref="AE57:AF57"/>
    <mergeCell ref="B57:J57"/>
    <mergeCell ref="K57:L57"/>
    <mergeCell ref="M57:N57"/>
    <mergeCell ref="O57:P57"/>
    <mergeCell ref="Q57:R57"/>
    <mergeCell ref="S57:T57"/>
    <mergeCell ref="A76:D77"/>
    <mergeCell ref="E76:AF77"/>
    <mergeCell ref="AG76:AM77"/>
    <mergeCell ref="AB80:AF80"/>
    <mergeCell ref="A82:A83"/>
    <mergeCell ref="B82:J83"/>
    <mergeCell ref="K82:L82"/>
    <mergeCell ref="M82:N82"/>
    <mergeCell ref="O82:P82"/>
    <mergeCell ref="Q82:R82"/>
    <mergeCell ref="AK82:AL82"/>
    <mergeCell ref="B87:J87"/>
    <mergeCell ref="B88:J88"/>
    <mergeCell ref="B89:J89"/>
    <mergeCell ref="B90:J90"/>
    <mergeCell ref="B91:J91"/>
    <mergeCell ref="AE82:AF82"/>
    <mergeCell ref="AG82:AH82"/>
    <mergeCell ref="AI82:AJ82"/>
    <mergeCell ref="AG92:AH92"/>
    <mergeCell ref="AI92:AJ92"/>
    <mergeCell ref="B84:J84"/>
    <mergeCell ref="B85:J85"/>
    <mergeCell ref="S82:T82"/>
    <mergeCell ref="U82:V82"/>
    <mergeCell ref="W82:X82"/>
    <mergeCell ref="Y82:Z82"/>
    <mergeCell ref="AA82:AB82"/>
    <mergeCell ref="AC82:AD82"/>
    <mergeCell ref="B86:J86"/>
    <mergeCell ref="AK92:AL92"/>
    <mergeCell ref="AE96:AL96"/>
    <mergeCell ref="E108:AF111"/>
    <mergeCell ref="AG108:AM109"/>
    <mergeCell ref="AG110:AM111"/>
    <mergeCell ref="U92:V92"/>
    <mergeCell ref="W92:X92"/>
    <mergeCell ref="Y92:Z92"/>
    <mergeCell ref="AA92:AB92"/>
    <mergeCell ref="AC92:AD92"/>
    <mergeCell ref="AE92:AF92"/>
    <mergeCell ref="B92:J92"/>
    <mergeCell ref="K92:L92"/>
    <mergeCell ref="M92:N92"/>
    <mergeCell ref="O92:P92"/>
    <mergeCell ref="Q92:R92"/>
    <mergeCell ref="S92:T92"/>
    <mergeCell ref="A112:D113"/>
    <mergeCell ref="E112:AF113"/>
    <mergeCell ref="AG112:AM113"/>
    <mergeCell ref="A118:A119"/>
    <mergeCell ref="B118:J119"/>
    <mergeCell ref="K118:L118"/>
    <mergeCell ref="M118:N118"/>
    <mergeCell ref="O118:P118"/>
    <mergeCell ref="Q118:R118"/>
    <mergeCell ref="S118:T118"/>
    <mergeCell ref="B123:J123"/>
    <mergeCell ref="B124:J124"/>
    <mergeCell ref="B125:J125"/>
    <mergeCell ref="B126:J126"/>
    <mergeCell ref="B127:J127"/>
    <mergeCell ref="B128:J128"/>
    <mergeCell ref="AG118:AH118"/>
    <mergeCell ref="AI118:AJ118"/>
    <mergeCell ref="AK118:AL118"/>
    <mergeCell ref="B120:J120"/>
    <mergeCell ref="B121:J121"/>
    <mergeCell ref="B122:J122"/>
    <mergeCell ref="U118:V118"/>
    <mergeCell ref="W118:X118"/>
    <mergeCell ref="Y118:Z118"/>
    <mergeCell ref="AA118:AB118"/>
    <mergeCell ref="AC118:AD118"/>
    <mergeCell ref="AE118:AF118"/>
    <mergeCell ref="AI128:AJ128"/>
    <mergeCell ref="AK128:AL128"/>
    <mergeCell ref="AE132:AL132"/>
    <mergeCell ref="E144:AF147"/>
    <mergeCell ref="AG144:AM145"/>
    <mergeCell ref="AG146:AM147"/>
    <mergeCell ref="W128:X128"/>
    <mergeCell ref="Y128:Z128"/>
    <mergeCell ref="AA128:AB128"/>
    <mergeCell ref="AC128:AD128"/>
    <mergeCell ref="AE128:AF128"/>
    <mergeCell ref="AG128:AH128"/>
    <mergeCell ref="K128:L128"/>
    <mergeCell ref="M128:N128"/>
    <mergeCell ref="O128:P128"/>
    <mergeCell ref="Q128:R128"/>
    <mergeCell ref="S128:T128"/>
    <mergeCell ref="U128:V128"/>
    <mergeCell ref="A148:D149"/>
    <mergeCell ref="E148:AF149"/>
    <mergeCell ref="AG148:AM149"/>
    <mergeCell ref="AA152:AE152"/>
    <mergeCell ref="A154:A155"/>
    <mergeCell ref="B154:J155"/>
    <mergeCell ref="K154:L154"/>
    <mergeCell ref="M154:N154"/>
    <mergeCell ref="O154:P154"/>
    <mergeCell ref="Q154:R154"/>
    <mergeCell ref="AK154:AL154"/>
    <mergeCell ref="B159:J159"/>
    <mergeCell ref="B160:J160"/>
    <mergeCell ref="B161:J161"/>
    <mergeCell ref="B162:J162"/>
    <mergeCell ref="B163:J163"/>
    <mergeCell ref="AE154:AF154"/>
    <mergeCell ref="AG154:AH154"/>
    <mergeCell ref="AI154:AJ154"/>
    <mergeCell ref="AG164:AH164"/>
    <mergeCell ref="AI164:AJ164"/>
    <mergeCell ref="B156:J156"/>
    <mergeCell ref="B157:J157"/>
    <mergeCell ref="S154:T154"/>
    <mergeCell ref="U154:V154"/>
    <mergeCell ref="W154:X154"/>
    <mergeCell ref="Y154:Z154"/>
    <mergeCell ref="AA154:AB154"/>
    <mergeCell ref="AC154:AD154"/>
    <mergeCell ref="B158:J158"/>
    <mergeCell ref="AK164:AL164"/>
    <mergeCell ref="AE168:AL168"/>
    <mergeCell ref="E179:AF182"/>
    <mergeCell ref="AG179:AM180"/>
    <mergeCell ref="AG181:AM182"/>
    <mergeCell ref="U164:V164"/>
    <mergeCell ref="W164:X164"/>
    <mergeCell ref="Y164:Z164"/>
    <mergeCell ref="AA164:AB164"/>
    <mergeCell ref="AC164:AD164"/>
    <mergeCell ref="AE164:AF164"/>
    <mergeCell ref="B164:J164"/>
    <mergeCell ref="K164:L164"/>
    <mergeCell ref="M164:N164"/>
    <mergeCell ref="O164:P164"/>
    <mergeCell ref="Q164:R164"/>
    <mergeCell ref="S164:T164"/>
    <mergeCell ref="A183:D184"/>
    <mergeCell ref="E183:AF184"/>
    <mergeCell ref="AG183:AM184"/>
    <mergeCell ref="AA187:AE187"/>
    <mergeCell ref="A189:A190"/>
    <mergeCell ref="B189:J190"/>
    <mergeCell ref="K189:L189"/>
    <mergeCell ref="M189:N189"/>
    <mergeCell ref="O189:P189"/>
    <mergeCell ref="Q189:R189"/>
    <mergeCell ref="AK189:AL189"/>
    <mergeCell ref="B194:J194"/>
    <mergeCell ref="B195:J195"/>
    <mergeCell ref="B196:J196"/>
    <mergeCell ref="B197:J197"/>
    <mergeCell ref="B198:J198"/>
    <mergeCell ref="AE189:AF189"/>
    <mergeCell ref="AG189:AH189"/>
    <mergeCell ref="AI189:AJ189"/>
    <mergeCell ref="AG199:AH199"/>
    <mergeCell ref="AI199:AJ199"/>
    <mergeCell ref="B191:J191"/>
    <mergeCell ref="B192:J192"/>
    <mergeCell ref="S189:T189"/>
    <mergeCell ref="U189:V189"/>
    <mergeCell ref="W189:X189"/>
    <mergeCell ref="Y189:Z189"/>
    <mergeCell ref="AA189:AB189"/>
    <mergeCell ref="AC189:AD189"/>
    <mergeCell ref="B193:J193"/>
    <mergeCell ref="AK199:AL199"/>
    <mergeCell ref="AE203:AL203"/>
    <mergeCell ref="E214:AF217"/>
    <mergeCell ref="AG214:AM215"/>
    <mergeCell ref="AG216:AM217"/>
    <mergeCell ref="U199:V199"/>
    <mergeCell ref="W199:X199"/>
    <mergeCell ref="Y199:Z199"/>
    <mergeCell ref="AA199:AB199"/>
    <mergeCell ref="AC199:AD199"/>
    <mergeCell ref="AE199:AF199"/>
    <mergeCell ref="B199:J199"/>
    <mergeCell ref="K199:L199"/>
    <mergeCell ref="M199:N199"/>
    <mergeCell ref="O199:P199"/>
    <mergeCell ref="Q199:R199"/>
    <mergeCell ref="S199:T199"/>
    <mergeCell ref="A218:D219"/>
    <mergeCell ref="E218:AF219"/>
    <mergeCell ref="AG218:AM219"/>
    <mergeCell ref="AA222:AE222"/>
    <mergeCell ref="A224:A225"/>
    <mergeCell ref="B224:J225"/>
    <mergeCell ref="K224:L224"/>
    <mergeCell ref="M224:N224"/>
    <mergeCell ref="O224:P224"/>
    <mergeCell ref="Q224:R224"/>
    <mergeCell ref="AK224:AL224"/>
    <mergeCell ref="B229:J229"/>
    <mergeCell ref="B230:J230"/>
    <mergeCell ref="B231:J231"/>
    <mergeCell ref="B232:J232"/>
    <mergeCell ref="B233:J233"/>
    <mergeCell ref="AE224:AF224"/>
    <mergeCell ref="AG224:AH224"/>
    <mergeCell ref="AI224:AJ224"/>
    <mergeCell ref="AG234:AH234"/>
    <mergeCell ref="AI234:AJ234"/>
    <mergeCell ref="B226:J226"/>
    <mergeCell ref="B227:J227"/>
    <mergeCell ref="S224:T224"/>
    <mergeCell ref="U224:V224"/>
    <mergeCell ref="W224:X224"/>
    <mergeCell ref="Y224:Z224"/>
    <mergeCell ref="AA224:AB224"/>
    <mergeCell ref="AC224:AD224"/>
    <mergeCell ref="B228:J228"/>
    <mergeCell ref="AK234:AL234"/>
    <mergeCell ref="AE238:AL238"/>
    <mergeCell ref="E247:AF250"/>
    <mergeCell ref="AG247:AM248"/>
    <mergeCell ref="AG249:AM250"/>
    <mergeCell ref="U234:V234"/>
    <mergeCell ref="W234:X234"/>
    <mergeCell ref="Y234:Z234"/>
    <mergeCell ref="AA234:AB234"/>
    <mergeCell ref="AC234:AD234"/>
    <mergeCell ref="AE234:AF234"/>
    <mergeCell ref="B234:J234"/>
    <mergeCell ref="K234:L234"/>
    <mergeCell ref="M234:N234"/>
    <mergeCell ref="O234:P234"/>
    <mergeCell ref="Q234:R234"/>
    <mergeCell ref="S234:T234"/>
    <mergeCell ref="A251:D252"/>
    <mergeCell ref="E251:AF252"/>
    <mergeCell ref="AG251:AM252"/>
    <mergeCell ref="AA255:AE255"/>
    <mergeCell ref="A257:A258"/>
    <mergeCell ref="B257:J258"/>
    <mergeCell ref="K257:L257"/>
    <mergeCell ref="M257:N257"/>
    <mergeCell ref="O257:P257"/>
    <mergeCell ref="Q257:R257"/>
    <mergeCell ref="AK257:AL257"/>
    <mergeCell ref="B262:J262"/>
    <mergeCell ref="B263:J263"/>
    <mergeCell ref="B264:J264"/>
    <mergeCell ref="B265:J265"/>
    <mergeCell ref="B266:J266"/>
    <mergeCell ref="AE257:AF257"/>
    <mergeCell ref="AG257:AH257"/>
    <mergeCell ref="AI257:AJ257"/>
    <mergeCell ref="AG267:AH267"/>
    <mergeCell ref="AI267:AJ267"/>
    <mergeCell ref="B259:J259"/>
    <mergeCell ref="B260:J260"/>
    <mergeCell ref="S257:T257"/>
    <mergeCell ref="U257:V257"/>
    <mergeCell ref="W257:X257"/>
    <mergeCell ref="Y257:Z257"/>
    <mergeCell ref="AA257:AB257"/>
    <mergeCell ref="AC257:AD257"/>
    <mergeCell ref="B261:J261"/>
    <mergeCell ref="AK267:AL267"/>
    <mergeCell ref="AE271:AL271"/>
    <mergeCell ref="E281:AF284"/>
    <mergeCell ref="AG281:AM282"/>
    <mergeCell ref="AG283:AM284"/>
    <mergeCell ref="U267:V267"/>
    <mergeCell ref="W267:X267"/>
    <mergeCell ref="Y267:Z267"/>
    <mergeCell ref="AA267:AB267"/>
    <mergeCell ref="AC267:AD267"/>
    <mergeCell ref="AE267:AF267"/>
    <mergeCell ref="B267:J267"/>
    <mergeCell ref="K267:L267"/>
    <mergeCell ref="M267:N267"/>
    <mergeCell ref="O267:P267"/>
    <mergeCell ref="Q267:R267"/>
    <mergeCell ref="S267:T267"/>
    <mergeCell ref="A285:D286"/>
    <mergeCell ref="E285:AF286"/>
    <mergeCell ref="AG285:AM286"/>
    <mergeCell ref="AA289:AE289"/>
    <mergeCell ref="A291:A292"/>
    <mergeCell ref="B291:J292"/>
    <mergeCell ref="K291:L291"/>
    <mergeCell ref="M291:N291"/>
    <mergeCell ref="O291:P291"/>
    <mergeCell ref="Q291:R291"/>
    <mergeCell ref="AK291:AL291"/>
    <mergeCell ref="B296:J296"/>
    <mergeCell ref="B297:J297"/>
    <mergeCell ref="B298:J298"/>
    <mergeCell ref="B299:J299"/>
    <mergeCell ref="B300:J300"/>
    <mergeCell ref="AE291:AF291"/>
    <mergeCell ref="AG291:AH291"/>
    <mergeCell ref="AI291:AJ291"/>
    <mergeCell ref="AG301:AH301"/>
    <mergeCell ref="AI301:AJ301"/>
    <mergeCell ref="B293:J293"/>
    <mergeCell ref="B294:J294"/>
    <mergeCell ref="S291:T291"/>
    <mergeCell ref="U291:V291"/>
    <mergeCell ref="W291:X291"/>
    <mergeCell ref="Y291:Z291"/>
    <mergeCell ref="AA291:AB291"/>
    <mergeCell ref="AC291:AD291"/>
    <mergeCell ref="B295:J295"/>
    <mergeCell ref="AK301:AL301"/>
    <mergeCell ref="AE305:AL305"/>
    <mergeCell ref="A315:D318"/>
    <mergeCell ref="E315:AF318"/>
    <mergeCell ref="AG315:AM316"/>
    <mergeCell ref="AG317:AM318"/>
    <mergeCell ref="U301:V301"/>
    <mergeCell ref="W301:X301"/>
    <mergeCell ref="Y301:Z301"/>
    <mergeCell ref="AA301:AB301"/>
    <mergeCell ref="AC301:AD301"/>
    <mergeCell ref="AE301:AF301"/>
    <mergeCell ref="B301:J301"/>
    <mergeCell ref="K301:L301"/>
    <mergeCell ref="M301:N301"/>
    <mergeCell ref="O301:P301"/>
    <mergeCell ref="Q301:R301"/>
    <mergeCell ref="S301:T301"/>
    <mergeCell ref="A319:D320"/>
    <mergeCell ref="E319:AF320"/>
    <mergeCell ref="AG319:AM320"/>
    <mergeCell ref="A325:A326"/>
    <mergeCell ref="B325:J326"/>
    <mergeCell ref="K325:L325"/>
    <mergeCell ref="M325:N325"/>
    <mergeCell ref="O325:P325"/>
    <mergeCell ref="Q325:R325"/>
    <mergeCell ref="S325:T325"/>
    <mergeCell ref="B330:J330"/>
    <mergeCell ref="B331:J331"/>
    <mergeCell ref="B332:J332"/>
    <mergeCell ref="B333:J333"/>
    <mergeCell ref="B334:J334"/>
    <mergeCell ref="B335:J335"/>
    <mergeCell ref="AG325:AH325"/>
    <mergeCell ref="AI325:AJ325"/>
    <mergeCell ref="AK325:AL325"/>
    <mergeCell ref="B327:J327"/>
    <mergeCell ref="B328:J328"/>
    <mergeCell ref="B329:J329"/>
    <mergeCell ref="U325:V325"/>
    <mergeCell ref="W325:X325"/>
    <mergeCell ref="Y325:Z325"/>
    <mergeCell ref="AA325:AB325"/>
    <mergeCell ref="AC325:AD325"/>
    <mergeCell ref="AE325:AF325"/>
    <mergeCell ref="AI335:AJ335"/>
    <mergeCell ref="AK335:AL335"/>
    <mergeCell ref="O341:P341"/>
    <mergeCell ref="AE342:AL342"/>
    <mergeCell ref="A352:D355"/>
    <mergeCell ref="E352:AF355"/>
    <mergeCell ref="AG352:AM353"/>
    <mergeCell ref="AG354:AM355"/>
    <mergeCell ref="W335:X335"/>
    <mergeCell ref="Y335:Z335"/>
    <mergeCell ref="AA335:AB335"/>
    <mergeCell ref="AC335:AD335"/>
    <mergeCell ref="AE335:AF335"/>
    <mergeCell ref="AG335:AH335"/>
    <mergeCell ref="K335:L335"/>
    <mergeCell ref="M335:N335"/>
    <mergeCell ref="O335:P335"/>
    <mergeCell ref="Q335:R335"/>
    <mergeCell ref="S335:T335"/>
    <mergeCell ref="U335:V335"/>
    <mergeCell ref="A356:D357"/>
    <mergeCell ref="E356:AF357"/>
    <mergeCell ref="AG356:AM357"/>
    <mergeCell ref="A362:A363"/>
    <mergeCell ref="B362:J363"/>
    <mergeCell ref="K362:L362"/>
    <mergeCell ref="M362:N362"/>
    <mergeCell ref="O362:P362"/>
    <mergeCell ref="Q362:R362"/>
    <mergeCell ref="S362:T362"/>
    <mergeCell ref="B367:J367"/>
    <mergeCell ref="B368:J368"/>
    <mergeCell ref="B369:J369"/>
    <mergeCell ref="B370:J370"/>
    <mergeCell ref="B371:J371"/>
    <mergeCell ref="B372:J372"/>
    <mergeCell ref="AG362:AH362"/>
    <mergeCell ref="AI362:AJ362"/>
    <mergeCell ref="AK362:AL362"/>
    <mergeCell ref="B364:J364"/>
    <mergeCell ref="B365:J365"/>
    <mergeCell ref="B366:J366"/>
    <mergeCell ref="U362:V362"/>
    <mergeCell ref="W362:X362"/>
    <mergeCell ref="Y362:Z362"/>
    <mergeCell ref="AA362:AB362"/>
    <mergeCell ref="AC362:AD362"/>
    <mergeCell ref="AE362:AF362"/>
    <mergeCell ref="AI372:AJ372"/>
    <mergeCell ref="AK372:AL372"/>
    <mergeCell ref="O378:P378"/>
    <mergeCell ref="AE379:AL379"/>
    <mergeCell ref="A388:D391"/>
    <mergeCell ref="E388:AF391"/>
    <mergeCell ref="AG388:AM389"/>
    <mergeCell ref="AG390:AM391"/>
    <mergeCell ref="W372:X372"/>
    <mergeCell ref="Y372:Z372"/>
    <mergeCell ref="AA372:AB372"/>
    <mergeCell ref="AC372:AD372"/>
    <mergeCell ref="AE372:AF372"/>
    <mergeCell ref="AG372:AH372"/>
    <mergeCell ref="K372:L372"/>
    <mergeCell ref="M372:N372"/>
    <mergeCell ref="O372:P372"/>
    <mergeCell ref="Q372:R372"/>
    <mergeCell ref="S372:T372"/>
    <mergeCell ref="U372:V372"/>
    <mergeCell ref="A392:D393"/>
    <mergeCell ref="E392:AF393"/>
    <mergeCell ref="AG392:AM393"/>
    <mergeCell ref="A398:A399"/>
    <mergeCell ref="B398:J399"/>
    <mergeCell ref="K398:L398"/>
    <mergeCell ref="M398:N398"/>
    <mergeCell ref="O398:P398"/>
    <mergeCell ref="Q398:R398"/>
    <mergeCell ref="S398:T398"/>
    <mergeCell ref="AG398:AH398"/>
    <mergeCell ref="AI398:AJ398"/>
    <mergeCell ref="AK398:AL398"/>
    <mergeCell ref="B400:J400"/>
    <mergeCell ref="B401:J401"/>
    <mergeCell ref="B402:J402"/>
    <mergeCell ref="U398:V398"/>
    <mergeCell ref="W398:X398"/>
    <mergeCell ref="Y398:Z398"/>
    <mergeCell ref="AA398:AB398"/>
    <mergeCell ref="AC398:AD398"/>
    <mergeCell ref="AE398:AF398"/>
    <mergeCell ref="K408:L408"/>
    <mergeCell ref="M408:N408"/>
    <mergeCell ref="O408:P408"/>
    <mergeCell ref="Q408:R408"/>
    <mergeCell ref="S408:T408"/>
    <mergeCell ref="U408:V408"/>
    <mergeCell ref="B403:J403"/>
    <mergeCell ref="B404:J404"/>
    <mergeCell ref="B405:J405"/>
    <mergeCell ref="B406:J406"/>
    <mergeCell ref="B407:J407"/>
    <mergeCell ref="B408:J408"/>
    <mergeCell ref="AI408:AJ408"/>
    <mergeCell ref="AK408:AL408"/>
    <mergeCell ref="O414:P414"/>
    <mergeCell ref="AE415:AL415"/>
    <mergeCell ref="W408:X408"/>
    <mergeCell ref="Y408:Z408"/>
    <mergeCell ref="AA408:AB408"/>
    <mergeCell ref="AC408:AD408"/>
    <mergeCell ref="AE408:AF408"/>
    <mergeCell ref="AG408:AH408"/>
  </mergeCells>
  <pageMargins left="0.19" right="0.19" top="0.59055118110236204" bottom="0.39370078740157499" header="0.24" footer="0"/>
  <pageSetup paperSize="9" scale="68" orientation="landscape" horizontalDpi="4294967294" verticalDpi="18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14</vt:i4>
      </vt:variant>
    </vt:vector>
  </HeadingPairs>
  <TitlesOfParts>
    <vt:vector size="38" baseType="lpstr">
      <vt:lpstr>ARG</vt:lpstr>
      <vt:lpstr>KPR</vt:lpstr>
      <vt:lpstr>KBS</vt:lpstr>
      <vt:lpstr>KB</vt:lpstr>
      <vt:lpstr>REKQR</vt:lpstr>
      <vt:lpstr>Kuitansi</vt:lpstr>
      <vt:lpstr>COVER</vt:lpstr>
      <vt:lpstr>rek-bulanan</vt:lpstr>
      <vt:lpstr>PERBLNR</vt:lpstr>
      <vt:lpstr>PERBLNG</vt:lpstr>
      <vt:lpstr>PERTAHUN</vt:lpstr>
      <vt:lpstr>ISK</vt:lpstr>
      <vt:lpstr>RKP </vt:lpstr>
      <vt:lpstr>ISK(DRT-LAUT)</vt:lpstr>
      <vt:lpstr>RELASI</vt:lpstr>
      <vt:lpstr>CONF</vt:lpstr>
      <vt:lpstr>CATATAN</vt:lpstr>
      <vt:lpstr>Rumus Terbilang</vt:lpstr>
      <vt:lpstr>Sheet1</vt:lpstr>
      <vt:lpstr>FRM-PBL-001-01</vt:lpstr>
      <vt:lpstr>FRM-PBL-002-02</vt:lpstr>
      <vt:lpstr>FRM-PBL-003-01</vt:lpstr>
      <vt:lpstr>FRM-PBL-004-01</vt:lpstr>
      <vt:lpstr>VMR2(3-5,11,13,15-20)</vt:lpstr>
      <vt:lpstr>BB</vt:lpstr>
      <vt:lpstr>'rek-bulanan'!DOC</vt:lpstr>
      <vt:lpstr>DOC</vt:lpstr>
      <vt:lpstr>nilai</vt:lpstr>
      <vt:lpstr>COVER!Print_Area</vt:lpstr>
      <vt:lpstr>Kuitansi!Print_Area</vt:lpstr>
      <vt:lpstr>RELASI!Print_Area</vt:lpstr>
      <vt:lpstr>'VMR2(3-5,11,13,15-20)'!Print_Area</vt:lpstr>
      <vt:lpstr>PERBLNG!REL</vt:lpstr>
      <vt:lpstr>PERTAHUN!REL</vt:lpstr>
      <vt:lpstr>'rek-bulanan'!REL</vt:lpstr>
      <vt:lpstr>REL</vt:lpstr>
      <vt:lpstr>'rek-bulanan'!SUPPLIER</vt:lpstr>
      <vt:lpstr>SUPPLIER</vt:lpstr>
    </vt:vector>
  </TitlesOfParts>
  <Company>user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Kwitansi Excel (Rumus Terbilang)</dc:title>
  <dc:creator>Excelku.com</dc:creator>
  <cp:lastModifiedBy>rudi</cp:lastModifiedBy>
  <cp:lastPrinted>2020-04-03T01:14:54Z</cp:lastPrinted>
  <dcterms:created xsi:type="dcterms:W3CDTF">2014-12-25T06:07:17Z</dcterms:created>
  <dcterms:modified xsi:type="dcterms:W3CDTF">2020-04-03T01:24:02Z</dcterms:modified>
</cp:coreProperties>
</file>